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73528495-288F-4F59-8199-0CEEB5D110D1}" xr6:coauthVersionLast="47" xr6:coauthVersionMax="47" xr10:uidLastSave="{00000000-0000-0000-0000-000000000000}"/>
  <bookViews>
    <workbookView xWindow="3120" yWindow="3120" windowWidth="28800" windowHeight="15345" firstSheet="41" activeTab="45" xr2:uid="{992023F3-CAB7-4E5B-A348-08D563A0EF40}"/>
  </bookViews>
  <sheets>
    <sheet name="Home" sheetId="71" r:id="rId1"/>
    <sheet name="Results - Activity period" sheetId="13" r:id="rId2"/>
    <sheet name="Results - Product EI" sheetId="80" r:id="rId3"/>
    <sheet name="Input - Enterprise" sheetId="72" r:id="rId4"/>
    <sheet name="Input - Site" sheetId="75" r:id="rId5"/>
    <sheet name="Input - Poultry" sheetId="82" r:id="rId6"/>
    <sheet name="Input - Livestock sales" sheetId="81" r:id="rId7"/>
    <sheet name="Input - Poultry purchases" sheetId="111" r:id="rId8"/>
    <sheet name="Input - Fuel" sheetId="95" r:id="rId9"/>
    <sheet name="Input - Electricity" sheetId="92" r:id="rId10"/>
    <sheet name="Input - Common farm inputs" sheetId="112" r:id="rId11"/>
    <sheet name="Input - Livestock farm Inputs" sheetId="113" r:id="rId12"/>
    <sheet name="Input - Freight" sheetId="114" r:id="rId13"/>
    <sheet name="Input - Solid waste" sheetId="108" r:id="rId14"/>
    <sheet name="Input - Manure sent off-site" sheetId="115" r:id="rId15"/>
    <sheet name="Input - Data quality" sheetId="78" r:id="rId16"/>
    <sheet name="4.6.1.1-2 Methane" sheetId="83" r:id="rId17"/>
    <sheet name="4.6.1.3-4 Direct N20" sheetId="84" r:id="rId18"/>
    <sheet name="4.6.1.5-6 Atmos Dep" sheetId="85" r:id="rId19"/>
    <sheet name="4.6.1.7-8 Leaching and runoff" sheetId="86" r:id="rId20"/>
    <sheet name="4.6.1.9 Manure applied to soils" sheetId="87" r:id="rId21"/>
    <sheet name="4.6.1.10-11 Soil direct N2O" sheetId="88" r:id="rId22"/>
    <sheet name="4.6.1.12-13 Soil atmos dep" sheetId="89" r:id="rId23"/>
    <sheet name="4.6.1.14-15 Soil leach runoff" sheetId="90" r:id="rId24"/>
    <sheet name="8.1.1.1-2 Transport fuel" sheetId="96" r:id="rId25"/>
    <sheet name="8.2.1.1-2 Stationary fuel" sheetId="97" r:id="rId26"/>
    <sheet name="10.1.1-2 Solid waste treatment" sheetId="109" r:id="rId27"/>
    <sheet name="14.1.1-2 Purchased electricity" sheetId="93" r:id="rId28"/>
    <sheet name="15 Scope 3" sheetId="116" r:id="rId29"/>
    <sheet name="Calcs - Manure sent off-site" sheetId="117" r:id="rId30"/>
    <sheet name="Constants - Poultry" sheetId="91" r:id="rId31"/>
    <sheet name="Constants - Common livestock" sheetId="119" r:id="rId32"/>
    <sheet name="Constants - Electricity" sheetId="94" r:id="rId33"/>
    <sheet name="Constants - Fertiliser" sheetId="107" r:id="rId34"/>
    <sheet name="Constants - Fuel" sheetId="98" r:id="rId35"/>
    <sheet name="Constants - Scope 3" sheetId="118" r:id="rId36"/>
    <sheet name="Constants - Solid Waste" sheetId="110" r:id="rId37"/>
    <sheet name="Constants - Common" sheetId="79" r:id="rId38"/>
    <sheet name="Input - Fert Prod System" sheetId="99" r:id="rId39"/>
    <sheet name="Input - Fertiliser" sheetId="100" r:id="rId40"/>
    <sheet name="5.1.1.1-2 Inorganic fert N2O" sheetId="101" r:id="rId41"/>
    <sheet name="5.1.1.3-4 Inorganic fert CO2" sheetId="102" r:id="rId42"/>
    <sheet name="5.2.1.1-2 Organic Fert N2O" sheetId="103" r:id="rId43"/>
    <sheet name="5.3.1.1-2 Lime CO2" sheetId="104" r:id="rId44"/>
    <sheet name="5.4.1.1-4 Atmos deposition" sheetId="105" r:id="rId45"/>
    <sheet name="5.5.1.1-2 Leaching and runoff" sheetId="106" r:id="rId46"/>
  </sheets>
  <definedNames>
    <definedName name="_Toc225350871" localSheetId="44">'5.4.1.1-4 Atmos deposition'!$C$1</definedName>
    <definedName name="_Toc225350871" localSheetId="45">'5.5.1.1-2 Leaching and runoff'!$C$1</definedName>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
        _xlpm.S,_xlpm.ProductionCycleStart,
        _xlpm.E,_xlpm.ProductionCycleEnd,
        _xlpm.m,MONTH(_xlpm.ReportingCycleStart),
        _xlpm.d,DAY(_xlpm.ReportingCycleStart),
        _xlpm.PeriodEnd,_xlfn.LAMBDA(_xlpm.st,EDATE(_xlpm.st,12)-1),
        _xlpm.A,_xlpm.S-365,
        _xlpm.ya,YEAR(_xlpm.A),
        _xlpm.yb,YEAR(_xlpm.E),
        _xlpm.firstYear,_xlpm.ya+(_xlpm.PeriodEnd(DATE(_xlpm.ya,_xlpm.m,_xlpm.d))&lt;_xlpm.S),
        _xlpm.lastYear,_xlpm.yb-(DATE(_xlpm.yb,_xlpm.m,_xlpm.d)&gt;_xlpm.E),
        _xlpm.n,MAX(0,_xlpm.lastYear-_xlpm.firstYear+1),
        _xlpm.yrs,_xlfn.SEQUENCE(_xlpm.n,1,_xlpm.firstYear,1),
        _xlpm.starts,DATE(_xlpm.yrs,_xlpm.m,_xlpm.d),
        _xlpm.ends,_xlfn.MAP(_xlpm.starts,_xlpm.PeriodEnd),
        _xlpm.tag,IF(_xlpm.starts=_xlpm.ReportingCycleStart," (This reporting cycle)",""),
        _xlpm.startsText,TEXT(_xlpm.starts,"dd mmm yyyy"),
        _xlpm.endsText,TEXT(_xlpm.ends,"dd mmm yyyy"),
        IF(_xlpm.n=0,"",_xlfn.HSTACK(_xlpm.startsText &amp; " to " &amp; _xlpm.endsText &amp; _xlpm.tag))
    )
)</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1/(1+Common_InputFunctions.Utility_LookupValueInTableNumber(_xlpm.CropType, _xlpm.CropTypeArray, _xlpm.ResidueCropRatioArray))
)</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
        _xlpm.LeachingZoneFracWET,
        Common_InputFunctions.Utility_LookupValueInTableNumber(
            _xlpm.LeachingZone,_xlpm.LeachingZoneLookup,_xlpm.LeachingZoneFracWETLookup
        ),
        _xlpm.ProductionSystemFracWET,
        Common_InputFunctions.Utility_LookupValueInTableNumber(
            _xlpm.ProductionSystem,_xlpm.ProductionSystemLookup,_xlpm.ProductionSystemFracWETLookup
        ),
        IF(_xlpm.LeachingZoneFracWET + _xlpm.ProductionSystemFracWET&gt;0, 1, 0)
    ))</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2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3">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26">_xlfn.LAMBDA(_xlpm.Month,_xlpm.LivestockClass, IFERROR(SUM(_xlfn._xlws.FILTER(#REF!, (#REF! &gt;= EOMONTH(_xlpm.Month, -1) + 1) * (#REF! &lt;= EOMONTH(_xlpm.Month, 0)) * (#REF! = _xlpm.LivestockClass))), 0))</definedName>
    <definedName name="CommonLivestock_InputFunctions.LivestockMovement_HeadAddedDuringMonth" localSheetId="27">_xlfn.LAMBDA(_xlpm.Month,_xlpm.LivestockClass, IFERROR(SUM(_xlfn._xlws.FILTER(#REF!, (#REF! &gt;= EOMONTH(_xlpm.Month, -1) + 1) * (#REF! &lt;= EOMONTH(_xlpm.Month, 0)) * (#REF! = _xlpm.LivestockClass))), 0))</definedName>
    <definedName name="CommonLivestock_InputFunctions.LivestockMovement_HeadAddedDuringMonth" localSheetId="28">_xlfn.LAMBDA(_xlpm.Month,_xlpm.LivestockClass, IFERROR(SUM(_xlfn._xlws.FILTER(#REF!, (#REF! &gt;= EOMONTH(_xlpm.Month, -1) + 1) * (#REF! &lt;= EOMONTH(_xlpm.Month, 0)) * (#REF! = _xlpm.LivestockClass))), 0))</definedName>
    <definedName name="CommonLivestock_InputFunctions.LivestockMovement_HeadAddedDuringMonth" localSheetId="21">_xlfn.LAMBDA(_xlpm.Month,_xlpm.LivestockClass, IFERROR(SUM(_xlfn._xlws.FILTER(#REF!, (#REF! &gt;= EOMONTH(_xlpm.Month, -1) + 1) * (#REF! &lt;= EOMONTH(_xlpm.Month, 0)) * (#REF! = _xlpm.LivestockClass))), 0))</definedName>
    <definedName name="CommonLivestock_InputFunctions.LivestockMovement_HeadAddedDuringMonth" localSheetId="16">_xlfn.LAMBDA(_xlpm.Month,_xlpm.LivestockClass, IFERROR(SUM(_xlfn._xlws.FILTER(#REF!, (#REF! &gt;= EOMONTH(_xlpm.Month, -1) + 1) * (#REF! &lt;= EOMONTH(_xlpm.Month, 0)) * (#REF! = _xlpm.LivestockClass))), 0))</definedName>
    <definedName name="CommonLivestock_InputFunctions.LivestockMovement_HeadAddedDuringMonth" localSheetId="22">_xlfn.LAMBDA(_xlpm.Month,_xlpm.LivestockClass, IFERROR(SUM(_xlfn._xlws.FILTER(#REF!, (#REF! &gt;= EOMONTH(_xlpm.Month, -1) + 1) * (#REF! &lt;= EOMONTH(_xlpm.Month, 0)) * (#REF! = _xlpm.LivestockClass))), 0))</definedName>
    <definedName name="CommonLivestock_InputFunctions.LivestockMovement_HeadAddedDuringMonth" localSheetId="23">_xlfn.LAMBDA(_xlpm.Month,_xlpm.LivestockClass, IFERROR(SUM(_xlfn._xlws.FILTER(#REF!, (#REF! &gt;= EOMONTH(_xlpm.Month, -1) + 1) * (#REF! &lt;= EOMONTH(_xlpm.Month, 0)) * (#REF! = _xlpm.LivestockClass))), 0))</definedName>
    <definedName name="CommonLivestock_InputFunctions.LivestockMovement_HeadAddedDuringMonth" localSheetId="17">_xlfn.LAMBDA(_xlpm.Month,_xlpm.LivestockClass, IFERROR(SUM(_xlfn._xlws.FILTER(#REF!, (#REF! &gt;= EOMONTH(_xlpm.Month, -1) + 1) * (#REF! &lt;= EOMONTH(_xlpm.Month, 0)) * (#REF! = _xlpm.LivestockClass))), 0))</definedName>
    <definedName name="CommonLivestock_InputFunctions.LivestockMovement_HeadAddedDuringMonth" localSheetId="18">_xlfn.LAMBDA(_xlpm.Month,_xlpm.LivestockClass, IFERROR(SUM(_xlfn._xlws.FILTER(#REF!, (#REF! &gt;= EOMONTH(_xlpm.Month, -1) + 1) * (#REF! &lt;= EOMONTH(_xlpm.Month, 0)) * (#REF! = _xlpm.LivestockClass))), 0))</definedName>
    <definedName name="CommonLivestock_InputFunctions.LivestockMovement_HeadAddedDuringMonth" localSheetId="19">_xlfn.LAMBDA(_xlpm.Month,_xlpm.LivestockClass, IFERROR(SUM(_xlfn._xlws.FILTER(#REF!, (#REF! &gt;= EOMONTH(_xlpm.Month, -1) + 1) * (#REF! &lt;= EOMONTH(_xlpm.Month, 0)) * (#REF! = _xlpm.LivestockClass))), 0))</definedName>
    <definedName name="CommonLivestock_InputFunctions.LivestockMovement_HeadAddedDuringMonth" localSheetId="20">_xlfn.LAMBDA(_xlpm.Month,_xlpm.LivestockClass, IFERROR(SUM(_xlfn._xlws.FILTER(#REF!, (#REF! &gt;= EOMONTH(_xlpm.Month, -1) + 1) * (#REF! &lt;= EOMONTH(_xlpm.Month, 0)) * (#REF! = _xlpm.LivestockClass))), 0))</definedName>
    <definedName name="CommonLivestock_InputFunctions.LivestockMovement_HeadAddedDuringMonth" localSheetId="40">_xlfn.LAMBDA(_xlpm.Month,_xlpm.LivestockClass, IFERROR(SUM(_xlfn._xlws.FILTER(#REF!, (#REF! &gt;= EOMONTH(_xlpm.Month, -1) + 1) * (#REF! &lt;= EOMONTH(_xlpm.Month, 0)) * (#REF! = _xlpm.LivestockClass))), 0))</definedName>
    <definedName name="CommonLivestock_InputFunctions.LivestockMovement_HeadAddedDuringMonth" localSheetId="41">_xlfn.LAMBDA(_xlpm.Month,_xlpm.LivestockClass, IFERROR(SUM(_xlfn._xlws.FILTER(#REF!, (#REF! &gt;= EOMONTH(_xlpm.Month, -1) + 1) * (#REF! &lt;= EOMONTH(_xlpm.Month, 0)) * (#REF! = _xlpm.LivestockClass))), 0))</definedName>
    <definedName name="CommonLivestock_InputFunctions.LivestockMovement_HeadAddedDuringMonth" localSheetId="42">_xlfn.LAMBDA(_xlpm.Month,_xlpm.LivestockClass, IFERROR(SUM(_xlfn._xlws.FILTER(#REF!, (#REF! &gt;= EOMONTH(_xlpm.Month, -1) + 1) * (#REF! &lt;= EOMONTH(_xlpm.Month, 0)) * (#REF! = _xlpm.LivestockClass))), 0))</definedName>
    <definedName name="CommonLivestock_InputFunctions.LivestockMovement_HeadAddedDuringMonth" localSheetId="43">_xlfn.LAMBDA(_xlpm.Month,_xlpm.LivestockClass, IFERROR(SUM(_xlfn._xlws.FILTER(#REF!, (#REF! &gt;= EOMONTH(_xlpm.Month, -1) + 1) * (#REF! &lt;= EOMONTH(_xlpm.Month, 0)) * (#REF! = _xlpm.LivestockClass))), 0))</definedName>
    <definedName name="CommonLivestock_InputFunctions.LivestockMovement_HeadAddedDuringMonth" localSheetId="44">_xlfn.LAMBDA(_xlpm.Month,_xlpm.LivestockClass, IFERROR(SUM(_xlfn._xlws.FILTER(#REF!, (#REF! &gt;= EOMONTH(_xlpm.Month, -1) + 1) * (#REF! &lt;= EOMONTH(_xlpm.Month, 0)) * (#REF! = _xlpm.LivestockClass))), 0))</definedName>
    <definedName name="CommonLivestock_InputFunctions.LivestockMovement_HeadAddedDuringMonth" localSheetId="45">_xlfn.LAMBDA(_xlpm.Month,_xlpm.LivestockClass, IFERROR(SUM(_xlfn._xlws.FILTER(#REF!, (#REF! &gt;= EOMONTH(_xlpm.Month, -1) + 1) * (#REF! &lt;= EOMONTH(_xlpm.Month, 0)) * (#REF! = _xlpm.LivestockClass))), 0))</definedName>
    <definedName name="CommonLivestock_InputFunctions.LivestockMovement_HeadAddedDuringMonth" localSheetId="24">_xlfn.LAMBDA(_xlpm.Month,_xlpm.LivestockClass, IFERROR(SUM(_xlfn._xlws.FILTER(#REF!, (#REF! &gt;= EOMONTH(_xlpm.Month, -1) + 1) * (#REF! &lt;= EOMONTH(_xlpm.Month, 0)) * (#REF! = _xlpm.LivestockClass))), 0))</definedName>
    <definedName name="CommonLivestock_InputFunctions.LivestockMovement_HeadAddedDuringMonth" localSheetId="25">_xlfn.LAMBDA(_xlpm.Month,_xlpm.LivestockClass, IFERROR(SUM(_xlfn._xlws.FILTER(#REF!, (#REF! &gt;= EOMONTH(_xlpm.Month, -1) + 1) * (#REF! &lt;= EOMONTH(_xlpm.Month, 0)) * (#REF! = _xlpm.LivestockClass))), 0))</definedName>
    <definedName name="CommonLivestock_InputFunctions.LivestockMovement_HeadAddedDuringMonth" localSheetId="29">_xlfn.LAMBDA(_xlpm.Month,_xlpm.LivestockClass, IFERROR(SUM(_xlfn._xlws.FILTER(#REF!, (#REF! &gt;= EOMONTH(_xlpm.Month, -1) + 1) * (#REF! &lt;= EOMONTH(_xlpm.Month, 0)) * (#REF! = _xlpm.LivestockClass))), 0))</definedName>
    <definedName name="CommonLivestock_InputFunctions.LivestockMovement_HeadAddedDuringMonth" localSheetId="37">_xlfn.LAMBDA(_xlpm.Month,_xlpm.LivestockClass, IFERROR(SUM(_xlfn._xlws.FILTER(#REF!, (#REF! &gt;= EOMONTH(_xlpm.Month, -1) + 1) * (#REF! &lt;= EOMONTH(_xlpm.Month, 0)) * (#REF! = _xlpm.LivestockClass))), 0))</definedName>
    <definedName name="CommonLivestock_InputFunctions.LivestockMovement_HeadAddedDuringMonth" localSheetId="31">_xlfn.LAMBDA(_xlpm.Month,_xlpm.LivestockClass, IFERROR(SUM(_xlfn._xlws.FILTER(#REF!, (#REF! &gt;= EOMONTH(_xlpm.Month, -1) + 1) * (#REF! &lt;= EOMONTH(_xlpm.Month, 0)) * (#REF! = _xlpm.LivestockClass))), 0))</definedName>
    <definedName name="CommonLivestock_InputFunctions.LivestockMovement_HeadAddedDuringMonth" localSheetId="32">_xlfn.LAMBDA(_xlpm.Month,_xlpm.LivestockClass, IFERROR(SUM(_xlfn._xlws.FILTER(#REF!, (#REF! &gt;= EOMONTH(_xlpm.Month, -1) + 1) * (#REF! &lt;= EOMONTH(_xlpm.Month, 0)) * (#REF! = _xlpm.LivestockClass))), 0))</definedName>
    <definedName name="CommonLivestock_InputFunctions.LivestockMovement_HeadAddedDuringMonth" localSheetId="33">_xlfn.LAMBDA(_xlpm.Month,_xlpm.LivestockClass, IFERROR(SUM(_xlfn._xlws.FILTER(#REF!, (#REF! &gt;= EOMONTH(_xlpm.Month, -1) + 1) * (#REF! &lt;= EOMONTH(_xlpm.Month, 0)) * (#REF! = _xlpm.LivestockClass))), 0))</definedName>
    <definedName name="CommonLivestock_InputFunctions.LivestockMovement_HeadAddedDuringMonth" localSheetId="34">_xlfn.LAMBDA(_xlpm.Month,_xlpm.LivestockClass, IFERROR(SUM(_xlfn._xlws.FILTER(#REF!, (#REF! &gt;= EOMONTH(_xlpm.Month, -1) + 1) * (#REF! &lt;= EOMONTH(_xlpm.Month, 0)) * (#REF! = _xlpm.LivestockClass))), 0))</definedName>
    <definedName name="CommonLivestock_InputFunctions.LivestockMovement_HeadAddedDuringMonth" localSheetId="30">_xlfn.LAMBDA(_xlpm.Month,_xlpm.LivestockClass, IFERROR(SUM(_xlfn._xlws.FILTER(#REF!, (#REF! &gt;= EOMONTH(_xlpm.Month, -1) + 1) * (#REF! &lt;= EOMONTH(_xlpm.Month, 0)) * (#REF! = _xlpm.LivestockClass))), 0))</definedName>
    <definedName name="CommonLivestock_InputFunctions.LivestockMovement_HeadAddedDuringMonth" localSheetId="35">_xlfn.LAMBDA(_xlpm.Month,_xlpm.LivestockClass, IFERROR(SUM(_xlfn._xlws.FILTER(#REF!, (#REF! &gt;= EOMONTH(_xlpm.Month, -1) + 1) * (#REF! &lt;= EOMONTH(_xlpm.Month, 0)) * (#REF! = _xlpm.LivestockClass))), 0))</definedName>
    <definedName name="CommonLivestock_InputFunctions.LivestockMovement_HeadAddedDuringMonth" localSheetId="36">_xlfn.LAMBDA(_xlpm.Month,_xlpm.LivestockClass, IFERROR(SUM(_xlfn._xlws.FILTER(#REF!, (#REF! &gt;= EOMONTH(_xlpm.Month, -1) + 1) * (#REF! &lt;= EOMONTH(_xlpm.Month, 0)) * (#REF! = _xlpm.LivestockClass))), 0))</definedName>
    <definedName name="CommonLivestock_InputFunctions.LivestockMovement_HeadAddedDuringMonth" localSheetId="10">_xlfn.LAMBDA(_xlpm.Month,_xlpm.LivestockClass, IFERROR(SUM(_xlfn._xlws.FILTER(#REF!, (#REF! &gt;= EOMONTH(_xlpm.Month, -1) + 1) * (#REF! &lt;= EOMONTH(_xlpm.Month, 0)) * (#REF! = _xlpm.LivestockClass))), 0))</definedName>
    <definedName name="CommonLivestock_InputFunctions.LivestockMovement_HeadAddedDuringMonth" localSheetId="9">_xlfn.LAMBDA(_xlpm.Month,_xlpm.LivestockClass, IFERROR(SUM(_xlfn._xlws.FILTER(#REF!, (#REF! &gt;= EOMONTH(_xlpm.Month, -1) + 1) * (#REF! &lt;= EOMONTH(_xlpm.Month, 0)) * (#REF! = _xlpm.LivestockClass))), 0))</definedName>
    <definedName name="CommonLivestock_InputFunctions.LivestockMovement_HeadAddedDuringMonth" localSheetId="38">_xlfn.LAMBDA(_xlpm.Month,_xlpm.LivestockClass, IFERROR(SUM(_xlfn._xlws.FILTER(#REF!, (#REF! &gt;= EOMONTH(_xlpm.Month, -1) + 1) * (#REF! &lt;= EOMONTH(_xlpm.Month, 0)) * (#REF! = _xlpm.LivestockClass))), 0))</definedName>
    <definedName name="CommonLivestock_InputFunctions.LivestockMovement_HeadAddedDuringMonth" localSheetId="39">_xlfn.LAMBDA(_xlpm.Month,_xlpm.LivestockClass, IFERROR(SUM(_xlfn._xlws.FILTER(#REF!, (#REF! &gt;= EOMONTH(_xlpm.Month, -1) + 1) * (#REF! &lt;= EOMONTH(_xlpm.Month, 0)) * (#REF! = _xlpm.LivestockClass))), 0))</definedName>
    <definedName name="CommonLivestock_InputFunctions.LivestockMovement_HeadAddedDuringMonth" localSheetId="12">_xlfn.LAMBDA(_xlpm.Month,_xlpm.LivestockClass, IFERROR(SUM(_xlfn._xlws.FILTER(#REF!, (#REF! &gt;= EOMONTH(_xlpm.Month, -1) + 1) * (#REF! &lt;= EOMONTH(_xlpm.Month, 0)) * (#REF! = _xlpm.LivestockClass))), 0))</definedName>
    <definedName name="CommonLivestock_InputFunctions.LivestockMovement_HeadAddedDuringMonth" localSheetId="8">_xlfn.LAMBDA(_xlpm.Month,_xlpm.LivestockClass, IFERROR(SUM(_xlfn._xlws.FILTER(#REF!, (#REF! &gt;= EOMONTH(_xlpm.Month, -1) + 1) * (#REF! &lt;= EOMONTH(_xlpm.Month, 0)) * (#REF! = _xlpm.LivestockClass))), 0))</definedName>
    <definedName name="CommonLivestock_InputFunctions.LivestockMovement_HeadAddedDuringMonth" localSheetId="11">_xlfn.LAMBDA(_xlpm.Month,_xlpm.LivestockClass, IFERROR(SUM(_xlfn._xlws.FILTER(#REF!, (#REF! &gt;= EOMONTH(_xlpm.Month, -1) + 1) * (#REF! &lt;= EOMONTH(_xlpm.Month, 0)) * (#REF! = _xlpm.LivestockClass))), 0))</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 localSheetId="5">_xlfn.LAMBDA(_xlpm.Month,_xlpm.LivestockClass, IFERROR(SUM(_xlfn._xlws.FILTER(#REF!, (#REF! &gt;= EOMONTH(_xlpm.Month, -1) + 1) * (#REF! &lt;= EOMONTH(_xlpm.Month, 0)) * (#REF! = _xlpm.LivestockClass))), 0))</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 localSheetId="13">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26">_xlfn.LAMBDA(_xlpm.Month,_xlpm.LivestockClass, IFERROR(SUM(_xlfn._xlws.FILTER(#REF!, (#REF! &gt;= EOMONTH(_xlpm.Month, -1) + 1) * (#REF! &lt;= EOMONTH(_xlpm.Month, 0)) * (#REF! = _xlpm.LivestockClass))), 0))</definedName>
    <definedName name="CommonLivestock_InputFunctions.LivestockMovement_HeadLostDuringMonth" localSheetId="27">_xlfn.LAMBDA(_xlpm.Month,_xlpm.LivestockClass, IFERROR(SUM(_xlfn._xlws.FILTER(#REF!, (#REF! &gt;= EOMONTH(_xlpm.Month, -1) + 1) * (#REF! &lt;= EOMONTH(_xlpm.Month, 0)) * (#REF! = _xlpm.LivestockClass))), 0))</definedName>
    <definedName name="CommonLivestock_InputFunctions.LivestockMovement_HeadLostDuringMonth" localSheetId="28">_xlfn.LAMBDA(_xlpm.Month,_xlpm.LivestockClass, IFERROR(SUM(_xlfn._xlws.FILTER(#REF!, (#REF! &gt;= EOMONTH(_xlpm.Month, -1) + 1) * (#REF! &lt;= EOMONTH(_xlpm.Month, 0)) * (#REF! = _xlpm.LivestockClass))), 0))</definedName>
    <definedName name="CommonLivestock_InputFunctions.LivestockMovement_HeadLostDuringMonth" localSheetId="21">_xlfn.LAMBDA(_xlpm.Month,_xlpm.LivestockClass, IFERROR(SUM(_xlfn._xlws.FILTER(#REF!, (#REF! &gt;= EOMONTH(_xlpm.Month, -1) + 1) * (#REF! &lt;= EOMONTH(_xlpm.Month, 0)) * (#REF! = _xlpm.LivestockClass))), 0))</definedName>
    <definedName name="CommonLivestock_InputFunctions.LivestockMovement_HeadLostDuringMonth" localSheetId="16">_xlfn.LAMBDA(_xlpm.Month,_xlpm.LivestockClass, IFERROR(SUM(_xlfn._xlws.FILTER(#REF!, (#REF! &gt;= EOMONTH(_xlpm.Month, -1) + 1) * (#REF! &lt;= EOMONTH(_xlpm.Month, 0)) * (#REF! = _xlpm.LivestockClass))), 0))</definedName>
    <definedName name="CommonLivestock_InputFunctions.LivestockMovement_HeadLostDuringMonth" localSheetId="22">_xlfn.LAMBDA(_xlpm.Month,_xlpm.LivestockClass, IFERROR(SUM(_xlfn._xlws.FILTER(#REF!, (#REF! &gt;= EOMONTH(_xlpm.Month, -1) + 1) * (#REF! &lt;= EOMONTH(_xlpm.Month, 0)) * (#REF! = _xlpm.LivestockClass))), 0))</definedName>
    <definedName name="CommonLivestock_InputFunctions.LivestockMovement_HeadLostDuringMonth" localSheetId="23">_xlfn.LAMBDA(_xlpm.Month,_xlpm.LivestockClass, IFERROR(SUM(_xlfn._xlws.FILTER(#REF!, (#REF! &gt;= EOMONTH(_xlpm.Month, -1) + 1) * (#REF! &lt;= EOMONTH(_xlpm.Month, 0)) * (#REF! = _xlpm.LivestockClass))), 0))</definedName>
    <definedName name="CommonLivestock_InputFunctions.LivestockMovement_HeadLostDuringMonth" localSheetId="17">_xlfn.LAMBDA(_xlpm.Month,_xlpm.LivestockClass, IFERROR(SUM(_xlfn._xlws.FILTER(#REF!, (#REF! &gt;= EOMONTH(_xlpm.Month, -1) + 1) * (#REF! &lt;= EOMONTH(_xlpm.Month, 0)) * (#REF! = _xlpm.LivestockClass))), 0))</definedName>
    <definedName name="CommonLivestock_InputFunctions.LivestockMovement_HeadLostDuringMonth" localSheetId="18">_xlfn.LAMBDA(_xlpm.Month,_xlpm.LivestockClass, IFERROR(SUM(_xlfn._xlws.FILTER(#REF!, (#REF! &gt;= EOMONTH(_xlpm.Month, -1) + 1) * (#REF! &lt;= EOMONTH(_xlpm.Month, 0)) * (#REF! = _xlpm.LivestockClass))), 0))</definedName>
    <definedName name="CommonLivestock_InputFunctions.LivestockMovement_HeadLostDuringMonth" localSheetId="19">_xlfn.LAMBDA(_xlpm.Month,_xlpm.LivestockClass, IFERROR(SUM(_xlfn._xlws.FILTER(#REF!, (#REF! &gt;= EOMONTH(_xlpm.Month, -1) + 1) * (#REF! &lt;= EOMONTH(_xlpm.Month, 0)) * (#REF! = _xlpm.LivestockClass))), 0))</definedName>
    <definedName name="CommonLivestock_InputFunctions.LivestockMovement_HeadLostDuringMonth" localSheetId="20">_xlfn.LAMBDA(_xlpm.Month,_xlpm.LivestockClass, IFERROR(SUM(_xlfn._xlws.FILTER(#REF!, (#REF! &gt;= EOMONTH(_xlpm.Month, -1) + 1) * (#REF! &lt;= EOMONTH(_xlpm.Month, 0)) * (#REF! = _xlpm.LivestockClass))), 0))</definedName>
    <definedName name="CommonLivestock_InputFunctions.LivestockMovement_HeadLostDuringMonth" localSheetId="40">_xlfn.LAMBDA(_xlpm.Month,_xlpm.LivestockClass, IFERROR(SUM(_xlfn._xlws.FILTER(#REF!, (#REF! &gt;= EOMONTH(_xlpm.Month, -1) + 1) * (#REF! &lt;= EOMONTH(_xlpm.Month, 0)) * (#REF! = _xlpm.LivestockClass))), 0))</definedName>
    <definedName name="CommonLivestock_InputFunctions.LivestockMovement_HeadLostDuringMonth" localSheetId="41">_xlfn.LAMBDA(_xlpm.Month,_xlpm.LivestockClass, IFERROR(SUM(_xlfn._xlws.FILTER(#REF!, (#REF! &gt;= EOMONTH(_xlpm.Month, -1) + 1) * (#REF! &lt;= EOMONTH(_xlpm.Month, 0)) * (#REF! = _xlpm.LivestockClass))), 0))</definedName>
    <definedName name="CommonLivestock_InputFunctions.LivestockMovement_HeadLostDuringMonth" localSheetId="42">_xlfn.LAMBDA(_xlpm.Month,_xlpm.LivestockClass, IFERROR(SUM(_xlfn._xlws.FILTER(#REF!, (#REF! &gt;= EOMONTH(_xlpm.Month, -1) + 1) * (#REF! &lt;= EOMONTH(_xlpm.Month, 0)) * (#REF! = _xlpm.LivestockClass))), 0))</definedName>
    <definedName name="CommonLivestock_InputFunctions.LivestockMovement_HeadLostDuringMonth" localSheetId="43">_xlfn.LAMBDA(_xlpm.Month,_xlpm.LivestockClass, IFERROR(SUM(_xlfn._xlws.FILTER(#REF!, (#REF! &gt;= EOMONTH(_xlpm.Month, -1) + 1) * (#REF! &lt;= EOMONTH(_xlpm.Month, 0)) * (#REF! = _xlpm.LivestockClass))), 0))</definedName>
    <definedName name="CommonLivestock_InputFunctions.LivestockMovement_HeadLostDuringMonth" localSheetId="44">_xlfn.LAMBDA(_xlpm.Month,_xlpm.LivestockClass, IFERROR(SUM(_xlfn._xlws.FILTER(#REF!, (#REF! &gt;= EOMONTH(_xlpm.Month, -1) + 1) * (#REF! &lt;= EOMONTH(_xlpm.Month, 0)) * (#REF! = _xlpm.LivestockClass))), 0))</definedName>
    <definedName name="CommonLivestock_InputFunctions.LivestockMovement_HeadLostDuringMonth" localSheetId="45">_xlfn.LAMBDA(_xlpm.Month,_xlpm.LivestockClass, IFERROR(SUM(_xlfn._xlws.FILTER(#REF!, (#REF! &gt;= EOMONTH(_xlpm.Month, -1) + 1) * (#REF! &lt;= EOMONTH(_xlpm.Month, 0)) * (#REF! = _xlpm.LivestockClass))), 0))</definedName>
    <definedName name="CommonLivestock_InputFunctions.LivestockMovement_HeadLostDuringMonth" localSheetId="24">_xlfn.LAMBDA(_xlpm.Month,_xlpm.LivestockClass, IFERROR(SUM(_xlfn._xlws.FILTER(#REF!, (#REF! &gt;= EOMONTH(_xlpm.Month, -1) + 1) * (#REF! &lt;= EOMONTH(_xlpm.Month, 0)) * (#REF! = _xlpm.LivestockClass))), 0))</definedName>
    <definedName name="CommonLivestock_InputFunctions.LivestockMovement_HeadLostDuringMonth" localSheetId="25">_xlfn.LAMBDA(_xlpm.Month,_xlpm.LivestockClass, IFERROR(SUM(_xlfn._xlws.FILTER(#REF!, (#REF! &gt;= EOMONTH(_xlpm.Month, -1) + 1) * (#REF! &lt;= EOMONTH(_xlpm.Month, 0)) * (#REF! = _xlpm.LivestockClass))), 0))</definedName>
    <definedName name="CommonLivestock_InputFunctions.LivestockMovement_HeadLostDuringMonth" localSheetId="29">_xlfn.LAMBDA(_xlpm.Month,_xlpm.LivestockClass, IFERROR(SUM(_xlfn._xlws.FILTER(#REF!, (#REF! &gt;= EOMONTH(_xlpm.Month, -1) + 1) * (#REF! &lt;= EOMONTH(_xlpm.Month, 0)) * (#REF! = _xlpm.LivestockClass))), 0))</definedName>
    <definedName name="CommonLivestock_InputFunctions.LivestockMovement_HeadLostDuringMonth" localSheetId="37">_xlfn.LAMBDA(_xlpm.Month,_xlpm.LivestockClass, IFERROR(SUM(_xlfn._xlws.FILTER(#REF!, (#REF! &gt;= EOMONTH(_xlpm.Month, -1) + 1) * (#REF! &lt;= EOMONTH(_xlpm.Month, 0)) * (#REF! = _xlpm.LivestockClass))), 0))</definedName>
    <definedName name="CommonLivestock_InputFunctions.LivestockMovement_HeadLostDuringMonth" localSheetId="31">_xlfn.LAMBDA(_xlpm.Month,_xlpm.LivestockClass, IFERROR(SUM(_xlfn._xlws.FILTER(#REF!, (#REF! &gt;= EOMONTH(_xlpm.Month, -1) + 1) * (#REF! &lt;= EOMONTH(_xlpm.Month, 0)) * (#REF! = _xlpm.LivestockClass))), 0))</definedName>
    <definedName name="CommonLivestock_InputFunctions.LivestockMovement_HeadLostDuringMonth" localSheetId="32">_xlfn.LAMBDA(_xlpm.Month,_xlpm.LivestockClass, IFERROR(SUM(_xlfn._xlws.FILTER(#REF!, (#REF! &gt;= EOMONTH(_xlpm.Month, -1) + 1) * (#REF! &lt;= EOMONTH(_xlpm.Month, 0)) * (#REF! = _xlpm.LivestockClass))), 0))</definedName>
    <definedName name="CommonLivestock_InputFunctions.LivestockMovement_HeadLostDuringMonth" localSheetId="33">_xlfn.LAMBDA(_xlpm.Month,_xlpm.LivestockClass, IFERROR(SUM(_xlfn._xlws.FILTER(#REF!, (#REF! &gt;= EOMONTH(_xlpm.Month, -1) + 1) * (#REF! &lt;= EOMONTH(_xlpm.Month, 0)) * (#REF! = _xlpm.LivestockClass))), 0))</definedName>
    <definedName name="CommonLivestock_InputFunctions.LivestockMovement_HeadLostDuringMonth" localSheetId="34">_xlfn.LAMBDA(_xlpm.Month,_xlpm.LivestockClass, IFERROR(SUM(_xlfn._xlws.FILTER(#REF!, (#REF! &gt;= EOMONTH(_xlpm.Month, -1) + 1) * (#REF! &lt;= EOMONTH(_xlpm.Month, 0)) * (#REF! = _xlpm.LivestockClass))), 0))</definedName>
    <definedName name="CommonLivestock_InputFunctions.LivestockMovement_HeadLostDuringMonth" localSheetId="30">_xlfn.LAMBDA(_xlpm.Month,_xlpm.LivestockClass, IFERROR(SUM(_xlfn._xlws.FILTER(#REF!, (#REF! &gt;= EOMONTH(_xlpm.Month, -1) + 1) * (#REF! &lt;= EOMONTH(_xlpm.Month, 0)) * (#REF! = _xlpm.LivestockClass))), 0))</definedName>
    <definedName name="CommonLivestock_InputFunctions.LivestockMovement_HeadLostDuringMonth" localSheetId="35">_xlfn.LAMBDA(_xlpm.Month,_xlpm.LivestockClass, IFERROR(SUM(_xlfn._xlws.FILTER(#REF!, (#REF! &gt;= EOMONTH(_xlpm.Month, -1) + 1) * (#REF! &lt;= EOMONTH(_xlpm.Month, 0)) * (#REF! = _xlpm.LivestockClass))), 0))</definedName>
    <definedName name="CommonLivestock_InputFunctions.LivestockMovement_HeadLostDuringMonth" localSheetId="36">_xlfn.LAMBDA(_xlpm.Month,_xlpm.LivestockClass, IFERROR(SUM(_xlfn._xlws.FILTER(#REF!, (#REF! &gt;= EOMONTH(_xlpm.Month, -1) + 1) * (#REF! &lt;= EOMONTH(_xlpm.Month, 0)) * (#REF! = _xlpm.LivestockClass))), 0))</definedName>
    <definedName name="CommonLivestock_InputFunctions.LivestockMovement_HeadLostDuringMonth" localSheetId="10">_xlfn.LAMBDA(_xlpm.Month,_xlpm.LivestockClass, IFERROR(SUM(_xlfn._xlws.FILTER(#REF!, (#REF! &gt;= EOMONTH(_xlpm.Month, -1) + 1) * (#REF! &lt;= EOMONTH(_xlpm.Month, 0)) * (#REF! = _xlpm.LivestockClass))), 0))</definedName>
    <definedName name="CommonLivestock_InputFunctions.LivestockMovement_HeadLostDuringMonth" localSheetId="9">_xlfn.LAMBDA(_xlpm.Month,_xlpm.LivestockClass, IFERROR(SUM(_xlfn._xlws.FILTER(#REF!, (#REF! &gt;= EOMONTH(_xlpm.Month, -1) + 1) * (#REF! &lt;= EOMONTH(_xlpm.Month, 0)) * (#REF! = _xlpm.LivestockClass))), 0))</definedName>
    <definedName name="CommonLivestock_InputFunctions.LivestockMovement_HeadLostDuringMonth" localSheetId="38">_xlfn.LAMBDA(_xlpm.Month,_xlpm.LivestockClass, IFERROR(SUM(_xlfn._xlws.FILTER(#REF!, (#REF! &gt;= EOMONTH(_xlpm.Month, -1) + 1) * (#REF! &lt;= EOMONTH(_xlpm.Month, 0)) * (#REF! = _xlpm.LivestockClass))), 0))</definedName>
    <definedName name="CommonLivestock_InputFunctions.LivestockMovement_HeadLostDuringMonth" localSheetId="39">_xlfn.LAMBDA(_xlpm.Month,_xlpm.LivestockClass, IFERROR(SUM(_xlfn._xlws.FILTER(#REF!, (#REF! &gt;= EOMONTH(_xlpm.Month, -1) + 1) * (#REF! &lt;= EOMONTH(_xlpm.Month, 0)) * (#REF! = _xlpm.LivestockClass))), 0))</definedName>
    <definedName name="CommonLivestock_InputFunctions.LivestockMovement_HeadLostDuringMonth" localSheetId="12">_xlfn.LAMBDA(_xlpm.Month,_xlpm.LivestockClass, IFERROR(SUM(_xlfn._xlws.FILTER(#REF!, (#REF! &gt;= EOMONTH(_xlpm.Month, -1) + 1) * (#REF! &lt;= EOMONTH(_xlpm.Month, 0)) * (#REF! = _xlpm.LivestockClass))), 0))</definedName>
    <definedName name="CommonLivestock_InputFunctions.LivestockMovement_HeadLostDuringMonth" localSheetId="8">_xlfn.LAMBDA(_xlpm.Month,_xlpm.LivestockClass, IFERROR(SUM(_xlfn._xlws.FILTER(#REF!, (#REF! &gt;= EOMONTH(_xlpm.Month, -1) + 1) * (#REF! &lt;= EOMONTH(_xlpm.Month, 0)) * (#REF! = _xlpm.LivestockClass))), 0))</definedName>
    <definedName name="CommonLivestock_InputFunctions.LivestockMovement_HeadLostDuringMonth" localSheetId="11">_xlfn.LAMBDA(_xlpm.Month,_xlpm.LivestockClass, IFERROR(SUM(_xlfn._xlws.FILTER(#REF!, (#REF! &gt;= EOMONTH(_xlpm.Month, -1) + 1) * (#REF! &lt;= EOMONTH(_xlpm.Month, 0)) * (#REF! = _xlpm.LivestockClass))), 0))</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 localSheetId="5">_xlfn.LAMBDA(_xlpm.Month,_xlpm.LivestockClass, IFERROR(SUM(_xlfn._xlws.FILTER(#REF!, (#REF! &gt;= EOMONTH(_xlpm.Month, -1) + 1) * (#REF! &lt;= EOMONTH(_xlpm.Month, 0)) * (#REF! = _xlpm.LivestockClass))), 0))</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 localSheetId="13">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26">_xlfn.LAMBDA(_xlpm.Month,_xlpm.LivestockClass, IFERROR(SUM(_xlfn._xlws.FILTER(#REF!, (#REF! &gt;= EOMONTH(_xlpm.Month, -1) + 1) * (#REF! &lt;= EOMONTH(_xlpm.Month, 0)) * (#REF! = _xlpm.LivestockClass))), 0))</definedName>
    <definedName name="CommonLivestock_InputFunctions.LivestockMovement_TotalLiveweightAddedDuringMonth" localSheetId="27">_xlfn.LAMBDA(_xlpm.Month,_xlpm.LivestockClass, IFERROR(SUM(_xlfn._xlws.FILTER(#REF!, (#REF! &gt;= EOMONTH(_xlpm.Month, -1) + 1) * (#REF! &lt;= EOMONTH(_xlpm.Month, 0)) * (#REF! = _xlpm.LivestockClass))), 0))</definedName>
    <definedName name="CommonLivestock_InputFunctions.LivestockMovement_TotalLiveweightAddedDuringMonth" localSheetId="28">_xlfn.LAMBDA(_xlpm.Month,_xlpm.LivestockClass, IFERROR(SUM(_xlfn._xlws.FILTER(#REF!, (#REF! &gt;= EOMONTH(_xlpm.Month, -1) + 1) * (#REF! &lt;= EOMONTH(_xlpm.Month, 0)) * (#REF! = _xlpm.LivestockClass))), 0))</definedName>
    <definedName name="CommonLivestock_InputFunctions.LivestockMovement_TotalLiveweightAddedDuringMonth" localSheetId="21">_xlfn.LAMBDA(_xlpm.Month,_xlpm.LivestockClass, IFERROR(SUM(_xlfn._xlws.FILTER(#REF!, (#REF! &gt;= EOMONTH(_xlpm.Month, -1) + 1) * (#REF! &lt;= EOMONTH(_xlpm.Month, 0)) * (#REF! = _xlpm.LivestockClass))), 0))</definedName>
    <definedName name="CommonLivestock_InputFunctions.LivestockMovement_TotalLiveweightAddedDuringMonth" localSheetId="16">_xlfn.LAMBDA(_xlpm.Month,_xlpm.LivestockClass, IFERROR(SUM(_xlfn._xlws.FILTER(#REF!, (#REF! &gt;= EOMONTH(_xlpm.Month, -1) + 1) * (#REF! &lt;= EOMONTH(_xlpm.Month, 0)) * (#REF! = _xlpm.LivestockClass))), 0))</definedName>
    <definedName name="CommonLivestock_InputFunctions.LivestockMovement_TotalLiveweightAddedDuringMonth" localSheetId="22">_xlfn.LAMBDA(_xlpm.Month,_xlpm.LivestockClass, IFERROR(SUM(_xlfn._xlws.FILTER(#REF!, (#REF! &gt;= EOMONTH(_xlpm.Month, -1) + 1) * (#REF! &lt;= EOMONTH(_xlpm.Month, 0)) * (#REF! = _xlpm.LivestockClass))), 0))</definedName>
    <definedName name="CommonLivestock_InputFunctions.LivestockMovement_TotalLiveweightAddedDuringMonth" localSheetId="23">_xlfn.LAMBDA(_xlpm.Month,_xlpm.LivestockClass, IFERROR(SUM(_xlfn._xlws.FILTER(#REF!, (#REF! &gt;= EOMONTH(_xlpm.Month, -1) + 1) * (#REF! &lt;= EOMONTH(_xlpm.Month, 0)) * (#REF! = _xlpm.LivestockClass))), 0))</definedName>
    <definedName name="CommonLivestock_InputFunctions.LivestockMovement_TotalLiveweightAddedDuringMonth" localSheetId="17">_xlfn.LAMBDA(_xlpm.Month,_xlpm.LivestockClass, IFERROR(SUM(_xlfn._xlws.FILTER(#REF!, (#REF! &gt;= EOMONTH(_xlpm.Month, -1) + 1) * (#REF! &lt;= EOMONTH(_xlpm.Month, 0)) * (#REF! = _xlpm.LivestockClass))), 0))</definedName>
    <definedName name="CommonLivestock_InputFunctions.LivestockMovement_TotalLiveweightAddedDuringMonth" localSheetId="18">_xlfn.LAMBDA(_xlpm.Month,_xlpm.LivestockClass, IFERROR(SUM(_xlfn._xlws.FILTER(#REF!, (#REF! &gt;= EOMONTH(_xlpm.Month, -1) + 1) * (#REF! &lt;= EOMONTH(_xlpm.Month, 0)) * (#REF! = _xlpm.LivestockClass))), 0))</definedName>
    <definedName name="CommonLivestock_InputFunctions.LivestockMovement_TotalLiveweightAddedDuringMonth" localSheetId="19">_xlfn.LAMBDA(_xlpm.Month,_xlpm.LivestockClass, IFERROR(SUM(_xlfn._xlws.FILTER(#REF!, (#REF! &gt;= EOMONTH(_xlpm.Month, -1) + 1) * (#REF! &lt;= EOMONTH(_xlpm.Month, 0)) * (#REF! = _xlpm.LivestockClass))), 0))</definedName>
    <definedName name="CommonLivestock_InputFunctions.LivestockMovement_TotalLiveweightAddedDuringMonth" localSheetId="20">_xlfn.LAMBDA(_xlpm.Month,_xlpm.LivestockClass, IFERROR(SUM(_xlfn._xlws.FILTER(#REF!, (#REF! &gt;= EOMONTH(_xlpm.Month, -1) + 1) * (#REF! &lt;= EOMONTH(_xlpm.Month, 0)) * (#REF! = _xlpm.LivestockClass))), 0))</definedName>
    <definedName name="CommonLivestock_InputFunctions.LivestockMovement_TotalLiveweightAddedDuringMonth" localSheetId="40">_xlfn.LAMBDA(_xlpm.Month,_xlpm.LivestockClass, IFERROR(SUM(_xlfn._xlws.FILTER(#REF!, (#REF! &gt;= EOMONTH(_xlpm.Month, -1) + 1) * (#REF! &lt;= EOMONTH(_xlpm.Month, 0)) * (#REF! = _xlpm.LivestockClass))), 0))</definedName>
    <definedName name="CommonLivestock_InputFunctions.LivestockMovement_TotalLiveweightAddedDuringMonth" localSheetId="41">_xlfn.LAMBDA(_xlpm.Month,_xlpm.LivestockClass, IFERROR(SUM(_xlfn._xlws.FILTER(#REF!, (#REF! &gt;= EOMONTH(_xlpm.Month, -1) + 1) * (#REF! &lt;= EOMONTH(_xlpm.Month, 0)) * (#REF! = _xlpm.LivestockClass))), 0))</definedName>
    <definedName name="CommonLivestock_InputFunctions.LivestockMovement_TotalLiveweightAddedDuringMonth" localSheetId="42">_xlfn.LAMBDA(_xlpm.Month,_xlpm.LivestockClass, IFERROR(SUM(_xlfn._xlws.FILTER(#REF!, (#REF! &gt;= EOMONTH(_xlpm.Month, -1) + 1) * (#REF! &lt;= EOMONTH(_xlpm.Month, 0)) * (#REF! = _xlpm.LivestockClass))), 0))</definedName>
    <definedName name="CommonLivestock_InputFunctions.LivestockMovement_TotalLiveweightAddedDuringMonth" localSheetId="43">_xlfn.LAMBDA(_xlpm.Month,_xlpm.LivestockClass, IFERROR(SUM(_xlfn._xlws.FILTER(#REF!, (#REF! &gt;= EOMONTH(_xlpm.Month, -1) + 1) * (#REF! &lt;= EOMONTH(_xlpm.Month, 0)) * (#REF! = _xlpm.LivestockClass))), 0))</definedName>
    <definedName name="CommonLivestock_InputFunctions.LivestockMovement_TotalLiveweightAddedDuringMonth" localSheetId="44">_xlfn.LAMBDA(_xlpm.Month,_xlpm.LivestockClass, IFERROR(SUM(_xlfn._xlws.FILTER(#REF!, (#REF! &gt;= EOMONTH(_xlpm.Month, -1) + 1) * (#REF! &lt;= EOMONTH(_xlpm.Month, 0)) * (#REF! = _xlpm.LivestockClass))), 0))</definedName>
    <definedName name="CommonLivestock_InputFunctions.LivestockMovement_TotalLiveweightAddedDuringMonth" localSheetId="45">_xlfn.LAMBDA(_xlpm.Month,_xlpm.LivestockClass, IFERROR(SUM(_xlfn._xlws.FILTER(#REF!, (#REF! &gt;= EOMONTH(_xlpm.Month, -1) + 1) * (#REF! &lt;= EOMONTH(_xlpm.Month, 0)) * (#REF! = _xlpm.LivestockClass))), 0))</definedName>
    <definedName name="CommonLivestock_InputFunctions.LivestockMovement_TotalLiveweightAddedDuringMonth" localSheetId="24">_xlfn.LAMBDA(_xlpm.Month,_xlpm.LivestockClass, IFERROR(SUM(_xlfn._xlws.FILTER(#REF!, (#REF! &gt;= EOMONTH(_xlpm.Month, -1) + 1) * (#REF! &lt;= EOMONTH(_xlpm.Month, 0)) * (#REF! = _xlpm.LivestockClass))), 0))</definedName>
    <definedName name="CommonLivestock_InputFunctions.LivestockMovement_TotalLiveweightAddedDuringMonth" localSheetId="25">_xlfn.LAMBDA(_xlpm.Month,_xlpm.LivestockClass, IFERROR(SUM(_xlfn._xlws.FILTER(#REF!, (#REF! &gt;= EOMONTH(_xlpm.Month, -1) + 1) * (#REF! &lt;= EOMONTH(_xlpm.Month, 0)) * (#REF! = _xlpm.LivestockClass))), 0))</definedName>
    <definedName name="CommonLivestock_InputFunctions.LivestockMovement_TotalLiveweightAddedDuringMonth" localSheetId="29">_xlfn.LAMBDA(_xlpm.Month,_xlpm.LivestockClass, IFERROR(SUM(_xlfn._xlws.FILTER(#REF!, (#REF! &gt;= EOMONTH(_xlpm.Month, -1) + 1) * (#REF! &lt;= EOMONTH(_xlpm.Month, 0)) * (#REF! = _xlpm.LivestockClass))), 0))</definedName>
    <definedName name="CommonLivestock_InputFunctions.LivestockMovement_TotalLiveweightAddedDuringMonth" localSheetId="37">_xlfn.LAMBDA(_xlpm.Month,_xlpm.LivestockClass, IFERROR(SUM(_xlfn._xlws.FILTER(#REF!, (#REF! &gt;= EOMONTH(_xlpm.Month, -1) + 1) * (#REF! &lt;= EOMONTH(_xlpm.Month, 0)) * (#REF! = _xlpm.LivestockClass))), 0))</definedName>
    <definedName name="CommonLivestock_InputFunctions.LivestockMovement_TotalLiveweightAddedDuringMonth" localSheetId="31">_xlfn.LAMBDA(_xlpm.Month,_xlpm.LivestockClass, IFERROR(SUM(_xlfn._xlws.FILTER(#REF!, (#REF! &gt;= EOMONTH(_xlpm.Month, -1) + 1) * (#REF! &lt;= EOMONTH(_xlpm.Month, 0)) * (#REF! = _xlpm.LivestockClass))), 0))</definedName>
    <definedName name="CommonLivestock_InputFunctions.LivestockMovement_TotalLiveweightAddedDuringMonth" localSheetId="32">_xlfn.LAMBDA(_xlpm.Month,_xlpm.LivestockClass, IFERROR(SUM(_xlfn._xlws.FILTER(#REF!, (#REF! &gt;= EOMONTH(_xlpm.Month, -1) + 1) * (#REF! &lt;= EOMONTH(_xlpm.Month, 0)) * (#REF! = _xlpm.LivestockClass))), 0))</definedName>
    <definedName name="CommonLivestock_InputFunctions.LivestockMovement_TotalLiveweightAddedDuringMonth" localSheetId="33">_xlfn.LAMBDA(_xlpm.Month,_xlpm.LivestockClass, IFERROR(SUM(_xlfn._xlws.FILTER(#REF!, (#REF! &gt;= EOMONTH(_xlpm.Month, -1) + 1) * (#REF! &lt;= EOMONTH(_xlpm.Month, 0)) * (#REF! = _xlpm.LivestockClass))), 0))</definedName>
    <definedName name="CommonLivestock_InputFunctions.LivestockMovement_TotalLiveweightAddedDuringMonth" localSheetId="34">_xlfn.LAMBDA(_xlpm.Month,_xlpm.LivestockClass, IFERROR(SUM(_xlfn._xlws.FILTER(#REF!, (#REF! &gt;= EOMONTH(_xlpm.Month, -1) + 1) * (#REF! &lt;= EOMONTH(_xlpm.Month, 0)) * (#REF! = _xlpm.LivestockClass))), 0))</definedName>
    <definedName name="CommonLivestock_InputFunctions.LivestockMovement_TotalLiveweightAddedDuringMonth" localSheetId="30">_xlfn.LAMBDA(_xlpm.Month,_xlpm.LivestockClass, IFERROR(SUM(_xlfn._xlws.FILTER(#REF!, (#REF! &gt;= EOMONTH(_xlpm.Month, -1) + 1) * (#REF! &lt;= EOMONTH(_xlpm.Month, 0)) * (#REF! = _xlpm.LivestockClass))), 0))</definedName>
    <definedName name="CommonLivestock_InputFunctions.LivestockMovement_TotalLiveweightAddedDuringMonth" localSheetId="35">_xlfn.LAMBDA(_xlpm.Month,_xlpm.LivestockClass, IFERROR(SUM(_xlfn._xlws.FILTER(#REF!, (#REF! &gt;= EOMONTH(_xlpm.Month, -1) + 1) * (#REF! &lt;= EOMONTH(_xlpm.Month, 0)) * (#REF! = _xlpm.LivestockClass))), 0))</definedName>
    <definedName name="CommonLivestock_InputFunctions.LivestockMovement_TotalLiveweightAddedDuringMonth" localSheetId="36">_xlfn.LAMBDA(_xlpm.Month,_xlpm.LivestockClass, IFERROR(SUM(_xlfn._xlws.FILTER(#REF!, (#REF! &gt;= EOMONTH(_xlpm.Month, -1) + 1) * (#REF! &lt;= EOMONTH(_xlpm.Month, 0)) * (#REF! = _xlpm.LivestockClass))), 0))</definedName>
    <definedName name="CommonLivestock_InputFunctions.LivestockMovement_TotalLiveweightAddedDuringMonth" localSheetId="10">_xlfn.LAMBDA(_xlpm.Month,_xlpm.LivestockClass, IFERROR(SUM(_xlfn._xlws.FILTER(#REF!, (#REF! &gt;= EOMONTH(_xlpm.Month, -1) + 1) * (#REF! &lt;= EOMONTH(_xlpm.Month, 0)) * (#REF! = _xlpm.LivestockClass))), 0))</definedName>
    <definedName name="CommonLivestock_InputFunctions.LivestockMovement_TotalLiveweightAddedDuringMonth" localSheetId="9">_xlfn.LAMBDA(_xlpm.Month,_xlpm.LivestockClass, IFERROR(SUM(_xlfn._xlws.FILTER(#REF!, (#REF! &gt;= EOMONTH(_xlpm.Month, -1) + 1) * (#REF! &lt;= EOMONTH(_xlpm.Month, 0)) * (#REF! = _xlpm.LivestockClass))), 0))</definedName>
    <definedName name="CommonLivestock_InputFunctions.LivestockMovement_TotalLiveweightAddedDuringMonth" localSheetId="38">_xlfn.LAMBDA(_xlpm.Month,_xlpm.LivestockClass, IFERROR(SUM(_xlfn._xlws.FILTER(#REF!, (#REF! &gt;= EOMONTH(_xlpm.Month, -1) + 1) * (#REF! &lt;= EOMONTH(_xlpm.Month, 0)) * (#REF! = _xlpm.LivestockClass))), 0))</definedName>
    <definedName name="CommonLivestock_InputFunctions.LivestockMovement_TotalLiveweightAddedDuringMonth" localSheetId="39">_xlfn.LAMBDA(_xlpm.Month,_xlpm.LivestockClass, IFERROR(SUM(_xlfn._xlws.FILTER(#REF!, (#REF! &gt;= EOMONTH(_xlpm.Month, -1) + 1) * (#REF! &lt;= EOMONTH(_xlpm.Month, 0)) * (#REF! = _xlpm.LivestockClass))), 0))</definedName>
    <definedName name="CommonLivestock_InputFunctions.LivestockMovement_TotalLiveweightAddedDuringMonth" localSheetId="12">_xlfn.LAMBDA(_xlpm.Month,_xlpm.LivestockClass, IFERROR(SUM(_xlfn._xlws.FILTER(#REF!, (#REF! &gt;= EOMONTH(_xlpm.Month, -1) + 1) * (#REF! &lt;= EOMONTH(_xlpm.Month, 0)) * (#REF! = _xlpm.LivestockClass))), 0))</definedName>
    <definedName name="CommonLivestock_InputFunctions.LivestockMovement_TotalLiveweightAddedDuringMonth" localSheetId="8">_xlfn.LAMBDA(_xlpm.Month,_xlpm.LivestockClass, IFERROR(SUM(_xlfn._xlws.FILTER(#REF!, (#REF! &gt;= EOMONTH(_xlpm.Month, -1) + 1) * (#REF! &lt;= EOMONTH(_xlpm.Month, 0)) * (#REF! = _xlpm.LivestockClass))), 0))</definedName>
    <definedName name="CommonLivestock_InputFunctions.LivestockMovement_TotalLiveweightAddedDuringMonth" localSheetId="11">_xlfn.LAMBDA(_xlpm.Month,_xlpm.LivestockClass, IFERROR(SUM(_xlfn._xlws.FILTER(#REF!, (#REF! &gt;= EOMONTH(_xlpm.Month, -1) + 1) * (#REF! &lt;= EOMONTH(_xlpm.Month, 0)) * (#REF! =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 localSheetId="5">_xlfn.LAMBDA(_xlpm.Month,_xlpm.LivestockClass, IFERROR(SUM(_xlfn._xlws.FILTER(#REF!, (#REF! &gt;= EOMONTH(_xlpm.Month, -1) + 1) * (#REF! &lt;= EOMONTH(_xlpm.Month, 0)) * (#REF! =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 localSheetId="13">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26">_xlfn.LAMBDA(_xlpm.Month,_xlpm.LivestockClass, IFERROR(SUM(_xlfn._xlws.FILTER(#REF!, (#REF! &gt;= EOMONTH(_xlpm.Month, -1) + 1) * (#REF! &lt;= EOMONTH(_xlpm.Month, 0)) * (#REF! = _xlpm.LivestockClass))), 0))</definedName>
    <definedName name="CommonLivestock_InputFunctions.LivestockMovement_TotalLiveweightGrownDuringMonth" localSheetId="27">_xlfn.LAMBDA(_xlpm.Month,_xlpm.LivestockClass, IFERROR(SUM(_xlfn._xlws.FILTER(#REF!, (#REF! &gt;= EOMONTH(_xlpm.Month, -1) + 1) * (#REF! &lt;= EOMONTH(_xlpm.Month, 0)) * (#REF! = _xlpm.LivestockClass))), 0))</definedName>
    <definedName name="CommonLivestock_InputFunctions.LivestockMovement_TotalLiveweightGrownDuringMonth" localSheetId="28">_xlfn.LAMBDA(_xlpm.Month,_xlpm.LivestockClass, IFERROR(SUM(_xlfn._xlws.FILTER(#REF!, (#REF! &gt;= EOMONTH(_xlpm.Month, -1) + 1) * (#REF! &lt;= EOMONTH(_xlpm.Month, 0)) * (#REF! = _xlpm.LivestockClass))), 0))</definedName>
    <definedName name="CommonLivestock_InputFunctions.LivestockMovement_TotalLiveweightGrownDuringMonth" localSheetId="21">_xlfn.LAMBDA(_xlpm.Month,_xlpm.LivestockClass, IFERROR(SUM(_xlfn._xlws.FILTER(#REF!, (#REF! &gt;= EOMONTH(_xlpm.Month, -1) + 1) * (#REF! &lt;= EOMONTH(_xlpm.Month, 0)) * (#REF! = _xlpm.LivestockClass))), 0))</definedName>
    <definedName name="CommonLivestock_InputFunctions.LivestockMovement_TotalLiveweightGrownDuringMonth" localSheetId="16">_xlfn.LAMBDA(_xlpm.Month,_xlpm.LivestockClass, IFERROR(SUM(_xlfn._xlws.FILTER(#REF!, (#REF! &gt;= EOMONTH(_xlpm.Month, -1) + 1) * (#REF! &lt;= EOMONTH(_xlpm.Month, 0)) * (#REF! = _xlpm.LivestockClass))), 0))</definedName>
    <definedName name="CommonLivestock_InputFunctions.LivestockMovement_TotalLiveweightGrownDuringMonth" localSheetId="22">_xlfn.LAMBDA(_xlpm.Month,_xlpm.LivestockClass, IFERROR(SUM(_xlfn._xlws.FILTER(#REF!, (#REF! &gt;= EOMONTH(_xlpm.Month, -1) + 1) * (#REF! &lt;= EOMONTH(_xlpm.Month, 0)) * (#REF! = _xlpm.LivestockClass))), 0))</definedName>
    <definedName name="CommonLivestock_InputFunctions.LivestockMovement_TotalLiveweightGrownDuringMonth" localSheetId="23">_xlfn.LAMBDA(_xlpm.Month,_xlpm.LivestockClass, IFERROR(SUM(_xlfn._xlws.FILTER(#REF!, (#REF! &gt;= EOMONTH(_xlpm.Month, -1) + 1) * (#REF! &lt;= EOMONTH(_xlpm.Month, 0)) * (#REF! = _xlpm.LivestockClass))), 0))</definedName>
    <definedName name="CommonLivestock_InputFunctions.LivestockMovement_TotalLiveweightGrownDuringMonth" localSheetId="17">_xlfn.LAMBDA(_xlpm.Month,_xlpm.LivestockClass, IFERROR(SUM(_xlfn._xlws.FILTER(#REF!, (#REF! &gt;= EOMONTH(_xlpm.Month, -1) + 1) * (#REF! &lt;= EOMONTH(_xlpm.Month, 0)) * (#REF! = _xlpm.LivestockClass))), 0))</definedName>
    <definedName name="CommonLivestock_InputFunctions.LivestockMovement_TotalLiveweightGrownDuringMonth" localSheetId="18">_xlfn.LAMBDA(_xlpm.Month,_xlpm.LivestockClass, IFERROR(SUM(_xlfn._xlws.FILTER(#REF!, (#REF! &gt;= EOMONTH(_xlpm.Month, -1) + 1) * (#REF! &lt;= EOMONTH(_xlpm.Month, 0)) * (#REF! = _xlpm.LivestockClass))), 0))</definedName>
    <definedName name="CommonLivestock_InputFunctions.LivestockMovement_TotalLiveweightGrownDuringMonth" localSheetId="19">_xlfn.LAMBDA(_xlpm.Month,_xlpm.LivestockClass, IFERROR(SUM(_xlfn._xlws.FILTER(#REF!, (#REF! &gt;= EOMONTH(_xlpm.Month, -1) + 1) * (#REF! &lt;= EOMONTH(_xlpm.Month, 0)) * (#REF! = _xlpm.LivestockClass))), 0))</definedName>
    <definedName name="CommonLivestock_InputFunctions.LivestockMovement_TotalLiveweightGrownDuringMonth" localSheetId="20">_xlfn.LAMBDA(_xlpm.Month,_xlpm.LivestockClass, IFERROR(SUM(_xlfn._xlws.FILTER(#REF!, (#REF! &gt;= EOMONTH(_xlpm.Month, -1) + 1) * (#REF! &lt;= EOMONTH(_xlpm.Month, 0)) * (#REF! = _xlpm.LivestockClass))), 0))</definedName>
    <definedName name="CommonLivestock_InputFunctions.LivestockMovement_TotalLiveweightGrownDuringMonth" localSheetId="40">_xlfn.LAMBDA(_xlpm.Month,_xlpm.LivestockClass, IFERROR(SUM(_xlfn._xlws.FILTER(#REF!, (#REF! &gt;= EOMONTH(_xlpm.Month, -1) + 1) * (#REF! &lt;= EOMONTH(_xlpm.Month, 0)) * (#REF! = _xlpm.LivestockClass))), 0))</definedName>
    <definedName name="CommonLivestock_InputFunctions.LivestockMovement_TotalLiveweightGrownDuringMonth" localSheetId="41">_xlfn.LAMBDA(_xlpm.Month,_xlpm.LivestockClass, IFERROR(SUM(_xlfn._xlws.FILTER(#REF!, (#REF! &gt;= EOMONTH(_xlpm.Month, -1) + 1) * (#REF! &lt;= EOMONTH(_xlpm.Month, 0)) * (#REF! = _xlpm.LivestockClass))), 0))</definedName>
    <definedName name="CommonLivestock_InputFunctions.LivestockMovement_TotalLiveweightGrownDuringMonth" localSheetId="42">_xlfn.LAMBDA(_xlpm.Month,_xlpm.LivestockClass, IFERROR(SUM(_xlfn._xlws.FILTER(#REF!, (#REF! &gt;= EOMONTH(_xlpm.Month, -1) + 1) * (#REF! &lt;= EOMONTH(_xlpm.Month, 0)) * (#REF! = _xlpm.LivestockClass))), 0))</definedName>
    <definedName name="CommonLivestock_InputFunctions.LivestockMovement_TotalLiveweightGrownDuringMonth" localSheetId="43">_xlfn.LAMBDA(_xlpm.Month,_xlpm.LivestockClass, IFERROR(SUM(_xlfn._xlws.FILTER(#REF!, (#REF! &gt;= EOMONTH(_xlpm.Month, -1) + 1) * (#REF! &lt;= EOMONTH(_xlpm.Month, 0)) * (#REF! = _xlpm.LivestockClass))), 0))</definedName>
    <definedName name="CommonLivestock_InputFunctions.LivestockMovement_TotalLiveweightGrownDuringMonth" localSheetId="44">_xlfn.LAMBDA(_xlpm.Month,_xlpm.LivestockClass, IFERROR(SUM(_xlfn._xlws.FILTER(#REF!, (#REF! &gt;= EOMONTH(_xlpm.Month, -1) + 1) * (#REF! &lt;= EOMONTH(_xlpm.Month, 0)) * (#REF! = _xlpm.LivestockClass))), 0))</definedName>
    <definedName name="CommonLivestock_InputFunctions.LivestockMovement_TotalLiveweightGrownDuringMonth" localSheetId="45">_xlfn.LAMBDA(_xlpm.Month,_xlpm.LivestockClass, IFERROR(SUM(_xlfn._xlws.FILTER(#REF!, (#REF! &gt;= EOMONTH(_xlpm.Month, -1) + 1) * (#REF! &lt;= EOMONTH(_xlpm.Month, 0)) * (#REF! = _xlpm.LivestockClass))), 0))</definedName>
    <definedName name="CommonLivestock_InputFunctions.LivestockMovement_TotalLiveweightGrownDuringMonth" localSheetId="24">_xlfn.LAMBDA(_xlpm.Month,_xlpm.LivestockClass, IFERROR(SUM(_xlfn._xlws.FILTER(#REF!, (#REF! &gt;= EOMONTH(_xlpm.Month, -1) + 1) * (#REF! &lt;= EOMONTH(_xlpm.Month, 0)) * (#REF! = _xlpm.LivestockClass))), 0))</definedName>
    <definedName name="CommonLivestock_InputFunctions.LivestockMovement_TotalLiveweightGrownDuringMonth" localSheetId="25">_xlfn.LAMBDA(_xlpm.Month,_xlpm.LivestockClass, IFERROR(SUM(_xlfn._xlws.FILTER(#REF!, (#REF! &gt;= EOMONTH(_xlpm.Month, -1) + 1) * (#REF! &lt;= EOMONTH(_xlpm.Month, 0)) * (#REF! = _xlpm.LivestockClass))), 0))</definedName>
    <definedName name="CommonLivestock_InputFunctions.LivestockMovement_TotalLiveweightGrownDuringMonth" localSheetId="29">_xlfn.LAMBDA(_xlpm.Month,_xlpm.LivestockClass, IFERROR(SUM(_xlfn._xlws.FILTER(#REF!, (#REF! &gt;= EOMONTH(_xlpm.Month, -1) + 1) * (#REF! &lt;= EOMONTH(_xlpm.Month, 0)) * (#REF! = _xlpm.LivestockClass))), 0))</definedName>
    <definedName name="CommonLivestock_InputFunctions.LivestockMovement_TotalLiveweightGrownDuringMonth" localSheetId="37">_xlfn.LAMBDA(_xlpm.Month,_xlpm.LivestockClass, IFERROR(SUM(_xlfn._xlws.FILTER(#REF!, (#REF! &gt;= EOMONTH(_xlpm.Month, -1) + 1) * (#REF! &lt;= EOMONTH(_xlpm.Month, 0)) * (#REF! = _xlpm.LivestockClass))), 0))</definedName>
    <definedName name="CommonLivestock_InputFunctions.LivestockMovement_TotalLiveweightGrownDuringMonth" localSheetId="31">_xlfn.LAMBDA(_xlpm.Month,_xlpm.LivestockClass, IFERROR(SUM(_xlfn._xlws.FILTER(#REF!, (#REF! &gt;= EOMONTH(_xlpm.Month, -1) + 1) * (#REF! &lt;= EOMONTH(_xlpm.Month, 0)) * (#REF! = _xlpm.LivestockClass))), 0))</definedName>
    <definedName name="CommonLivestock_InputFunctions.LivestockMovement_TotalLiveweightGrownDuringMonth" localSheetId="32">_xlfn.LAMBDA(_xlpm.Month,_xlpm.LivestockClass, IFERROR(SUM(_xlfn._xlws.FILTER(#REF!, (#REF! &gt;= EOMONTH(_xlpm.Month, -1) + 1) * (#REF! &lt;= EOMONTH(_xlpm.Month, 0)) * (#REF! = _xlpm.LivestockClass))), 0))</definedName>
    <definedName name="CommonLivestock_InputFunctions.LivestockMovement_TotalLiveweightGrownDuringMonth" localSheetId="33">_xlfn.LAMBDA(_xlpm.Month,_xlpm.LivestockClass, IFERROR(SUM(_xlfn._xlws.FILTER(#REF!, (#REF! &gt;= EOMONTH(_xlpm.Month, -1) + 1) * (#REF! &lt;= EOMONTH(_xlpm.Month, 0)) * (#REF! = _xlpm.LivestockClass))), 0))</definedName>
    <definedName name="CommonLivestock_InputFunctions.LivestockMovement_TotalLiveweightGrownDuringMonth" localSheetId="34">_xlfn.LAMBDA(_xlpm.Month,_xlpm.LivestockClass, IFERROR(SUM(_xlfn._xlws.FILTER(#REF!, (#REF! &gt;= EOMONTH(_xlpm.Month, -1) + 1) * (#REF! &lt;= EOMONTH(_xlpm.Month, 0)) * (#REF! = _xlpm.LivestockClass))), 0))</definedName>
    <definedName name="CommonLivestock_InputFunctions.LivestockMovement_TotalLiveweightGrownDuringMonth" localSheetId="30">_xlfn.LAMBDA(_xlpm.Month,_xlpm.LivestockClass, IFERROR(SUM(_xlfn._xlws.FILTER(#REF!, (#REF! &gt;= EOMONTH(_xlpm.Month, -1) + 1) * (#REF! &lt;= EOMONTH(_xlpm.Month, 0)) * (#REF! = _xlpm.LivestockClass))), 0))</definedName>
    <definedName name="CommonLivestock_InputFunctions.LivestockMovement_TotalLiveweightGrownDuringMonth" localSheetId="35">_xlfn.LAMBDA(_xlpm.Month,_xlpm.LivestockClass, IFERROR(SUM(_xlfn._xlws.FILTER(#REF!, (#REF! &gt;= EOMONTH(_xlpm.Month, -1) + 1) * (#REF! &lt;= EOMONTH(_xlpm.Month, 0)) * (#REF! = _xlpm.LivestockClass))), 0))</definedName>
    <definedName name="CommonLivestock_InputFunctions.LivestockMovement_TotalLiveweightGrownDuringMonth" localSheetId="36">_xlfn.LAMBDA(_xlpm.Month,_xlpm.LivestockClass, IFERROR(SUM(_xlfn._xlws.FILTER(#REF!, (#REF! &gt;= EOMONTH(_xlpm.Month, -1) + 1) * (#REF! &lt;= EOMONTH(_xlpm.Month, 0)) * (#REF! = _xlpm.LivestockClass))), 0))</definedName>
    <definedName name="CommonLivestock_InputFunctions.LivestockMovement_TotalLiveweightGrownDuringMonth" localSheetId="10">_xlfn.LAMBDA(_xlpm.Month,_xlpm.LivestockClass, IFERROR(SUM(_xlfn._xlws.FILTER(#REF!, (#REF! &gt;= EOMONTH(_xlpm.Month, -1) + 1) * (#REF! &lt;= EOMONTH(_xlpm.Month, 0)) * (#REF! = _xlpm.LivestockClass))), 0))</definedName>
    <definedName name="CommonLivestock_InputFunctions.LivestockMovement_TotalLiveweightGrownDuringMonth" localSheetId="9">_xlfn.LAMBDA(_xlpm.Month,_xlpm.LivestockClass, IFERROR(SUM(_xlfn._xlws.FILTER(#REF!, (#REF! &gt;= EOMONTH(_xlpm.Month, -1) + 1) * (#REF! &lt;= EOMONTH(_xlpm.Month, 0)) * (#REF! = _xlpm.LivestockClass))), 0))</definedName>
    <definedName name="CommonLivestock_InputFunctions.LivestockMovement_TotalLiveweightGrownDuringMonth" localSheetId="38">_xlfn.LAMBDA(_xlpm.Month,_xlpm.LivestockClass, IFERROR(SUM(_xlfn._xlws.FILTER(#REF!, (#REF! &gt;= EOMONTH(_xlpm.Month, -1) + 1) * (#REF! &lt;= EOMONTH(_xlpm.Month, 0)) * (#REF! = _xlpm.LivestockClass))), 0))</definedName>
    <definedName name="CommonLivestock_InputFunctions.LivestockMovement_TotalLiveweightGrownDuringMonth" localSheetId="39">_xlfn.LAMBDA(_xlpm.Month,_xlpm.LivestockClass, IFERROR(SUM(_xlfn._xlws.FILTER(#REF!, (#REF! &gt;= EOMONTH(_xlpm.Month, -1) + 1) * (#REF! &lt;= EOMONTH(_xlpm.Month, 0)) * (#REF! = _xlpm.LivestockClass))), 0))</definedName>
    <definedName name="CommonLivestock_InputFunctions.LivestockMovement_TotalLiveweightGrownDuringMonth" localSheetId="12">_xlfn.LAMBDA(_xlpm.Month,_xlpm.LivestockClass, IFERROR(SUM(_xlfn._xlws.FILTER(#REF!, (#REF! &gt;= EOMONTH(_xlpm.Month, -1) + 1) * (#REF! &lt;= EOMONTH(_xlpm.Month, 0)) * (#REF! = _xlpm.LivestockClass))), 0))</definedName>
    <definedName name="CommonLivestock_InputFunctions.LivestockMovement_TotalLiveweightGrownDuringMonth" localSheetId="8">_xlfn.LAMBDA(_xlpm.Month,_xlpm.LivestockClass, IFERROR(SUM(_xlfn._xlws.FILTER(#REF!, (#REF! &gt;= EOMONTH(_xlpm.Month, -1) + 1) * (#REF! &lt;= EOMONTH(_xlpm.Month, 0)) * (#REF! = _xlpm.LivestockClass))), 0))</definedName>
    <definedName name="CommonLivestock_InputFunctions.LivestockMovement_TotalLiveweightGrownDuringMonth" localSheetId="11">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 localSheetId="5">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 localSheetId="13">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
  )</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2">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4">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5">_xlfn.LAMBDA(_xlfn.MAKEARRAY(14, 31, _xlfn.LAMBDA(_xlpm.r,_xlpm.c, INDEX({"Wengfu Australia","Wengfu 19-13-0-7 PrimeZinc","kg",1,"","","",18.6,12.7,0,6.8,"Nitrogen - Generic",0.186,"Phosphorus - Generic",0.127,"Sulfur - Generic",0.068,"Zinc",0.006,"","","","","","","","","","","","";"Wengfu Australia","Wengfu Booster K","kg",1,"","","",32,0,11,3,"Nitrogen - Generic",0.32,"Potassium - Generic",0.11,"Sulfur - Generic",0.03,"","","","","","","","","","","","","","";"Wengfu Australia","Wengfu Booster Rich 1","kg",1,"","","",31,6,0,6,"Nitrogen - Generic",0.31,"Phosphorus - Generic",0.06,"Sulfur - Generic",0.06,"","","","","","","","","","","","","","";"Wengfu Australia","Wengfu Booster Grass DAP","kg",1,"","","",21,4,8,7,"Nitrogen - Generic",0.21,"Phosphorus - Generic",0.04,"Potassium - Generic",0.08,"Sulfur - Generic",0.07,"","","","","","","","","","","","";"Wengfu Australia","Wengfu Aftergraze","kg",1,"","","",23,0,25,0,"Nitrogen - Generic",0.23,"Potassium - Generic",0.25,"","","","","","","","","","","","","","","","";"Wengfu Australia","Wengfu Sidedress","kg",1,"","","",25,4,13,4,"Nitrogen - Generic",0.25,"Phosphorus - Generic",0.04,"Potassium - Generic",0.13,"Sulfur - Generic",0.04,"","","","","","","","","","","","";"Wengfu Australia","Wengfu Pasture Booster","kg",1,"","","",13,5,24,5,"Nitrogen - Generic",0.13,"Phosphorus - Generic",0.05,"Potassium - Generic",0.24,"Sulfur - Generic",0.05,"","","","","","","","","","","","";"Wengfu Australia","Wengfu DAP Hay Booster","kg",1,"","","",11,5,24,4,"Nitrogen - Generic",0.11,"Phosphorus - Generic",0.05,"Potassium - Generic",0.24,"Sulfur - Generic",0.04,"","","","","","","","","","","","";"Wengfu Australia","Wengfu MAP Hay Booster","kg",1,"","","",11,8,20,6,"Nitrogen - Generic",0.11,"Phosphorus - Generic",0.08,"Potassium - Generic",0.2,"Sulfur - Generic",0.06,"","","","","","","","","","","","";"Wengfu Australia","Wengfu Fodder Booster","kg",1,"","","",9,4,5,15,"Nitrogen - Generic",0.09,"Phosphorus - Generic",0.04,"Potassium - Generic",0.05,"Sulfur - Generic",0.15,"","","","","","","","","","","","";"CSBP","K-Till Extra","kg",1,"","","",10.73,10.95,11.35,6.55,"Monoammonium phosphate (MAP)",0.5,"Sulphate of ammonia (SOA)",0.273,"Muriate of potash (MOP)",0.227,"Copper","No data","Zinc","No data","","","","","","","","","","";"CSBP","Agras Extra","kg",1,"","","",16.95,8.06,"",15.17,"Sulphate of ammonia (SOA)",0.632,"Monoammonium phosphate (MAP)",0.368,"Zinc","No data","Copper","No data","Molybdenum","No data","Cobalt","No data","","","","","","","","";"CSBP","Super Copper Zinc Moly","kg",1,"","","","",8.8,"",11,"Single superphosphate (SSP)",1,"Copper",0.006,"Zinc",0.003,"Molybdenum",0.0006,"","","","","","","","","","","","";"CSBP","Flexi-N","L",1.32,"","","",32,"","","","Urea-ammonium nitrate (UAN)",1,"","","","","","","","","","","","","","","","","",""},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RIGHT(_xlpm.Cell,LEN(_xlpm.Cell)-FIND(", ",_xlpm.Cell))
)</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_j_k">'4.6.1.3-4 Direct N20'!$D$81:$G$82</definedName>
    <definedName name="M1_Table_CP_j_k">'4.6.1.3-4 Direct N20'!$D$24:$G$25</definedName>
    <definedName name="M1_Table_DMD_j_k">'4.6.1.1-2 Methane'!$D$24:$G$25</definedName>
    <definedName name="M1_Table_E_CO2">'5.1.1.3-4 Inorganic fert CO2'!$D$57:$E$76</definedName>
    <definedName name="M1_Table_E_N2O">'5.1.1.1-2 Inorganic fert N2O'!$D$59:$E$78</definedName>
    <definedName name="M1_Table_E_N2O_dir">'4.6.1.3-4 Direct N20'!$D$224:$I$229</definedName>
    <definedName name="M1_Table_E_N2O_leach">'4.6.1.7-8 Leaching and runoff'!$D$54:$I$57</definedName>
    <definedName name="M1_Table_EM_N2O_PRP_dir">'4.6.1.10-11 Soil direct N2O'!$D$24:$H$25</definedName>
    <definedName name="M1_Table_I_j_k">'4.6.1.3-4 Direct N20'!$D$19:$G$20</definedName>
    <definedName name="M1_Table_I_j_k_Consumer_1">'4.6.1.1-2 Methane'!$D$19:$G$20</definedName>
    <definedName name="M1_Table_M_j_k_m_T1">'4.6.1.1-2 Methane'!$D$85:$H$89</definedName>
    <definedName name="M1_Table_M_j_k_m_T2">'4.6.1.1-2 Methane'!$N$158:$S$159</definedName>
    <definedName name="M1_Table_M_j_k_m_T2_Consumer_1">'4.6.1.1-2 Methane'!$D$158:$I$159</definedName>
    <definedName name="M1_Table_M_vol_m14">'4.6.1.14-15 Soil leach runoff'!$D$27:$H$28</definedName>
    <definedName name="M1_Table_M_vol_m14_Consumer_1">'4.6.1.12-13 Soil atmos dep'!$D$23:$H$24</definedName>
    <definedName name="M1_Table_MMS_ATMOS">'4.6.1.5-6 Atmos Dep'!$D$56:$I$61</definedName>
    <definedName name="M1_Table_MN_j_k_m_T">'4.6.1.5-6 Atmos Dep'!$D$21:$I$26</definedName>
    <definedName name="M1_Table_MN_j_k_m_T1">'4.6.1.3-4 Direct N20'!$D$107:$H$111</definedName>
    <definedName name="M1_Table_MN_j_k_m_T2">'4.6.1.3-4 Direct N20'!$D$188:$I$189</definedName>
    <definedName name="M1_Table_MN_j_k_m_T2_Consumer_1">'4.6.1.9 Manure applied to soils'!$D$21:$I$22</definedName>
    <definedName name="M1_Table_MN_j_k_m14_T1">'4.6.1.14-15 Soil leach runoff'!$D$22:$H$23</definedName>
    <definedName name="M1_Table_MN_j_k_m14_T1_Consumer_1">'4.6.1.10-11 Soil direct N2O'!$D$19:$H$20</definedName>
    <definedName name="M1_Table_MN_j_k_m14_T1_Consumer_2">'4.6.1.12-13 Soil atmos dep'!$D$18:$H$19</definedName>
    <definedName name="M1_Table_MN_j_k_m4">'4.6.1.7-8 Leaching and runoff'!$N$26:$S$29</definedName>
    <definedName name="M1_Table_MN_j_k_m4_Consumer_1">'4.6.1.7-8 Leaching and runoff'!$D$26:$I$29</definedName>
    <definedName name="M1_Table_MN_Leach_j_k_m4">'4.6.1.7-8 Leaching and runoff'!$D$33:$I$36</definedName>
    <definedName name="M1_Table_MNLeach_MMS">'4.6.1.9 Manure applied to soils'!$D$66:$I$67</definedName>
    <definedName name="M1_Table_MNSoil_scope1">'4.6.1.9 Manure applied to soils'!$D$104:$I$105</definedName>
    <definedName name="M1_Table_MNSoil_scope1_fert">'4.6.1.9 Manure applied to soils'!$D$188:$I$189</definedName>
    <definedName name="M1_Table_MNSoil_scope3">'4.6.1.9 Manure applied to soils'!$D$141:$I$142</definedName>
    <definedName name="M1_Table_N_j_k">'4.6.1.1-2 Methane'!$D$201:$I$206</definedName>
    <definedName name="M1_Table_NE_j_k">'4.6.1.3-4 Direct N20'!$D$52:$G$53</definedName>
    <definedName name="M1_Table_NI_j_k">'4.6.1.3-4 Direct N20'!$D$29:$G$30</definedName>
    <definedName name="M1_Table_NT_j_k_m_T1">'4.6.1.3-4 Direct N20'!$D$149:$H$152</definedName>
    <definedName name="M1_Table_VS_j_k">'4.6.1.1-2 Methane'!$D$34:$G$35</definedName>
    <definedName name="M1_Table_VST_j_k">'4.6.1.1-2 Methane'!$D$114:$H$117</definedName>
    <definedName name="M2_Table_AE_j_k">'4.6.1.3-4 Direct N20'!$N$81:$Q$82</definedName>
    <definedName name="M2_Table_CP_j_k">'4.6.1.3-4 Direct N20'!$N$24:$Q$25</definedName>
    <definedName name="M2_Table_DMD_j_k">'4.6.1.1-2 Methane'!$N$24:$Q$25</definedName>
    <definedName name="M2_Table_E_N2O_dir">'4.6.1.3-4 Direct N20'!$N$224:$S$229</definedName>
    <definedName name="M2_Table_E_N2O_leach">'4.6.1.7-8 Leaching and runoff'!$N$54:$S$57</definedName>
    <definedName name="M2_Table_EM_N2O_PRP_dir">'4.6.1.10-11 Soil direct N2O'!$N$24:$R$25</definedName>
    <definedName name="M2_Table_FertApplications">'5.1.1.1-2 Inorganic fert N2O'!$M$10:$W$25</definedName>
    <definedName name="M2_Table_I_j_k">'4.6.1.3-4 Direct N20'!$N$19:$Q$20</definedName>
    <definedName name="M2_Table_I_j_k_Consumer_1">'4.6.1.1-2 Methane'!$N$19:$Q$20</definedName>
    <definedName name="M2_Table_M_j_k_m_T1">'4.6.1.1-2 Methane'!$N$85:$R$89</definedName>
    <definedName name="M2_Table_M_vol_m14">'4.6.1.14-15 Soil leach runoff'!$N$27:$R$28</definedName>
    <definedName name="M2_Table_M_vol_m14_Consumer_1">'4.6.1.12-13 Soil atmos dep'!$M$23:$Q$24</definedName>
    <definedName name="M2_Table_MMS_ATMOS">'4.6.1.5-6 Atmos Dep'!$N$56:$S$61</definedName>
    <definedName name="M2_Table_MN_j_k_m_T">'4.6.1.5-6 Atmos Dep'!$N$21:$S$26</definedName>
    <definedName name="M2_Table_MN_j_k_m_T1">'4.6.1.3-4 Direct N20'!$N$107:$R$111</definedName>
    <definedName name="M2_Table_MN_j_k_m_T2">'4.6.1.3-4 Direct N20'!$N$188:$S$189</definedName>
    <definedName name="M2_Table_MN_j_k_m_T2_Consumer_1">'4.6.1.9 Manure applied to soils'!$N$21:$S$22</definedName>
    <definedName name="M2_Table_MN_j_k_m14_T1">'4.6.1.14-15 Soil leach runoff'!$N$22:$R$23</definedName>
    <definedName name="M2_Table_MN_j_k_m14_T1_Consumer_1">'4.6.1.10-11 Soil direct N2O'!$N$19:$R$20</definedName>
    <definedName name="M2_Table_MN_j_k_m14_T1_Consumer_2">'4.6.1.12-13 Soil atmos dep'!$M$18:$Q$19</definedName>
    <definedName name="M2_Table_MN_j_k_m4">'4.6.1.7-8 Leaching and runoff'!$N$33:$S$36</definedName>
    <definedName name="M2_Table_MNLeach_MMS">'4.6.1.9 Manure applied to soils'!$N$66:$S$67</definedName>
    <definedName name="M2_Table_MNSoil_scope1">'4.6.1.9 Manure applied to soils'!$N$104:$S$105</definedName>
    <definedName name="M2_Table_MNSoil_scope1_fert">'4.6.1.9 Manure applied to soils'!$N$188:$S$189</definedName>
    <definedName name="M2_Table_MNSoil_scope3">'4.6.1.9 Manure applied to soils'!$N$141:$S$142</definedName>
    <definedName name="M2_Table_N_j_k">'4.6.1.1-2 Methane'!$N$201:$S$206</definedName>
    <definedName name="M2_Table_NE_j_k">'4.6.1.3-4 Direct N20'!$N$52:$Q$53</definedName>
    <definedName name="M2_Table_NI_j_k">'4.6.1.3-4 Direct N20'!$N$29:$Q$30</definedName>
    <definedName name="M2_Table_NT_j_k_m_T1">'4.6.1.3-4 Direct N20'!$N$149:$R$152</definedName>
    <definedName name="M2_Table_VS_j_k">'4.6.1.1-2 Methane'!$N$34:$Q$35</definedName>
    <definedName name="M2_Table_VST_j_k">'4.6.1.1-2 Methane'!$N$114:$R$117</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esult_CarbonRemovalsFromPlantings">'Input - Enterprise'!$E$69</definedName>
    <definedName name="Result_EmissionsForWholeProductionCycle_Gross_Method1">'Input - Enterprise'!$E$56</definedName>
    <definedName name="Result_EmissionsForWholeProductionCycle_Gross_Method2">'Input - Enterprise'!$F$56</definedName>
    <definedName name="Result_EmissionsForWholeProductionCycle_Method1">'Input - Enterprise'!$E$56</definedName>
    <definedName name="Result_EmissionsForWholeProductionCycle_Method2">'Input - Enterprise'!$F$56</definedName>
    <definedName name="Result_EmissionsForWholeProductionCycle_Net_Method1">'Input - Enterprise'!$E$80</definedName>
    <definedName name="Result_EmissionsForWholeProductionCycle_Net_Method2">'Input - Enterprise'!$F$80</definedName>
    <definedName name="Result_Enterprise_Gross_Method1">'Results - Activity period'!$E$58</definedName>
    <definedName name="Result_Enterprise_Gross_Method2">'Results - Activity period'!$F$58</definedName>
    <definedName name="Result_Enterprise_Net_Method1">'Results - Activity period'!$E$59</definedName>
    <definedName name="Result_Enterprise_Net_Method2">'Results - Activity period'!$F$59</definedName>
    <definedName name="Result_Enterprise_Removals">'Results - Activity period'!$E$52</definedName>
    <definedName name="Result_Enterprise_Scope1_Method1">'Results - Activity period'!$H$23</definedName>
    <definedName name="Result_Enterprise_Scope1_Method2">'Results - Activity period'!$I$23</definedName>
    <definedName name="Result_Enterprise_Scope2_Method1">'Results - Activity period'!$H$30</definedName>
    <definedName name="Result_Enterprise_Scope2_Method2">'Results - Activity period'!$I$30</definedName>
    <definedName name="Result_Enterprise_Scope3_Method1">'Results - Activity period'!$H$47</definedName>
    <definedName name="Result_Enterprise_Scope3_Method2">'Results - Activity period'!$I$47</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
  )</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
  )</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ArgumentsVariation">_xlfn.LAMBDA(_xlfn.MAKEARRAY(3, 4, _xlfn.LAMBDA(_xlpm.r,_xlpm.c, INDEX({"Q_j","quantity of feed type j purchased","kg","Input";"EF_j","emission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LatexEquationVariation">_xlfn.LAMBDA("E=\sum\nolimits_j\left(Q_j\times EF_j\right) \times 10^{-3}")</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2_1_1__1_EmissionsFromPurchasedFeed_Variation">_xlfn.LAMBDA("VARIATION ON SOURCE: Input Q_j in kg instead of t to match EF units. Multiply by 10^-3 to convert kg CO2e to t CO2e.")</definedName>
    <definedName name="Scope3_Equations.VEERG_15_2_1_1__1_EmissionsFromPurchasedFeedVariation">_xlfn.LAMBDA(_xlpm.Q_j,_xlpm.EF_j, (_xlpm.Q_j * _xlpm.EF_j) * 10 ^ -3)</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ArgumentsVariation">_xlfn.LAMBDA(_xlfn.MAKEARRAY(3, 4, _xlfn.LAMBDA(_xlpm.r,_xlpm.c, INDEX({"Q_m","total quantity of mineral supplement type m used","kg","Input";"EF_m","emission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LatexEquationVariation">_xlfn.LAMBDA("E=\sum\nolimits_m\left(Q_m\times EF_m\right) \times 10^{-3}")</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3_1_1__1_EmissionsFromPurchasedMineralSupplements_Variation">_xlfn.LAMBDA("VARIATION ON SOURCE: Input Q_j in kg instead of t to match EF units. Multiply by 10^-3 to convert kg CO2e to t CO2e.")</definedName>
    <definedName name="Scope3_Equations.VEERG_15_3_1_1__1_EmissionsFromPurchasedMineralSupplementsVariation">_xlfn.LAMBDA(_xlpm.Q_m,_xlpm.EF_m, (_xlpm.Q_m * _xlpm.EF_m) * 10 ^ -3)</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FishFeedAndBait_Data">_xlfn.LAMBDA(_xlfn.MAKEARRAY(6, 6, _xlfn.LAMBDA(_xlpm.r,_xlpm.c, INDEX({"Category","Product name","Region of origin","Product Unit","GHG emission intensity","System boundary";"Fish feed and bait","Sardines (whole)","Australia","kg",0.3,"Not specified";"Fish feed and bait","Low Animal Protein Formulated Feed","Australia","kg",2.2,"Not specified";"Fish feed and bait","Squid","Australia","kg",0.3,"Not specified";"Fish feed and bait","Whole fish","Australia","kg",0.3,"Not specified";"Fish feed and bait","Custom Bait","Australia","kg",0.08,"Not specified"}, _xlpm.r, _xlpm.c))))</definedName>
    <definedName name="Scope3_SourceData.Scope3_FishFeedAndBait_Source">_xlfn.LAMBDA(("VEERG 2026: Table A.3.1.1: Life-cycle emission factors for purchased feed (kg CO2e/kg) (EFj)"))</definedName>
    <definedName name="Scope3_SourceData.Scope3_FishFeedAndBait_Title">_xlfn.LAMBDA(("Fish feed and bait scope 3"))</definedName>
    <definedName name="Scope3_SourceData.Scope3_FishFeedAndBait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_xlfn.LAMBDA(_xlfn.MAKEARRAY(5, 2,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Poultry_FracGAMSSoil_Data">'Constants - Poultry'!$E$115</definedName>
    <definedName name="SourceData_Poultry_FractionOfNitrogenLostThroughLeachingAndRunoff_Data">'Constants - Poultry'!$E$110</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Table_A_j">'4.6.1.1-2 Methane'!$D$29:$G$30</definedName>
    <definedName name="Table_B_0_j">'4.6.1.1-2 Methane'!$D$67:$G$68</definedName>
    <definedName name="Table_D_j_k">'4.6.1.3-4 Direct N20'!$D$76:$G$77</definedName>
    <definedName name="Table_D_j_k_Consumer_1">'4.6.1.1-2 Methane'!$D$191:$G$192</definedName>
    <definedName name="Table_E_ad_inorganic">'5.4.1.1-4 Atmos deposition'!$D$58:$F$77</definedName>
    <definedName name="Table_E_ad_organic">'5.4.1.1-4 Atmos deposition'!$D$133:$F$136</definedName>
    <definedName name="Table_E_g">'8.2.1.1-2 Stationary fuel'!$D$24:$Q$40</definedName>
    <definedName name="Table_E_g_Consumer_1">'8.1.1.1-2 Transport fuel'!$D$24:$Q$39</definedName>
    <definedName name="Table_E_g_offsite">'10.1.1-2 Solid waste treatment'!$D$156:$E$190</definedName>
    <definedName name="Table_E_g_onsite">'10.1.1-2 Solid waste treatment'!$D$115:$E$149</definedName>
    <definedName name="Table_E_lime">'5.3.1.1-2 Lime CO2'!$D$24:$H$27</definedName>
    <definedName name="Table_EF_m">'4.6.1.9 Manure applied to soils'!$D$40:$E$49</definedName>
    <definedName name="Table_EF_m_Consumer_1">'4.6.1.3-4 Direct N20'!$D$137:$E$145</definedName>
    <definedName name="Table_FracGASM_m_T">'4.6.1.9 Manure applied to soils'!$D$53:$E$62</definedName>
    <definedName name="Table_FracGASM_m_T_Consumer_1">'4.6.1.5-6 Atmos Dep'!$D$44:$E$52</definedName>
    <definedName name="Table_FracGASM_m_T1">'4.6.1.3-4 Direct N20'!$D$129:$E$133</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MS_j_m_T1">'4.6.1.3-4 Direct N20'!$D$99:$H$103</definedName>
    <definedName name="Table_MMS_j_m_T1_Consumer_1">'4.6.1.1-2 Methane'!$D$59:$H$63</definedName>
    <definedName name="Table_MMS_j_m_T2">'4.6.1.3-4 Direct N20'!$D$169:$I$170</definedName>
    <definedName name="Table_MMS_j_m_T2_Consumer_1">'4.6.1.1-2 Methane'!$D$139:$I$140</definedName>
    <definedName name="Table_MN_j_f">'5.1.1.1-2 Inorganic fert N2O'!$D$18:$G$37</definedName>
    <definedName name="Table_MNSoil_j_f">'5.2.1.1-2 Organic Fert N2O'!$D$19:$I$22</definedName>
    <definedName name="Table_MU_j_f">'5.1.1.3-4 Inorganic fert CO2'!$D$18:$G$37</definedName>
    <definedName name="Table_N_j_k">'4.6.1.3-4 Direct N20'!$D$71:$G$72</definedName>
    <definedName name="Table_N_j_k_Consumer_1">'4.6.1.1-2 Methane'!$D$196:$G$197</definedName>
    <definedName name="Table_NR_j_k">'4.6.1.3-4 Direct N20'!$D$47:$G$48</definedName>
    <definedName name="Table_PF">'4.6.1.9 Manure applied to soils'!$D$85:$F$86</definedName>
    <definedName name="Table_V_w_t_offsite">'10.1.1-2 Solid waste treatment'!$D$58:$E$92</definedName>
    <definedName name="Table_V_w_t_onsite">'10.1.1-2 Solid waste treatment'!$D$20:$E$54</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_1_1__1_EmissionsFromPurchasedLivestock_Result_Method1">'15 Scope 3'!$E$93</definedName>
    <definedName name="VEERG_15_1_1_1__1_EmissionsFromPurchasedLivestock_Result_Method2">'15 Scope 3'!$E$94</definedName>
    <definedName name="VEERG_15_10_1_1__1_OtherPurchasedGoodsAndServices_CleaningChemicals_Result_Method1">'15 Scope 3'!$E$456</definedName>
    <definedName name="VEERG_15_10_1_1__1_OtherPurchasedGoodsAndServices_CleaningChemicals_Result_Method2">'15 Scope 3'!$E$457</definedName>
    <definedName name="VEERG_15_10_1_1__1_OtherPurchasedGoodsAndServices_Misc_Result_Method1">'15 Scope 3'!$E$498</definedName>
    <definedName name="VEERG_15_10_1_1__1_OtherPurchasedGoodsAndServices_Misc_Result_Method2">'15 Scope 3'!$E$499</definedName>
    <definedName name="VEERG_15_10_1_1__1_OtherPurchasedGoodsAndServices_PharmacyChemicals_Result_Method1">'15 Scope 3'!$E$474</definedName>
    <definedName name="VEERG_15_10_1_1__1_OtherPurchasedGoodsAndServices_PharmacyChemicals_Result_Method2">'15 Scope 3'!$E$475</definedName>
    <definedName name="VEERG_15_10_1_1__1_OtherPurchasedGoodsAndServices_Seed_Result_Method1">'15 Scope 3'!$E$487</definedName>
    <definedName name="VEERG_15_10_1_1__1_OtherPurchasedGoodsAndServices_Seed_Result_Method2">'15 Scope 3'!$E$488</definedName>
    <definedName name="VEERG_15_10_1_1__1_OtherPurchasedGoodsAndServices_Uncategorised_Result_Method1">'15 Scope 3'!$E$516</definedName>
    <definedName name="VEERG_15_10_1_1__1_OtherPurchasedGoodsAndServices_Uncategorised_Result_Method2">'15 Scope 3'!$E$517</definedName>
    <definedName name="VEERG_15_11_1_1__1_TotalUpstreamEmissionsFromFuel_Result">'15 Scope 3'!$E$533</definedName>
    <definedName name="VEERG_15_12_1_1__1_UpstreamPurchasedElectricityLocationBased_Result">'15 Scope 3'!$E$548</definedName>
    <definedName name="VEERG_15_12_1_2__1_UpstreamPurchasedElectricityMarketBasedVariation_Result">'15 Scope 3'!$E$570</definedName>
    <definedName name="VEERG_15_13_1_1__1_EmissionsFromManureSentOffSite_Result_Method1_CO2e">'15 Scope 3'!$E$593</definedName>
    <definedName name="VEERG_15_13_1_1__1_EmissionsFromManureSentOffSite_Result_Method2_CO2e">'15 Scope 3'!$M$593</definedName>
    <definedName name="VEERG_15_14_1_1__1_EmbeddedEmissionsFromUpstreamFreight_Incoming_Result_Method1">'15 Scope 3'!$E$635</definedName>
    <definedName name="VEERG_15_14_1_1__1_EmbeddedEmissionsFromUpstreamFreight_Incoming_Result_Method2">'15 Scope 3'!$E$636</definedName>
    <definedName name="VEERG_15_14_1_1__1_EmbeddedEmissionsFromUpstreamFreight_Outgoing_Result_Method1">'15 Scope 3'!$E$653</definedName>
    <definedName name="VEERG_15_14_1_1__1_EmbeddedEmissionsFromUpstreamFreight_Outgoing_Result_Method2">'15 Scope 3'!$E$654</definedName>
    <definedName name="VEERG_15_2_1_1__1_EmissionsFromPurchasedFeed_Result_Method1">'15 Scope 3'!$E$159</definedName>
    <definedName name="VEERG_15_2_1_1__1_EmissionsFromPurchasedFeed_Result_Method2">'15 Scope 3'!$E$160</definedName>
    <definedName name="VEERG_15_3_1_1__1_EmissionsFromPurchasedMineralSupplements_Result_Method1">'15 Scope 3'!$E$181</definedName>
    <definedName name="VEERG_15_3_1_1__1_EmissionsFromPurchasedMineralSupplements_Result_Method2">'15 Scope 3'!$E$182</definedName>
    <definedName name="VEERG_15_4_1_1__2_EmissionsFromPurchasedFertiliserComponentsVariation_Result_Method1">'15 Scope 3'!$E$266</definedName>
    <definedName name="VEERG_15_4_1_1__2_EmissionsFromPurchasedFertiliserComponentsVariation_Result_Method2">'15 Scope 3'!$E$267</definedName>
    <definedName name="VEERG_15_5_1_1__1_EmissionsFromPurchasedAgrichemicals_Result_Method1">'15 Scope 3'!$E$298</definedName>
    <definedName name="VEERG_15_5_1_1__1_EmissionsFromPurchasedAgrichemicals_Result_Method2">'15 Scope 3'!$E$299</definedName>
    <definedName name="VEERG_15_6_1_1__1_EmissionsFromPurchasedLime_Result_Method1">'15 Scope 3'!$E$331</definedName>
    <definedName name="VEERG_15_6_1_1__1_EmissionsFromPurchasedLime_Result_Method2">'15 Scope 3'!$E$332</definedName>
    <definedName name="VEERG_15_7_1_1__1_EmissionsFromPurchasedServices_Result_Method1">'15 Scope 3'!$E$362</definedName>
    <definedName name="VEERG_15_7_1_1__1_EmissionsFromPurchasedServices_Result_Method2">'15 Scope 3'!$E$363</definedName>
    <definedName name="VEERG_15_8_1_1__1_EmissionsFromPurchasedPackaging_Result_Method1">'15 Scope 3'!$E$393</definedName>
    <definedName name="VEERG_15_8_1_1__1_EmissionsFromPurchasedPackaging_Result_Method2">'15 Scope 3'!$E$394</definedName>
    <definedName name="VEERG_15_9_1_1__1_EmissionsFromPurchasedGrowMedia_Result_Method1">'15 Scope 3'!$E$425</definedName>
    <definedName name="VEERG_15_9_1_1__1_EmissionsFromPurchasedGrowMedia_Result_Method2">'15 Scope 3'!$E$426</definedName>
    <definedName name="VEERG_4_6_1_1__1_TotalAnnualMethaneEmissions_Result_Method1">'4.6.1.1-2 Methane'!$E$222</definedName>
    <definedName name="VEERG_4_6_1_1__1_TotalAnnualMethaneEmissions_Result_Method2">'4.6.1.1-2 Methane'!$O$222</definedName>
    <definedName name="VEERG_4_6_1_10__1_DirectNitrousOxideEmissionsFromPoultryManure_Result_Method1">'4.6.1.10-11 Soil direct N2O'!$E$27</definedName>
    <definedName name="VEERG_4_6_1_10__1_DirectNitrousOxideEmissionsFromPoultryManure_Result_Method2">'4.6.1.10-11 Soil direct N2O'!$O$27</definedName>
    <definedName name="VEERG_4_6_1_12__1_AtmosphericDepositionEmissionsFromPoultryManureOnPasture_Result_Method1">'4.6.1.12-13 Soil atmos dep'!$E$45</definedName>
    <definedName name="VEERG_4_6_1_12__1_AtmosphericDepositionEmissionsFromPoultryManureOnPasture_Result_Method2">'4.6.1.12-13 Soil atmos dep'!$N$45</definedName>
    <definedName name="VEERG_4_6_1_14__1_LeachingAndRunoffEmissionsFromPoultryManureOnPasture_Result_Method1">'4.6.1.14-15 Soil leach runoff'!$E$47</definedName>
    <definedName name="VEERG_4_6_1_14__1_LeachingAndRunoffEmissionsFromPoultryManureOnPasture_Result_Method2">'4.6.1.14-15 Soil leach runoff'!$O$47</definedName>
    <definedName name="VEERG_4_6_1_3__1_TotalAnnualDirectNitrousOxideEmissionsFromMMS_Result_Method1">'4.6.1.3-4 Direct N20'!$E$245</definedName>
    <definedName name="VEERG_4_6_1_3__1_TotalAnnualDirectNitrousOxideEmissionsFromMMS_Result_Method2">'4.6.1.3-4 Direct N20'!$O$245</definedName>
    <definedName name="VEERG_4_6_1_5__1_TotalAnnualAtmosphericDepositionEmissionsFromMMS_Result_Method1">'4.6.1.5-6 Atmos Dep'!$E$96</definedName>
    <definedName name="VEERG_4_6_1_5__1_TotalAnnualAtmosphericDepositionEmissionsFromMMS_Result_Method2">'4.6.1.5-6 Atmos Dep'!$O$96</definedName>
    <definedName name="VEERG_4_6_1_7__1_AnnualEmissionsFromLeachingAndRunoffFromMMS_Result_Method1">'4.6.1.7-8 Leaching and runoff'!$E$59</definedName>
    <definedName name="VEERG_4_6_1_7__1_AnnualEmissionsFromLeachingAndRunoffFromMMS_Result_Method2">'4.6.1.7-8 Leaching and runoff'!$O$59</definedName>
    <definedName name="VEERG_4_6_1_9__1_MassOfNitrogenAppliedToSoilsScope1_Result_Method1">'4.6.1.9 Manure applied to soils'!$E$121</definedName>
    <definedName name="VEERG_4_6_1_9__1_MassOfNitrogenAppliedToSoilsScope1_Result_Method2">'4.6.1.9 Manure applied to soils'!$O$121</definedName>
    <definedName name="VEERG_4_6_1_9__2_MassOfNitrogenAppliedToSoilsScope3_Result_Method1">'4.6.1.9 Manure applied to soils'!$E$158</definedName>
    <definedName name="VEERG_4_6_1_9__2_MassOfNitrogenAppliedToSoilsScope3_Result_Method2">'4.6.1.9 Manure applied to soils'!$O$158</definedName>
    <definedName name="VEERG_5_1_1_1__1_InorganicFertiliserApplicationN2OEmissions_Result_Method1">'5.1.1.1-2 Inorganic fert N2O'!$E$80</definedName>
    <definedName name="VEERG_5_1_1_1__1_InorganicFertiliserApplicationN2OEmissions_Result_Method2">'5.1.1.1-2 Inorganic fert N2O'!$N$110</definedName>
    <definedName name="VEERG_5_1_1_3__1_InorganicFertiliserApplicationCO2Emissions_Result_Method1">'5.1.1.3-4 Inorganic fert CO2'!$E$78</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4_1_3__1_OrganicFertiliserAtmosphericDepositionN2OEmissions_Result_Method2">'Calcs - Manure sent off-site'!$O$55</definedName>
    <definedName name="VEERG_5_5_1_1__1_FertiliserLeachingAndRunoffN2OEmissions_Result_Method1">'5.5.1.1-2 Leaching and runoff'!$E$94</definedName>
    <definedName name="VEERG_5_5_1_1__1_FertiliserLeachingAndRunoffN2OEmissions_Result_Method2">'Calcs - Manure sent off-site'!$O$90</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Enterprise_BirdsSold">'Input - Enterprise'!$E$22</definedName>
    <definedName name="X_Cell_Enterprise_EggsProduced">'Input - Enterprise'!$E$23</definedName>
    <definedName name="X_Cell_Enterprise_ManureProduced">'Input - Enterprise'!$E$24</definedName>
    <definedName name="X_Cell_Enterprise_PercentIncomeFromBirdsSold">'Input - Enterprise'!$E$28</definedName>
    <definedName name="X_Cell_Enterprise_PercentIncomeFromEggsSold">'Input - Enterprise'!$E$29</definedName>
    <definedName name="X_Cell_Enterprise_PercentIncomeFromManureSold">'Input - Enterprise'!$E$30</definedName>
    <definedName name="X_Cell_Enterprise_PercentManureFertiliserOwnFarm">'Input - Enterprise'!$E$26</definedName>
    <definedName name="X_Cell_Enterprise_PercentManureSold">'Input - Enterprise'!$E$25</definedName>
    <definedName name="X_Cell_Enterprise_ProductionTimeframeEnd">'Input - Enterprise'!$E$19</definedName>
    <definedName name="X_Cell_Enterprise_ProductionTimeframeStart">'Input - Enterprise'!$E$18</definedName>
    <definedName name="X_Cell_FarmInputs_FeedRations_Chickens">'Input - Livestock farm Inputs'!$E$12</definedName>
    <definedName name="X_Cell_FarmInputs_FeedRations_DairyCalves">'Input - Livestock farm Inputs'!$E$13</definedName>
    <definedName name="X_Cell_FarmInputs_FeedRations_DairyCows">'Input - Livestock farm Inputs'!$E$14</definedName>
    <definedName name="X_Cell_FarmInputs_FeedRations_Pigs">'Input - Livestock farm Inputs'!$E$15</definedName>
    <definedName name="X_Cell_FarmInputs_LickBlocks_DrySeasonMix">'Input - Livestock farm Inputs'!$E$7</definedName>
    <definedName name="X_Cell_FarmInputs_LickBlocks_Mineral">'Input - Livestock farm Inputs'!$E$8</definedName>
    <definedName name="X_Cell_FarmInputs_LickBlocks_Weaner">'Input - Livestock farm Inputs'!$E$9</definedName>
    <definedName name="X_Cell_FarmInputs_Misc_AnimalEarTagsLarge">'Input - Livestock farm Inputs'!$E$47</definedName>
    <definedName name="X_Cell_FarmInputs_Misc_AnimalEarTagsSmall">'Input - Livestock farm Inputs'!$E$48</definedName>
    <definedName name="X_Cell_Fertiliser_AreaUnderCropping">'Input - Fert Prod System'!$E$8</definedName>
    <definedName name="X_Cell_Fertiliser_CropType">'Input - Fert Prod System'!$E$6</definedName>
    <definedName name="X_Cell_Fertiliser_IrrigationMethod">'Input - Fert Prod System'!$E$7</definedName>
    <definedName name="X_Cell_Fertiliser_ProductionSystem">'Input - Fert Prod System'!$E$5</definedName>
    <definedName name="X_Cell_Fuel_IsMetroLocation">'Input - Fuel'!$E$11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Poultry_ManureAppliedIrrigationMethod">'Input - Poultry'!$E$60</definedName>
    <definedName name="X_Cell_Poultry_ManureAppliedProductionSystem">'Input - Poultry'!$E$59</definedName>
    <definedName name="X_Cell_Poultry_ProductionSystem">'Input - Poultry'!$E$27</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Cell_TotalElegibleRECsForElectricityProducedOnSite">'Input - Electricity'!$E$50</definedName>
    <definedName name="X_Cell_TotalElegibleVoluntarilySurrenderedRECs">'Input - Electricity'!$E$41</definedName>
    <definedName name="X_Table_Poultry_Diet_Method1">'Input - Poultry'!$D$15:$H$18</definedName>
    <definedName name="X_Table_Poultry_Diet_Method2">'Input - Poultry'!$D$20:$H$23</definedName>
    <definedName name="X_Table_Poultry_Movement">'Input - Poultry'!$D$9:$H$11</definedName>
    <definedName name="X_Table_Poultry_Stage1MMS">'Input - Poultry'!$D$29:$H$33</definedName>
    <definedName name="X_Table_Poultry_Stage2MMS_BeltManureRemoval">'Input - Poultry'!$D$44:$H$49</definedName>
    <definedName name="X_Table_Poultry_Stage2MMS_BeltManureRemoval_Destinations">'Input - Poultry'!$J$44:$M$49</definedName>
    <definedName name="X_Table_Poultry_Stage2MMS_ManureStoredInHouse">'Input - Poultry'!$D$51:$H$56</definedName>
    <definedName name="X_Table_Poultry_Stage2MMS_ManureStoredInHouse_Destinations">'Input - Poultry'!$J$51:$M$56</definedName>
    <definedName name="X_Table_Poultry_Stage2MMS_PoultryManureWithBedding">'Input - Poultry'!$D$37:$H$42</definedName>
    <definedName name="X_Table_Poultry_Stage2MMS_PoultryManureWithBedding_Destinations">'Input - Poultry'!$J$37:$M$42</definedName>
    <definedName name="X_Table_Result_ActivityPeriodEmissions_RowsToCols">'Results - Activity period'!$D$29:$F$34</definedName>
    <definedName name="X_Table_Result_CarbonRemovalsFromPlantings_RowsToCols">'Results - Activity period'!$D$39:$E$45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4" i="106" l="1"/>
  <c r="F75" i="106"/>
  <c r="F74" i="106"/>
  <c r="F73" i="106"/>
  <c r="F72" i="106"/>
  <c r="F71" i="106"/>
  <c r="F70" i="106"/>
  <c r="F69" i="106"/>
  <c r="F68" i="106"/>
  <c r="F67" i="106"/>
  <c r="F66" i="106"/>
  <c r="F65" i="106"/>
  <c r="F41" i="106"/>
  <c r="F40" i="106"/>
  <c r="F39" i="106"/>
  <c r="F38" i="106"/>
  <c r="F37" i="106"/>
  <c r="F36" i="106"/>
  <c r="F35" i="106"/>
  <c r="F34" i="106"/>
  <c r="F33" i="106"/>
  <c r="F32" i="106"/>
  <c r="F31" i="106"/>
  <c r="F30" i="106"/>
  <c r="F29" i="106"/>
  <c r="F28" i="106"/>
  <c r="F27" i="106"/>
  <c r="F26" i="106"/>
  <c r="F25" i="106"/>
  <c r="F24" i="106"/>
  <c r="F23" i="106"/>
  <c r="F144" i="105"/>
  <c r="F143" i="105"/>
  <c r="F142" i="105"/>
  <c r="F141" i="105"/>
  <c r="F140" i="105"/>
  <c r="F139" i="105"/>
  <c r="F138" i="105"/>
  <c r="F137" i="105"/>
  <c r="F136" i="105"/>
  <c r="F135" i="105"/>
  <c r="F134" i="105"/>
  <c r="F112" i="105"/>
  <c r="F111" i="105"/>
  <c r="F110" i="105"/>
  <c r="F109" i="105"/>
  <c r="F108" i="105"/>
  <c r="F107" i="105"/>
  <c r="F106" i="105"/>
  <c r="F105" i="105"/>
  <c r="F104" i="105"/>
  <c r="F103" i="105"/>
  <c r="F102" i="105"/>
  <c r="F77" i="105"/>
  <c r="F76" i="105"/>
  <c r="F75" i="105"/>
  <c r="F74" i="105"/>
  <c r="F73" i="105"/>
  <c r="F72" i="105"/>
  <c r="F71" i="105"/>
  <c r="F70" i="105"/>
  <c r="F69" i="105"/>
  <c r="F68" i="105"/>
  <c r="F67" i="105"/>
  <c r="F66" i="105"/>
  <c r="F65" i="105"/>
  <c r="F64" i="105"/>
  <c r="F63" i="105"/>
  <c r="F62" i="105"/>
  <c r="F61" i="105"/>
  <c r="F60" i="105"/>
  <c r="F59" i="105"/>
  <c r="H37" i="105"/>
  <c r="H36" i="105"/>
  <c r="H35" i="105"/>
  <c r="H34" i="105"/>
  <c r="H33" i="105"/>
  <c r="H32" i="105"/>
  <c r="H31" i="105"/>
  <c r="H30" i="105"/>
  <c r="H29" i="105"/>
  <c r="H28" i="105"/>
  <c r="H27" i="105"/>
  <c r="H26" i="105"/>
  <c r="H25" i="105"/>
  <c r="H24" i="105"/>
  <c r="H23" i="105"/>
  <c r="H22" i="105"/>
  <c r="H21" i="105"/>
  <c r="H20" i="105"/>
  <c r="H19" i="105"/>
  <c r="H29" i="104"/>
  <c r="H28" i="104"/>
  <c r="H27" i="104"/>
  <c r="H26" i="104"/>
  <c r="H25" i="104"/>
  <c r="E50" i="103"/>
  <c r="I30" i="103"/>
  <c r="I29" i="103"/>
  <c r="I28" i="103"/>
  <c r="I27" i="103"/>
  <c r="I26" i="103"/>
  <c r="I25" i="103"/>
  <c r="I24" i="103"/>
  <c r="I23" i="103"/>
  <c r="I22" i="103"/>
  <c r="I21" i="103"/>
  <c r="I20" i="103"/>
  <c r="E76" i="102"/>
  <c r="E75" i="102"/>
  <c r="E74" i="102"/>
  <c r="E73" i="102"/>
  <c r="E72" i="102"/>
  <c r="E71" i="102"/>
  <c r="E70" i="102"/>
  <c r="E69" i="102"/>
  <c r="E68" i="102"/>
  <c r="E67" i="102"/>
  <c r="E66" i="102"/>
  <c r="E65" i="102"/>
  <c r="E64" i="102"/>
  <c r="E63" i="102"/>
  <c r="E62" i="102"/>
  <c r="E61" i="102"/>
  <c r="E60" i="102"/>
  <c r="E59" i="102"/>
  <c r="E58" i="102"/>
  <c r="G37" i="102"/>
  <c r="G36" i="102"/>
  <c r="G35" i="102"/>
  <c r="G34" i="102"/>
  <c r="G33" i="102"/>
  <c r="G32" i="102"/>
  <c r="G31" i="102"/>
  <c r="G30" i="102"/>
  <c r="G29" i="102"/>
  <c r="G28" i="102"/>
  <c r="G27" i="102"/>
  <c r="G26" i="102"/>
  <c r="G25" i="102"/>
  <c r="G24" i="102"/>
  <c r="G23" i="102"/>
  <c r="G22" i="102"/>
  <c r="G21" i="102"/>
  <c r="G20" i="102"/>
  <c r="G19" i="102"/>
  <c r="N110" i="101"/>
  <c r="N79" i="101"/>
  <c r="E78" i="101"/>
  <c r="E77" i="101"/>
  <c r="E76" i="101"/>
  <c r="E75" i="101"/>
  <c r="E74" i="101"/>
  <c r="E73" i="101"/>
  <c r="E72" i="101"/>
  <c r="E71" i="101"/>
  <c r="E70" i="101"/>
  <c r="E69" i="101"/>
  <c r="E68" i="101"/>
  <c r="E67" i="101"/>
  <c r="E66" i="101"/>
  <c r="E65" i="101"/>
  <c r="E64" i="101"/>
  <c r="E63" i="101"/>
  <c r="E62" i="101"/>
  <c r="E61" i="101"/>
  <c r="E60" i="101"/>
  <c r="N63" i="101"/>
  <c r="N49" i="101"/>
  <c r="G37" i="101"/>
  <c r="G36" i="101"/>
  <c r="G35" i="101"/>
  <c r="G34" i="101"/>
  <c r="G33" i="101"/>
  <c r="G32" i="101"/>
  <c r="G31" i="101"/>
  <c r="G30" i="101"/>
  <c r="G29" i="101"/>
  <c r="G28" i="101"/>
  <c r="G27" i="101"/>
  <c r="G26" i="101"/>
  <c r="G25" i="101"/>
  <c r="G24" i="101"/>
  <c r="G23" i="101"/>
  <c r="G22" i="101"/>
  <c r="G21" i="101"/>
  <c r="G20" i="101"/>
  <c r="G19" i="101"/>
  <c r="J651" i="116"/>
  <c r="J650" i="116"/>
  <c r="J649" i="116"/>
  <c r="J648" i="116"/>
  <c r="J647" i="116"/>
  <c r="J646" i="116"/>
  <c r="J645" i="116"/>
  <c r="J644" i="116"/>
  <c r="J643" i="116"/>
  <c r="J642" i="116"/>
  <c r="J633" i="116"/>
  <c r="J632" i="116"/>
  <c r="J631" i="116"/>
  <c r="J630" i="116"/>
  <c r="J629" i="116"/>
  <c r="J628" i="116"/>
  <c r="J627" i="116"/>
  <c r="J626" i="116"/>
  <c r="J625" i="116"/>
  <c r="J624" i="116"/>
  <c r="K514" i="116"/>
  <c r="K513" i="116"/>
  <c r="K512" i="116"/>
  <c r="K511" i="116"/>
  <c r="K510" i="116"/>
  <c r="K509" i="116"/>
  <c r="K508" i="116"/>
  <c r="K507" i="116"/>
  <c r="K506" i="116"/>
  <c r="K505" i="116"/>
  <c r="I496" i="116"/>
  <c r="I494" i="116"/>
  <c r="I485" i="116"/>
  <c r="I483" i="116"/>
  <c r="I481" i="116"/>
  <c r="J468" i="116"/>
  <c r="J467" i="116"/>
  <c r="J466" i="116"/>
  <c r="J465" i="116"/>
  <c r="J464" i="116"/>
  <c r="J463" i="116"/>
  <c r="J450" i="116"/>
  <c r="J449" i="116"/>
  <c r="J448" i="116"/>
  <c r="J447" i="116"/>
  <c r="J446" i="116"/>
  <c r="J445" i="116"/>
  <c r="J423" i="116"/>
  <c r="J422" i="116"/>
  <c r="J421" i="116"/>
  <c r="J420" i="116"/>
  <c r="J419" i="116"/>
  <c r="J418" i="116"/>
  <c r="J417" i="116"/>
  <c r="J416" i="116"/>
  <c r="J415" i="116"/>
  <c r="J414" i="116"/>
  <c r="J382" i="116"/>
  <c r="K360" i="116"/>
  <c r="K359" i="116"/>
  <c r="K358" i="116"/>
  <c r="K357" i="116"/>
  <c r="K356" i="116"/>
  <c r="K355" i="116"/>
  <c r="K354" i="116"/>
  <c r="K353" i="116"/>
  <c r="K352" i="116"/>
  <c r="K351" i="116"/>
  <c r="J329" i="116"/>
  <c r="J328" i="116"/>
  <c r="J327" i="116"/>
  <c r="J326" i="116"/>
  <c r="J325" i="116"/>
  <c r="J324" i="116"/>
  <c r="J323" i="116"/>
  <c r="J322" i="116"/>
  <c r="J321" i="116"/>
  <c r="J320" i="116"/>
  <c r="I286" i="116"/>
  <c r="I285" i="116"/>
  <c r="J261" i="116"/>
  <c r="J260" i="116"/>
  <c r="J259" i="116"/>
  <c r="J258" i="116"/>
  <c r="J257" i="116"/>
  <c r="J256" i="116"/>
  <c r="J255" i="116"/>
  <c r="J254" i="116"/>
  <c r="J253" i="116"/>
  <c r="J252" i="116"/>
  <c r="I179" i="116"/>
  <c r="I178" i="116"/>
  <c r="I177" i="116"/>
  <c r="I148" i="116"/>
  <c r="I138" i="116"/>
  <c r="I137" i="116"/>
  <c r="I122" i="116"/>
  <c r="I121" i="116"/>
  <c r="I120" i="116"/>
  <c r="J79" i="116"/>
  <c r="J62" i="116"/>
  <c r="J61" i="116"/>
  <c r="J42" i="116"/>
  <c r="M24" i="116"/>
  <c r="M23" i="116"/>
  <c r="D41" i="83" a="1"/>
  <c r="D41" i="83" s="1"/>
  <c r="A98" i="106"/>
  <c r="A68" i="106"/>
  <c r="A57" i="106"/>
  <c r="A56" i="106"/>
  <c r="A55" i="106"/>
  <c r="A54" i="106"/>
  <c r="A53" i="106"/>
  <c r="A52" i="106"/>
  <c r="A51" i="106"/>
  <c r="A50" i="106"/>
  <c r="A46" i="106"/>
  <c r="A45" i="106"/>
  <c r="A44" i="106"/>
  <c r="A43" i="106"/>
  <c r="A42" i="106"/>
  <c r="A41" i="106"/>
  <c r="A40" i="106"/>
  <c r="A39" i="106"/>
  <c r="A38" i="106"/>
  <c r="A37" i="106"/>
  <c r="A36" i="106"/>
  <c r="A35" i="106"/>
  <c r="A34" i="106"/>
  <c r="A33" i="106"/>
  <c r="A32" i="106"/>
  <c r="A31" i="106"/>
  <c r="A30" i="106"/>
  <c r="A29" i="106"/>
  <c r="A28" i="106"/>
  <c r="A27" i="106"/>
  <c r="A23" i="106"/>
  <c r="A22" i="106"/>
  <c r="A21" i="106"/>
  <c r="A20" i="106"/>
  <c r="A19" i="106"/>
  <c r="A18" i="106"/>
  <c r="A17" i="106"/>
  <c r="A16" i="106"/>
  <c r="A15" i="106"/>
  <c r="A14" i="106"/>
  <c r="A13" i="106"/>
  <c r="A12" i="106"/>
  <c r="A11" i="106"/>
  <c r="A10" i="106"/>
  <c r="A9" i="106"/>
  <c r="A5" i="106"/>
  <c r="A4" i="106"/>
  <c r="A3" i="106"/>
  <c r="A128" i="105"/>
  <c r="A98" i="105"/>
  <c r="A68" i="105"/>
  <c r="A57" i="105"/>
  <c r="A56" i="105"/>
  <c r="A55" i="105"/>
  <c r="A54" i="105"/>
  <c r="A53" i="105"/>
  <c r="A52" i="105"/>
  <c r="A51" i="105"/>
  <c r="A50" i="105"/>
  <c r="A46" i="105"/>
  <c r="A45" i="105"/>
  <c r="A44" i="105"/>
  <c r="A43" i="105"/>
  <c r="A42" i="105"/>
  <c r="A41" i="105"/>
  <c r="A40" i="105"/>
  <c r="A39" i="105"/>
  <c r="A38" i="105"/>
  <c r="A37" i="105"/>
  <c r="A36" i="105"/>
  <c r="A35" i="105"/>
  <c r="A34" i="105"/>
  <c r="A33" i="105"/>
  <c r="A32" i="105"/>
  <c r="A31" i="105"/>
  <c r="A30" i="105"/>
  <c r="A29" i="105"/>
  <c r="A28" i="105"/>
  <c r="A27" i="105"/>
  <c r="A23" i="105"/>
  <c r="A22" i="105"/>
  <c r="A21" i="105"/>
  <c r="A20" i="105"/>
  <c r="A19" i="105"/>
  <c r="A18" i="105"/>
  <c r="A17" i="105"/>
  <c r="A16" i="105"/>
  <c r="A15" i="105"/>
  <c r="A14" i="105"/>
  <c r="A13" i="105"/>
  <c r="A12" i="105"/>
  <c r="A11" i="105"/>
  <c r="A10" i="105"/>
  <c r="A9" i="105"/>
  <c r="A5" i="105"/>
  <c r="A4" i="105"/>
  <c r="A3" i="105"/>
  <c r="A57" i="104"/>
  <c r="A56" i="104"/>
  <c r="A55" i="104"/>
  <c r="A54" i="104"/>
  <c r="A53" i="104"/>
  <c r="A52" i="104"/>
  <c r="A51" i="104"/>
  <c r="A50" i="104"/>
  <c r="A46" i="104"/>
  <c r="A45" i="104"/>
  <c r="A44" i="104"/>
  <c r="A43" i="104"/>
  <c r="A42" i="104"/>
  <c r="A41" i="104"/>
  <c r="A40" i="104"/>
  <c r="A39" i="104"/>
  <c r="A38" i="104"/>
  <c r="A37" i="104"/>
  <c r="A36" i="104"/>
  <c r="A35" i="104"/>
  <c r="A34" i="104"/>
  <c r="A33" i="104"/>
  <c r="A32" i="104"/>
  <c r="A31" i="104"/>
  <c r="A30" i="104"/>
  <c r="A29" i="104"/>
  <c r="A28" i="104"/>
  <c r="A27" i="104"/>
  <c r="A23" i="104"/>
  <c r="A22" i="104"/>
  <c r="A21" i="104"/>
  <c r="A20" i="104"/>
  <c r="A19" i="104"/>
  <c r="A18" i="104"/>
  <c r="A17" i="104"/>
  <c r="A16" i="104"/>
  <c r="A15" i="104"/>
  <c r="A14" i="104"/>
  <c r="A13" i="104"/>
  <c r="A12" i="104"/>
  <c r="A11" i="104"/>
  <c r="A10" i="104"/>
  <c r="A9" i="104"/>
  <c r="A5" i="104"/>
  <c r="A4" i="104"/>
  <c r="A3" i="104"/>
  <c r="A57" i="103"/>
  <c r="A56" i="103"/>
  <c r="A55" i="103"/>
  <c r="A54" i="103"/>
  <c r="A53" i="103"/>
  <c r="A52" i="103"/>
  <c r="A51" i="103"/>
  <c r="A50" i="103"/>
  <c r="A46" i="103"/>
  <c r="A45" i="103"/>
  <c r="A44" i="103"/>
  <c r="A43" i="103"/>
  <c r="A42" i="103"/>
  <c r="A41" i="103"/>
  <c r="A40" i="103"/>
  <c r="A39" i="103"/>
  <c r="A38" i="103"/>
  <c r="A37" i="103"/>
  <c r="A36" i="103"/>
  <c r="A35" i="103"/>
  <c r="A34" i="103"/>
  <c r="A33" i="103"/>
  <c r="A32" i="103"/>
  <c r="A31" i="103"/>
  <c r="A30" i="103"/>
  <c r="A29" i="103"/>
  <c r="A28" i="103"/>
  <c r="A27" i="103"/>
  <c r="A23" i="103"/>
  <c r="A22" i="103"/>
  <c r="A21" i="103"/>
  <c r="A20" i="103"/>
  <c r="A19" i="103"/>
  <c r="A18" i="103"/>
  <c r="A17" i="103"/>
  <c r="A16" i="103"/>
  <c r="A15" i="103"/>
  <c r="A14" i="103"/>
  <c r="A13" i="103"/>
  <c r="A12" i="103"/>
  <c r="A11" i="103"/>
  <c r="A10" i="103"/>
  <c r="A9" i="103"/>
  <c r="A5" i="103"/>
  <c r="A4" i="103"/>
  <c r="A3" i="103"/>
  <c r="A68" i="102"/>
  <c r="A57" i="102"/>
  <c r="A56" i="102"/>
  <c r="A55" i="102"/>
  <c r="A54" i="102"/>
  <c r="A53" i="102"/>
  <c r="A52" i="102"/>
  <c r="A51" i="102"/>
  <c r="A50" i="102"/>
  <c r="A46" i="102"/>
  <c r="A45" i="102"/>
  <c r="A44" i="102"/>
  <c r="A43" i="102"/>
  <c r="A42" i="102"/>
  <c r="A41" i="102"/>
  <c r="A40" i="102"/>
  <c r="A39" i="102"/>
  <c r="A38" i="102"/>
  <c r="A37" i="102"/>
  <c r="A36" i="102"/>
  <c r="A35" i="102"/>
  <c r="A34" i="102"/>
  <c r="A33" i="102"/>
  <c r="A32" i="102"/>
  <c r="A31" i="102"/>
  <c r="A30" i="102"/>
  <c r="A29" i="102"/>
  <c r="A28" i="102"/>
  <c r="A27" i="102"/>
  <c r="A23" i="102"/>
  <c r="A22" i="102"/>
  <c r="A21" i="102"/>
  <c r="A20" i="102"/>
  <c r="A19" i="102"/>
  <c r="A18" i="102"/>
  <c r="A17" i="102"/>
  <c r="A16" i="102"/>
  <c r="A15" i="102"/>
  <c r="A14" i="102"/>
  <c r="A13" i="102"/>
  <c r="A12" i="102"/>
  <c r="A11" i="102"/>
  <c r="A10" i="102"/>
  <c r="A9" i="102"/>
  <c r="A5" i="102"/>
  <c r="A4" i="102"/>
  <c r="A3" i="102"/>
  <c r="A98" i="101"/>
  <c r="A68" i="101"/>
  <c r="A57" i="101"/>
  <c r="A56" i="101"/>
  <c r="A55" i="101"/>
  <c r="A54" i="101"/>
  <c r="A53" i="101"/>
  <c r="A52" i="101"/>
  <c r="A51" i="101"/>
  <c r="A50" i="101"/>
  <c r="A46" i="101"/>
  <c r="A45" i="101"/>
  <c r="A44" i="101"/>
  <c r="A43" i="101"/>
  <c r="A42" i="101"/>
  <c r="A41" i="101"/>
  <c r="A40" i="101"/>
  <c r="A39" i="101"/>
  <c r="A38" i="101"/>
  <c r="A37" i="101"/>
  <c r="A36" i="101"/>
  <c r="A35" i="101"/>
  <c r="A34" i="101"/>
  <c r="A33" i="101"/>
  <c r="A32" i="101"/>
  <c r="A31" i="101"/>
  <c r="A30" i="101"/>
  <c r="A29" i="101"/>
  <c r="A28" i="101"/>
  <c r="A27" i="101"/>
  <c r="A23" i="101"/>
  <c r="A22" i="101"/>
  <c r="A21" i="101"/>
  <c r="A20" i="101"/>
  <c r="A19" i="101"/>
  <c r="A18" i="101"/>
  <c r="A17" i="101"/>
  <c r="A16" i="101"/>
  <c r="A15" i="101"/>
  <c r="A14" i="101"/>
  <c r="A13" i="101"/>
  <c r="A12" i="101"/>
  <c r="A11" i="101"/>
  <c r="A10" i="101"/>
  <c r="A9" i="101"/>
  <c r="A5" i="101"/>
  <c r="A4" i="101"/>
  <c r="A3" i="101"/>
  <c r="A57" i="100"/>
  <c r="A56" i="100"/>
  <c r="A55" i="100"/>
  <c r="A54" i="100"/>
  <c r="A53" i="100"/>
  <c r="A52" i="100"/>
  <c r="A51" i="100"/>
  <c r="A50" i="100"/>
  <c r="A46" i="100"/>
  <c r="A45" i="100"/>
  <c r="A44" i="100"/>
  <c r="A43" i="100"/>
  <c r="A42" i="100"/>
  <c r="A41" i="100"/>
  <c r="A40" i="100"/>
  <c r="A39" i="100"/>
  <c r="A38" i="100"/>
  <c r="A37" i="100"/>
  <c r="A36" i="100"/>
  <c r="A35" i="100"/>
  <c r="A34" i="100"/>
  <c r="A33" i="100"/>
  <c r="A32" i="100"/>
  <c r="A31" i="100"/>
  <c r="A30" i="100"/>
  <c r="A29" i="100"/>
  <c r="A28" i="100"/>
  <c r="A27" i="100"/>
  <c r="A23" i="100"/>
  <c r="A22" i="100"/>
  <c r="A21" i="100"/>
  <c r="A20" i="100"/>
  <c r="A19" i="100"/>
  <c r="A18" i="100"/>
  <c r="A17" i="100"/>
  <c r="A16" i="100"/>
  <c r="A15" i="100"/>
  <c r="A14" i="100"/>
  <c r="A13" i="100"/>
  <c r="A12" i="100"/>
  <c r="A11" i="100"/>
  <c r="A10" i="100"/>
  <c r="A9" i="100"/>
  <c r="A5" i="100"/>
  <c r="A4" i="100"/>
  <c r="A3" i="100"/>
  <c r="A57" i="99"/>
  <c r="A56" i="99"/>
  <c r="A55" i="99"/>
  <c r="A54" i="99"/>
  <c r="A53" i="99"/>
  <c r="A52" i="99"/>
  <c r="A51" i="99"/>
  <c r="A50" i="99"/>
  <c r="A46" i="99"/>
  <c r="A45" i="99"/>
  <c r="A44" i="99"/>
  <c r="A43" i="99"/>
  <c r="A42" i="99"/>
  <c r="A41" i="99"/>
  <c r="A40" i="99"/>
  <c r="A39" i="99"/>
  <c r="A38" i="99"/>
  <c r="A37" i="99"/>
  <c r="A36" i="99"/>
  <c r="A35" i="99"/>
  <c r="A34" i="99"/>
  <c r="A33" i="99"/>
  <c r="A32" i="99"/>
  <c r="A31" i="99"/>
  <c r="A30" i="99"/>
  <c r="A29" i="99"/>
  <c r="A28" i="99"/>
  <c r="A27" i="99"/>
  <c r="A23" i="99"/>
  <c r="A22" i="99"/>
  <c r="A21" i="99"/>
  <c r="A20" i="99"/>
  <c r="A19" i="99"/>
  <c r="A18" i="99"/>
  <c r="A17" i="99"/>
  <c r="A16" i="99"/>
  <c r="A15" i="99"/>
  <c r="A14" i="99"/>
  <c r="A13" i="99"/>
  <c r="A12" i="99"/>
  <c r="A11" i="99"/>
  <c r="A10" i="99"/>
  <c r="A9" i="99"/>
  <c r="A5" i="99"/>
  <c r="A4" i="99"/>
  <c r="A3" i="99"/>
  <c r="A278" i="79"/>
  <c r="A248" i="79"/>
  <c r="A218" i="79"/>
  <c r="A188" i="79"/>
  <c r="A158" i="79"/>
  <c r="A128" i="79"/>
  <c r="A98" i="79"/>
  <c r="A68" i="79"/>
  <c r="A57" i="79"/>
  <c r="A56" i="79"/>
  <c r="A55" i="79"/>
  <c r="A54" i="79"/>
  <c r="A53" i="79"/>
  <c r="A52" i="79"/>
  <c r="A51" i="79"/>
  <c r="A50" i="79"/>
  <c r="A46" i="79"/>
  <c r="A45" i="79"/>
  <c r="A44" i="79"/>
  <c r="A43" i="79"/>
  <c r="A42" i="79"/>
  <c r="A41" i="79"/>
  <c r="A40" i="79"/>
  <c r="A39" i="79"/>
  <c r="A38" i="79"/>
  <c r="A37" i="79"/>
  <c r="A36" i="79"/>
  <c r="A35" i="79"/>
  <c r="A34" i="79"/>
  <c r="A33" i="79"/>
  <c r="A32" i="79"/>
  <c r="A31" i="79"/>
  <c r="A30" i="79"/>
  <c r="A29" i="79"/>
  <c r="A28" i="79"/>
  <c r="A27" i="79"/>
  <c r="A23" i="79"/>
  <c r="A22" i="79"/>
  <c r="A21" i="79"/>
  <c r="A20" i="79"/>
  <c r="A19" i="79"/>
  <c r="A18" i="79"/>
  <c r="A17" i="79"/>
  <c r="A16" i="79"/>
  <c r="A15" i="79"/>
  <c r="A14" i="79"/>
  <c r="A13" i="79"/>
  <c r="A12" i="79"/>
  <c r="A11" i="79"/>
  <c r="A10" i="79"/>
  <c r="A9" i="79"/>
  <c r="A5" i="79"/>
  <c r="A4" i="79"/>
  <c r="A3" i="79"/>
  <c r="A68" i="110"/>
  <c r="A57" i="110"/>
  <c r="A56" i="110"/>
  <c r="A55" i="110"/>
  <c r="A54" i="110"/>
  <c r="A53" i="110"/>
  <c r="A52" i="110"/>
  <c r="A51" i="110"/>
  <c r="A50" i="110"/>
  <c r="A46" i="110"/>
  <c r="A45" i="110"/>
  <c r="A44" i="110"/>
  <c r="A43" i="110"/>
  <c r="A42" i="110"/>
  <c r="A41" i="110"/>
  <c r="A40" i="110"/>
  <c r="A39" i="110"/>
  <c r="A38" i="110"/>
  <c r="A37" i="110"/>
  <c r="A36" i="110"/>
  <c r="A35" i="110"/>
  <c r="A34" i="110"/>
  <c r="A33" i="110"/>
  <c r="A32" i="110"/>
  <c r="A31" i="110"/>
  <c r="A30" i="110"/>
  <c r="A29" i="110"/>
  <c r="A28" i="110"/>
  <c r="A27" i="110"/>
  <c r="A23" i="110"/>
  <c r="A22" i="110"/>
  <c r="A21" i="110"/>
  <c r="A20" i="110"/>
  <c r="A19" i="110"/>
  <c r="A18" i="110"/>
  <c r="A17" i="110"/>
  <c r="A16" i="110"/>
  <c r="A15" i="110"/>
  <c r="A14" i="110"/>
  <c r="A13" i="110"/>
  <c r="A12" i="110"/>
  <c r="A11" i="110"/>
  <c r="A10" i="110"/>
  <c r="A9" i="110"/>
  <c r="A5" i="110"/>
  <c r="A4" i="110"/>
  <c r="A3" i="110"/>
  <c r="A218" i="118"/>
  <c r="A188" i="118"/>
  <c r="A158" i="118"/>
  <c r="A128" i="118"/>
  <c r="A98" i="118"/>
  <c r="A68" i="118"/>
  <c r="A57" i="118"/>
  <c r="A56" i="118"/>
  <c r="A55" i="118"/>
  <c r="A54" i="118"/>
  <c r="A53" i="118"/>
  <c r="A52" i="118"/>
  <c r="A51" i="118"/>
  <c r="A50" i="118"/>
  <c r="A46" i="118"/>
  <c r="A45" i="118"/>
  <c r="A44" i="118"/>
  <c r="A43" i="118"/>
  <c r="A42" i="118"/>
  <c r="A41" i="118"/>
  <c r="A40" i="118"/>
  <c r="A39" i="118"/>
  <c r="A38" i="118"/>
  <c r="A37" i="118"/>
  <c r="A36" i="118"/>
  <c r="A35" i="118"/>
  <c r="A34" i="118"/>
  <c r="A33" i="118"/>
  <c r="A32" i="118"/>
  <c r="A31" i="118"/>
  <c r="A30" i="118"/>
  <c r="A29" i="118"/>
  <c r="A28" i="118"/>
  <c r="A27" i="118"/>
  <c r="A23" i="118"/>
  <c r="A22" i="118"/>
  <c r="A21" i="118"/>
  <c r="A20" i="118"/>
  <c r="A19" i="118"/>
  <c r="A18" i="118"/>
  <c r="A17" i="118"/>
  <c r="A16" i="118"/>
  <c r="A15" i="118"/>
  <c r="A14" i="118"/>
  <c r="A13" i="118"/>
  <c r="A12" i="118"/>
  <c r="A11" i="118"/>
  <c r="A10" i="118"/>
  <c r="A9" i="118"/>
  <c r="A5" i="118"/>
  <c r="A4" i="118"/>
  <c r="A3" i="118"/>
  <c r="A158" i="98"/>
  <c r="A128" i="98"/>
  <c r="A98" i="98"/>
  <c r="A68" i="98"/>
  <c r="A57" i="98"/>
  <c r="A56" i="98"/>
  <c r="A55" i="98"/>
  <c r="A54" i="98"/>
  <c r="A53" i="98"/>
  <c r="A52" i="98"/>
  <c r="A51" i="98"/>
  <c r="A50" i="98"/>
  <c r="A46" i="98"/>
  <c r="A45" i="98"/>
  <c r="A44" i="98"/>
  <c r="A43" i="98"/>
  <c r="A42" i="98"/>
  <c r="A41" i="98"/>
  <c r="A40" i="98"/>
  <c r="A39" i="98"/>
  <c r="A38" i="98"/>
  <c r="A37" i="98"/>
  <c r="A36" i="98"/>
  <c r="A35" i="98"/>
  <c r="A34" i="98"/>
  <c r="A33" i="98"/>
  <c r="A32" i="98"/>
  <c r="A31" i="98"/>
  <c r="A30" i="98"/>
  <c r="A29" i="98"/>
  <c r="A28" i="98"/>
  <c r="A27" i="98"/>
  <c r="A23" i="98"/>
  <c r="A22" i="98"/>
  <c r="A21" i="98"/>
  <c r="A20" i="98"/>
  <c r="A19" i="98"/>
  <c r="A18" i="98"/>
  <c r="A17" i="98"/>
  <c r="A16" i="98"/>
  <c r="A15" i="98"/>
  <c r="A14" i="98"/>
  <c r="A13" i="98"/>
  <c r="A12" i="98"/>
  <c r="A11" i="98"/>
  <c r="A10" i="98"/>
  <c r="A9" i="98"/>
  <c r="A5" i="98"/>
  <c r="A4" i="98"/>
  <c r="A3" i="98"/>
  <c r="A218" i="107"/>
  <c r="A188" i="107"/>
  <c r="A158" i="107"/>
  <c r="A128" i="107"/>
  <c r="A98" i="107"/>
  <c r="A68" i="107"/>
  <c r="A57" i="107"/>
  <c r="A56" i="107"/>
  <c r="A55" i="107"/>
  <c r="A54" i="107"/>
  <c r="A53" i="107"/>
  <c r="A52" i="107"/>
  <c r="A51" i="107"/>
  <c r="A50" i="107"/>
  <c r="A46" i="107"/>
  <c r="A45" i="107"/>
  <c r="A44" i="107"/>
  <c r="A43" i="107"/>
  <c r="A42" i="107"/>
  <c r="A41" i="107"/>
  <c r="A40" i="107"/>
  <c r="A39" i="107"/>
  <c r="A38" i="107"/>
  <c r="A37" i="107"/>
  <c r="A36" i="107"/>
  <c r="A35" i="107"/>
  <c r="A34" i="107"/>
  <c r="A33" i="107"/>
  <c r="A32" i="107"/>
  <c r="A31" i="107"/>
  <c r="A30" i="107"/>
  <c r="A29" i="107"/>
  <c r="A28" i="107"/>
  <c r="A27" i="107"/>
  <c r="A23" i="107"/>
  <c r="A22" i="107"/>
  <c r="A21" i="107"/>
  <c r="A20" i="107"/>
  <c r="A19" i="107"/>
  <c r="A18" i="107"/>
  <c r="A17" i="107"/>
  <c r="A16" i="107"/>
  <c r="A15" i="107"/>
  <c r="A14" i="107"/>
  <c r="A13" i="107"/>
  <c r="A12" i="107"/>
  <c r="A11" i="107"/>
  <c r="A10" i="107"/>
  <c r="A9" i="107"/>
  <c r="A5" i="107"/>
  <c r="A4" i="107"/>
  <c r="A3" i="107"/>
  <c r="A57" i="94"/>
  <c r="A56" i="94"/>
  <c r="A55" i="94"/>
  <c r="A54" i="94"/>
  <c r="A53" i="94"/>
  <c r="A52" i="94"/>
  <c r="A51" i="94"/>
  <c r="A50" i="94"/>
  <c r="A46" i="94"/>
  <c r="A45" i="94"/>
  <c r="A44" i="94"/>
  <c r="A43" i="94"/>
  <c r="A42" i="94"/>
  <c r="A41" i="94"/>
  <c r="A40" i="94"/>
  <c r="A39" i="94"/>
  <c r="A38" i="94"/>
  <c r="A37" i="94"/>
  <c r="A36" i="94"/>
  <c r="A35" i="94"/>
  <c r="A34" i="94"/>
  <c r="A33" i="94"/>
  <c r="A32" i="94"/>
  <c r="A31" i="94"/>
  <c r="A30" i="94"/>
  <c r="A29" i="94"/>
  <c r="A28" i="94"/>
  <c r="A27" i="94"/>
  <c r="A23" i="94"/>
  <c r="A22" i="94"/>
  <c r="A21" i="94"/>
  <c r="A20" i="94"/>
  <c r="A19" i="94"/>
  <c r="A18" i="94"/>
  <c r="A17" i="94"/>
  <c r="A16" i="94"/>
  <c r="A15" i="94"/>
  <c r="A14" i="94"/>
  <c r="A13" i="94"/>
  <c r="A12" i="94"/>
  <c r="A11" i="94"/>
  <c r="A10" i="94"/>
  <c r="A9" i="94"/>
  <c r="A5" i="94"/>
  <c r="A4" i="94"/>
  <c r="A3" i="94"/>
  <c r="A57" i="119"/>
  <c r="A56" i="119"/>
  <c r="A55" i="119"/>
  <c r="A54" i="119"/>
  <c r="A53" i="119"/>
  <c r="A52" i="119"/>
  <c r="A51" i="119"/>
  <c r="A50" i="119"/>
  <c r="A46" i="119"/>
  <c r="A45" i="119"/>
  <c r="A44" i="119"/>
  <c r="A43" i="119"/>
  <c r="A42" i="119"/>
  <c r="A41" i="119"/>
  <c r="A40" i="119"/>
  <c r="A39" i="119"/>
  <c r="A38" i="119"/>
  <c r="A37" i="119"/>
  <c r="A36" i="119"/>
  <c r="A35" i="119"/>
  <c r="A34" i="119"/>
  <c r="A33" i="119"/>
  <c r="A32" i="119"/>
  <c r="A31" i="119"/>
  <c r="A30" i="119"/>
  <c r="A29" i="119"/>
  <c r="A28" i="119"/>
  <c r="A27" i="119"/>
  <c r="A23" i="119"/>
  <c r="A22" i="119"/>
  <c r="A21" i="119"/>
  <c r="A20" i="119"/>
  <c r="A19" i="119"/>
  <c r="A18" i="119"/>
  <c r="A17" i="119"/>
  <c r="A16" i="119"/>
  <c r="A15" i="119"/>
  <c r="A14" i="119"/>
  <c r="A13" i="119"/>
  <c r="A12" i="119"/>
  <c r="A11" i="119"/>
  <c r="A10" i="119"/>
  <c r="A9" i="119"/>
  <c r="A5" i="119"/>
  <c r="A4" i="119"/>
  <c r="A3" i="119"/>
  <c r="A98" i="91"/>
  <c r="A68" i="91"/>
  <c r="A57" i="91"/>
  <c r="A56" i="91"/>
  <c r="A55" i="91"/>
  <c r="A54" i="91"/>
  <c r="A53" i="91"/>
  <c r="A52" i="91"/>
  <c r="A51" i="91"/>
  <c r="A50" i="91"/>
  <c r="A46" i="91"/>
  <c r="A45" i="91"/>
  <c r="A44" i="91"/>
  <c r="A43" i="91"/>
  <c r="A42" i="91"/>
  <c r="A41" i="91"/>
  <c r="A40" i="91"/>
  <c r="A39" i="91"/>
  <c r="A38" i="91"/>
  <c r="A37" i="91"/>
  <c r="A36" i="91"/>
  <c r="A35" i="91"/>
  <c r="A34" i="91"/>
  <c r="A33" i="91"/>
  <c r="A32" i="91"/>
  <c r="A31" i="91"/>
  <c r="A30" i="91"/>
  <c r="A29" i="91"/>
  <c r="A28" i="91"/>
  <c r="A27" i="91"/>
  <c r="A23" i="91"/>
  <c r="A22" i="91"/>
  <c r="A21" i="91"/>
  <c r="A20" i="91"/>
  <c r="A19" i="91"/>
  <c r="A18" i="91"/>
  <c r="A17" i="91"/>
  <c r="A16" i="91"/>
  <c r="A15" i="91"/>
  <c r="A14" i="91"/>
  <c r="A13" i="91"/>
  <c r="A12" i="91"/>
  <c r="A11" i="91"/>
  <c r="A10" i="91"/>
  <c r="A9" i="91"/>
  <c r="A5" i="91"/>
  <c r="A4" i="91"/>
  <c r="A3" i="91"/>
  <c r="A68" i="117"/>
  <c r="A57" i="117"/>
  <c r="A56" i="117"/>
  <c r="A55" i="117"/>
  <c r="A54" i="117"/>
  <c r="A53" i="117"/>
  <c r="A52" i="117"/>
  <c r="A51" i="117"/>
  <c r="A50" i="117"/>
  <c r="A46" i="117"/>
  <c r="A45" i="117"/>
  <c r="A44" i="117"/>
  <c r="A43" i="117"/>
  <c r="A42" i="117"/>
  <c r="A41" i="117"/>
  <c r="A40" i="117"/>
  <c r="A39" i="117"/>
  <c r="A38" i="117"/>
  <c r="A37" i="117"/>
  <c r="A36" i="117"/>
  <c r="A35" i="117"/>
  <c r="A34" i="117"/>
  <c r="A33" i="117"/>
  <c r="A32" i="117"/>
  <c r="A31" i="117"/>
  <c r="A30" i="117"/>
  <c r="A29" i="117"/>
  <c r="A28" i="117"/>
  <c r="A27" i="117"/>
  <c r="A23" i="117"/>
  <c r="A22" i="117"/>
  <c r="A21" i="117"/>
  <c r="A20" i="117"/>
  <c r="A19" i="117"/>
  <c r="A18" i="117"/>
  <c r="A17" i="117"/>
  <c r="A16" i="117"/>
  <c r="A15" i="117"/>
  <c r="A14" i="117"/>
  <c r="A13" i="117"/>
  <c r="A12" i="117"/>
  <c r="A11" i="117"/>
  <c r="A10" i="117"/>
  <c r="A9" i="117"/>
  <c r="A5" i="117"/>
  <c r="A4" i="117"/>
  <c r="A3" i="117"/>
  <c r="A638" i="116"/>
  <c r="A608" i="116"/>
  <c r="A578" i="116"/>
  <c r="A548" i="116"/>
  <c r="A518" i="116"/>
  <c r="A488" i="116"/>
  <c r="A458" i="116"/>
  <c r="A428" i="116"/>
  <c r="A398" i="116"/>
  <c r="A368" i="116"/>
  <c r="A338" i="116"/>
  <c r="A308" i="116"/>
  <c r="A278" i="116"/>
  <c r="A248" i="116"/>
  <c r="A218" i="116"/>
  <c r="A188" i="116"/>
  <c r="A158" i="116"/>
  <c r="A128" i="116"/>
  <c r="A98" i="116"/>
  <c r="A68" i="116"/>
  <c r="A57" i="116"/>
  <c r="A56" i="116"/>
  <c r="A55" i="116"/>
  <c r="A54" i="116"/>
  <c r="A53" i="116"/>
  <c r="A52" i="116"/>
  <c r="A51" i="116"/>
  <c r="A50" i="116"/>
  <c r="A46" i="116"/>
  <c r="A45" i="116"/>
  <c r="A44" i="116"/>
  <c r="A43" i="116"/>
  <c r="A42" i="116"/>
  <c r="A41" i="116"/>
  <c r="A40" i="116"/>
  <c r="A39" i="116"/>
  <c r="A38" i="116"/>
  <c r="A37" i="116"/>
  <c r="A36" i="116"/>
  <c r="A35" i="116"/>
  <c r="A34" i="116"/>
  <c r="A33" i="116"/>
  <c r="A32" i="116"/>
  <c r="A31" i="116"/>
  <c r="A30" i="116"/>
  <c r="A29" i="116"/>
  <c r="A28" i="116"/>
  <c r="A27" i="116"/>
  <c r="A23" i="116"/>
  <c r="A22" i="116"/>
  <c r="A21" i="116"/>
  <c r="A20" i="116"/>
  <c r="A19" i="116"/>
  <c r="A18" i="116"/>
  <c r="A17" i="116"/>
  <c r="A16" i="116"/>
  <c r="A15" i="116"/>
  <c r="A14" i="116"/>
  <c r="A13" i="116"/>
  <c r="A12" i="116"/>
  <c r="A11" i="116"/>
  <c r="A10" i="116"/>
  <c r="A9" i="116"/>
  <c r="A5" i="116"/>
  <c r="A4" i="116"/>
  <c r="A3" i="116"/>
  <c r="A57" i="93"/>
  <c r="A56" i="93"/>
  <c r="A55" i="93"/>
  <c r="A54" i="93"/>
  <c r="A53" i="93"/>
  <c r="A52" i="93"/>
  <c r="A51" i="93"/>
  <c r="A50" i="93"/>
  <c r="A46" i="93"/>
  <c r="A45" i="93"/>
  <c r="A44" i="93"/>
  <c r="A43" i="93"/>
  <c r="A42" i="93"/>
  <c r="A41" i="93"/>
  <c r="A40" i="93"/>
  <c r="A39" i="93"/>
  <c r="A38" i="93"/>
  <c r="A37" i="93"/>
  <c r="A36" i="93"/>
  <c r="A35" i="93"/>
  <c r="A34" i="93"/>
  <c r="A33" i="93"/>
  <c r="A32" i="93"/>
  <c r="A31" i="93"/>
  <c r="A30" i="93"/>
  <c r="A29" i="93"/>
  <c r="A28" i="93"/>
  <c r="A27" i="93"/>
  <c r="A23" i="93"/>
  <c r="A22" i="93"/>
  <c r="A21" i="93"/>
  <c r="A20" i="93"/>
  <c r="A19" i="93"/>
  <c r="A18" i="93"/>
  <c r="A17" i="93"/>
  <c r="A16" i="93"/>
  <c r="A15" i="93"/>
  <c r="A14" i="93"/>
  <c r="A13" i="93"/>
  <c r="A12" i="93"/>
  <c r="A11" i="93"/>
  <c r="A10" i="93"/>
  <c r="A9" i="93"/>
  <c r="A5" i="93"/>
  <c r="A4" i="93"/>
  <c r="A3" i="93"/>
  <c r="A188" i="109"/>
  <c r="A158" i="109"/>
  <c r="A128" i="109"/>
  <c r="A98" i="109"/>
  <c r="A68" i="109"/>
  <c r="A57" i="109"/>
  <c r="A56" i="109"/>
  <c r="A55" i="109"/>
  <c r="A54" i="109"/>
  <c r="A53" i="109"/>
  <c r="A52" i="109"/>
  <c r="A51" i="109"/>
  <c r="A50" i="109"/>
  <c r="A46" i="109"/>
  <c r="A45" i="109"/>
  <c r="A44" i="109"/>
  <c r="A43" i="109"/>
  <c r="A42" i="109"/>
  <c r="A41" i="109"/>
  <c r="A40" i="109"/>
  <c r="A39" i="109"/>
  <c r="A38" i="109"/>
  <c r="A37" i="109"/>
  <c r="A36" i="109"/>
  <c r="A35" i="109"/>
  <c r="A34" i="109"/>
  <c r="A33" i="109"/>
  <c r="A32" i="109"/>
  <c r="A31" i="109"/>
  <c r="A30" i="109"/>
  <c r="A29" i="109"/>
  <c r="A28" i="109"/>
  <c r="A27" i="109"/>
  <c r="A23" i="109"/>
  <c r="A22" i="109"/>
  <c r="A21" i="109"/>
  <c r="A20" i="109"/>
  <c r="A19" i="109"/>
  <c r="A18" i="109"/>
  <c r="A17" i="109"/>
  <c r="A16" i="109"/>
  <c r="A15" i="109"/>
  <c r="A14" i="109"/>
  <c r="A13" i="109"/>
  <c r="A12" i="109"/>
  <c r="A11" i="109"/>
  <c r="A10" i="109"/>
  <c r="A9" i="109"/>
  <c r="A5" i="109"/>
  <c r="A4" i="109"/>
  <c r="A3" i="109"/>
  <c r="A57" i="97"/>
  <c r="A56" i="97"/>
  <c r="A55" i="97"/>
  <c r="A54" i="97"/>
  <c r="A53" i="97"/>
  <c r="A52" i="97"/>
  <c r="A51" i="97"/>
  <c r="A50" i="97"/>
  <c r="A46" i="97"/>
  <c r="A45" i="97"/>
  <c r="A44" i="97"/>
  <c r="A43" i="97"/>
  <c r="A42" i="97"/>
  <c r="A41" i="97"/>
  <c r="A40" i="97"/>
  <c r="A39" i="97"/>
  <c r="A38" i="97"/>
  <c r="A37" i="97"/>
  <c r="A36" i="97"/>
  <c r="A35" i="97"/>
  <c r="A34" i="97"/>
  <c r="A33" i="97"/>
  <c r="A32" i="97"/>
  <c r="A31" i="97"/>
  <c r="A30" i="97"/>
  <c r="A29" i="97"/>
  <c r="A28" i="97"/>
  <c r="A27" i="97"/>
  <c r="A23" i="97"/>
  <c r="A22" i="97"/>
  <c r="A21" i="97"/>
  <c r="A20" i="97"/>
  <c r="A19" i="97"/>
  <c r="A18" i="97"/>
  <c r="A17" i="97"/>
  <c r="A16" i="97"/>
  <c r="A15" i="97"/>
  <c r="A14" i="97"/>
  <c r="A13" i="97"/>
  <c r="A12" i="97"/>
  <c r="A11" i="97"/>
  <c r="A10" i="97"/>
  <c r="A9" i="97"/>
  <c r="A5" i="97"/>
  <c r="A4" i="97"/>
  <c r="A3" i="97"/>
  <c r="A68" i="96"/>
  <c r="A57" i="96"/>
  <c r="A56" i="96"/>
  <c r="A55" i="96"/>
  <c r="A54" i="96"/>
  <c r="A53" i="96"/>
  <c r="A52" i="96"/>
  <c r="A51" i="96"/>
  <c r="A50" i="96"/>
  <c r="A46" i="96"/>
  <c r="A45" i="96"/>
  <c r="A44" i="96"/>
  <c r="A43" i="96"/>
  <c r="A42" i="96"/>
  <c r="A41" i="96"/>
  <c r="A40" i="96"/>
  <c r="A39" i="96"/>
  <c r="A38" i="96"/>
  <c r="A37" i="96"/>
  <c r="A36" i="96"/>
  <c r="A35" i="96"/>
  <c r="A34" i="96"/>
  <c r="A33" i="96"/>
  <c r="A32" i="96"/>
  <c r="A31" i="96"/>
  <c r="A30" i="96"/>
  <c r="A29" i="96"/>
  <c r="A28" i="96"/>
  <c r="A27" i="96"/>
  <c r="A23" i="96"/>
  <c r="A22" i="96"/>
  <c r="A21" i="96"/>
  <c r="A20" i="96"/>
  <c r="A19" i="96"/>
  <c r="A18" i="96"/>
  <c r="A17" i="96"/>
  <c r="A16" i="96"/>
  <c r="A15" i="96"/>
  <c r="A14" i="96"/>
  <c r="A13" i="96"/>
  <c r="A12" i="96"/>
  <c r="A11" i="96"/>
  <c r="A10" i="96"/>
  <c r="A9" i="96"/>
  <c r="A5" i="96"/>
  <c r="A4" i="96"/>
  <c r="A3" i="96"/>
  <c r="A57" i="90"/>
  <c r="A56" i="90"/>
  <c r="A55" i="90"/>
  <c r="A54" i="90"/>
  <c r="A53" i="90"/>
  <c r="A52" i="90"/>
  <c r="A51" i="90"/>
  <c r="A50" i="90"/>
  <c r="A46" i="90"/>
  <c r="A45" i="90"/>
  <c r="A44" i="90"/>
  <c r="A43" i="90"/>
  <c r="A42" i="90"/>
  <c r="A41" i="90"/>
  <c r="A40" i="90"/>
  <c r="A39" i="90"/>
  <c r="A38" i="90"/>
  <c r="A37" i="90"/>
  <c r="A36" i="90"/>
  <c r="A35" i="90"/>
  <c r="A34" i="90"/>
  <c r="A33" i="90"/>
  <c r="A32" i="90"/>
  <c r="A31" i="90"/>
  <c r="A30" i="90"/>
  <c r="A29" i="90"/>
  <c r="A28" i="90"/>
  <c r="A27" i="90"/>
  <c r="A23" i="90"/>
  <c r="A22" i="90"/>
  <c r="A21" i="90"/>
  <c r="A20" i="90"/>
  <c r="A19" i="90"/>
  <c r="A18" i="90"/>
  <c r="A17" i="90"/>
  <c r="A16" i="90"/>
  <c r="A15" i="90"/>
  <c r="A14" i="90"/>
  <c r="A13" i="90"/>
  <c r="A12" i="90"/>
  <c r="A11" i="90"/>
  <c r="A10" i="90"/>
  <c r="A9" i="90"/>
  <c r="A5" i="90"/>
  <c r="A4" i="90"/>
  <c r="A3" i="90"/>
  <c r="A57" i="89"/>
  <c r="A56" i="89"/>
  <c r="A55" i="89"/>
  <c r="A54" i="89"/>
  <c r="A53" i="89"/>
  <c r="A52" i="89"/>
  <c r="A51" i="89"/>
  <c r="A50" i="89"/>
  <c r="A46" i="89"/>
  <c r="A45" i="89"/>
  <c r="A44" i="89"/>
  <c r="A43" i="89"/>
  <c r="A42" i="89"/>
  <c r="A41" i="89"/>
  <c r="A40" i="89"/>
  <c r="A39" i="89"/>
  <c r="A38" i="89"/>
  <c r="A37" i="89"/>
  <c r="A36" i="89"/>
  <c r="A35" i="89"/>
  <c r="A34" i="89"/>
  <c r="A33" i="89"/>
  <c r="A32" i="89"/>
  <c r="A31" i="89"/>
  <c r="A30" i="89"/>
  <c r="A29" i="89"/>
  <c r="A28" i="89"/>
  <c r="A27" i="89"/>
  <c r="A23" i="89"/>
  <c r="A22" i="89"/>
  <c r="A21" i="89"/>
  <c r="A20" i="89"/>
  <c r="A19" i="89"/>
  <c r="A18" i="89"/>
  <c r="A17" i="89"/>
  <c r="A16" i="89"/>
  <c r="A15" i="89"/>
  <c r="A14" i="89"/>
  <c r="A13" i="89"/>
  <c r="A12" i="89"/>
  <c r="A11" i="89"/>
  <c r="A10" i="89"/>
  <c r="A9" i="89"/>
  <c r="A5" i="89"/>
  <c r="A4" i="89"/>
  <c r="A3" i="89"/>
  <c r="A57" i="88"/>
  <c r="A56" i="88"/>
  <c r="A55" i="88"/>
  <c r="A54" i="88"/>
  <c r="A53" i="88"/>
  <c r="A52" i="88"/>
  <c r="A51" i="88"/>
  <c r="A50" i="88"/>
  <c r="A46" i="88"/>
  <c r="A45" i="88"/>
  <c r="A44" i="88"/>
  <c r="A43" i="88"/>
  <c r="A42" i="88"/>
  <c r="A41" i="88"/>
  <c r="A40" i="88"/>
  <c r="A39" i="88"/>
  <c r="A38" i="88"/>
  <c r="A37" i="88"/>
  <c r="A36" i="88"/>
  <c r="A35" i="88"/>
  <c r="A34" i="88"/>
  <c r="A33" i="88"/>
  <c r="A32" i="88"/>
  <c r="A31" i="88"/>
  <c r="A30" i="88"/>
  <c r="A29" i="88"/>
  <c r="A28" i="88"/>
  <c r="A27" i="88"/>
  <c r="A23" i="88"/>
  <c r="A22" i="88"/>
  <c r="A21" i="88"/>
  <c r="A20" i="88"/>
  <c r="A19" i="88"/>
  <c r="A18" i="88"/>
  <c r="A17" i="88"/>
  <c r="A16" i="88"/>
  <c r="A15" i="88"/>
  <c r="A14" i="88"/>
  <c r="A13" i="88"/>
  <c r="A12" i="88"/>
  <c r="A11" i="88"/>
  <c r="A10" i="88"/>
  <c r="A9" i="88"/>
  <c r="A5" i="88"/>
  <c r="A4" i="88"/>
  <c r="A3" i="88"/>
  <c r="A188" i="87"/>
  <c r="A158" i="87"/>
  <c r="A128" i="87"/>
  <c r="A98" i="87"/>
  <c r="A68" i="87"/>
  <c r="A57" i="87"/>
  <c r="A56" i="87"/>
  <c r="A55" i="87"/>
  <c r="A54" i="87"/>
  <c r="A53" i="87"/>
  <c r="A52" i="87"/>
  <c r="A51" i="87"/>
  <c r="A50" i="87"/>
  <c r="A46" i="87"/>
  <c r="A45" i="87"/>
  <c r="A44" i="87"/>
  <c r="A43" i="87"/>
  <c r="A42" i="87"/>
  <c r="A41" i="87"/>
  <c r="A40" i="87"/>
  <c r="A39" i="87"/>
  <c r="A38" i="87"/>
  <c r="A37" i="87"/>
  <c r="A36" i="87"/>
  <c r="A35" i="87"/>
  <c r="A34" i="87"/>
  <c r="A33" i="87"/>
  <c r="A32" i="87"/>
  <c r="A31" i="87"/>
  <c r="A30" i="87"/>
  <c r="A29" i="87"/>
  <c r="A28" i="87"/>
  <c r="A27" i="87"/>
  <c r="A23" i="87"/>
  <c r="A22" i="87"/>
  <c r="A21" i="87"/>
  <c r="A20" i="87"/>
  <c r="A19" i="87"/>
  <c r="A18" i="87"/>
  <c r="A17" i="87"/>
  <c r="A16" i="87"/>
  <c r="A15" i="87"/>
  <c r="A14" i="87"/>
  <c r="A13" i="87"/>
  <c r="A12" i="87"/>
  <c r="A11" i="87"/>
  <c r="A10" i="87"/>
  <c r="A9" i="87"/>
  <c r="A5" i="87"/>
  <c r="A4" i="87"/>
  <c r="A3" i="87"/>
  <c r="A57" i="86"/>
  <c r="A56" i="86"/>
  <c r="A55" i="86"/>
  <c r="A54" i="86"/>
  <c r="A53" i="86"/>
  <c r="A52" i="86"/>
  <c r="A51" i="86"/>
  <c r="A50" i="86"/>
  <c r="A46" i="86"/>
  <c r="A45" i="86"/>
  <c r="A44" i="86"/>
  <c r="A43" i="86"/>
  <c r="A42" i="86"/>
  <c r="A41" i="86"/>
  <c r="A40" i="86"/>
  <c r="A39" i="86"/>
  <c r="A38" i="86"/>
  <c r="A37" i="86"/>
  <c r="A36" i="86"/>
  <c r="A35" i="86"/>
  <c r="A34" i="86"/>
  <c r="A33" i="86"/>
  <c r="A32" i="86"/>
  <c r="A31" i="86"/>
  <c r="A30" i="86"/>
  <c r="A29" i="86"/>
  <c r="A28" i="86"/>
  <c r="A27" i="86"/>
  <c r="A23" i="86"/>
  <c r="A22" i="86"/>
  <c r="A21" i="86"/>
  <c r="A20" i="86"/>
  <c r="A19" i="86"/>
  <c r="A18" i="86"/>
  <c r="A17" i="86"/>
  <c r="A16" i="86"/>
  <c r="A15" i="86"/>
  <c r="A14" i="86"/>
  <c r="A13" i="86"/>
  <c r="A12" i="86"/>
  <c r="A11" i="86"/>
  <c r="A10" i="86"/>
  <c r="A9" i="86"/>
  <c r="A5" i="86"/>
  <c r="A4" i="86"/>
  <c r="A3" i="86"/>
  <c r="A98" i="85"/>
  <c r="A68" i="85"/>
  <c r="A57" i="85"/>
  <c r="A56" i="85"/>
  <c r="A55" i="85"/>
  <c r="A54" i="85"/>
  <c r="A53" i="85"/>
  <c r="A52" i="85"/>
  <c r="A51" i="85"/>
  <c r="A50" i="85"/>
  <c r="A46" i="85"/>
  <c r="A45" i="85"/>
  <c r="A44" i="85"/>
  <c r="A43" i="85"/>
  <c r="A42" i="85"/>
  <c r="A41" i="85"/>
  <c r="A40" i="85"/>
  <c r="A39" i="85"/>
  <c r="A38" i="85"/>
  <c r="A37" i="85"/>
  <c r="A36" i="85"/>
  <c r="A35" i="85"/>
  <c r="A34" i="85"/>
  <c r="A33" i="85"/>
  <c r="A32" i="85"/>
  <c r="A31" i="85"/>
  <c r="A30" i="85"/>
  <c r="A29" i="85"/>
  <c r="A28" i="85"/>
  <c r="A27" i="85"/>
  <c r="A23" i="85"/>
  <c r="A22" i="85"/>
  <c r="A21" i="85"/>
  <c r="A20" i="85"/>
  <c r="A19" i="85"/>
  <c r="A18" i="85"/>
  <c r="A17" i="85"/>
  <c r="A16" i="85"/>
  <c r="A15" i="85"/>
  <c r="A14" i="85"/>
  <c r="A13" i="85"/>
  <c r="A12" i="85"/>
  <c r="A11" i="85"/>
  <c r="A10" i="85"/>
  <c r="A9" i="85"/>
  <c r="A5" i="85"/>
  <c r="A4" i="85"/>
  <c r="A3" i="85"/>
  <c r="A248" i="84"/>
  <c r="A218" i="84"/>
  <c r="A188" i="84"/>
  <c r="A158" i="84"/>
  <c r="A128" i="84"/>
  <c r="A98" i="84"/>
  <c r="A68" i="84"/>
  <c r="A57" i="84"/>
  <c r="A56" i="84"/>
  <c r="A55" i="84"/>
  <c r="A54" i="84"/>
  <c r="A53" i="84"/>
  <c r="A52" i="84"/>
  <c r="A51" i="84"/>
  <c r="A50" i="84"/>
  <c r="A46" i="84"/>
  <c r="A45" i="84"/>
  <c r="A44" i="84"/>
  <c r="A43" i="84"/>
  <c r="A42" i="84"/>
  <c r="A41" i="84"/>
  <c r="A40" i="84"/>
  <c r="A39" i="84"/>
  <c r="A38" i="84"/>
  <c r="A37" i="84"/>
  <c r="A36" i="84"/>
  <c r="A35" i="84"/>
  <c r="A34" i="84"/>
  <c r="A33" i="84"/>
  <c r="A32" i="84"/>
  <c r="A31" i="84"/>
  <c r="A30" i="84"/>
  <c r="A29" i="84"/>
  <c r="A28" i="84"/>
  <c r="A27" i="84"/>
  <c r="A23" i="84"/>
  <c r="A22" i="84"/>
  <c r="A21" i="84"/>
  <c r="A20" i="84"/>
  <c r="A19" i="84"/>
  <c r="A18" i="84"/>
  <c r="A17" i="84"/>
  <c r="A16" i="84"/>
  <c r="A15" i="84"/>
  <c r="A14" i="84"/>
  <c r="A13" i="84"/>
  <c r="A12" i="84"/>
  <c r="A11" i="84"/>
  <c r="A10" i="84"/>
  <c r="A9" i="84"/>
  <c r="A5" i="84"/>
  <c r="A4" i="84"/>
  <c r="A3" i="84"/>
  <c r="A218" i="83"/>
  <c r="A188" i="83"/>
  <c r="A158" i="83"/>
  <c r="A128" i="83"/>
  <c r="A98" i="83"/>
  <c r="A68" i="83"/>
  <c r="A57" i="83"/>
  <c r="A56" i="83"/>
  <c r="A55" i="83"/>
  <c r="A54" i="83"/>
  <c r="A53" i="83"/>
  <c r="A52" i="83"/>
  <c r="A51" i="83"/>
  <c r="A50" i="83"/>
  <c r="A46" i="83"/>
  <c r="A45" i="83"/>
  <c r="A44" i="83"/>
  <c r="A43" i="83"/>
  <c r="A42" i="83"/>
  <c r="A41" i="83"/>
  <c r="A40" i="83"/>
  <c r="A39" i="83"/>
  <c r="A38" i="83"/>
  <c r="A37" i="83"/>
  <c r="A36" i="83"/>
  <c r="A35" i="83"/>
  <c r="A34" i="83"/>
  <c r="A33" i="83"/>
  <c r="A32" i="83"/>
  <c r="A31" i="83"/>
  <c r="A30" i="83"/>
  <c r="A29" i="83"/>
  <c r="A28" i="83"/>
  <c r="A27" i="83"/>
  <c r="A23" i="83"/>
  <c r="A22" i="83"/>
  <c r="A21" i="83"/>
  <c r="A20" i="83"/>
  <c r="A19" i="83"/>
  <c r="A18" i="83"/>
  <c r="A17" i="83"/>
  <c r="A16" i="83"/>
  <c r="A15" i="83"/>
  <c r="A14" i="83"/>
  <c r="A13" i="83"/>
  <c r="A12" i="83"/>
  <c r="A11" i="83"/>
  <c r="A10" i="83"/>
  <c r="A9" i="83"/>
  <c r="A5" i="83"/>
  <c r="A4" i="83"/>
  <c r="A3" i="83"/>
  <c r="A57" i="78"/>
  <c r="A56" i="78"/>
  <c r="A55" i="78"/>
  <c r="A54" i="78"/>
  <c r="A53" i="78"/>
  <c r="A52" i="78"/>
  <c r="A51" i="78"/>
  <c r="A50" i="78"/>
  <c r="A46" i="78"/>
  <c r="A45" i="78"/>
  <c r="A44" i="78"/>
  <c r="A43" i="78"/>
  <c r="A42" i="78"/>
  <c r="A41" i="78"/>
  <c r="A40" i="78"/>
  <c r="A39" i="78"/>
  <c r="A38" i="78"/>
  <c r="A37" i="78"/>
  <c r="A36" i="78"/>
  <c r="A35" i="78"/>
  <c r="A34" i="78"/>
  <c r="A33" i="78"/>
  <c r="A32" i="78"/>
  <c r="A31" i="78"/>
  <c r="A30" i="78"/>
  <c r="A29" i="78"/>
  <c r="A28" i="78"/>
  <c r="A27" i="78"/>
  <c r="A23" i="78"/>
  <c r="A22" i="78"/>
  <c r="A21" i="78"/>
  <c r="A20" i="78"/>
  <c r="A19" i="78"/>
  <c r="A18" i="78"/>
  <c r="A17" i="78"/>
  <c r="A16" i="78"/>
  <c r="A15" i="78"/>
  <c r="A14" i="78"/>
  <c r="A13" i="78"/>
  <c r="A12" i="78"/>
  <c r="A11" i="78"/>
  <c r="A10" i="78"/>
  <c r="A9" i="78"/>
  <c r="A5" i="78"/>
  <c r="A4" i="78"/>
  <c r="A3" i="78"/>
  <c r="A57" i="115"/>
  <c r="A56" i="115"/>
  <c r="A55" i="115"/>
  <c r="A54" i="115"/>
  <c r="A53" i="115"/>
  <c r="A52" i="115"/>
  <c r="A51" i="115"/>
  <c r="A50" i="115"/>
  <c r="A46" i="115"/>
  <c r="A45" i="115"/>
  <c r="A44" i="115"/>
  <c r="A43" i="115"/>
  <c r="A42" i="115"/>
  <c r="A41" i="115"/>
  <c r="A40" i="115"/>
  <c r="A39" i="115"/>
  <c r="A38" i="115"/>
  <c r="A37" i="115"/>
  <c r="A36" i="115"/>
  <c r="A35" i="115"/>
  <c r="A34" i="115"/>
  <c r="A33" i="115"/>
  <c r="A32" i="115"/>
  <c r="A31" i="115"/>
  <c r="A30" i="115"/>
  <c r="A29" i="115"/>
  <c r="A28" i="115"/>
  <c r="A27" i="115"/>
  <c r="A23" i="115"/>
  <c r="A22" i="115"/>
  <c r="A21" i="115"/>
  <c r="A20" i="115"/>
  <c r="A19" i="115"/>
  <c r="A18" i="115"/>
  <c r="A17" i="115"/>
  <c r="A16" i="115"/>
  <c r="A15" i="115"/>
  <c r="A14" i="115"/>
  <c r="A13" i="115"/>
  <c r="A12" i="115"/>
  <c r="A11" i="115"/>
  <c r="A10" i="115"/>
  <c r="A9" i="115"/>
  <c r="A5" i="115"/>
  <c r="A4" i="115"/>
  <c r="A3" i="115"/>
  <c r="A57" i="108"/>
  <c r="A56" i="108"/>
  <c r="A55" i="108"/>
  <c r="A54" i="108"/>
  <c r="A53" i="108"/>
  <c r="A52" i="108"/>
  <c r="A51" i="108"/>
  <c r="A50" i="108"/>
  <c r="A46" i="108"/>
  <c r="A45" i="108"/>
  <c r="A44" i="108"/>
  <c r="A43" i="108"/>
  <c r="A42" i="108"/>
  <c r="A41" i="108"/>
  <c r="A40" i="108"/>
  <c r="A39" i="108"/>
  <c r="A38" i="108"/>
  <c r="A37" i="108"/>
  <c r="A36" i="108"/>
  <c r="A35" i="108"/>
  <c r="A34" i="108"/>
  <c r="A33" i="108"/>
  <c r="A32" i="108"/>
  <c r="A31" i="108"/>
  <c r="A30" i="108"/>
  <c r="A29" i="108"/>
  <c r="A28" i="108"/>
  <c r="A27" i="108"/>
  <c r="A23" i="108"/>
  <c r="A22" i="108"/>
  <c r="A21" i="108"/>
  <c r="A20" i="108"/>
  <c r="A19" i="108"/>
  <c r="A18" i="108"/>
  <c r="A17" i="108"/>
  <c r="A16" i="108"/>
  <c r="A15" i="108"/>
  <c r="A14" i="108"/>
  <c r="A13" i="108"/>
  <c r="A12" i="108"/>
  <c r="A11" i="108"/>
  <c r="A10" i="108"/>
  <c r="A9" i="108"/>
  <c r="A5" i="108"/>
  <c r="A4" i="108"/>
  <c r="A3" i="108"/>
  <c r="A57" i="114"/>
  <c r="A56" i="114"/>
  <c r="A55" i="114"/>
  <c r="A54" i="114"/>
  <c r="A53" i="114"/>
  <c r="A52" i="114"/>
  <c r="A51" i="114"/>
  <c r="A50" i="114"/>
  <c r="A46" i="114"/>
  <c r="A45" i="114"/>
  <c r="A44" i="114"/>
  <c r="A43" i="114"/>
  <c r="A42" i="114"/>
  <c r="A41" i="114"/>
  <c r="A40" i="114"/>
  <c r="A39" i="114"/>
  <c r="A38" i="114"/>
  <c r="A37" i="114"/>
  <c r="A36" i="114"/>
  <c r="A35" i="114"/>
  <c r="A34" i="114"/>
  <c r="A33" i="114"/>
  <c r="A32" i="114"/>
  <c r="A31" i="114"/>
  <c r="A30" i="114"/>
  <c r="A29" i="114"/>
  <c r="A28" i="114"/>
  <c r="A27" i="114"/>
  <c r="A23" i="114"/>
  <c r="A22" i="114"/>
  <c r="A21" i="114"/>
  <c r="A20" i="114"/>
  <c r="A19" i="114"/>
  <c r="A18" i="114"/>
  <c r="A17" i="114"/>
  <c r="A16" i="114"/>
  <c r="A15" i="114"/>
  <c r="A14" i="114"/>
  <c r="A13" i="114"/>
  <c r="A12" i="114"/>
  <c r="A11" i="114"/>
  <c r="A10" i="114"/>
  <c r="A9" i="114"/>
  <c r="A5" i="114"/>
  <c r="A4" i="114"/>
  <c r="A3" i="114"/>
  <c r="A57" i="113"/>
  <c r="A56" i="113"/>
  <c r="A55" i="113"/>
  <c r="A54" i="113"/>
  <c r="A53" i="113"/>
  <c r="A52" i="113"/>
  <c r="A51" i="113"/>
  <c r="A50" i="113"/>
  <c r="A46" i="113"/>
  <c r="A45" i="113"/>
  <c r="A44" i="113"/>
  <c r="A43" i="113"/>
  <c r="A42" i="113"/>
  <c r="A41" i="113"/>
  <c r="A40" i="113"/>
  <c r="A39" i="113"/>
  <c r="A38" i="113"/>
  <c r="A37" i="113"/>
  <c r="A36" i="113"/>
  <c r="A35" i="113"/>
  <c r="A34" i="113"/>
  <c r="A33" i="113"/>
  <c r="A32" i="113"/>
  <c r="A31" i="113"/>
  <c r="A30" i="113"/>
  <c r="A29" i="113"/>
  <c r="A28" i="113"/>
  <c r="A27" i="113"/>
  <c r="A23" i="113"/>
  <c r="A22" i="113"/>
  <c r="A21" i="113"/>
  <c r="A20" i="113"/>
  <c r="A19" i="113"/>
  <c r="A18" i="113"/>
  <c r="A17" i="113"/>
  <c r="A16" i="113"/>
  <c r="A15" i="113"/>
  <c r="A14" i="113"/>
  <c r="A13" i="113"/>
  <c r="A12" i="113"/>
  <c r="A11" i="113"/>
  <c r="A10" i="113"/>
  <c r="A9" i="113"/>
  <c r="A5" i="113"/>
  <c r="A4" i="113"/>
  <c r="A3" i="113"/>
  <c r="A57" i="112"/>
  <c r="A56" i="112"/>
  <c r="A55" i="112"/>
  <c r="A54" i="112"/>
  <c r="A53" i="112"/>
  <c r="A52" i="112"/>
  <c r="A51" i="112"/>
  <c r="A50" i="112"/>
  <c r="A46" i="112"/>
  <c r="A45" i="112"/>
  <c r="A44" i="112"/>
  <c r="A43" i="112"/>
  <c r="A42" i="112"/>
  <c r="A41" i="112"/>
  <c r="A40" i="112"/>
  <c r="A39" i="112"/>
  <c r="A38" i="112"/>
  <c r="A37" i="112"/>
  <c r="A36" i="112"/>
  <c r="A35" i="112"/>
  <c r="A34" i="112"/>
  <c r="A33" i="112"/>
  <c r="A32" i="112"/>
  <c r="A31" i="112"/>
  <c r="A30" i="112"/>
  <c r="A29" i="112"/>
  <c r="A28" i="112"/>
  <c r="A27" i="112"/>
  <c r="A23" i="112"/>
  <c r="A22" i="112"/>
  <c r="A21" i="112"/>
  <c r="A20" i="112"/>
  <c r="A19" i="112"/>
  <c r="A18" i="112"/>
  <c r="A17" i="112"/>
  <c r="A16" i="112"/>
  <c r="A15" i="112"/>
  <c r="A14" i="112"/>
  <c r="A13" i="112"/>
  <c r="A12" i="112"/>
  <c r="A11" i="112"/>
  <c r="A10" i="112"/>
  <c r="A9" i="112"/>
  <c r="A5" i="112"/>
  <c r="A4" i="112"/>
  <c r="A3" i="112"/>
  <c r="A57" i="92"/>
  <c r="A56" i="92"/>
  <c r="A55" i="92"/>
  <c r="A54" i="92"/>
  <c r="A53" i="92"/>
  <c r="A52" i="92"/>
  <c r="A51" i="92"/>
  <c r="A50" i="92"/>
  <c r="A46" i="92"/>
  <c r="A45" i="92"/>
  <c r="A44" i="92"/>
  <c r="A43" i="92"/>
  <c r="A42" i="92"/>
  <c r="A41" i="92"/>
  <c r="A40" i="92"/>
  <c r="A39" i="92"/>
  <c r="A38" i="92"/>
  <c r="A37" i="92"/>
  <c r="A36" i="92"/>
  <c r="A35" i="92"/>
  <c r="A34" i="92"/>
  <c r="A33" i="92"/>
  <c r="A32" i="92"/>
  <c r="A31" i="92"/>
  <c r="A30" i="92"/>
  <c r="A29" i="92"/>
  <c r="A28" i="92"/>
  <c r="A27" i="92"/>
  <c r="A23" i="92"/>
  <c r="A22" i="92"/>
  <c r="A21" i="92"/>
  <c r="A20" i="92"/>
  <c r="A19" i="92"/>
  <c r="A18" i="92"/>
  <c r="A17" i="92"/>
  <c r="A16" i="92"/>
  <c r="A15" i="92"/>
  <c r="A14" i="92"/>
  <c r="A13" i="92"/>
  <c r="A12" i="92"/>
  <c r="A11" i="92"/>
  <c r="A10" i="92"/>
  <c r="A9" i="92"/>
  <c r="A5" i="92"/>
  <c r="A4" i="92"/>
  <c r="A3" i="92"/>
  <c r="A57" i="95"/>
  <c r="A56" i="95"/>
  <c r="A55" i="95"/>
  <c r="A54" i="95"/>
  <c r="A53" i="95"/>
  <c r="A52" i="95"/>
  <c r="A51" i="95"/>
  <c r="A50" i="95"/>
  <c r="A46" i="95"/>
  <c r="A45" i="95"/>
  <c r="A44" i="95"/>
  <c r="A43" i="95"/>
  <c r="A42" i="95"/>
  <c r="A41" i="95"/>
  <c r="A40" i="95"/>
  <c r="A39" i="95"/>
  <c r="A38" i="95"/>
  <c r="A37" i="95"/>
  <c r="A36" i="95"/>
  <c r="A35" i="95"/>
  <c r="A34" i="95"/>
  <c r="A33" i="95"/>
  <c r="A32" i="95"/>
  <c r="A31" i="95"/>
  <c r="A30" i="95"/>
  <c r="A29" i="95"/>
  <c r="A28" i="95"/>
  <c r="A27" i="95"/>
  <c r="A23" i="95"/>
  <c r="A22" i="95"/>
  <c r="A21" i="95"/>
  <c r="A20" i="95"/>
  <c r="A19" i="95"/>
  <c r="A18" i="95"/>
  <c r="A17" i="95"/>
  <c r="A16" i="95"/>
  <c r="A15" i="95"/>
  <c r="A14" i="95"/>
  <c r="A13" i="95"/>
  <c r="A12" i="95"/>
  <c r="A11" i="95"/>
  <c r="A10" i="95"/>
  <c r="A9" i="95"/>
  <c r="A5" i="95"/>
  <c r="A4" i="95"/>
  <c r="A3" i="95"/>
  <c r="A57" i="111"/>
  <c r="A56" i="111"/>
  <c r="A55" i="111"/>
  <c r="A54" i="111"/>
  <c r="A53" i="111"/>
  <c r="A52" i="111"/>
  <c r="A51" i="111"/>
  <c r="A50" i="111"/>
  <c r="A46" i="111"/>
  <c r="A45" i="111"/>
  <c r="A44" i="111"/>
  <c r="A43" i="111"/>
  <c r="A42" i="111"/>
  <c r="A41" i="111"/>
  <c r="A40" i="111"/>
  <c r="A39" i="111"/>
  <c r="A38" i="111"/>
  <c r="A37" i="111"/>
  <c r="A36" i="111"/>
  <c r="A35" i="111"/>
  <c r="A34" i="111"/>
  <c r="A33" i="111"/>
  <c r="A32" i="111"/>
  <c r="A31" i="111"/>
  <c r="A30" i="111"/>
  <c r="A29" i="111"/>
  <c r="A28" i="111"/>
  <c r="A27" i="111"/>
  <c r="A23" i="111"/>
  <c r="A22" i="111"/>
  <c r="A21" i="111"/>
  <c r="A20" i="111"/>
  <c r="A19" i="111"/>
  <c r="A18" i="111"/>
  <c r="A17" i="111"/>
  <c r="A16" i="111"/>
  <c r="A15" i="111"/>
  <c r="A14" i="111"/>
  <c r="A13" i="111"/>
  <c r="A12" i="111"/>
  <c r="A11" i="111"/>
  <c r="A10" i="111"/>
  <c r="A9" i="111"/>
  <c r="A5" i="111"/>
  <c r="A4" i="111"/>
  <c r="A3" i="111"/>
  <c r="A57" i="81"/>
  <c r="A56" i="81"/>
  <c r="A55" i="81"/>
  <c r="A54" i="81"/>
  <c r="A53" i="81"/>
  <c r="A52" i="81"/>
  <c r="A51" i="81"/>
  <c r="A50" i="81"/>
  <c r="A46" i="81"/>
  <c r="A45" i="81"/>
  <c r="A44" i="81"/>
  <c r="A43" i="81"/>
  <c r="A42" i="81"/>
  <c r="A41" i="81"/>
  <c r="A40" i="81"/>
  <c r="A39" i="81"/>
  <c r="A38" i="81"/>
  <c r="A37" i="81"/>
  <c r="A36" i="81"/>
  <c r="A35" i="81"/>
  <c r="A34" i="81"/>
  <c r="A33" i="81"/>
  <c r="A32" i="81"/>
  <c r="A31" i="81"/>
  <c r="A30" i="81"/>
  <c r="A29" i="81"/>
  <c r="A28" i="81"/>
  <c r="A27" i="81"/>
  <c r="A23" i="81"/>
  <c r="A22" i="81"/>
  <c r="A21" i="81"/>
  <c r="A20" i="81"/>
  <c r="A19" i="81"/>
  <c r="A18" i="81"/>
  <c r="A17" i="81"/>
  <c r="A16" i="81"/>
  <c r="A15" i="81"/>
  <c r="A14" i="81"/>
  <c r="A13" i="81"/>
  <c r="A12" i="81"/>
  <c r="A11" i="81"/>
  <c r="A10" i="81"/>
  <c r="A9" i="81"/>
  <c r="A5" i="81"/>
  <c r="A4" i="81"/>
  <c r="A3" i="81"/>
  <c r="A57" i="82"/>
  <c r="A56" i="82"/>
  <c r="A55" i="82"/>
  <c r="A54" i="82"/>
  <c r="A53" i="82"/>
  <c r="A52" i="82"/>
  <c r="A51" i="82"/>
  <c r="A50" i="82"/>
  <c r="A46" i="82"/>
  <c r="A45" i="82"/>
  <c r="A44" i="82"/>
  <c r="A43" i="82"/>
  <c r="A42" i="82"/>
  <c r="A41" i="82"/>
  <c r="A40" i="82"/>
  <c r="A39" i="82"/>
  <c r="A38" i="82"/>
  <c r="A37" i="82"/>
  <c r="A36" i="82"/>
  <c r="A35" i="82"/>
  <c r="A34" i="82"/>
  <c r="A33" i="82"/>
  <c r="A32" i="82"/>
  <c r="A31" i="82"/>
  <c r="A30" i="82"/>
  <c r="A29" i="82"/>
  <c r="A28" i="82"/>
  <c r="A27" i="82"/>
  <c r="A23" i="82"/>
  <c r="A22" i="82"/>
  <c r="A21" i="82"/>
  <c r="A20" i="82"/>
  <c r="A19" i="82"/>
  <c r="A18" i="82"/>
  <c r="A17" i="82"/>
  <c r="A16" i="82"/>
  <c r="A15" i="82"/>
  <c r="A14" i="82"/>
  <c r="A13" i="82"/>
  <c r="A12" i="82"/>
  <c r="A11" i="82"/>
  <c r="A10" i="82"/>
  <c r="A9" i="82"/>
  <c r="A5" i="82"/>
  <c r="A4" i="82"/>
  <c r="A3" i="82"/>
  <c r="A57" i="75"/>
  <c r="A56" i="75"/>
  <c r="A55" i="75"/>
  <c r="A54" i="75"/>
  <c r="A53" i="75"/>
  <c r="A52" i="75"/>
  <c r="A51" i="75"/>
  <c r="A50" i="75"/>
  <c r="A46" i="75"/>
  <c r="A45" i="75"/>
  <c r="A44" i="75"/>
  <c r="A43" i="75"/>
  <c r="A42" i="75"/>
  <c r="A41" i="75"/>
  <c r="A40" i="75"/>
  <c r="A39" i="75"/>
  <c r="A38" i="75"/>
  <c r="A37" i="75"/>
  <c r="A36" i="75"/>
  <c r="A35" i="75"/>
  <c r="A34" i="75"/>
  <c r="A33" i="75"/>
  <c r="A32" i="75"/>
  <c r="A31" i="75"/>
  <c r="A30" i="75"/>
  <c r="A29" i="75"/>
  <c r="A28" i="75"/>
  <c r="A27" i="75"/>
  <c r="A23" i="75"/>
  <c r="A22" i="75"/>
  <c r="A21" i="75"/>
  <c r="A20" i="75"/>
  <c r="A19" i="75"/>
  <c r="A18" i="75"/>
  <c r="A17" i="75"/>
  <c r="A16" i="75"/>
  <c r="A15" i="75"/>
  <c r="A14" i="75"/>
  <c r="A13" i="75"/>
  <c r="A12" i="75"/>
  <c r="A11" i="75"/>
  <c r="A10" i="75"/>
  <c r="A9" i="75"/>
  <c r="A5" i="75"/>
  <c r="A4" i="75"/>
  <c r="A3" i="75"/>
  <c r="A68" i="72"/>
  <c r="A57" i="72"/>
  <c r="A56" i="72"/>
  <c r="A55" i="72"/>
  <c r="A54" i="72"/>
  <c r="A53" i="72"/>
  <c r="A52" i="72"/>
  <c r="A51" i="72"/>
  <c r="A50" i="72"/>
  <c r="A46" i="72"/>
  <c r="A45" i="72"/>
  <c r="A44" i="72"/>
  <c r="A43" i="72"/>
  <c r="A42" i="72"/>
  <c r="A41" i="72"/>
  <c r="A40" i="72"/>
  <c r="A39" i="72"/>
  <c r="A38" i="72"/>
  <c r="A37" i="72"/>
  <c r="A36" i="72"/>
  <c r="A35" i="72"/>
  <c r="A34" i="72"/>
  <c r="A33" i="72"/>
  <c r="A32" i="72"/>
  <c r="A31" i="72"/>
  <c r="A30" i="72"/>
  <c r="A29" i="72"/>
  <c r="A28" i="72"/>
  <c r="A27" i="72"/>
  <c r="A23" i="72"/>
  <c r="A22" i="72"/>
  <c r="A21" i="72"/>
  <c r="A20" i="72"/>
  <c r="A19" i="72"/>
  <c r="A18" i="72"/>
  <c r="A17" i="72"/>
  <c r="A16" i="72"/>
  <c r="A15" i="72"/>
  <c r="A14" i="72"/>
  <c r="A13" i="72"/>
  <c r="A12" i="72"/>
  <c r="A11" i="72"/>
  <c r="A10" i="72"/>
  <c r="A9" i="72"/>
  <c r="A5" i="72"/>
  <c r="A4" i="72"/>
  <c r="A3" i="72"/>
  <c r="A57" i="80"/>
  <c r="A56" i="80"/>
  <c r="A55" i="80"/>
  <c r="A54" i="80"/>
  <c r="A53" i="80"/>
  <c r="A52" i="80"/>
  <c r="A51" i="80"/>
  <c r="A50" i="80"/>
  <c r="A46" i="80"/>
  <c r="A45" i="80"/>
  <c r="A44" i="80"/>
  <c r="A43" i="80"/>
  <c r="A42" i="80"/>
  <c r="A41" i="80"/>
  <c r="A40" i="80"/>
  <c r="A39" i="80"/>
  <c r="A38" i="80"/>
  <c r="A37" i="80"/>
  <c r="A36" i="80"/>
  <c r="A35" i="80"/>
  <c r="A34" i="80"/>
  <c r="A33" i="80"/>
  <c r="A32" i="80"/>
  <c r="A31" i="80"/>
  <c r="A30" i="80"/>
  <c r="A29" i="80"/>
  <c r="A28" i="80"/>
  <c r="A27" i="80"/>
  <c r="A23" i="80"/>
  <c r="A22" i="80"/>
  <c r="A21" i="80"/>
  <c r="A20" i="80"/>
  <c r="A19" i="80"/>
  <c r="A18" i="80"/>
  <c r="A17" i="80"/>
  <c r="A16" i="80"/>
  <c r="A15" i="80"/>
  <c r="A14" i="80"/>
  <c r="A13" i="80"/>
  <c r="A12" i="80"/>
  <c r="A11" i="80"/>
  <c r="A10" i="80"/>
  <c r="A9" i="80"/>
  <c r="A5" i="80"/>
  <c r="A4" i="80"/>
  <c r="A3" i="80"/>
  <c r="A57" i="13"/>
  <c r="A56" i="13"/>
  <c r="A55" i="13"/>
  <c r="A54" i="13"/>
  <c r="A53" i="13"/>
  <c r="A52" i="13"/>
  <c r="A51" i="13"/>
  <c r="A50" i="13"/>
  <c r="A46" i="13"/>
  <c r="A45" i="13"/>
  <c r="A44" i="13"/>
  <c r="A43" i="13"/>
  <c r="A42" i="13"/>
  <c r="A41" i="13"/>
  <c r="A40" i="13"/>
  <c r="A39" i="13"/>
  <c r="A38" i="13"/>
  <c r="A37" i="13"/>
  <c r="A36" i="13"/>
  <c r="A35" i="13"/>
  <c r="A34" i="13"/>
  <c r="A33" i="13"/>
  <c r="A32" i="13"/>
  <c r="A31" i="13"/>
  <c r="A30" i="13"/>
  <c r="A29" i="13"/>
  <c r="A28" i="13"/>
  <c r="A27" i="13"/>
  <c r="A23" i="13"/>
  <c r="A22" i="13"/>
  <c r="A21" i="13"/>
  <c r="A20" i="13"/>
  <c r="A19" i="13"/>
  <c r="A18" i="13"/>
  <c r="A17" i="13"/>
  <c r="A16" i="13"/>
  <c r="A15" i="13"/>
  <c r="A14" i="13"/>
  <c r="A13" i="13"/>
  <c r="A12" i="13"/>
  <c r="A11" i="13"/>
  <c r="A10" i="13"/>
  <c r="A9" i="13"/>
  <c r="A5" i="13"/>
  <c r="A4" i="13"/>
  <c r="A3" i="13"/>
  <c r="A57" i="71"/>
  <c r="A56" i="71"/>
  <c r="A55" i="71"/>
  <c r="A54" i="71"/>
  <c r="A53" i="71"/>
  <c r="A52" i="71"/>
  <c r="A51" i="71"/>
  <c r="A50" i="71"/>
  <c r="A46" i="71"/>
  <c r="A45" i="71"/>
  <c r="A44" i="71"/>
  <c r="A43" i="71"/>
  <c r="A42" i="71"/>
  <c r="A41" i="71"/>
  <c r="A40" i="71"/>
  <c r="A39" i="71"/>
  <c r="A38" i="71"/>
  <c r="A37" i="71"/>
  <c r="A36" i="71"/>
  <c r="A35" i="71"/>
  <c r="A34" i="71"/>
  <c r="A33" i="71"/>
  <c r="A32" i="71"/>
  <c r="A31" i="71"/>
  <c r="A30" i="71"/>
  <c r="A29" i="71"/>
  <c r="A28" i="71"/>
  <c r="A27" i="71"/>
  <c r="A23" i="71"/>
  <c r="A22" i="71"/>
  <c r="A21" i="71"/>
  <c r="A20" i="71"/>
  <c r="A19" i="71"/>
  <c r="A18" i="71"/>
  <c r="A17" i="71"/>
  <c r="A16" i="71"/>
  <c r="A15" i="71"/>
  <c r="A14" i="71"/>
  <c r="A13" i="71"/>
  <c r="A12" i="71"/>
  <c r="A11" i="71"/>
  <c r="A10" i="71"/>
  <c r="A9" i="71"/>
  <c r="A5" i="71"/>
  <c r="A4" i="71"/>
  <c r="A3" i="71"/>
  <c r="D75" i="106"/>
  <c r="D74" i="106"/>
  <c r="D73" i="106"/>
  <c r="D72" i="106"/>
  <c r="D71" i="106"/>
  <c r="D70" i="106"/>
  <c r="D69" i="106"/>
  <c r="D68" i="106"/>
  <c r="D134" i="105" a="1"/>
  <c r="D134" i="105" s="1"/>
  <c r="D102" i="105" a="1"/>
  <c r="D102" i="105" s="1"/>
  <c r="G25" i="104" a="1"/>
  <c r="G25" i="104" s="1"/>
  <c r="F25" i="104" a="1"/>
  <c r="F25" i="104" s="1"/>
  <c r="D25" i="104" a="1"/>
  <c r="D25" i="104" s="1"/>
  <c r="H20" i="103" a="1"/>
  <c r="H20" i="103" s="1"/>
  <c r="E20" i="103" a="1"/>
  <c r="E20" i="103" s="1"/>
  <c r="D20" i="103" a="1"/>
  <c r="D20" i="103" s="1"/>
  <c r="N21" i="101" a="1"/>
  <c r="N21" i="101" s="1"/>
  <c r="N11" i="101" a="1"/>
  <c r="N11" i="101" s="1"/>
  <c r="F642" i="116" a="1"/>
  <c r="F642" i="116" s="1"/>
  <c r="E642" i="116" a="1"/>
  <c r="E642" i="116" s="1"/>
  <c r="D642" i="116" a="1"/>
  <c r="D642" i="116" s="1"/>
  <c r="F624" i="116" a="1"/>
  <c r="F624" i="116" s="1"/>
  <c r="E624" i="116" a="1"/>
  <c r="E624" i="116" s="1"/>
  <c r="D624" i="116" a="1"/>
  <c r="D624" i="116" s="1"/>
  <c r="F505" i="116" a="1"/>
  <c r="F505" i="116" s="1"/>
  <c r="E505" i="116" a="1"/>
  <c r="E505" i="116" s="1"/>
  <c r="D505" i="116" a="1"/>
  <c r="D505" i="116" s="1"/>
  <c r="F463" i="116" a="1"/>
  <c r="F463" i="116" s="1"/>
  <c r="E463" i="116" a="1"/>
  <c r="E463" i="116" s="1"/>
  <c r="D463" i="116" a="1"/>
  <c r="D463" i="116" s="1"/>
  <c r="F445" i="116" a="1"/>
  <c r="F445" i="116" s="1"/>
  <c r="E445" i="116" a="1"/>
  <c r="E445" i="116" s="1"/>
  <c r="D445" i="116" a="1"/>
  <c r="D445" i="116" s="1"/>
  <c r="G351" i="116" a="1"/>
  <c r="G351" i="116" s="1"/>
  <c r="F351" i="116" a="1"/>
  <c r="F351" i="116" s="1"/>
  <c r="E351" i="116" a="1"/>
  <c r="E351" i="116" s="1"/>
  <c r="D351" i="116" a="1"/>
  <c r="D351" i="116" s="1"/>
  <c r="D320" i="116" a="1"/>
  <c r="D320" i="116" s="1"/>
  <c r="AD252" i="116" a="1"/>
  <c r="AD252" i="116" s="1"/>
  <c r="AC252" i="116" a="1"/>
  <c r="AC252" i="116" s="1"/>
  <c r="Z252" i="116" a="1"/>
  <c r="Z252" i="116" s="1"/>
  <c r="Y252" i="116" a="1"/>
  <c r="Y252" i="116" s="1"/>
  <c r="V252" i="116" a="1"/>
  <c r="V252" i="116" s="1"/>
  <c r="U252" i="116" a="1"/>
  <c r="U252" i="116" s="1"/>
  <c r="R252" i="116" a="1"/>
  <c r="R252" i="116" s="1"/>
  <c r="Q252" i="116" a="1"/>
  <c r="Q252" i="116" s="1"/>
  <c r="P252" i="116" a="1"/>
  <c r="P252" i="116" s="1"/>
  <c r="O252" i="116" a="1"/>
  <c r="O252" i="116" s="1"/>
  <c r="D252" i="116" a="1"/>
  <c r="D252" i="116" s="1"/>
  <c r="D236" i="116" a="1"/>
  <c r="D236" i="116" s="1"/>
  <c r="AA120" i="116" a="1"/>
  <c r="AA120" i="116" s="1"/>
  <c r="Z120" i="116" a="1"/>
  <c r="Z120" i="116" s="1"/>
  <c r="Y120" i="116" a="1"/>
  <c r="Y120" i="116" s="1"/>
  <c r="W120" i="116" a="1"/>
  <c r="W120" i="116" s="1"/>
  <c r="V120" i="116" a="1"/>
  <c r="V120" i="116" s="1"/>
  <c r="U120" i="116" a="1"/>
  <c r="U120" i="116" s="1"/>
  <c r="S120" i="116" a="1"/>
  <c r="S120" i="116" s="1"/>
  <c r="R120" i="116" a="1"/>
  <c r="R120" i="116" s="1"/>
  <c r="Q120" i="116" a="1"/>
  <c r="Q120" i="116" s="1"/>
  <c r="O120" i="116" a="1"/>
  <c r="O120" i="116" s="1"/>
  <c r="N120" i="116" a="1"/>
  <c r="N120" i="116" s="1"/>
  <c r="M120" i="116" a="1"/>
  <c r="M120" i="116" s="1"/>
  <c r="E120" i="116" a="1"/>
  <c r="E120" i="116" s="1"/>
  <c r="D120" i="116" a="1"/>
  <c r="D120" i="116" s="1"/>
  <c r="H79" i="116" a="1"/>
  <c r="H79" i="116" s="1"/>
  <c r="E79" i="116" a="1"/>
  <c r="E79" i="116" s="1"/>
  <c r="D79" i="116" a="1"/>
  <c r="D79" i="116" s="1"/>
  <c r="D32" i="97"/>
  <c r="D25" i="97"/>
  <c r="F39" i="96"/>
  <c r="M39" i="96" s="1" a="1"/>
  <c r="M39" i="96" s="1"/>
  <c r="D37" i="96"/>
  <c r="D34" i="96"/>
  <c r="D33" i="96"/>
  <c r="D25" i="96"/>
  <c r="D62" i="87"/>
  <c r="D61" i="87"/>
  <c r="D60" i="87"/>
  <c r="D59" i="87"/>
  <c r="D58" i="87"/>
  <c r="D57" i="87"/>
  <c r="D56" i="87"/>
  <c r="D55" i="87"/>
  <c r="D54" i="87"/>
  <c r="D49" i="87"/>
  <c r="D48" i="87"/>
  <c r="D47" i="87"/>
  <c r="D46" i="87"/>
  <c r="D45" i="87"/>
  <c r="D44" i="87"/>
  <c r="D43" i="87"/>
  <c r="D42" i="87"/>
  <c r="D41" i="87"/>
  <c r="D52" i="85"/>
  <c r="D51" i="85"/>
  <c r="D50" i="85"/>
  <c r="D49" i="85"/>
  <c r="D48" i="85"/>
  <c r="D47" i="85"/>
  <c r="D46" i="85"/>
  <c r="D45" i="85"/>
  <c r="D145" i="84"/>
  <c r="D144" i="84"/>
  <c r="D143" i="84"/>
  <c r="D142" i="84"/>
  <c r="D141" i="84"/>
  <c r="D140" i="84"/>
  <c r="D139" i="84"/>
  <c r="D138" i="84"/>
  <c r="N81" i="83"/>
  <c r="D81" i="83"/>
  <c r="N80" i="83"/>
  <c r="D80" i="83"/>
  <c r="N79" i="83"/>
  <c r="D79" i="83"/>
  <c r="N78" i="83"/>
  <c r="D78" i="83"/>
  <c r="N77" i="83"/>
  <c r="D77" i="83"/>
  <c r="N76" i="83"/>
  <c r="D76" i="83"/>
  <c r="N75" i="83"/>
  <c r="D75" i="83"/>
  <c r="N74" i="83"/>
  <c r="D74" i="83"/>
  <c r="N73" i="83"/>
  <c r="D73" i="83"/>
  <c r="J21" i="95" a="1"/>
  <c r="J21" i="95" s="1"/>
  <c r="G21" i="95" a="1"/>
  <c r="G21" i="95" s="1"/>
  <c r="J20" i="95" a="1"/>
  <c r="J20" i="95" s="1"/>
  <c r="G20" i="95" a="1"/>
  <c r="G20" i="95" s="1"/>
  <c r="J19" i="95" a="1"/>
  <c r="J19" i="95" s="1"/>
  <c r="G19" i="95" a="1"/>
  <c r="G19" i="95" s="1"/>
  <c r="J18" i="95" a="1"/>
  <c r="J18" i="95" s="1"/>
  <c r="G18" i="95" a="1"/>
  <c r="G18" i="95" s="1"/>
  <c r="J17" i="95" a="1"/>
  <c r="J17" i="95" s="1"/>
  <c r="G17" i="95" a="1"/>
  <c r="G17" i="95" s="1"/>
  <c r="D56" i="82"/>
  <c r="D55" i="82"/>
  <c r="D54" i="82"/>
  <c r="D53" i="82"/>
  <c r="D52" i="82"/>
  <c r="D49" i="82"/>
  <c r="D48" i="82"/>
  <c r="D47" i="82"/>
  <c r="D46" i="82"/>
  <c r="D45" i="82"/>
  <c r="D42" i="82"/>
  <c r="D41" i="82"/>
  <c r="D40" i="82"/>
  <c r="D39" i="82"/>
  <c r="D38" i="82"/>
  <c r="D33" i="82"/>
  <c r="D32" i="82"/>
  <c r="D31" i="82"/>
  <c r="D30" i="82"/>
  <c r="M243" i="118"/>
  <c r="L243" i="118"/>
  <c r="M242" i="118"/>
  <c r="D48" i="113"/>
  <c r="D495" i="116" s="1"/>
  <c r="F495" i="116" s="1" a="1"/>
  <c r="F495" i="116" s="1"/>
  <c r="I495" i="116" s="1"/>
  <c r="D7" i="113" a="1"/>
  <c r="D12" i="113" a="1"/>
  <c r="P158" i="118"/>
  <c r="O158" i="118"/>
  <c r="Q157" i="118" s="1"/>
  <c r="M157" i="118"/>
  <c r="L157" i="118"/>
  <c r="N156" i="118" s="1"/>
  <c r="P156" i="118"/>
  <c r="O156" i="118"/>
  <c r="Q155" i="118" s="1"/>
  <c r="M155" i="118"/>
  <c r="L155" i="118"/>
  <c r="N154" i="118" s="1"/>
  <c r="P154" i="118"/>
  <c r="O154" i="118"/>
  <c r="Q153" i="118" s="1"/>
  <c r="M153" i="118"/>
  <c r="L153" i="118"/>
  <c r="N152" i="118" s="1"/>
  <c r="P152" i="118"/>
  <c r="O152" i="118"/>
  <c r="Q151" i="118" s="1"/>
  <c r="M151" i="118"/>
  <c r="L151" i="118"/>
  <c r="N150" i="118" s="1"/>
  <c r="P150" i="118"/>
  <c r="O150" i="118"/>
  <c r="P149" i="118"/>
  <c r="O149" i="118"/>
  <c r="P148" i="118"/>
  <c r="O148" i="118"/>
  <c r="P147" i="118"/>
  <c r="O147" i="118"/>
  <c r="P146" i="118"/>
  <c r="O146" i="118"/>
  <c r="P145" i="118"/>
  <c r="O145" i="118"/>
  <c r="P144" i="118"/>
  <c r="O144" i="118"/>
  <c r="Q143" i="118" s="1"/>
  <c r="M143" i="118"/>
  <c r="L143" i="118"/>
  <c r="M142" i="118"/>
  <c r="L142" i="118"/>
  <c r="M141" i="118"/>
  <c r="L141" i="118"/>
  <c r="M140" i="118"/>
  <c r="L140" i="118"/>
  <c r="M139" i="118"/>
  <c r="L139" i="118"/>
  <c r="M138" i="118"/>
  <c r="L138" i="118"/>
  <c r="N137" i="118" s="1"/>
  <c r="P137" i="118"/>
  <c r="O137" i="118"/>
  <c r="P136" i="118"/>
  <c r="O136" i="118"/>
  <c r="P135" i="118"/>
  <c r="O135" i="118"/>
  <c r="P134" i="118"/>
  <c r="O134" i="118"/>
  <c r="P133" i="118"/>
  <c r="O133" i="118"/>
  <c r="P132" i="118"/>
  <c r="O132" i="118"/>
  <c r="P131" i="118"/>
  <c r="O131" i="118"/>
  <c r="Q130" i="118" s="1"/>
  <c r="M130" i="118"/>
  <c r="L130" i="118"/>
  <c r="M129" i="118"/>
  <c r="L129" i="118"/>
  <c r="M128" i="118"/>
  <c r="L128" i="118"/>
  <c r="M127" i="118"/>
  <c r="L127" i="118"/>
  <c r="M126" i="118"/>
  <c r="L126" i="118"/>
  <c r="M125" i="118"/>
  <c r="L125" i="118"/>
  <c r="N124" i="118" s="1"/>
  <c r="P124" i="118"/>
  <c r="O124" i="118"/>
  <c r="P123" i="118"/>
  <c r="O123" i="118"/>
  <c r="P122" i="118"/>
  <c r="O122" i="118"/>
  <c r="P121" i="118"/>
  <c r="O121" i="118"/>
  <c r="P120" i="118"/>
  <c r="O120" i="118"/>
  <c r="P119" i="118"/>
  <c r="O119" i="118"/>
  <c r="P118" i="118"/>
  <c r="O118" i="118"/>
  <c r="Q117" i="118" s="1"/>
  <c r="M117" i="118"/>
  <c r="L117" i="118"/>
  <c r="M116" i="118"/>
  <c r="L116" i="118"/>
  <c r="M115" i="118"/>
  <c r="L115" i="118"/>
  <c r="M114" i="118"/>
  <c r="L114" i="118"/>
  <c r="M113" i="118"/>
  <c r="L113" i="118"/>
  <c r="M112" i="118"/>
  <c r="L112" i="118"/>
  <c r="M111" i="118"/>
  <c r="L111" i="118"/>
  <c r="M110" i="118"/>
  <c r="L110" i="118"/>
  <c r="N109" i="118" s="1"/>
  <c r="P109" i="118"/>
  <c r="O109" i="118"/>
  <c r="P108" i="118"/>
  <c r="O108" i="118"/>
  <c r="P107" i="118"/>
  <c r="O107" i="118"/>
  <c r="P106" i="118"/>
  <c r="O106" i="118"/>
  <c r="P105" i="118"/>
  <c r="O105" i="118"/>
  <c r="Q104" i="118" s="1"/>
  <c r="M104" i="118"/>
  <c r="L104" i="118"/>
  <c r="M103" i="118"/>
  <c r="L103" i="118"/>
  <c r="M102" i="118"/>
  <c r="L102" i="118"/>
  <c r="M101" i="118"/>
  <c r="L101" i="118"/>
  <c r="M100" i="118"/>
  <c r="L100" i="118"/>
  <c r="M99" i="118"/>
  <c r="L99" i="118"/>
  <c r="M98" i="118"/>
  <c r="L98" i="118"/>
  <c r="N97" i="118" s="1"/>
  <c r="P97" i="118"/>
  <c r="O97" i="118"/>
  <c r="P96" i="118"/>
  <c r="O96" i="118"/>
  <c r="P95" i="118"/>
  <c r="O95" i="118"/>
  <c r="P94" i="118"/>
  <c r="O94" i="118"/>
  <c r="P93" i="118"/>
  <c r="O93" i="118"/>
  <c r="O92" i="118"/>
  <c r="P92" i="118"/>
  <c r="P91" i="118"/>
  <c r="O91" i="118"/>
  <c r="P90" i="118"/>
  <c r="I72" i="117"/>
  <c r="I71" i="117"/>
  <c r="I70" i="117"/>
  <c r="S67" i="117"/>
  <c r="I67" i="117"/>
  <c r="I52" i="117"/>
  <c r="I51" i="117"/>
  <c r="S32" i="117"/>
  <c r="I32" i="117"/>
  <c r="P35" i="117"/>
  <c r="F35" i="117"/>
  <c r="J16" i="117"/>
  <c r="T13" i="117"/>
  <c r="J13" i="117"/>
  <c r="F603" i="116"/>
  <c r="N593" i="116" a="1"/>
  <c r="N593" i="116" s="1"/>
  <c r="F593" i="116" a="1"/>
  <c r="F593" i="116" s="1"/>
  <c r="L590" i="116" a="1"/>
  <c r="L590" i="116" s="1"/>
  <c r="D590" i="116" a="1"/>
  <c r="D590" i="116" s="1"/>
  <c r="F588" i="116"/>
  <c r="I568" i="116"/>
  <c r="I564" i="116"/>
  <c r="I563" i="116"/>
  <c r="I562" i="116"/>
  <c r="I546" i="116"/>
  <c r="I544" i="116"/>
  <c r="E496" i="116"/>
  <c r="E495" i="116"/>
  <c r="E494" i="116"/>
  <c r="E485" i="116"/>
  <c r="E484" i="116"/>
  <c r="E483" i="116"/>
  <c r="E482" i="116"/>
  <c r="E481" i="116"/>
  <c r="K423" i="116"/>
  <c r="K421" i="116"/>
  <c r="K419" i="116"/>
  <c r="K417" i="116"/>
  <c r="K416" i="116"/>
  <c r="K414" i="116"/>
  <c r="K420" i="116"/>
  <c r="L353" i="116"/>
  <c r="L358" i="116"/>
  <c r="E179" i="116"/>
  <c r="E178" i="116"/>
  <c r="E177" i="116"/>
  <c r="E153" i="116"/>
  <c r="E152" i="116"/>
  <c r="E151" i="116"/>
  <c r="E150" i="116"/>
  <c r="E149" i="116"/>
  <c r="E148" i="116"/>
  <c r="E140" i="116"/>
  <c r="E139" i="116"/>
  <c r="E138" i="116"/>
  <c r="E137" i="116"/>
  <c r="F34" i="116"/>
  <c r="O21" i="110"/>
  <c r="O20" i="110"/>
  <c r="O19" i="110"/>
  <c r="O18" i="110"/>
  <c r="O17" i="110"/>
  <c r="M21" i="110"/>
  <c r="M20" i="110"/>
  <c r="M19" i="110"/>
  <c r="M18" i="110"/>
  <c r="M17" i="110"/>
  <c r="K26" i="110"/>
  <c r="K25" i="110"/>
  <c r="K24" i="110"/>
  <c r="K23" i="110"/>
  <c r="K22" i="110"/>
  <c r="K21" i="110"/>
  <c r="K20" i="110"/>
  <c r="K19" i="110"/>
  <c r="K18" i="110"/>
  <c r="K17" i="110"/>
  <c r="I27" i="110"/>
  <c r="I26" i="110"/>
  <c r="I25" i="110"/>
  <c r="I24" i="110"/>
  <c r="I23" i="110"/>
  <c r="I22" i="110"/>
  <c r="I21" i="110"/>
  <c r="I20" i="110"/>
  <c r="I19" i="110"/>
  <c r="I18" i="110"/>
  <c r="H185" i="109"/>
  <c r="H179" i="109"/>
  <c r="H168" i="109"/>
  <c r="H144" i="109"/>
  <c r="H138" i="109"/>
  <c r="H127" i="109"/>
  <c r="J16" i="109" a="1"/>
  <c r="J16" i="109" s="1"/>
  <c r="I16" i="109" a="1"/>
  <c r="I16" i="109" s="1"/>
  <c r="J15" i="109" a="1"/>
  <c r="J15" i="109" s="1"/>
  <c r="I15" i="109" a="1"/>
  <c r="I15" i="109" s="1"/>
  <c r="J14" i="109" a="1"/>
  <c r="J14" i="109" s="1"/>
  <c r="I14" i="109" a="1"/>
  <c r="I14" i="109" s="1"/>
  <c r="J13" i="109" a="1"/>
  <c r="J13" i="109" s="1"/>
  <c r="I13" i="109" a="1"/>
  <c r="I13" i="109" s="1"/>
  <c r="J91" i="106"/>
  <c r="I15" i="106"/>
  <c r="I97" i="105"/>
  <c r="I19" i="104"/>
  <c r="I18" i="104"/>
  <c r="I16" i="104"/>
  <c r="I15" i="104"/>
  <c r="I50" i="102"/>
  <c r="G180" i="118"/>
  <c r="G190" i="118"/>
  <c r="G182" i="118"/>
  <c r="G184" i="118"/>
  <c r="G198" i="118"/>
  <c r="G191" i="118"/>
  <c r="G189" i="118"/>
  <c r="G188" i="118"/>
  <c r="G186" i="118"/>
  <c r="G187" i="118"/>
  <c r="G185" i="118"/>
  <c r="G179" i="118"/>
  <c r="G178" i="118"/>
  <c r="G193" i="118"/>
  <c r="G192" i="118"/>
  <c r="G181" i="118"/>
  <c r="F99" i="106" a="1"/>
  <c r="F99" i="106" s="1"/>
  <c r="D96" i="106" a="1"/>
  <c r="D96" i="106" s="1"/>
  <c r="F94" i="106"/>
  <c r="D67" i="106"/>
  <c r="D66" i="106"/>
  <c r="D65" i="106"/>
  <c r="I60" i="106"/>
  <c r="I59" i="106"/>
  <c r="I58" i="106"/>
  <c r="I55" i="106" a="1"/>
  <c r="I55" i="106" s="1"/>
  <c r="F77" i="106"/>
  <c r="I18" i="106"/>
  <c r="I17" i="106"/>
  <c r="I16" i="106"/>
  <c r="I13" i="106" a="1"/>
  <c r="I13" i="106" s="1"/>
  <c r="F43" i="106"/>
  <c r="F151" i="105" a="1"/>
  <c r="F151" i="105" s="1"/>
  <c r="D148" i="105" a="1"/>
  <c r="D148" i="105" s="1"/>
  <c r="I128" i="105"/>
  <c r="I127" i="105"/>
  <c r="I124" i="105" a="1"/>
  <c r="I124" i="105" s="1"/>
  <c r="F146" i="105"/>
  <c r="I96" i="105" a="1"/>
  <c r="I96" i="105" s="1"/>
  <c r="G102" i="105"/>
  <c r="F84" i="105" a="1"/>
  <c r="F84" i="105" s="1"/>
  <c r="D81" i="105" a="1"/>
  <c r="D81" i="105" s="1"/>
  <c r="J53" i="105"/>
  <c r="J52" i="105"/>
  <c r="J49" i="105" a="1"/>
  <c r="J49" i="105" s="1"/>
  <c r="F79" i="105"/>
  <c r="I14" i="105" a="1"/>
  <c r="I14" i="105" s="1"/>
  <c r="I13" i="105" a="1"/>
  <c r="I13" i="105" s="1"/>
  <c r="I17" i="104" a="1"/>
  <c r="I17" i="104" s="1"/>
  <c r="I14" i="104" a="1"/>
  <c r="I14" i="104" s="1"/>
  <c r="I13" i="104" a="1"/>
  <c r="I13" i="104" s="1"/>
  <c r="F55" i="103" a="1"/>
  <c r="F55" i="103" s="1"/>
  <c r="D52" i="103" a="1"/>
  <c r="D52" i="103" s="1"/>
  <c r="K47" i="103"/>
  <c r="F50" i="103"/>
  <c r="I15" i="103" a="1"/>
  <c r="I15" i="103" s="1"/>
  <c r="I14" i="103" a="1"/>
  <c r="I14" i="103" s="1"/>
  <c r="I13" i="103" a="1"/>
  <c r="I13" i="103" s="1"/>
  <c r="F32" i="103"/>
  <c r="I53" i="102" a="1"/>
  <c r="I53" i="102" s="1"/>
  <c r="I52" i="102"/>
  <c r="I49" i="102" a="1"/>
  <c r="I49" i="102" s="1"/>
  <c r="I14" i="102" a="1"/>
  <c r="I14" i="102" s="1"/>
  <c r="I13" i="102" a="1"/>
  <c r="I13" i="102" s="1"/>
  <c r="O115" i="101" a="1"/>
  <c r="O115" i="101" s="1"/>
  <c r="M112" i="101" a="1"/>
  <c r="M112" i="101" s="1"/>
  <c r="S98" i="101"/>
  <c r="S96" i="101"/>
  <c r="N107" i="101" s="1"/>
  <c r="S95" i="101"/>
  <c r="F85" i="101" a="1"/>
  <c r="F85" i="101" s="1"/>
  <c r="D82" i="101" a="1"/>
  <c r="D82" i="101" s="1"/>
  <c r="O79" i="101"/>
  <c r="O63" i="101"/>
  <c r="I54" i="101"/>
  <c r="I53" i="101"/>
  <c r="I52" i="101"/>
  <c r="I49" i="101" a="1"/>
  <c r="I49" i="101" s="1"/>
  <c r="F80" i="101"/>
  <c r="O49" i="101"/>
  <c r="I14" i="101" a="1"/>
  <c r="I14" i="101" s="1"/>
  <c r="I13" i="101" a="1"/>
  <c r="I13" i="101" s="1"/>
  <c r="H56" i="100"/>
  <c r="I56" i="100" s="1"/>
  <c r="G56" i="100"/>
  <c r="H55" i="100"/>
  <c r="I55" i="100" s="1"/>
  <c r="G55" i="100"/>
  <c r="H54" i="100"/>
  <c r="G54" i="100"/>
  <c r="K44" i="100"/>
  <c r="F44" i="100"/>
  <c r="G44" i="100" s="1"/>
  <c r="K43" i="100"/>
  <c r="F43" i="100"/>
  <c r="G43" i="100" s="1"/>
  <c r="K42" i="100"/>
  <c r="F42" i="100"/>
  <c r="G42" i="100" s="1"/>
  <c r="E320" i="116" s="1" a="1"/>
  <c r="E320" i="116" s="1"/>
  <c r="F34" i="100"/>
  <c r="G34" i="100" s="1"/>
  <c r="F33" i="100"/>
  <c r="G33" i="100" s="1"/>
  <c r="F32" i="100"/>
  <c r="G32" i="100" s="1"/>
  <c r="F31" i="100"/>
  <c r="G31" i="100" s="1"/>
  <c r="F30" i="100"/>
  <c r="G30" i="100" s="1"/>
  <c r="F29" i="100"/>
  <c r="G29" i="100" s="1"/>
  <c r="F28" i="100"/>
  <c r="G28" i="100" s="1"/>
  <c r="F27" i="100"/>
  <c r="G27" i="100" s="1"/>
  <c r="F26" i="100"/>
  <c r="G26" i="100" s="1"/>
  <c r="F25" i="100"/>
  <c r="G25" i="100" s="1"/>
  <c r="G21" i="100"/>
  <c r="G20" i="100"/>
  <c r="G19" i="100"/>
  <c r="G18" i="100"/>
  <c r="G17" i="100"/>
  <c r="G16" i="100"/>
  <c r="G15" i="100"/>
  <c r="G14" i="100"/>
  <c r="G13" i="100"/>
  <c r="G12" i="100"/>
  <c r="E139" i="98"/>
  <c r="F40" i="97" s="1"/>
  <c r="G138" i="98"/>
  <c r="F32" i="96" s="1"/>
  <c r="E138" i="98"/>
  <c r="F39" i="97" s="1"/>
  <c r="G137" i="98"/>
  <c r="F31" i="96" s="1"/>
  <c r="E137" i="98"/>
  <c r="F38" i="97" s="1"/>
  <c r="D137" i="98"/>
  <c r="F31" i="97" s="1"/>
  <c r="G136" i="98"/>
  <c r="F30" i="96" s="1"/>
  <c r="E136" i="98"/>
  <c r="F37" i="97" s="1"/>
  <c r="D136" i="98"/>
  <c r="F30" i="97" s="1"/>
  <c r="G135" i="98"/>
  <c r="F29" i="96" s="1"/>
  <c r="E135" i="98"/>
  <c r="F36" i="97" s="1"/>
  <c r="D135" i="98"/>
  <c r="F29" i="97" s="1"/>
  <c r="G134" i="98"/>
  <c r="F28" i="96" s="1"/>
  <c r="E134" i="98"/>
  <c r="F35" i="97" s="1"/>
  <c r="D134" i="98"/>
  <c r="F28" i="97" s="1"/>
  <c r="G133" i="98"/>
  <c r="F27" i="96" s="1"/>
  <c r="F133" i="98"/>
  <c r="F36" i="96" s="1"/>
  <c r="E133" i="98"/>
  <c r="F34" i="97" s="1"/>
  <c r="D133" i="98"/>
  <c r="F27" i="97" s="1"/>
  <c r="I132" i="98"/>
  <c r="F38" i="96" s="1"/>
  <c r="G132" i="98"/>
  <c r="F26" i="96" s="1"/>
  <c r="F132" i="98"/>
  <c r="F35" i="96" s="1"/>
  <c r="E132" i="98"/>
  <c r="F33" i="97" s="1"/>
  <c r="D132" i="98"/>
  <c r="F26" i="97" s="1"/>
  <c r="I131" i="98"/>
  <c r="F37" i="96" s="1"/>
  <c r="H131" i="98"/>
  <c r="F33" i="96" s="1"/>
  <c r="G131" i="98"/>
  <c r="F25" i="96" s="1"/>
  <c r="F131" i="98"/>
  <c r="F34" i="96" s="1"/>
  <c r="E131" i="98"/>
  <c r="F32" i="97" s="1"/>
  <c r="D131" i="98"/>
  <c r="F25" i="97" s="1"/>
  <c r="D110" i="98" a="1"/>
  <c r="D110" i="98" s="1"/>
  <c r="E40" i="97"/>
  <c r="E39" i="97"/>
  <c r="D84" i="98" a="1"/>
  <c r="D84" i="98" s="1"/>
  <c r="D52" i="98" a="1"/>
  <c r="D52" i="98" s="1"/>
  <c r="E39" i="96"/>
  <c r="E36" i="96"/>
  <c r="E35" i="96"/>
  <c r="E34" i="96"/>
  <c r="E32" i="96"/>
  <c r="E31" i="96"/>
  <c r="E30" i="96"/>
  <c r="E29" i="96"/>
  <c r="E28" i="96"/>
  <c r="E27" i="96"/>
  <c r="D8" i="98" a="1"/>
  <c r="D8" i="98" s="1"/>
  <c r="D48" i="97"/>
  <c r="D40" i="97"/>
  <c r="D37" i="97"/>
  <c r="D36" i="97"/>
  <c r="D35" i="97"/>
  <c r="D34" i="97"/>
  <c r="D33" i="97"/>
  <c r="D38" i="97"/>
  <c r="D31" i="97"/>
  <c r="D30" i="97"/>
  <c r="D29" i="97"/>
  <c r="D28" i="97"/>
  <c r="D27" i="97"/>
  <c r="D26" i="97"/>
  <c r="D42" i="97"/>
  <c r="P18" i="97"/>
  <c r="P17" i="97"/>
  <c r="P16" i="97" a="1"/>
  <c r="P16" i="97" s="1"/>
  <c r="I16" i="97" a="1"/>
  <c r="I16" i="97" s="1"/>
  <c r="P15" i="97" a="1"/>
  <c r="P15" i="97" s="1"/>
  <c r="I15" i="97" a="1"/>
  <c r="I15" i="97" s="1"/>
  <c r="P14" i="97" a="1"/>
  <c r="P14" i="97" s="1"/>
  <c r="I14" i="97" a="1"/>
  <c r="I14" i="97" s="1"/>
  <c r="D39" i="96"/>
  <c r="D38" i="96"/>
  <c r="D60" i="96"/>
  <c r="D35" i="96"/>
  <c r="D48" i="96"/>
  <c r="D28" i="96"/>
  <c r="D42" i="96"/>
  <c r="P16" i="96" a="1"/>
  <c r="P16" i="96" s="1"/>
  <c r="I16" i="96" a="1"/>
  <c r="I16" i="96" s="1"/>
  <c r="P15" i="96" a="1"/>
  <c r="P15" i="96" s="1"/>
  <c r="I15" i="96" a="1"/>
  <c r="I15" i="96" s="1"/>
  <c r="P14" i="96" a="1"/>
  <c r="P14" i="96" s="1"/>
  <c r="I14" i="96" a="1"/>
  <c r="I14" i="96" s="1"/>
  <c r="H21" i="95"/>
  <c r="H20" i="95"/>
  <c r="H19" i="95"/>
  <c r="H18" i="95"/>
  <c r="H17" i="95"/>
  <c r="I567" i="116" a="1"/>
  <c r="I567" i="116" s="1"/>
  <c r="E570" i="116" s="1"/>
  <c r="J36" i="93" a="1"/>
  <c r="J36" i="93" s="1"/>
  <c r="E39" i="93" s="1"/>
  <c r="D7" i="94" a="1"/>
  <c r="D7" i="94" s="1"/>
  <c r="J37" i="93"/>
  <c r="J33" i="93" s="1"/>
  <c r="J32" i="93"/>
  <c r="J31" i="93"/>
  <c r="F39" i="93"/>
  <c r="I16" i="93"/>
  <c r="I14" i="93"/>
  <c r="F18" i="93"/>
  <c r="H48" i="92"/>
  <c r="E48" i="92"/>
  <c r="H47" i="92"/>
  <c r="E47" i="92"/>
  <c r="H46" i="92"/>
  <c r="E46" i="92"/>
  <c r="H39" i="92"/>
  <c r="H38" i="92"/>
  <c r="H37" i="92"/>
  <c r="E29" i="92"/>
  <c r="E16" i="92"/>
  <c r="E22" i="92" s="1"/>
  <c r="E6" i="92"/>
  <c r="I14" i="89"/>
  <c r="I15" i="90"/>
  <c r="D68" i="83"/>
  <c r="G30" i="83"/>
  <c r="F30" i="83"/>
  <c r="E30" i="83"/>
  <c r="D30" i="83"/>
  <c r="G48" i="84"/>
  <c r="F48" i="84"/>
  <c r="E48" i="84"/>
  <c r="D48" i="84"/>
  <c r="P52" i="90" a="1"/>
  <c r="P52" i="90" s="1"/>
  <c r="F52" i="90" a="1"/>
  <c r="F52" i="90" s="1"/>
  <c r="N49" i="90" a="1"/>
  <c r="N49" i="90" s="1"/>
  <c r="D49" i="90" a="1"/>
  <c r="D49" i="90" s="1"/>
  <c r="N28" i="90"/>
  <c r="D28" i="90"/>
  <c r="N23" i="90"/>
  <c r="D23" i="90"/>
  <c r="I18" i="90"/>
  <c r="I17" i="90"/>
  <c r="I16" i="90"/>
  <c r="I13" i="90" a="1"/>
  <c r="I13" i="90" s="1"/>
  <c r="S23" i="90"/>
  <c r="O50" i="89" a="1"/>
  <c r="O50" i="89" s="1"/>
  <c r="F50" i="89" a="1"/>
  <c r="F50" i="89" s="1"/>
  <c r="M47" i="89" a="1"/>
  <c r="M47" i="89" s="1"/>
  <c r="D47" i="89" a="1"/>
  <c r="D47" i="89" s="1"/>
  <c r="I42" i="89"/>
  <c r="I41" i="89"/>
  <c r="O45" i="89"/>
  <c r="M24" i="89"/>
  <c r="D24" i="89"/>
  <c r="M19" i="89"/>
  <c r="D19" i="89"/>
  <c r="I13" i="89" a="1"/>
  <c r="I13" i="89" s="1"/>
  <c r="P32" i="88" a="1"/>
  <c r="P32" i="88" s="1"/>
  <c r="F32" i="88" a="1"/>
  <c r="F32" i="88" s="1"/>
  <c r="N29" i="88" a="1"/>
  <c r="N29" i="88" s="1"/>
  <c r="D29" i="88" a="1"/>
  <c r="D29" i="88" s="1"/>
  <c r="N25" i="88"/>
  <c r="D25" i="88"/>
  <c r="N20" i="88"/>
  <c r="D20" i="88"/>
  <c r="I14" i="88" s="1"/>
  <c r="I13" i="88" a="1"/>
  <c r="I13" i="88" s="1"/>
  <c r="O203" i="87"/>
  <c r="E203" i="87"/>
  <c r="O202" i="87"/>
  <c r="E202" i="87"/>
  <c r="O201" i="87"/>
  <c r="E201" i="87"/>
  <c r="O200" i="87"/>
  <c r="E200" i="87"/>
  <c r="O199" i="87"/>
  <c r="N199" i="87"/>
  <c r="E199" i="87"/>
  <c r="D199" i="87"/>
  <c r="O198" i="87"/>
  <c r="E198" i="87"/>
  <c r="O197" i="87"/>
  <c r="E197" i="87"/>
  <c r="O196" i="87"/>
  <c r="E196" i="87"/>
  <c r="O195" i="87"/>
  <c r="E195" i="87"/>
  <c r="O194" i="87"/>
  <c r="N194" i="87"/>
  <c r="E194" i="87"/>
  <c r="D194" i="87"/>
  <c r="O193" i="87"/>
  <c r="E193" i="87"/>
  <c r="O192" i="87"/>
  <c r="E192" i="87"/>
  <c r="O191" i="87"/>
  <c r="E191" i="87"/>
  <c r="O190" i="87"/>
  <c r="E190" i="87"/>
  <c r="O189" i="87"/>
  <c r="N189" i="87"/>
  <c r="E189" i="87"/>
  <c r="D189" i="87"/>
  <c r="F184" i="87"/>
  <c r="E184" i="87"/>
  <c r="F183" i="87"/>
  <c r="E183" i="87"/>
  <c r="F182" i="87"/>
  <c r="E182" i="87"/>
  <c r="F181" i="87"/>
  <c r="E181" i="87"/>
  <c r="F180" i="87"/>
  <c r="E180" i="87"/>
  <c r="D180" i="87"/>
  <c r="F179" i="87"/>
  <c r="E179" i="87"/>
  <c r="F178" i="87"/>
  <c r="E178" i="87"/>
  <c r="F177" i="87"/>
  <c r="E177" i="87"/>
  <c r="F176" i="87"/>
  <c r="E176" i="87"/>
  <c r="F175" i="87"/>
  <c r="E175" i="87"/>
  <c r="D175" i="87"/>
  <c r="F174" i="87"/>
  <c r="E174" i="87"/>
  <c r="F173" i="87"/>
  <c r="E173" i="87"/>
  <c r="F172" i="87"/>
  <c r="E172" i="87"/>
  <c r="F171" i="87"/>
  <c r="E171" i="87"/>
  <c r="F170" i="87"/>
  <c r="E170" i="87"/>
  <c r="D170" i="87"/>
  <c r="D162" i="87"/>
  <c r="O156" i="87"/>
  <c r="E156" i="87"/>
  <c r="O155" i="87"/>
  <c r="E155" i="87"/>
  <c r="O154" i="87"/>
  <c r="E154" i="87"/>
  <c r="O153" i="87"/>
  <c r="E153" i="87"/>
  <c r="O152" i="87"/>
  <c r="N152" i="87"/>
  <c r="E152" i="87"/>
  <c r="D152" i="87"/>
  <c r="O151" i="87"/>
  <c r="E151" i="87"/>
  <c r="O150" i="87"/>
  <c r="E150" i="87"/>
  <c r="O149" i="87"/>
  <c r="E149" i="87"/>
  <c r="O148" i="87"/>
  <c r="E148" i="87"/>
  <c r="O147" i="87"/>
  <c r="N147" i="87"/>
  <c r="E147" i="87"/>
  <c r="D147" i="87"/>
  <c r="O146" i="87"/>
  <c r="E146" i="87"/>
  <c r="O145" i="87"/>
  <c r="E145" i="87"/>
  <c r="O144" i="87"/>
  <c r="E144" i="87"/>
  <c r="O143" i="87"/>
  <c r="E143" i="87"/>
  <c r="O142" i="87"/>
  <c r="N142" i="87"/>
  <c r="E142" i="87"/>
  <c r="D142" i="87"/>
  <c r="I137" i="87" a="1"/>
  <c r="I137" i="87" s="1"/>
  <c r="I136" i="87" a="1"/>
  <c r="I136" i="87" s="1"/>
  <c r="I135" i="87" a="1"/>
  <c r="I135" i="87" s="1"/>
  <c r="I134" i="87" a="1"/>
  <c r="I134" i="87" s="1"/>
  <c r="I133" i="87" a="1"/>
  <c r="I133" i="87" s="1"/>
  <c r="O119" i="87"/>
  <c r="E119" i="87"/>
  <c r="O118" i="87"/>
  <c r="E118" i="87"/>
  <c r="O117" i="87"/>
  <c r="E117" i="87"/>
  <c r="O116" i="87"/>
  <c r="E116" i="87"/>
  <c r="O115" i="87"/>
  <c r="N115" i="87"/>
  <c r="E115" i="87"/>
  <c r="D115" i="87"/>
  <c r="O114" i="87"/>
  <c r="E114" i="87"/>
  <c r="O113" i="87"/>
  <c r="E113" i="87"/>
  <c r="O112" i="87"/>
  <c r="E112" i="87"/>
  <c r="O111" i="87"/>
  <c r="E111" i="87"/>
  <c r="O110" i="87"/>
  <c r="N110" i="87"/>
  <c r="E110" i="87"/>
  <c r="D110" i="87"/>
  <c r="O109" i="87"/>
  <c r="E109" i="87"/>
  <c r="O108" i="87"/>
  <c r="E108" i="87"/>
  <c r="O107" i="87"/>
  <c r="E107" i="87"/>
  <c r="O106" i="87"/>
  <c r="E106" i="87"/>
  <c r="O105" i="87"/>
  <c r="N105" i="87"/>
  <c r="E105" i="87"/>
  <c r="D105" i="87"/>
  <c r="E100" i="87"/>
  <c r="F99" i="87"/>
  <c r="E99" i="87"/>
  <c r="F98" i="87"/>
  <c r="E98" i="87"/>
  <c r="F97" i="87"/>
  <c r="E97" i="87"/>
  <c r="F96" i="87"/>
  <c r="E96" i="87"/>
  <c r="D96" i="87"/>
  <c r="E95" i="87"/>
  <c r="E94" i="87"/>
  <c r="E93" i="87"/>
  <c r="E92" i="87"/>
  <c r="F91" i="87"/>
  <c r="E91" i="87"/>
  <c r="D91" i="87"/>
  <c r="F90" i="87"/>
  <c r="E90" i="87"/>
  <c r="E89" i="87"/>
  <c r="E88" i="87"/>
  <c r="E87" i="87"/>
  <c r="E86" i="87"/>
  <c r="D86" i="87"/>
  <c r="O81" i="87"/>
  <c r="E81" i="87"/>
  <c r="O80" i="87"/>
  <c r="E80" i="87"/>
  <c r="O79" i="87"/>
  <c r="E79" i="87"/>
  <c r="O78" i="87"/>
  <c r="E78" i="87"/>
  <c r="O77" i="87"/>
  <c r="N77" i="87"/>
  <c r="E77" i="87"/>
  <c r="D77" i="87"/>
  <c r="O76" i="87"/>
  <c r="E76" i="87"/>
  <c r="O75" i="87"/>
  <c r="E75" i="87"/>
  <c r="O74" i="87"/>
  <c r="E74" i="87"/>
  <c r="O73" i="87"/>
  <c r="E73" i="87"/>
  <c r="O72" i="87"/>
  <c r="N72" i="87"/>
  <c r="E72" i="87"/>
  <c r="D72" i="87"/>
  <c r="O71" i="87"/>
  <c r="E71" i="87"/>
  <c r="O70" i="87"/>
  <c r="E70" i="87"/>
  <c r="O69" i="87"/>
  <c r="E69" i="87"/>
  <c r="O68" i="87"/>
  <c r="E68" i="87"/>
  <c r="O67" i="87"/>
  <c r="N67" i="87"/>
  <c r="E67" i="87"/>
  <c r="D67" i="87"/>
  <c r="O36" i="87"/>
  <c r="E36" i="87"/>
  <c r="O35" i="87"/>
  <c r="E35" i="87"/>
  <c r="O34" i="87"/>
  <c r="E34" i="87"/>
  <c r="O33" i="87"/>
  <c r="E33" i="87"/>
  <c r="O32" i="87"/>
  <c r="N32" i="87"/>
  <c r="E32" i="87"/>
  <c r="D32" i="87"/>
  <c r="O31" i="87"/>
  <c r="E31" i="87"/>
  <c r="O30" i="87"/>
  <c r="E30" i="87"/>
  <c r="O29" i="87"/>
  <c r="E29" i="87"/>
  <c r="O28" i="87"/>
  <c r="E28" i="87"/>
  <c r="O27" i="87"/>
  <c r="N27" i="87"/>
  <c r="E27" i="87"/>
  <c r="D27" i="87"/>
  <c r="O26" i="87"/>
  <c r="E26" i="87"/>
  <c r="O25" i="87"/>
  <c r="E25" i="87"/>
  <c r="O24" i="87"/>
  <c r="E24" i="87"/>
  <c r="O23" i="87"/>
  <c r="E23" i="87"/>
  <c r="O22" i="87"/>
  <c r="N22" i="87"/>
  <c r="E22" i="87"/>
  <c r="D22" i="87"/>
  <c r="I17" i="87" a="1"/>
  <c r="I17" i="87" s="1"/>
  <c r="I16" i="87" a="1"/>
  <c r="I16" i="87" s="1"/>
  <c r="I15" i="87" a="1"/>
  <c r="I15" i="87" s="1"/>
  <c r="I14" i="87" a="1"/>
  <c r="I14" i="87" s="1"/>
  <c r="I13" i="87" a="1"/>
  <c r="I13" i="87" s="1"/>
  <c r="F41" i="87"/>
  <c r="P64" i="86" a="1"/>
  <c r="P64" i="86" s="1"/>
  <c r="F64" i="86" a="1"/>
  <c r="F64" i="86" s="1"/>
  <c r="N61" i="86" a="1"/>
  <c r="N61" i="86" s="1"/>
  <c r="D61" i="86" a="1"/>
  <c r="D61" i="86" s="1"/>
  <c r="O57" i="86"/>
  <c r="N57" i="86"/>
  <c r="E57" i="86"/>
  <c r="D57" i="86"/>
  <c r="O56" i="86"/>
  <c r="N56" i="86"/>
  <c r="E56" i="86"/>
  <c r="D56" i="86"/>
  <c r="O55" i="86"/>
  <c r="N55" i="86"/>
  <c r="E55" i="86"/>
  <c r="D55" i="86"/>
  <c r="I48" i="86" a="1"/>
  <c r="I48" i="86" s="1"/>
  <c r="O36" i="86"/>
  <c r="N36" i="86"/>
  <c r="E36" i="86"/>
  <c r="D36" i="86"/>
  <c r="O35" i="86"/>
  <c r="N35" i="86"/>
  <c r="E35" i="86"/>
  <c r="D35" i="86"/>
  <c r="O34" i="86"/>
  <c r="N34" i="86"/>
  <c r="E34" i="86"/>
  <c r="D34" i="86"/>
  <c r="O29" i="86"/>
  <c r="N29" i="86"/>
  <c r="E29" i="86"/>
  <c r="D29" i="86"/>
  <c r="O28" i="86"/>
  <c r="N28" i="86"/>
  <c r="E28" i="86"/>
  <c r="D28" i="86"/>
  <c r="O27" i="86"/>
  <c r="N27" i="86"/>
  <c r="E27" i="86"/>
  <c r="D27" i="86"/>
  <c r="I18" i="86"/>
  <c r="I17" i="86"/>
  <c r="I16" i="86"/>
  <c r="I13" i="86" a="1"/>
  <c r="I13" i="86" s="1"/>
  <c r="T34" i="86"/>
  <c r="P101" i="85" a="1"/>
  <c r="P101" i="85" s="1"/>
  <c r="F101" i="85" a="1"/>
  <c r="F101" i="85" s="1"/>
  <c r="N98" i="85" a="1"/>
  <c r="N98" i="85" s="1"/>
  <c r="D98" i="85" a="1"/>
  <c r="D98" i="85" s="1"/>
  <c r="I93" i="85"/>
  <c r="I92" i="85"/>
  <c r="O75" i="85"/>
  <c r="E75" i="85"/>
  <c r="O74" i="85"/>
  <c r="E74" i="85"/>
  <c r="O73" i="85"/>
  <c r="E73" i="85"/>
  <c r="O72" i="85"/>
  <c r="E72" i="85"/>
  <c r="O71" i="85"/>
  <c r="N71" i="85"/>
  <c r="E71" i="85"/>
  <c r="D71" i="85"/>
  <c r="O70" i="85"/>
  <c r="E70" i="85"/>
  <c r="O69" i="85"/>
  <c r="E69" i="85"/>
  <c r="O68" i="85"/>
  <c r="E68" i="85"/>
  <c r="O67" i="85"/>
  <c r="E67" i="85"/>
  <c r="O66" i="85"/>
  <c r="N66" i="85"/>
  <c r="E66" i="85"/>
  <c r="D66" i="85"/>
  <c r="O65" i="85"/>
  <c r="E65" i="85"/>
  <c r="O64" i="85"/>
  <c r="E64" i="85"/>
  <c r="O63" i="85"/>
  <c r="E63" i="85"/>
  <c r="O62" i="85"/>
  <c r="E62" i="85"/>
  <c r="O61" i="85"/>
  <c r="N61" i="85"/>
  <c r="E61" i="85"/>
  <c r="D61" i="85"/>
  <c r="N60" i="85"/>
  <c r="D60" i="85"/>
  <c r="N59" i="85"/>
  <c r="D59" i="85"/>
  <c r="N58" i="85"/>
  <c r="D58" i="85"/>
  <c r="N57" i="85"/>
  <c r="D57" i="85"/>
  <c r="O40" i="85"/>
  <c r="E40" i="85"/>
  <c r="O39" i="85"/>
  <c r="E39" i="85"/>
  <c r="O38" i="85"/>
  <c r="E38" i="85"/>
  <c r="O37" i="85"/>
  <c r="E37" i="85"/>
  <c r="O36" i="85"/>
  <c r="N36" i="85"/>
  <c r="E36" i="85"/>
  <c r="D36" i="85"/>
  <c r="O35" i="85"/>
  <c r="E35" i="85"/>
  <c r="O34" i="85"/>
  <c r="E34" i="85"/>
  <c r="O33" i="85"/>
  <c r="E33" i="85"/>
  <c r="O32" i="85"/>
  <c r="E32" i="85"/>
  <c r="O31" i="85"/>
  <c r="N31" i="85"/>
  <c r="E31" i="85"/>
  <c r="D31" i="85"/>
  <c r="O30" i="85"/>
  <c r="E30" i="85"/>
  <c r="O29" i="85"/>
  <c r="E29" i="85"/>
  <c r="O28" i="85"/>
  <c r="E28" i="85"/>
  <c r="O27" i="85"/>
  <c r="E27" i="85"/>
  <c r="O26" i="85"/>
  <c r="N26" i="85"/>
  <c r="E26" i="85"/>
  <c r="D26" i="85"/>
  <c r="N25" i="85"/>
  <c r="D25" i="85"/>
  <c r="N24" i="85"/>
  <c r="D24" i="85"/>
  <c r="N23" i="85"/>
  <c r="D23" i="85"/>
  <c r="N22" i="85"/>
  <c r="D22" i="85"/>
  <c r="I14" i="85" a="1"/>
  <c r="I14" i="85" s="1"/>
  <c r="I13" i="85" a="1"/>
  <c r="I13" i="85" s="1"/>
  <c r="P77" i="85"/>
  <c r="P250" i="84" a="1"/>
  <c r="P250" i="84" s="1"/>
  <c r="F250" i="84" a="1"/>
  <c r="F250" i="84" s="1"/>
  <c r="N247" i="84" a="1"/>
  <c r="N247" i="84" s="1"/>
  <c r="D247" i="84" a="1"/>
  <c r="D247" i="84" s="1"/>
  <c r="O243" i="84"/>
  <c r="E243" i="84"/>
  <c r="O242" i="84"/>
  <c r="E242" i="84"/>
  <c r="O241" i="84"/>
  <c r="E241" i="84"/>
  <c r="O240" i="84"/>
  <c r="E240" i="84"/>
  <c r="O239" i="84"/>
  <c r="N239" i="84"/>
  <c r="E239" i="84"/>
  <c r="D239" i="84"/>
  <c r="O238" i="84"/>
  <c r="E238" i="84"/>
  <c r="O237" i="84"/>
  <c r="E237" i="84"/>
  <c r="O236" i="84"/>
  <c r="E236" i="84"/>
  <c r="O235" i="84"/>
  <c r="E235" i="84"/>
  <c r="O234" i="84"/>
  <c r="N234" i="84"/>
  <c r="E234" i="84"/>
  <c r="D234" i="84"/>
  <c r="O233" i="84"/>
  <c r="E233" i="84"/>
  <c r="O232" i="84"/>
  <c r="E232" i="84"/>
  <c r="O231" i="84"/>
  <c r="E231" i="84"/>
  <c r="O230" i="84"/>
  <c r="E230" i="84"/>
  <c r="O229" i="84"/>
  <c r="N229" i="84"/>
  <c r="E229" i="84"/>
  <c r="D229" i="84"/>
  <c r="N228" i="84"/>
  <c r="D228" i="84"/>
  <c r="N227" i="84"/>
  <c r="D227" i="84"/>
  <c r="N226" i="84"/>
  <c r="D226" i="84"/>
  <c r="N225" i="84"/>
  <c r="D225" i="84"/>
  <c r="I216" i="84" a="1"/>
  <c r="I216" i="84" s="1"/>
  <c r="J215" i="84" a="1"/>
  <c r="J215" i="84" s="1"/>
  <c r="I215" i="84" a="1"/>
  <c r="I215" i="84" s="1"/>
  <c r="O203" i="84"/>
  <c r="E203" i="84"/>
  <c r="O202" i="84"/>
  <c r="E202" i="84"/>
  <c r="O201" i="84"/>
  <c r="E201" i="84"/>
  <c r="O200" i="84"/>
  <c r="E200" i="84"/>
  <c r="O199" i="84"/>
  <c r="N199" i="84"/>
  <c r="E199" i="84"/>
  <c r="D199" i="84"/>
  <c r="O198" i="84"/>
  <c r="E198" i="84"/>
  <c r="O197" i="84"/>
  <c r="E197" i="84"/>
  <c r="O196" i="84"/>
  <c r="E196" i="84"/>
  <c r="O195" i="84"/>
  <c r="E195" i="84"/>
  <c r="O194" i="84"/>
  <c r="N194" i="84"/>
  <c r="E194" i="84"/>
  <c r="D194" i="84"/>
  <c r="O193" i="84"/>
  <c r="E193" i="84"/>
  <c r="O192" i="84"/>
  <c r="E192" i="84"/>
  <c r="O191" i="84"/>
  <c r="E191" i="84"/>
  <c r="O190" i="84"/>
  <c r="E190" i="84"/>
  <c r="O189" i="84"/>
  <c r="N189" i="84"/>
  <c r="E189" i="84"/>
  <c r="D189" i="84"/>
  <c r="F184" i="84"/>
  <c r="E184" i="84"/>
  <c r="I183" i="84"/>
  <c r="H183" i="84"/>
  <c r="G183" i="84"/>
  <c r="F183" i="84"/>
  <c r="E183" i="84"/>
  <c r="I182" i="84"/>
  <c r="H182" i="84"/>
  <c r="G182" i="84"/>
  <c r="F182" i="84"/>
  <c r="E182" i="84"/>
  <c r="I181" i="84"/>
  <c r="H181" i="84"/>
  <c r="G181" i="84"/>
  <c r="F181" i="84"/>
  <c r="E181" i="84"/>
  <c r="I180" i="84"/>
  <c r="H180" i="84"/>
  <c r="G180" i="84"/>
  <c r="F180" i="84"/>
  <c r="E180" i="84"/>
  <c r="D180" i="84"/>
  <c r="E179" i="84"/>
  <c r="I178" i="84"/>
  <c r="H178" i="84"/>
  <c r="G178" i="84"/>
  <c r="F178" i="84"/>
  <c r="E178" i="84"/>
  <c r="I177" i="84"/>
  <c r="H177" i="84"/>
  <c r="G177" i="84"/>
  <c r="F177" i="84"/>
  <c r="E177" i="84"/>
  <c r="I176" i="84"/>
  <c r="H176" i="84"/>
  <c r="G176" i="84"/>
  <c r="F176" i="84"/>
  <c r="E176" i="84"/>
  <c r="I175" i="84"/>
  <c r="H175" i="84"/>
  <c r="G175" i="84"/>
  <c r="F175" i="84"/>
  <c r="E175" i="84"/>
  <c r="D175" i="84"/>
  <c r="I174" i="84"/>
  <c r="E174" i="84"/>
  <c r="I173" i="84"/>
  <c r="H173" i="84"/>
  <c r="G173" i="84"/>
  <c r="F173" i="84"/>
  <c r="E173" i="84"/>
  <c r="I172" i="84"/>
  <c r="H172" i="84"/>
  <c r="G172" i="84"/>
  <c r="F172" i="84"/>
  <c r="E172" i="84"/>
  <c r="I171" i="84"/>
  <c r="H171" i="84"/>
  <c r="G171" i="84"/>
  <c r="F171" i="84"/>
  <c r="E171" i="84"/>
  <c r="I170" i="84"/>
  <c r="H170" i="84"/>
  <c r="G170" i="84"/>
  <c r="F170" i="84"/>
  <c r="E170" i="84"/>
  <c r="D170" i="84"/>
  <c r="I165" i="84" a="1"/>
  <c r="I165" i="84" s="1"/>
  <c r="I164" i="84" a="1"/>
  <c r="I164" i="84" s="1"/>
  <c r="N152" i="84"/>
  <c r="D152" i="84"/>
  <c r="N151" i="84"/>
  <c r="D151" i="84"/>
  <c r="N150" i="84"/>
  <c r="D150" i="84"/>
  <c r="D133" i="84"/>
  <c r="E133" i="84" s="1" a="1"/>
  <c r="E133" i="84" s="1"/>
  <c r="D132" i="84"/>
  <c r="E132" i="84" s="1" a="1"/>
  <c r="E132" i="84" s="1"/>
  <c r="D131" i="84"/>
  <c r="E131" i="84" s="1" a="1"/>
  <c r="E131" i="84" s="1"/>
  <c r="D130" i="84"/>
  <c r="I125" i="84" a="1"/>
  <c r="I125" i="84" s="1"/>
  <c r="I124" i="84" a="1"/>
  <c r="I124" i="84" s="1"/>
  <c r="I123" i="84" a="1"/>
  <c r="I123" i="84" s="1"/>
  <c r="N111" i="84"/>
  <c r="D111" i="84"/>
  <c r="N110" i="84"/>
  <c r="D110" i="84"/>
  <c r="N109" i="84"/>
  <c r="D109" i="84"/>
  <c r="N108" i="84"/>
  <c r="D108" i="84"/>
  <c r="H103" i="84"/>
  <c r="G103" i="84"/>
  <c r="F103" i="84"/>
  <c r="E103" i="84"/>
  <c r="D103" i="84"/>
  <c r="H102" i="84"/>
  <c r="G102" i="84"/>
  <c r="F102" i="84"/>
  <c r="E102" i="84"/>
  <c r="D102" i="84"/>
  <c r="H101" i="84"/>
  <c r="G101" i="84"/>
  <c r="F101" i="84"/>
  <c r="E101" i="84"/>
  <c r="D101" i="84"/>
  <c r="H100" i="84"/>
  <c r="G100" i="84"/>
  <c r="F100" i="84"/>
  <c r="E100" i="84"/>
  <c r="D100" i="84"/>
  <c r="I95" i="84" a="1"/>
  <c r="I95" i="84" s="1"/>
  <c r="I94" i="84" a="1"/>
  <c r="I94" i="84" s="1"/>
  <c r="G77" i="84"/>
  <c r="F77" i="84"/>
  <c r="E77" i="84"/>
  <c r="D77" i="84"/>
  <c r="G72" i="84"/>
  <c r="F72" i="84"/>
  <c r="E72" i="84"/>
  <c r="D72" i="84"/>
  <c r="I67" i="84" a="1"/>
  <c r="I67" i="84" s="1"/>
  <c r="I66" i="84" a="1"/>
  <c r="I66" i="84" s="1"/>
  <c r="I65" i="84" a="1"/>
  <c r="I65" i="84" s="1"/>
  <c r="H72" i="84"/>
  <c r="I43" i="84" a="1"/>
  <c r="I43" i="84" s="1"/>
  <c r="I42" i="84" a="1"/>
  <c r="I42" i="84" s="1"/>
  <c r="I14" i="84" a="1"/>
  <c r="I14" i="84" s="1"/>
  <c r="I13" i="84" a="1"/>
  <c r="I13" i="84" s="1"/>
  <c r="H25" i="84"/>
  <c r="P227" i="83" a="1"/>
  <c r="P227" i="83" s="1"/>
  <c r="F227" i="83" a="1"/>
  <c r="F227" i="83" s="1"/>
  <c r="N224" i="83" a="1"/>
  <c r="N224" i="83" s="1"/>
  <c r="D224" i="83" a="1"/>
  <c r="D224" i="83" s="1"/>
  <c r="O220" i="83"/>
  <c r="E220" i="83"/>
  <c r="O219" i="83"/>
  <c r="E219" i="83"/>
  <c r="O218" i="83"/>
  <c r="E218" i="83"/>
  <c r="O217" i="83"/>
  <c r="E217" i="83"/>
  <c r="O216" i="83"/>
  <c r="N216" i="83"/>
  <c r="E216" i="83"/>
  <c r="D216" i="83"/>
  <c r="O215" i="83"/>
  <c r="E215" i="83"/>
  <c r="O214" i="83"/>
  <c r="E214" i="83"/>
  <c r="O213" i="83"/>
  <c r="E213" i="83"/>
  <c r="O212" i="83"/>
  <c r="E212" i="83"/>
  <c r="O211" i="83"/>
  <c r="N211" i="83"/>
  <c r="E211" i="83"/>
  <c r="D211" i="83"/>
  <c r="O210" i="83"/>
  <c r="E210" i="83"/>
  <c r="O209" i="83"/>
  <c r="E209" i="83"/>
  <c r="O208" i="83"/>
  <c r="E208" i="83"/>
  <c r="O207" i="83"/>
  <c r="E207" i="83"/>
  <c r="O206" i="83"/>
  <c r="N206" i="83"/>
  <c r="E206" i="83"/>
  <c r="D206" i="83"/>
  <c r="N205" i="83"/>
  <c r="D205" i="83"/>
  <c r="N204" i="83"/>
  <c r="D204" i="83"/>
  <c r="N203" i="83"/>
  <c r="D203" i="83"/>
  <c r="N202" i="83"/>
  <c r="D202" i="83"/>
  <c r="G197" i="83"/>
  <c r="F197" i="83"/>
  <c r="E197" i="83"/>
  <c r="D197" i="83"/>
  <c r="G192" i="83"/>
  <c r="F192" i="83"/>
  <c r="E192" i="83"/>
  <c r="D192" i="83"/>
  <c r="I187" i="83" a="1"/>
  <c r="I187" i="83" s="1"/>
  <c r="J186" i="83" a="1"/>
  <c r="J186" i="83" s="1"/>
  <c r="I186" i="83" a="1"/>
  <c r="I186" i="83" s="1"/>
  <c r="I185" i="83" a="1"/>
  <c r="I185" i="83" s="1"/>
  <c r="T202" i="83"/>
  <c r="O173" i="83"/>
  <c r="E173" i="83"/>
  <c r="O172" i="83"/>
  <c r="E172" i="83"/>
  <c r="O171" i="83"/>
  <c r="E171" i="83"/>
  <c r="O170" i="83"/>
  <c r="E170" i="83"/>
  <c r="O169" i="83"/>
  <c r="N169" i="83"/>
  <c r="E169" i="83"/>
  <c r="D169" i="83"/>
  <c r="O168" i="83"/>
  <c r="E168" i="83"/>
  <c r="O167" i="83"/>
  <c r="E167" i="83"/>
  <c r="O166" i="83"/>
  <c r="E166" i="83"/>
  <c r="O165" i="83"/>
  <c r="E165" i="83"/>
  <c r="O164" i="83"/>
  <c r="N164" i="83"/>
  <c r="E164" i="83"/>
  <c r="D164" i="83"/>
  <c r="O163" i="83"/>
  <c r="E163" i="83"/>
  <c r="O162" i="83"/>
  <c r="E162" i="83"/>
  <c r="O161" i="83"/>
  <c r="E161" i="83"/>
  <c r="O160" i="83"/>
  <c r="E160" i="83"/>
  <c r="O159" i="83"/>
  <c r="N159" i="83"/>
  <c r="E159" i="83"/>
  <c r="D159" i="83"/>
  <c r="F154" i="83"/>
  <c r="E154" i="83"/>
  <c r="I153" i="83"/>
  <c r="H153" i="83"/>
  <c r="G153" i="83"/>
  <c r="F153" i="83"/>
  <c r="E153" i="83"/>
  <c r="I152" i="83"/>
  <c r="H152" i="83"/>
  <c r="G152" i="83"/>
  <c r="F152" i="83"/>
  <c r="E152" i="83"/>
  <c r="I151" i="83"/>
  <c r="H151" i="83"/>
  <c r="G151" i="83"/>
  <c r="F151" i="83"/>
  <c r="E151" i="83"/>
  <c r="I150" i="83"/>
  <c r="H150" i="83"/>
  <c r="G150" i="83"/>
  <c r="F150" i="83"/>
  <c r="E150" i="83"/>
  <c r="D150" i="83"/>
  <c r="I149" i="83"/>
  <c r="E149" i="83"/>
  <c r="I148" i="83"/>
  <c r="H148" i="83"/>
  <c r="G148" i="83"/>
  <c r="F148" i="83"/>
  <c r="E148" i="83"/>
  <c r="I147" i="83"/>
  <c r="H147" i="83"/>
  <c r="G147" i="83"/>
  <c r="F147" i="83"/>
  <c r="E147" i="83"/>
  <c r="I146" i="83"/>
  <c r="H146" i="83"/>
  <c r="G146" i="83"/>
  <c r="F146" i="83"/>
  <c r="E146" i="83"/>
  <c r="I145" i="83"/>
  <c r="H145" i="83"/>
  <c r="G145" i="83"/>
  <c r="F145" i="83"/>
  <c r="E145" i="83"/>
  <c r="D145" i="83"/>
  <c r="I144" i="83"/>
  <c r="H144" i="83"/>
  <c r="G144" i="83"/>
  <c r="E144" i="83"/>
  <c r="I143" i="83"/>
  <c r="H143" i="83"/>
  <c r="G143" i="83"/>
  <c r="F143" i="83"/>
  <c r="E143" i="83"/>
  <c r="I142" i="83"/>
  <c r="H142" i="83"/>
  <c r="G142" i="83"/>
  <c r="F142" i="83"/>
  <c r="E142" i="83"/>
  <c r="I141" i="83"/>
  <c r="H141" i="83"/>
  <c r="G141" i="83"/>
  <c r="F141" i="83"/>
  <c r="E141" i="83"/>
  <c r="I140" i="83"/>
  <c r="H140" i="83"/>
  <c r="G140" i="83"/>
  <c r="F140" i="83"/>
  <c r="E140" i="83"/>
  <c r="D140" i="83"/>
  <c r="S135" i="83"/>
  <c r="I135" i="83"/>
  <c r="S133" i="83" a="1"/>
  <c r="S133" i="83" s="1"/>
  <c r="I133" i="83" a="1"/>
  <c r="I133" i="83" s="1"/>
  <c r="S132" i="83" a="1"/>
  <c r="S132" i="83" s="1"/>
  <c r="I132" i="83" a="1"/>
  <c r="I132" i="83" s="1"/>
  <c r="S131" i="83" a="1"/>
  <c r="S131" i="83" s="1"/>
  <c r="I131" i="83" a="1"/>
  <c r="I131" i="83" s="1"/>
  <c r="S130" i="83" a="1"/>
  <c r="S130" i="83" s="1"/>
  <c r="I130" i="83" a="1"/>
  <c r="I130" i="83" s="1"/>
  <c r="N117" i="83"/>
  <c r="D117" i="83"/>
  <c r="N116" i="83"/>
  <c r="D116" i="83"/>
  <c r="N115" i="83"/>
  <c r="D115" i="83"/>
  <c r="D110" i="83"/>
  <c r="E110" i="83" s="1" a="1"/>
  <c r="E110" i="83" s="1"/>
  <c r="D109" i="83"/>
  <c r="D108" i="83"/>
  <c r="E108" i="83" s="1" a="1"/>
  <c r="E108" i="83" s="1"/>
  <c r="I103" i="83" a="1"/>
  <c r="I103" i="83" s="1"/>
  <c r="I102" i="83" a="1"/>
  <c r="I102" i="83" s="1"/>
  <c r="I101" i="83" a="1"/>
  <c r="I101" i="83" s="1"/>
  <c r="N89" i="83"/>
  <c r="D89" i="83"/>
  <c r="N88" i="83"/>
  <c r="D88" i="83"/>
  <c r="N87" i="83"/>
  <c r="D87" i="83"/>
  <c r="N86" i="83"/>
  <c r="D86" i="83"/>
  <c r="H63" i="83"/>
  <c r="G63" i="83"/>
  <c r="F63" i="83"/>
  <c r="E63" i="83"/>
  <c r="D63" i="83"/>
  <c r="H62" i="83"/>
  <c r="G62" i="83"/>
  <c r="F62" i="83"/>
  <c r="E62" i="83"/>
  <c r="D62" i="83"/>
  <c r="H61" i="83"/>
  <c r="G61" i="83"/>
  <c r="F61" i="83"/>
  <c r="E61" i="83"/>
  <c r="D61" i="83"/>
  <c r="H60" i="83"/>
  <c r="G60" i="83"/>
  <c r="F60" i="83"/>
  <c r="E60" i="83"/>
  <c r="D60" i="83"/>
  <c r="S55" i="83"/>
  <c r="I55" i="83"/>
  <c r="S53" i="83" a="1"/>
  <c r="S53" i="83" s="1"/>
  <c r="I53" i="83" a="1"/>
  <c r="I53" i="83" s="1"/>
  <c r="S52" i="83" a="1"/>
  <c r="S52" i="83" s="1"/>
  <c r="I52" i="83" a="1"/>
  <c r="I52" i="83" s="1"/>
  <c r="S51" i="83" a="1"/>
  <c r="S51" i="83" s="1"/>
  <c r="I51" i="83" a="1"/>
  <c r="I51" i="83" s="1"/>
  <c r="S50" i="83" a="1"/>
  <c r="S50" i="83" s="1"/>
  <c r="I50" i="83" a="1"/>
  <c r="I50" i="83" s="1"/>
  <c r="F73" i="83"/>
  <c r="I15" i="83" a="1"/>
  <c r="I15" i="83" s="1"/>
  <c r="I14" i="83" a="1"/>
  <c r="I14" i="83" s="1"/>
  <c r="I13" i="83" a="1"/>
  <c r="I13" i="83" s="1"/>
  <c r="M56" i="82"/>
  <c r="F100" i="87" s="1"/>
  <c r="H56" i="82"/>
  <c r="I154" i="83" s="1"/>
  <c r="G56" i="82"/>
  <c r="H154" i="83" s="1"/>
  <c r="F56" i="82"/>
  <c r="G184" i="84" s="1"/>
  <c r="E56" i="82"/>
  <c r="M55" i="82"/>
  <c r="M54" i="82"/>
  <c r="M53" i="82"/>
  <c r="M52" i="82"/>
  <c r="E51" i="82"/>
  <c r="M49" i="82"/>
  <c r="F95" i="87" s="1"/>
  <c r="H49" i="82"/>
  <c r="I179" i="84" s="1"/>
  <c r="G49" i="82"/>
  <c r="H149" i="83" s="1"/>
  <c r="F49" i="82"/>
  <c r="G149" i="83" s="1"/>
  <c r="E49" i="82"/>
  <c r="F179" i="84" s="1"/>
  <c r="M48" i="82"/>
  <c r="F94" i="87" s="1"/>
  <c r="M47" i="82"/>
  <c r="F93" i="87" s="1"/>
  <c r="M46" i="82"/>
  <c r="F92" i="87" s="1"/>
  <c r="M45" i="82"/>
  <c r="E44" i="82"/>
  <c r="M42" i="82"/>
  <c r="H42" i="82"/>
  <c r="G42" i="82"/>
  <c r="H174" i="84" s="1"/>
  <c r="F42" i="82"/>
  <c r="G174" i="84" s="1"/>
  <c r="E42" i="82"/>
  <c r="F144" i="83" s="1"/>
  <c r="M41" i="82"/>
  <c r="F89" i="87" s="1"/>
  <c r="M40" i="82"/>
  <c r="F88" i="87" s="1"/>
  <c r="M39" i="82"/>
  <c r="F87" i="87" s="1"/>
  <c r="M38" i="82"/>
  <c r="F86" i="87" s="1"/>
  <c r="E37" i="82"/>
  <c r="H34" i="82"/>
  <c r="G34" i="82"/>
  <c r="F34" i="82"/>
  <c r="E34" i="82"/>
  <c r="D51" i="82"/>
  <c r="D44" i="82"/>
  <c r="D37" i="82"/>
  <c r="D58" i="78"/>
  <c r="D38" i="78"/>
  <c r="D37" i="78"/>
  <c r="D36" i="78"/>
  <c r="D35" i="78"/>
  <c r="D34" i="78"/>
  <c r="D33" i="78"/>
  <c r="D32" i="78"/>
  <c r="D31" i="78"/>
  <c r="D13" i="78"/>
  <c r="D12" i="78"/>
  <c r="J13" i="78"/>
  <c r="D9" i="78"/>
  <c r="J9" i="78"/>
  <c r="D8" i="78"/>
  <c r="J35" i="78"/>
  <c r="G495" i="116" l="1"/>
  <c r="E48" i="85" a="1"/>
  <c r="E48" i="85" s="1"/>
  <c r="M36" i="96" a="1"/>
  <c r="M36" i="96" s="1"/>
  <c r="F17" i="82"/>
  <c r="E25" i="83" s="1"/>
  <c r="F22" i="82"/>
  <c r="O25" i="83" s="1"/>
  <c r="I33" i="117"/>
  <c r="D7" i="113"/>
  <c r="D177" i="116" s="1"/>
  <c r="F177" i="116" s="1" a="1"/>
  <c r="F177" i="116" s="1"/>
  <c r="G177" i="116" s="1"/>
  <c r="D179" i="116"/>
  <c r="F179" i="116" s="1" a="1"/>
  <c r="F179" i="116" s="1"/>
  <c r="G179" i="116" s="1"/>
  <c r="D178" i="116"/>
  <c r="F178" i="116" s="1" a="1"/>
  <c r="F178" i="116" s="1"/>
  <c r="G178" i="116" s="1"/>
  <c r="E55" i="87" a="1"/>
  <c r="E55" i="87" s="1"/>
  <c r="D285" i="116" a="1"/>
  <c r="L242" i="118"/>
  <c r="N241" i="118" s="1"/>
  <c r="F151" i="116" a="1"/>
  <c r="F151" i="116" s="1"/>
  <c r="F150" i="116" a="1"/>
  <c r="F150" i="116" s="1"/>
  <c r="F149" i="116" a="1"/>
  <c r="F149" i="116" s="1"/>
  <c r="F148" i="116" a="1"/>
  <c r="F148" i="116" s="1"/>
  <c r="G148" i="116" s="1"/>
  <c r="F153" i="116" a="1"/>
  <c r="F153" i="116" s="1"/>
  <c r="F152" i="116" a="1"/>
  <c r="F152" i="116" s="1"/>
  <c r="E138" i="84" a="1"/>
  <c r="E138" i="84" s="1"/>
  <c r="I69" i="117"/>
  <c r="G384" i="116" a="1"/>
  <c r="G384" i="116" s="1"/>
  <c r="G383" i="116" a="1"/>
  <c r="G383" i="116" s="1"/>
  <c r="G382" i="116" a="1"/>
  <c r="G382" i="116" s="1"/>
  <c r="H382" i="116" s="1"/>
  <c r="G391" i="116" a="1"/>
  <c r="G391" i="116" s="1"/>
  <c r="G390" i="116" a="1"/>
  <c r="G390" i="116" s="1"/>
  <c r="G389" i="116" a="1"/>
  <c r="G389" i="116" s="1"/>
  <c r="G388" i="116" a="1"/>
  <c r="G388" i="116" s="1"/>
  <c r="G387" i="116" a="1"/>
  <c r="G387" i="116" s="1"/>
  <c r="G386" i="116" a="1"/>
  <c r="G386" i="116" s="1"/>
  <c r="G385" i="116" a="1"/>
  <c r="G385" i="116" s="1"/>
  <c r="E139" i="84" a="1"/>
  <c r="E139" i="84" s="1"/>
  <c r="E52" i="85" a="1"/>
  <c r="E52" i="85" s="1"/>
  <c r="E105" i="105"/>
  <c r="E68" i="106"/>
  <c r="E31" i="97"/>
  <c r="E38" i="97"/>
  <c r="D12" i="113"/>
  <c r="D137" i="116" s="1"/>
  <c r="F137" i="116" s="1" a="1"/>
  <c r="F137" i="116" s="1"/>
  <c r="G137" i="116" s="1"/>
  <c r="D140" i="116"/>
  <c r="F140" i="116" s="1" a="1"/>
  <c r="F140" i="116" s="1"/>
  <c r="D139" i="116"/>
  <c r="F139" i="116" s="1" a="1"/>
  <c r="F139" i="116" s="1"/>
  <c r="D138" i="116"/>
  <c r="F138" i="116" s="1" a="1"/>
  <c r="F138" i="116" s="1"/>
  <c r="G138" i="116" s="1"/>
  <c r="E41" i="87" a="1"/>
  <c r="E41" i="87" s="1"/>
  <c r="E59" i="87" a="1"/>
  <c r="E59" i="87" s="1"/>
  <c r="H17" i="82"/>
  <c r="G25" i="83" s="1"/>
  <c r="H22" i="82"/>
  <c r="Q25" i="83" s="1"/>
  <c r="M37" i="96" a="1"/>
  <c r="M37" i="96" s="1"/>
  <c r="L37" i="96" a="1"/>
  <c r="L37" i="96" s="1"/>
  <c r="E74" i="106"/>
  <c r="E111" i="105"/>
  <c r="E143" i="105" s="1"/>
  <c r="J87" i="117"/>
  <c r="E141" i="84" a="1"/>
  <c r="E141" i="84" s="1"/>
  <c r="E42" i="87" a="1"/>
  <c r="E42" i="87" s="1"/>
  <c r="E60" i="87" a="1"/>
  <c r="E60" i="87" s="1"/>
  <c r="E50" i="85" a="1"/>
  <c r="E50" i="85" s="1"/>
  <c r="E49" i="85" a="1"/>
  <c r="E49" i="85" s="1"/>
  <c r="E58" i="87" a="1"/>
  <c r="E58" i="87" s="1"/>
  <c r="E57" i="87" a="1"/>
  <c r="E57" i="87" s="1"/>
  <c r="E56" i="87" a="1"/>
  <c r="E56" i="87" s="1"/>
  <c r="E46" i="85" a="1"/>
  <c r="E46" i="85" s="1"/>
  <c r="E61" i="87" a="1"/>
  <c r="E61" i="87" s="1"/>
  <c r="E54" i="87" a="1"/>
  <c r="E54" i="87" s="1"/>
  <c r="E51" i="85" a="1"/>
  <c r="E51" i="85" s="1"/>
  <c r="G447" i="116" a="1"/>
  <c r="G447" i="116" s="1"/>
  <c r="H447" i="116" s="1"/>
  <c r="G445" i="116" a="1"/>
  <c r="G445" i="116" s="1"/>
  <c r="H445" i="116" s="1"/>
  <c r="G454" i="116" a="1"/>
  <c r="G454" i="116" s="1"/>
  <c r="G453" i="116" a="1"/>
  <c r="G453" i="116" s="1"/>
  <c r="G451" i="116" a="1"/>
  <c r="G451" i="116" s="1"/>
  <c r="G450" i="116" a="1"/>
  <c r="G450" i="116" s="1"/>
  <c r="H450" i="116" s="1"/>
  <c r="G449" i="116" a="1"/>
  <c r="G449" i="116" s="1"/>
  <c r="H449" i="116" s="1"/>
  <c r="E26" i="97"/>
  <c r="E33" i="97"/>
  <c r="M32" i="97" a="1"/>
  <c r="M32" i="97" s="1"/>
  <c r="M40" i="97" a="1"/>
  <c r="M40" i="97" s="1"/>
  <c r="I545" i="116" a="1"/>
  <c r="I545" i="116" s="1"/>
  <c r="E548" i="116" s="1"/>
  <c r="E76" i="116" a="1"/>
  <c r="E76" i="116" s="1"/>
  <c r="E58" i="116" a="1"/>
  <c r="E58" i="116" s="1"/>
  <c r="E39" i="116" a="1"/>
  <c r="E39" i="116" s="1"/>
  <c r="I32" i="116" a="1"/>
  <c r="I32" i="116" s="1"/>
  <c r="I31" i="116" a="1"/>
  <c r="I31" i="116" s="1"/>
  <c r="I30" i="116" a="1"/>
  <c r="I30" i="116" s="1"/>
  <c r="I29" i="116" a="1"/>
  <c r="I29" i="116" s="1"/>
  <c r="I28" i="116" a="1"/>
  <c r="I28" i="116" s="1"/>
  <c r="I27" i="116" a="1"/>
  <c r="I27" i="116" s="1"/>
  <c r="I26" i="116" a="1"/>
  <c r="I26" i="116" s="1"/>
  <c r="I25" i="116" a="1"/>
  <c r="I25" i="116" s="1"/>
  <c r="I24" i="116" a="1"/>
  <c r="I24" i="116" s="1"/>
  <c r="J24" i="116" s="1"/>
  <c r="I23" i="116" a="1"/>
  <c r="I23" i="116" s="1"/>
  <c r="J23" i="116" s="1"/>
  <c r="F485" i="116" a="1"/>
  <c r="F485" i="116" s="1"/>
  <c r="G485" i="116" s="1"/>
  <c r="F484" i="116" a="1"/>
  <c r="F484" i="116" s="1"/>
  <c r="F483" i="116" a="1"/>
  <c r="F483" i="116" s="1"/>
  <c r="G483" i="116" s="1"/>
  <c r="F482" i="116" a="1"/>
  <c r="F482" i="116" s="1"/>
  <c r="F481" i="116" a="1"/>
  <c r="F481" i="116" s="1"/>
  <c r="G481" i="116" s="1"/>
  <c r="D47" i="113"/>
  <c r="D494" i="116" s="1"/>
  <c r="F494" i="116" s="1" a="1"/>
  <c r="F494" i="116" s="1"/>
  <c r="G494" i="116" s="1"/>
  <c r="F496" i="116" a="1"/>
  <c r="F496" i="116" s="1"/>
  <c r="G496" i="116" s="1"/>
  <c r="E44" i="87" a="1"/>
  <c r="E44" i="87" s="1"/>
  <c r="E62" i="87" a="1"/>
  <c r="E62" i="87" s="1"/>
  <c r="G18" i="82"/>
  <c r="F25" i="84" s="1"/>
  <c r="G23" i="82"/>
  <c r="P25" i="84" s="1"/>
  <c r="D59" i="109" a="1"/>
  <c r="D116" i="109" a="1"/>
  <c r="D116" i="109" s="1"/>
  <c r="D21" i="109" a="1"/>
  <c r="D157" i="109" a="1"/>
  <c r="D157" i="109" s="1"/>
  <c r="I17" i="110"/>
  <c r="E59" i="109" a="1"/>
  <c r="E116" i="109" a="1"/>
  <c r="E116" i="109" s="1"/>
  <c r="E21" i="109" a="1"/>
  <c r="E157" i="109" a="1"/>
  <c r="E157" i="109" s="1"/>
  <c r="E145" i="84" a="1"/>
  <c r="E145" i="84" s="1"/>
  <c r="E37" i="97"/>
  <c r="E30" i="97"/>
  <c r="J39" i="97"/>
  <c r="I39" i="97"/>
  <c r="H39" i="97"/>
  <c r="G39" i="97"/>
  <c r="E26" i="96"/>
  <c r="J26" i="96" s="1" a="1"/>
  <c r="J26" i="96" s="1"/>
  <c r="E38" i="96"/>
  <c r="I38" i="96" s="1" a="1"/>
  <c r="I38" i="96" s="1"/>
  <c r="E33" i="96"/>
  <c r="G33" i="96" s="1" a="1"/>
  <c r="G33" i="96" s="1"/>
  <c r="E109" i="83" a="1"/>
  <c r="E109" i="83" s="1"/>
  <c r="E32" i="97"/>
  <c r="E25" i="97"/>
  <c r="M25" i="96" a="1"/>
  <c r="M25" i="96" s="1"/>
  <c r="L25" i="96" a="1"/>
  <c r="L25" i="96" s="1"/>
  <c r="E23" i="82"/>
  <c r="N25" i="84" s="1"/>
  <c r="E18" i="82"/>
  <c r="D25" i="84" s="1"/>
  <c r="M33" i="96" a="1"/>
  <c r="M33" i="96" s="1"/>
  <c r="M29" i="97" a="1"/>
  <c r="M29" i="97" s="1"/>
  <c r="L29" i="97" a="1"/>
  <c r="L29" i="97" s="1"/>
  <c r="E73" i="106"/>
  <c r="E110" i="105"/>
  <c r="E34" i="97"/>
  <c r="E27" i="97"/>
  <c r="E29" i="97"/>
  <c r="E36" i="97"/>
  <c r="M36" i="97" a="1"/>
  <c r="M36" i="97" s="1"/>
  <c r="L36" i="97" a="1"/>
  <c r="L36" i="97" s="1"/>
  <c r="H184" i="84"/>
  <c r="G13" i="111" a="1"/>
  <c r="G13" i="111" s="1"/>
  <c r="G12" i="111" a="1"/>
  <c r="G12" i="111" s="1"/>
  <c r="G11" i="111" a="1"/>
  <c r="G11" i="111" s="1"/>
  <c r="G10" i="111" a="1"/>
  <c r="G10" i="111" s="1"/>
  <c r="G9" i="111" a="1"/>
  <c r="G9" i="111" s="1"/>
  <c r="G8" i="111" a="1"/>
  <c r="G8" i="111" s="1"/>
  <c r="G7" i="111" a="1"/>
  <c r="G7" i="111" s="1"/>
  <c r="G16" i="111" a="1"/>
  <c r="G16" i="111" s="1"/>
  <c r="G15" i="111" a="1"/>
  <c r="G15" i="111" s="1"/>
  <c r="G14" i="111" a="1"/>
  <c r="G14" i="111" s="1"/>
  <c r="M30" i="96" a="1"/>
  <c r="M30" i="96" s="1"/>
  <c r="G177" i="118"/>
  <c r="G176" i="118"/>
  <c r="G175" i="118"/>
  <c r="G174" i="118"/>
  <c r="AA259" i="116" s="1" a="1"/>
  <c r="AA259" i="116" s="1"/>
  <c r="F149" i="83"/>
  <c r="F174" i="84"/>
  <c r="H179" i="84"/>
  <c r="G16" i="82"/>
  <c r="G21" i="82"/>
  <c r="M38" i="96" a="1"/>
  <c r="M38" i="96" s="1"/>
  <c r="L38" i="96" a="1"/>
  <c r="L38" i="96" s="1"/>
  <c r="M31" i="97" a="1"/>
  <c r="M31" i="97" s="1"/>
  <c r="L31" i="97" a="1"/>
  <c r="L31" i="97" s="1"/>
  <c r="E317" i="116" a="1"/>
  <c r="E317" i="116" s="1"/>
  <c r="E316" i="116" a="1"/>
  <c r="E316" i="116" s="1"/>
  <c r="E315" i="116" a="1"/>
  <c r="E315" i="116" s="1"/>
  <c r="E45" i="85" a="1"/>
  <c r="E45" i="85" s="1"/>
  <c r="M39" i="97" a="1"/>
  <c r="M39" i="97" s="1"/>
  <c r="K40" i="97" a="1"/>
  <c r="K40" i="97" s="1"/>
  <c r="M27" i="96" a="1"/>
  <c r="M27" i="96" s="1"/>
  <c r="E69" i="106"/>
  <c r="E106" i="105"/>
  <c r="E138" i="105" s="1"/>
  <c r="M28" i="97" a="1"/>
  <c r="M28" i="97" s="1"/>
  <c r="L28" i="97" a="1"/>
  <c r="L28" i="97" s="1"/>
  <c r="J54" i="100"/>
  <c r="E107" i="105"/>
  <c r="E70" i="106"/>
  <c r="G194" i="118"/>
  <c r="G197" i="118"/>
  <c r="G196" i="118"/>
  <c r="G195" i="118"/>
  <c r="H194" i="118"/>
  <c r="I174" i="118"/>
  <c r="F23" i="82"/>
  <c r="O25" i="84" s="1"/>
  <c r="F18" i="82"/>
  <c r="E25" i="84" s="1"/>
  <c r="I40" i="97"/>
  <c r="H40" i="97"/>
  <c r="G40" i="97"/>
  <c r="J40" i="97"/>
  <c r="M26" i="97" a="1"/>
  <c r="M26" i="97" s="1"/>
  <c r="L26" i="97" a="1"/>
  <c r="L26" i="97" s="1"/>
  <c r="M29" i="96" a="1"/>
  <c r="M29" i="96" s="1"/>
  <c r="E75" i="106"/>
  <c r="E112" i="105"/>
  <c r="H18" i="82"/>
  <c r="G25" i="84" s="1"/>
  <c r="H23" i="82"/>
  <c r="Q25" i="84" s="1"/>
  <c r="I35" i="96" a="1"/>
  <c r="I35" i="96" s="1"/>
  <c r="J32" i="96" a="1"/>
  <c r="J32" i="96" s="1"/>
  <c r="I29" i="96" a="1"/>
  <c r="I29" i="96" s="1"/>
  <c r="H26" i="96" a="1"/>
  <c r="H26" i="96" s="1"/>
  <c r="H38" i="96" a="1"/>
  <c r="H38" i="96" s="1"/>
  <c r="H35" i="96" a="1"/>
  <c r="H35" i="96" s="1"/>
  <c r="I32" i="96" a="1"/>
  <c r="I32" i="96" s="1"/>
  <c r="H29" i="96" a="1"/>
  <c r="H29" i="96" s="1"/>
  <c r="G26" i="96" a="1"/>
  <c r="G26" i="96" s="1"/>
  <c r="G38" i="96" a="1"/>
  <c r="G38" i="96" s="1"/>
  <c r="G35" i="96" a="1"/>
  <c r="G35" i="96" s="1"/>
  <c r="H32" i="96" a="1"/>
  <c r="H32" i="96" s="1"/>
  <c r="G29" i="96" a="1"/>
  <c r="G29" i="96" s="1"/>
  <c r="K27" i="96" a="1"/>
  <c r="K27" i="96" s="1"/>
  <c r="K39" i="96" a="1"/>
  <c r="K39" i="96" s="1"/>
  <c r="K36" i="96" a="1"/>
  <c r="K36" i="96" s="1"/>
  <c r="K33" i="96" a="1"/>
  <c r="K33" i="96" s="1"/>
  <c r="G32" i="96" a="1"/>
  <c r="G32" i="96" s="1"/>
  <c r="K30" i="96" a="1"/>
  <c r="K30" i="96" s="1"/>
  <c r="J27" i="96" a="1"/>
  <c r="J27" i="96" s="1"/>
  <c r="J39" i="96" a="1"/>
  <c r="J39" i="96" s="1"/>
  <c r="J36" i="96" a="1"/>
  <c r="J36" i="96" s="1"/>
  <c r="J33" i="96" a="1"/>
  <c r="J33" i="96" s="1"/>
  <c r="J30" i="96" a="1"/>
  <c r="J30" i="96" s="1"/>
  <c r="I27" i="96" a="1"/>
  <c r="I27" i="96" s="1"/>
  <c r="I39" i="96" a="1"/>
  <c r="I39" i="96" s="1"/>
  <c r="I36" i="96" a="1"/>
  <c r="I36" i="96" s="1"/>
  <c r="I30" i="96" a="1"/>
  <c r="I30" i="96" s="1"/>
  <c r="H27" i="96" a="1"/>
  <c r="H27" i="96" s="1"/>
  <c r="H39" i="96" a="1"/>
  <c r="H39" i="96" s="1"/>
  <c r="H36" i="96" a="1"/>
  <c r="H36" i="96" s="1"/>
  <c r="H30" i="96" a="1"/>
  <c r="H30" i="96" s="1"/>
  <c r="G27" i="96" a="1"/>
  <c r="G27" i="96" s="1"/>
  <c r="G39" i="96" a="1"/>
  <c r="G39" i="96" s="1"/>
  <c r="G36" i="96" a="1"/>
  <c r="G36" i="96" s="1"/>
  <c r="K34" i="96" a="1"/>
  <c r="K34" i="96" s="1"/>
  <c r="G30" i="96" a="1"/>
  <c r="G30" i="96" s="1"/>
  <c r="K28" i="96" a="1"/>
  <c r="K28" i="96" s="1"/>
  <c r="J34" i="96" a="1"/>
  <c r="J34" i="96" s="1"/>
  <c r="K31" i="96" a="1"/>
  <c r="K31" i="96" s="1"/>
  <c r="J28" i="96" a="1"/>
  <c r="J28" i="96" s="1"/>
  <c r="I37" i="96" a="1"/>
  <c r="I37" i="96" s="1"/>
  <c r="I34" i="96" a="1"/>
  <c r="I34" i="96" s="1"/>
  <c r="J31" i="96" a="1"/>
  <c r="J31" i="96" s="1"/>
  <c r="I28" i="96" a="1"/>
  <c r="I28" i="96" s="1"/>
  <c r="H34" i="96" a="1"/>
  <c r="H34" i="96" s="1"/>
  <c r="I31" i="96" a="1"/>
  <c r="I31" i="96" s="1"/>
  <c r="H28" i="96" a="1"/>
  <c r="H28" i="96" s="1"/>
  <c r="G34" i="96" a="1"/>
  <c r="G34" i="96" s="1"/>
  <c r="H31" i="96" a="1"/>
  <c r="H31" i="96" s="1"/>
  <c r="G28" i="96" a="1"/>
  <c r="G28" i="96" s="1"/>
  <c r="K26" i="96" a="1"/>
  <c r="K26" i="96" s="1"/>
  <c r="K38" i="96" a="1"/>
  <c r="K38" i="96" s="1"/>
  <c r="K35" i="96" a="1"/>
  <c r="K35" i="96" s="1"/>
  <c r="G31" i="96" a="1"/>
  <c r="G31" i="96" s="1"/>
  <c r="K29" i="96" a="1"/>
  <c r="K29" i="96" s="1"/>
  <c r="E25" i="96"/>
  <c r="J25" i="96" s="1" a="1"/>
  <c r="J25" i="96" s="1"/>
  <c r="E37" i="96"/>
  <c r="K37" i="96" s="1" a="1"/>
  <c r="K37" i="96" s="1"/>
  <c r="J35" i="96" a="1"/>
  <c r="J35" i="96" s="1"/>
  <c r="K32" i="96" a="1"/>
  <c r="K32" i="96" s="1"/>
  <c r="J29" i="96" a="1"/>
  <c r="J29" i="96" s="1"/>
  <c r="I26" i="96" a="1"/>
  <c r="I26" i="96" s="1"/>
  <c r="M30" i="97" a="1"/>
  <c r="M30" i="97" s="1"/>
  <c r="L30" i="97" a="1"/>
  <c r="L30" i="97" s="1"/>
  <c r="E16" i="82"/>
  <c r="E21" i="82"/>
  <c r="G154" i="83"/>
  <c r="G179" i="84"/>
  <c r="I184" i="84"/>
  <c r="I15" i="93" a="1"/>
  <c r="I15" i="93" s="1"/>
  <c r="E18" i="93" s="1"/>
  <c r="T21" i="100" a="1"/>
  <c r="T21" i="100" s="1"/>
  <c r="Y20" i="100"/>
  <c r="J20" i="100" a="1"/>
  <c r="J20" i="100" s="1"/>
  <c r="N19" i="100" a="1"/>
  <c r="N19" i="100" s="1"/>
  <c r="R18" i="100" a="1"/>
  <c r="R18" i="100" s="1"/>
  <c r="F17" i="100"/>
  <c r="L16" i="100" a="1"/>
  <c r="L16" i="100" s="1"/>
  <c r="P15" i="100" a="1"/>
  <c r="P15" i="100" s="1"/>
  <c r="T14" i="100" a="1"/>
  <c r="T14" i="100" s="1"/>
  <c r="Y13" i="100"/>
  <c r="J13" i="100" a="1"/>
  <c r="J13" i="100" s="1"/>
  <c r="N12" i="100" a="1"/>
  <c r="N12" i="100" s="1"/>
  <c r="S21" i="100" a="1"/>
  <c r="S21" i="100" s="1"/>
  <c r="W20" i="100" a="1"/>
  <c r="W20" i="100" s="1"/>
  <c r="H20" i="100"/>
  <c r="I20" i="100" s="1"/>
  <c r="M19" i="100" a="1"/>
  <c r="M19" i="100" s="1"/>
  <c r="Q18" i="100" a="1"/>
  <c r="Q18" i="100" s="1"/>
  <c r="U17" i="100" a="1"/>
  <c r="U17" i="100" s="1"/>
  <c r="Z16" i="100"/>
  <c r="K16" i="100" a="1"/>
  <c r="K16" i="100" s="1"/>
  <c r="O15" i="100" a="1"/>
  <c r="O15" i="100" s="1"/>
  <c r="S14" i="100" a="1"/>
  <c r="S14" i="100" s="1"/>
  <c r="W13" i="100" a="1"/>
  <c r="W13" i="100" s="1"/>
  <c r="H13" i="100"/>
  <c r="I13" i="100" s="1"/>
  <c r="M12" i="100" a="1"/>
  <c r="M12" i="100" s="1"/>
  <c r="R21" i="100" a="1"/>
  <c r="R21" i="100" s="1"/>
  <c r="F20" i="100"/>
  <c r="L19" i="100" a="1"/>
  <c r="L19" i="100" s="1"/>
  <c r="P18" i="100" a="1"/>
  <c r="P18" i="100" s="1"/>
  <c r="T17" i="100" a="1"/>
  <c r="T17" i="100" s="1"/>
  <c r="Y16" i="100"/>
  <c r="J16" i="100" a="1"/>
  <c r="J16" i="100" s="1"/>
  <c r="N15" i="100" a="1"/>
  <c r="N15" i="100" s="1"/>
  <c r="R14" i="100" a="1"/>
  <c r="R14" i="100" s="1"/>
  <c r="F13" i="100"/>
  <c r="L12" i="100" a="1"/>
  <c r="L12" i="100" s="1"/>
  <c r="Q21" i="100" a="1"/>
  <c r="Q21" i="100" s="1"/>
  <c r="U20" i="100" a="1"/>
  <c r="U20" i="100" s="1"/>
  <c r="Z19" i="100"/>
  <c r="K19" i="100" a="1"/>
  <c r="K19" i="100" s="1"/>
  <c r="O18" i="100" a="1"/>
  <c r="O18" i="100" s="1"/>
  <c r="S17" i="100" a="1"/>
  <c r="S17" i="100" s="1"/>
  <c r="W16" i="100" a="1"/>
  <c r="W16" i="100" s="1"/>
  <c r="H16" i="100"/>
  <c r="I16" i="100" s="1"/>
  <c r="M15" i="100" a="1"/>
  <c r="M15" i="100" s="1"/>
  <c r="Q14" i="100" a="1"/>
  <c r="Q14" i="100" s="1"/>
  <c r="U13" i="100" a="1"/>
  <c r="U13" i="100" s="1"/>
  <c r="Z12" i="100"/>
  <c r="K12" i="100" a="1"/>
  <c r="K12" i="100" s="1"/>
  <c r="P21" i="100" a="1"/>
  <c r="P21" i="100" s="1"/>
  <c r="T20" i="100" a="1"/>
  <c r="T20" i="100" s="1"/>
  <c r="Y19" i="100"/>
  <c r="J19" i="100" a="1"/>
  <c r="J19" i="100" s="1"/>
  <c r="N18" i="100" a="1"/>
  <c r="N18" i="100" s="1"/>
  <c r="R17" i="100" a="1"/>
  <c r="R17" i="100" s="1"/>
  <c r="F16" i="100"/>
  <c r="L15" i="100" a="1"/>
  <c r="L15" i="100" s="1"/>
  <c r="P14" i="100" a="1"/>
  <c r="P14" i="100" s="1"/>
  <c r="T13" i="100" a="1"/>
  <c r="T13" i="100" s="1"/>
  <c r="Y12" i="100"/>
  <c r="J12" i="100" a="1"/>
  <c r="J12" i="100" s="1"/>
  <c r="O21" i="100" a="1"/>
  <c r="O21" i="100" s="1"/>
  <c r="S20" i="100" a="1"/>
  <c r="S20" i="100" s="1"/>
  <c r="W19" i="100" a="1"/>
  <c r="W19" i="100" s="1"/>
  <c r="H19" i="100"/>
  <c r="I19" i="100" s="1"/>
  <c r="M18" i="100" a="1"/>
  <c r="M18" i="100" s="1"/>
  <c r="Q17" i="100" a="1"/>
  <c r="Q17" i="100" s="1"/>
  <c r="U16" i="100" a="1"/>
  <c r="U16" i="100" s="1"/>
  <c r="Z15" i="100"/>
  <c r="K15" i="100" a="1"/>
  <c r="K15" i="100" s="1"/>
  <c r="O14" i="100" a="1"/>
  <c r="O14" i="100" s="1"/>
  <c r="S13" i="100" a="1"/>
  <c r="S13" i="100" s="1"/>
  <c r="W12" i="100" a="1"/>
  <c r="W12" i="100" s="1"/>
  <c r="H12" i="100"/>
  <c r="I12" i="100" s="1"/>
  <c r="N21" i="100" a="1"/>
  <c r="N21" i="100" s="1"/>
  <c r="R20" i="100" a="1"/>
  <c r="R20" i="100" s="1"/>
  <c r="F19" i="100"/>
  <c r="L18" i="100" a="1"/>
  <c r="L18" i="100" s="1"/>
  <c r="P17" i="100" a="1"/>
  <c r="P17" i="100" s="1"/>
  <c r="T16" i="100" a="1"/>
  <c r="T16" i="100" s="1"/>
  <c r="Y15" i="100"/>
  <c r="J15" i="100" a="1"/>
  <c r="J15" i="100" s="1"/>
  <c r="N14" i="100" a="1"/>
  <c r="N14" i="100" s="1"/>
  <c r="R13" i="100" a="1"/>
  <c r="R13" i="100" s="1"/>
  <c r="F12" i="100"/>
  <c r="M21" i="100" a="1"/>
  <c r="M21" i="100" s="1"/>
  <c r="Q20" i="100" a="1"/>
  <c r="Q20" i="100" s="1"/>
  <c r="U19" i="100" a="1"/>
  <c r="U19" i="100" s="1"/>
  <c r="Z18" i="100"/>
  <c r="K18" i="100" a="1"/>
  <c r="K18" i="100" s="1"/>
  <c r="O17" i="100" a="1"/>
  <c r="O17" i="100" s="1"/>
  <c r="S16" i="100" a="1"/>
  <c r="S16" i="100" s="1"/>
  <c r="W15" i="100" a="1"/>
  <c r="W15" i="100" s="1"/>
  <c r="H15" i="100"/>
  <c r="I15" i="100" s="1"/>
  <c r="M14" i="100" a="1"/>
  <c r="M14" i="100" s="1"/>
  <c r="Q13" i="100" a="1"/>
  <c r="Q13" i="100" s="1"/>
  <c r="U12" i="100" a="1"/>
  <c r="U12" i="100" s="1"/>
  <c r="L21" i="100" a="1"/>
  <c r="L21" i="100" s="1"/>
  <c r="P20" i="100" a="1"/>
  <c r="P20" i="100" s="1"/>
  <c r="T19" i="100" a="1"/>
  <c r="T19" i="100" s="1"/>
  <c r="Y18" i="100"/>
  <c r="J18" i="100" a="1"/>
  <c r="J18" i="100" s="1"/>
  <c r="N17" i="100" a="1"/>
  <c r="N17" i="100" s="1"/>
  <c r="R16" i="100" a="1"/>
  <c r="R16" i="100" s="1"/>
  <c r="F15" i="100"/>
  <c r="L14" i="100" a="1"/>
  <c r="L14" i="100" s="1"/>
  <c r="P13" i="100" a="1"/>
  <c r="P13" i="100" s="1"/>
  <c r="T12" i="100" a="1"/>
  <c r="T12" i="100" s="1"/>
  <c r="Z21" i="100"/>
  <c r="K21" i="100" a="1"/>
  <c r="K21" i="100" s="1"/>
  <c r="O20" i="100" a="1"/>
  <c r="O20" i="100" s="1"/>
  <c r="S19" i="100" a="1"/>
  <c r="S19" i="100" s="1"/>
  <c r="W18" i="100" a="1"/>
  <c r="W18" i="100" s="1"/>
  <c r="H18" i="100"/>
  <c r="I18" i="100" s="1"/>
  <c r="M17" i="100" a="1"/>
  <c r="M17" i="100" s="1"/>
  <c r="Q16" i="100" a="1"/>
  <c r="Q16" i="100" s="1"/>
  <c r="U15" i="100" a="1"/>
  <c r="U15" i="100" s="1"/>
  <c r="Z14" i="100"/>
  <c r="K14" i="100" a="1"/>
  <c r="K14" i="100" s="1"/>
  <c r="O13" i="100" a="1"/>
  <c r="O13" i="100" s="1"/>
  <c r="S12" i="100" a="1"/>
  <c r="S12" i="100" s="1"/>
  <c r="Y21" i="100"/>
  <c r="J21" i="100" a="1"/>
  <c r="J21" i="100" s="1"/>
  <c r="N20" i="100" a="1"/>
  <c r="N20" i="100" s="1"/>
  <c r="R19" i="100" a="1"/>
  <c r="R19" i="100" s="1"/>
  <c r="F18" i="100"/>
  <c r="L17" i="100" a="1"/>
  <c r="L17" i="100" s="1"/>
  <c r="P16" i="100" a="1"/>
  <c r="P16" i="100" s="1"/>
  <c r="T15" i="100" a="1"/>
  <c r="T15" i="100" s="1"/>
  <c r="Y14" i="100"/>
  <c r="J14" i="100" a="1"/>
  <c r="J14" i="100" s="1"/>
  <c r="N13" i="100" a="1"/>
  <c r="N13" i="100" s="1"/>
  <c r="R12" i="100" a="1"/>
  <c r="R12" i="100" s="1"/>
  <c r="W21" i="100" a="1"/>
  <c r="W21" i="100" s="1"/>
  <c r="H21" i="100"/>
  <c r="I21" i="100" s="1"/>
  <c r="M20" i="100" a="1"/>
  <c r="M20" i="100" s="1"/>
  <c r="Q19" i="100" a="1"/>
  <c r="Q19" i="100" s="1"/>
  <c r="U18" i="100" a="1"/>
  <c r="U18" i="100" s="1"/>
  <c r="Z17" i="100"/>
  <c r="K17" i="100" a="1"/>
  <c r="K17" i="100" s="1"/>
  <c r="O16" i="100" a="1"/>
  <c r="O16" i="100" s="1"/>
  <c r="S15" i="100" a="1"/>
  <c r="S15" i="100" s="1"/>
  <c r="W14" i="100" a="1"/>
  <c r="W14" i="100" s="1"/>
  <c r="H14" i="100"/>
  <c r="I14" i="100" s="1"/>
  <c r="M13" i="100" a="1"/>
  <c r="M13" i="100" s="1"/>
  <c r="Q12" i="100" a="1"/>
  <c r="Q12" i="100" s="1"/>
  <c r="F21" i="100"/>
  <c r="L20" i="100" a="1"/>
  <c r="L20" i="100" s="1"/>
  <c r="P19" i="100" a="1"/>
  <c r="P19" i="100" s="1"/>
  <c r="T18" i="100" a="1"/>
  <c r="T18" i="100" s="1"/>
  <c r="Y17" i="100"/>
  <c r="J17" i="100" a="1"/>
  <c r="J17" i="100" s="1"/>
  <c r="N16" i="100" a="1"/>
  <c r="N16" i="100" s="1"/>
  <c r="R15" i="100" a="1"/>
  <c r="R15" i="100" s="1"/>
  <c r="F14" i="100"/>
  <c r="L13" i="100" a="1"/>
  <c r="L13" i="100" s="1"/>
  <c r="P12" i="100" a="1"/>
  <c r="P12" i="100" s="1"/>
  <c r="U21" i="100" a="1"/>
  <c r="U21" i="100" s="1"/>
  <c r="Z20" i="100"/>
  <c r="K20" i="100" a="1"/>
  <c r="K20" i="100" s="1"/>
  <c r="O19" i="100" a="1"/>
  <c r="O19" i="100" s="1"/>
  <c r="S18" i="100" a="1"/>
  <c r="S18" i="100" s="1"/>
  <c r="W17" i="100" a="1"/>
  <c r="W17" i="100" s="1"/>
  <c r="H17" i="100"/>
  <c r="I17" i="100" s="1"/>
  <c r="M16" i="100" a="1"/>
  <c r="M16" i="100" s="1"/>
  <c r="Q15" i="100" a="1"/>
  <c r="Q15" i="100" s="1"/>
  <c r="U14" i="100" a="1"/>
  <c r="U14" i="100" s="1"/>
  <c r="Z13" i="100"/>
  <c r="K13" i="100" a="1"/>
  <c r="K13" i="100" s="1"/>
  <c r="O12" i="100" a="1"/>
  <c r="O12" i="100" s="1"/>
  <c r="H16" i="82"/>
  <c r="H21" i="82"/>
  <c r="E28" i="97"/>
  <c r="E35" i="97"/>
  <c r="M27" i="97" a="1"/>
  <c r="M27" i="97" s="1"/>
  <c r="L27" i="97" a="1"/>
  <c r="L27" i="97" s="1"/>
  <c r="L38" i="97" a="1"/>
  <c r="L38" i="97" s="1"/>
  <c r="M38" i="97" a="1"/>
  <c r="M38" i="97" s="1"/>
  <c r="I176" i="118"/>
  <c r="H196" i="118"/>
  <c r="O90" i="118"/>
  <c r="Q89" i="118" s="1"/>
  <c r="T129" i="116" a="1"/>
  <c r="T129" i="116" s="1"/>
  <c r="AB125" i="116" a="1"/>
  <c r="AB125" i="116" s="1"/>
  <c r="T122" i="116" a="1"/>
  <c r="T122" i="116" s="1"/>
  <c r="T120" i="116" a="1"/>
  <c r="T120" i="116" s="1"/>
  <c r="P129" i="116" a="1"/>
  <c r="P129" i="116" s="1"/>
  <c r="X125" i="116" a="1"/>
  <c r="X125" i="116" s="1"/>
  <c r="P122" i="116" a="1"/>
  <c r="P122" i="116" s="1"/>
  <c r="AB128" i="116" a="1"/>
  <c r="AB128" i="116" s="1"/>
  <c r="T125" i="116" a="1"/>
  <c r="T125" i="116" s="1"/>
  <c r="AB121" i="116" a="1"/>
  <c r="AB121" i="116" s="1"/>
  <c r="X128" i="116" a="1"/>
  <c r="X128" i="116" s="1"/>
  <c r="P125" i="116" a="1"/>
  <c r="P125" i="116" s="1"/>
  <c r="X121" i="116" a="1"/>
  <c r="X121" i="116" s="1"/>
  <c r="T128" i="116" a="1"/>
  <c r="T128" i="116" s="1"/>
  <c r="AB124" i="116" a="1"/>
  <c r="AB124" i="116" s="1"/>
  <c r="T121" i="116" a="1"/>
  <c r="T121" i="116" s="1"/>
  <c r="P120" i="116" a="1"/>
  <c r="P120" i="116" s="1"/>
  <c r="P128" i="116" a="1"/>
  <c r="P128" i="116" s="1"/>
  <c r="X124" i="116" a="1"/>
  <c r="X124" i="116" s="1"/>
  <c r="P121" i="116" a="1"/>
  <c r="P121" i="116" s="1"/>
  <c r="AB127" i="116" a="1"/>
  <c r="AB127" i="116" s="1"/>
  <c r="T124" i="116" a="1"/>
  <c r="T124" i="116" s="1"/>
  <c r="AB120" i="116" a="1"/>
  <c r="AB120" i="116" s="1"/>
  <c r="X127" i="116" a="1"/>
  <c r="X127" i="116" s="1"/>
  <c r="P124" i="116" a="1"/>
  <c r="P124" i="116" s="1"/>
  <c r="T127" i="116" a="1"/>
  <c r="T127" i="116" s="1"/>
  <c r="AB123" i="116" a="1"/>
  <c r="AB123" i="116" s="1"/>
  <c r="P127" i="116" a="1"/>
  <c r="P127" i="116" s="1"/>
  <c r="X123" i="116" a="1"/>
  <c r="X123" i="116" s="1"/>
  <c r="AB126" i="116" a="1"/>
  <c r="AB126" i="116" s="1"/>
  <c r="T123" i="116" a="1"/>
  <c r="T123" i="116" s="1"/>
  <c r="X120" i="116" a="1"/>
  <c r="X120" i="116" s="1"/>
  <c r="X126" i="116" a="1"/>
  <c r="X126" i="116" s="1"/>
  <c r="P123" i="116" a="1"/>
  <c r="P123" i="116" s="1"/>
  <c r="AB129" i="116" a="1"/>
  <c r="AB129" i="116" s="1"/>
  <c r="T126" i="116" a="1"/>
  <c r="T126" i="116" s="1"/>
  <c r="AB122" i="116" a="1"/>
  <c r="AB122" i="116" s="1"/>
  <c r="X129" i="116" a="1"/>
  <c r="X129" i="116" s="1"/>
  <c r="P126" i="116" a="1"/>
  <c r="P126" i="116" s="1"/>
  <c r="X122" i="116" a="1"/>
  <c r="X122" i="116" s="1"/>
  <c r="E48" i="87" a="1"/>
  <c r="E48" i="87" s="1"/>
  <c r="G463" i="116" a="1"/>
  <c r="G463" i="116" s="1"/>
  <c r="H463" i="116" s="1"/>
  <c r="E17" i="82"/>
  <c r="D25" i="83" s="1"/>
  <c r="E22" i="82"/>
  <c r="N25" i="83" s="1"/>
  <c r="M25" i="97" a="1"/>
  <c r="M25" i="97" s="1"/>
  <c r="L25" i="97" a="1"/>
  <c r="L25" i="97" s="1"/>
  <c r="M32" i="96" a="1"/>
  <c r="M32" i="96" s="1"/>
  <c r="I175" i="118"/>
  <c r="H195" i="118"/>
  <c r="G17" i="82"/>
  <c r="F25" i="83" s="1"/>
  <c r="G22" i="82"/>
  <c r="P25" i="83" s="1"/>
  <c r="E47" i="87" a="1"/>
  <c r="E47" i="87" s="1"/>
  <c r="E144" i="84" a="1"/>
  <c r="E144" i="84" s="1"/>
  <c r="E46" i="87" a="1"/>
  <c r="E46" i="87" s="1"/>
  <c r="E143" i="84" a="1"/>
  <c r="E143" i="84" s="1"/>
  <c r="E45" i="87" a="1"/>
  <c r="E45" i="87" s="1"/>
  <c r="E142" i="84" a="1"/>
  <c r="E142" i="84" s="1"/>
  <c r="E43" i="87" a="1"/>
  <c r="E43" i="87" s="1"/>
  <c r="E140" i="84" a="1"/>
  <c r="E140" i="84" s="1"/>
  <c r="M34" i="96" a="1"/>
  <c r="M34" i="96" s="1"/>
  <c r="L34" i="96" a="1"/>
  <c r="L34" i="96" s="1"/>
  <c r="M35" i="97" a="1"/>
  <c r="M35" i="97" s="1"/>
  <c r="L35" i="97" a="1"/>
  <c r="L35" i="97" s="1"/>
  <c r="E71" i="106"/>
  <c r="E108" i="105"/>
  <c r="E140" i="105" s="1"/>
  <c r="M28" i="96" a="1"/>
  <c r="M28" i="96" s="1"/>
  <c r="L28" i="96" a="1"/>
  <c r="L28" i="96" s="1"/>
  <c r="E72" i="106"/>
  <c r="E109" i="105"/>
  <c r="E141" i="105" s="1"/>
  <c r="M33" i="97" a="1"/>
  <c r="M33" i="97" s="1"/>
  <c r="L33" i="97" a="1"/>
  <c r="L33" i="97" s="1"/>
  <c r="P33" i="100"/>
  <c r="D60" i="101" a="1"/>
  <c r="D60" i="101" s="1"/>
  <c r="P32" i="100"/>
  <c r="P31" i="100"/>
  <c r="D19" i="105" a="1"/>
  <c r="P30" i="100"/>
  <c r="D58" i="102" a="1"/>
  <c r="D58" i="102" s="1"/>
  <c r="P29" i="100"/>
  <c r="D23" i="106" a="1"/>
  <c r="D23" i="106" s="1"/>
  <c r="D59" i="105" a="1"/>
  <c r="D59" i="105" s="1"/>
  <c r="P28" i="100"/>
  <c r="P27" i="100"/>
  <c r="P26" i="100"/>
  <c r="P25" i="100"/>
  <c r="D19" i="101" a="1"/>
  <c r="D19" i="102" a="1"/>
  <c r="G183" i="118"/>
  <c r="P34" i="100"/>
  <c r="M35" i="96" a="1"/>
  <c r="M35" i="96" s="1"/>
  <c r="L35" i="96" a="1"/>
  <c r="L35" i="96" s="1"/>
  <c r="M37" i="97" a="1"/>
  <c r="M37" i="97" s="1"/>
  <c r="L37" i="97" a="1"/>
  <c r="L37" i="97" s="1"/>
  <c r="I177" i="118"/>
  <c r="H197" i="118"/>
  <c r="F16" i="82"/>
  <c r="F21" i="82"/>
  <c r="G68" i="83"/>
  <c r="F68" i="83"/>
  <c r="E68" i="83"/>
  <c r="M26" i="96" a="1"/>
  <c r="M26" i="96" s="1"/>
  <c r="E130" i="84" a="1"/>
  <c r="E130" i="84" s="1"/>
  <c r="M34" i="97" a="1"/>
  <c r="M34" i="97" s="1"/>
  <c r="L34" i="97" a="1"/>
  <c r="L34" i="97" s="1"/>
  <c r="M31" i="96" a="1"/>
  <c r="M31" i="96" s="1"/>
  <c r="E252" i="116" a="1"/>
  <c r="E47" i="85" a="1"/>
  <c r="E47" i="85" s="1"/>
  <c r="E49" i="87" a="1"/>
  <c r="E49" i="87" s="1"/>
  <c r="G468" i="116" a="1"/>
  <c r="G468" i="116" s="1"/>
  <c r="H468" i="116" s="1"/>
  <c r="G469" i="116" a="1"/>
  <c r="G469" i="116" s="1"/>
  <c r="G470" i="116" a="1"/>
  <c r="G470" i="116" s="1"/>
  <c r="G452" i="116" a="1"/>
  <c r="G452" i="116" s="1"/>
  <c r="G471" i="116" a="1"/>
  <c r="G471" i="116" s="1"/>
  <c r="G472" i="116" a="1"/>
  <c r="G472" i="116" s="1"/>
  <c r="I19" i="95"/>
  <c r="S256" i="116" a="1"/>
  <c r="S256" i="116" s="1"/>
  <c r="S260" i="116" a="1"/>
  <c r="S260" i="116" s="1"/>
  <c r="G464" i="116" a="1"/>
  <c r="G464" i="116" s="1"/>
  <c r="H464" i="116" s="1"/>
  <c r="I21" i="95"/>
  <c r="L39" i="96" s="1" a="1"/>
  <c r="L39" i="96" s="1"/>
  <c r="G446" i="116" a="1"/>
  <c r="G446" i="116" s="1"/>
  <c r="H446" i="116" s="1"/>
  <c r="G465" i="116" a="1"/>
  <c r="G465" i="116" s="1"/>
  <c r="H465" i="116" s="1"/>
  <c r="G466" i="116" a="1"/>
  <c r="G466" i="116" s="1"/>
  <c r="H466" i="116" s="1"/>
  <c r="G448" i="116" a="1"/>
  <c r="G448" i="116" s="1"/>
  <c r="H448" i="116" s="1"/>
  <c r="G467" i="116" a="1"/>
  <c r="G467" i="116" s="1"/>
  <c r="H467" i="116" s="1"/>
  <c r="K39" i="97" a="1"/>
  <c r="K39" i="97" s="1"/>
  <c r="H320" i="116" a="1"/>
  <c r="H320" i="116" s="1"/>
  <c r="G320" i="116" a="1"/>
  <c r="G320" i="116" s="1"/>
  <c r="F320" i="116" a="1"/>
  <c r="F320" i="116" s="1"/>
  <c r="E25" i="104" a="1"/>
  <c r="E25" i="104" s="1"/>
  <c r="F20" i="103" a="1"/>
  <c r="F20" i="103" s="1"/>
  <c r="G20" i="103" a="1"/>
  <c r="G315" i="116"/>
  <c r="F19" i="117"/>
  <c r="P19" i="117"/>
  <c r="F142" i="116"/>
  <c r="F160" i="116"/>
  <c r="F156" i="116"/>
  <c r="P55" i="117"/>
  <c r="F55" i="117"/>
  <c r="F181" i="116"/>
  <c r="F517" i="116"/>
  <c r="F263" i="116"/>
  <c r="F182" i="116"/>
  <c r="P90" i="117"/>
  <c r="F90" i="117"/>
  <c r="P74" i="117"/>
  <c r="F74" i="117"/>
  <c r="F35" i="116"/>
  <c r="E182" i="116"/>
  <c r="F54" i="116"/>
  <c r="F94" i="116"/>
  <c r="F159" i="116"/>
  <c r="F91" i="116"/>
  <c r="F72" i="116"/>
  <c r="F90" i="116"/>
  <c r="F73" i="116"/>
  <c r="F657" i="116"/>
  <c r="F656" i="116"/>
  <c r="F653" i="116"/>
  <c r="F635" i="116"/>
  <c r="F654" i="116"/>
  <c r="F636" i="116"/>
  <c r="F155" i="116"/>
  <c r="F132" i="116"/>
  <c r="F143" i="116"/>
  <c r="F131" i="116"/>
  <c r="F499" i="116"/>
  <c r="F488" i="116"/>
  <c r="F332" i="116"/>
  <c r="F516" i="116"/>
  <c r="F393" i="116"/>
  <c r="F363" i="116"/>
  <c r="F264" i="116"/>
  <c r="F498" i="116"/>
  <c r="F487" i="116"/>
  <c r="F475" i="116"/>
  <c r="F457" i="116"/>
  <c r="F426" i="116"/>
  <c r="F331" i="116"/>
  <c r="F570" i="116"/>
  <c r="F299" i="116"/>
  <c r="F533" i="116"/>
  <c r="F362" i="116"/>
  <c r="F425" i="116"/>
  <c r="F267" i="116"/>
  <c r="F266" i="116"/>
  <c r="F474" i="116"/>
  <c r="F298" i="116"/>
  <c r="F548" i="116"/>
  <c r="F456" i="116"/>
  <c r="F53" i="116"/>
  <c r="F93" i="116"/>
  <c r="F394" i="116"/>
  <c r="L357" i="116"/>
  <c r="L352" i="116"/>
  <c r="L356" i="116"/>
  <c r="L355" i="116"/>
  <c r="L351" i="116"/>
  <c r="L354" i="116"/>
  <c r="L359" i="116"/>
  <c r="L360" i="116"/>
  <c r="E499" i="116"/>
  <c r="N588" i="116"/>
  <c r="K422" i="116"/>
  <c r="K418" i="116"/>
  <c r="K415" i="116"/>
  <c r="I15" i="86"/>
  <c r="F192" i="109"/>
  <c r="F151" i="109"/>
  <c r="I57" i="106"/>
  <c r="E144" i="105"/>
  <c r="E139" i="105"/>
  <c r="E142" i="105"/>
  <c r="E137" i="105"/>
  <c r="G59" i="105"/>
  <c r="F78" i="102"/>
  <c r="F58" i="102"/>
  <c r="F60" i="101"/>
  <c r="O110" i="101"/>
  <c r="N105" i="101"/>
  <c r="D40" i="100"/>
  <c r="J55" i="100"/>
  <c r="J56" i="100"/>
  <c r="I54" i="100"/>
  <c r="F58" i="97"/>
  <c r="F49" i="97"/>
  <c r="F57" i="97"/>
  <c r="F46" i="97"/>
  <c r="F56" i="97"/>
  <c r="F45" i="97"/>
  <c r="F55" i="97"/>
  <c r="F44" i="97"/>
  <c r="F52" i="97"/>
  <c r="F43" i="97"/>
  <c r="F51" i="97"/>
  <c r="F50" i="97"/>
  <c r="D39" i="97"/>
  <c r="L39" i="97" s="1" a="1"/>
  <c r="L39" i="97" s="1"/>
  <c r="F70" i="96"/>
  <c r="F61" i="96"/>
  <c r="F51" i="96"/>
  <c r="F69" i="96"/>
  <c r="F50" i="96"/>
  <c r="F58" i="96"/>
  <c r="F68" i="96"/>
  <c r="F49" i="96"/>
  <c r="F57" i="96"/>
  <c r="F67" i="96"/>
  <c r="F56" i="96"/>
  <c r="F46" i="96"/>
  <c r="F64" i="96"/>
  <c r="F55" i="96"/>
  <c r="F45" i="96"/>
  <c r="F63" i="96"/>
  <c r="F44" i="96"/>
  <c r="F62" i="96"/>
  <c r="F52" i="96"/>
  <c r="F43" i="96"/>
  <c r="D30" i="96"/>
  <c r="L30" i="96" s="1" a="1"/>
  <c r="L30" i="96" s="1"/>
  <c r="D54" i="96"/>
  <c r="D29" i="96"/>
  <c r="L29" i="96" s="1" a="1"/>
  <c r="L29" i="96" s="1"/>
  <c r="D32" i="96"/>
  <c r="L32" i="96" s="1" a="1"/>
  <c r="L32" i="96" s="1"/>
  <c r="D27" i="96"/>
  <c r="L27" i="96" s="1" a="1"/>
  <c r="L27" i="96" s="1"/>
  <c r="D36" i="96"/>
  <c r="L36" i="96" s="1" a="1"/>
  <c r="L36" i="96" s="1"/>
  <c r="D31" i="96"/>
  <c r="L31" i="96" s="1" a="1"/>
  <c r="L31" i="96" s="1"/>
  <c r="D26" i="96"/>
  <c r="L26" i="96" s="1" a="1"/>
  <c r="L26" i="96" s="1"/>
  <c r="I17" i="95"/>
  <c r="L40" i="97" s="1" a="1"/>
  <c r="L40" i="97" s="1"/>
  <c r="I20" i="95"/>
  <c r="L33" i="96" s="1" a="1"/>
  <c r="L33" i="96" s="1"/>
  <c r="I18" i="95"/>
  <c r="L32" i="97" s="1" a="1"/>
  <c r="L32" i="97" s="1"/>
  <c r="P30" i="90"/>
  <c r="S28" i="90"/>
  <c r="P47" i="90"/>
  <c r="F47" i="90"/>
  <c r="I23" i="90"/>
  <c r="F30" i="90"/>
  <c r="F45" i="89"/>
  <c r="I28" i="90"/>
  <c r="O26" i="89"/>
  <c r="F26" i="89"/>
  <c r="I24" i="89"/>
  <c r="R24" i="89"/>
  <c r="R19" i="89"/>
  <c r="I19" i="89"/>
  <c r="S20" i="88"/>
  <c r="I20" i="88"/>
  <c r="P27" i="88"/>
  <c r="I25" i="88"/>
  <c r="F27" i="88"/>
  <c r="F54" i="87"/>
  <c r="P205" i="87"/>
  <c r="T105" i="87"/>
  <c r="F205" i="87"/>
  <c r="J189" i="87"/>
  <c r="P121" i="87"/>
  <c r="T189" i="87"/>
  <c r="J105" i="87"/>
  <c r="F121" i="87"/>
  <c r="G170" i="87"/>
  <c r="J142" i="87"/>
  <c r="T142" i="87"/>
  <c r="P158" i="87"/>
  <c r="F158" i="87"/>
  <c r="J67" i="87"/>
  <c r="T67" i="87"/>
  <c r="G86" i="87"/>
  <c r="T27" i="86"/>
  <c r="J27" i="86"/>
  <c r="J55" i="86"/>
  <c r="P59" i="86"/>
  <c r="F59" i="86"/>
  <c r="T55" i="86"/>
  <c r="I15" i="84"/>
  <c r="J34" i="86"/>
  <c r="F45" i="85"/>
  <c r="F138" i="84"/>
  <c r="T57" i="85"/>
  <c r="J189" i="84"/>
  <c r="T189" i="84"/>
  <c r="T22" i="85"/>
  <c r="J22" i="85"/>
  <c r="P96" i="85"/>
  <c r="F96" i="85"/>
  <c r="H77" i="84"/>
  <c r="H48" i="84"/>
  <c r="I100" i="84"/>
  <c r="J57" i="85"/>
  <c r="F77" i="85"/>
  <c r="H82" i="84"/>
  <c r="R82" i="84"/>
  <c r="I108" i="84"/>
  <c r="S108" i="84"/>
  <c r="H192" i="83"/>
  <c r="H197" i="83"/>
  <c r="R30" i="84"/>
  <c r="H30" i="84"/>
  <c r="S150" i="84"/>
  <c r="I150" i="84"/>
  <c r="R25" i="84"/>
  <c r="R53" i="84"/>
  <c r="H53" i="84"/>
  <c r="P245" i="84"/>
  <c r="F245" i="84"/>
  <c r="J225" i="84"/>
  <c r="T225" i="84"/>
  <c r="F130" i="84"/>
  <c r="J170" i="84"/>
  <c r="I60" i="83"/>
  <c r="H35" i="83"/>
  <c r="R35" i="83"/>
  <c r="H30" i="83"/>
  <c r="H25" i="83"/>
  <c r="F108" i="83"/>
  <c r="T159" i="83"/>
  <c r="J159" i="83"/>
  <c r="R25" i="83"/>
  <c r="S86" i="83"/>
  <c r="I86" i="83"/>
  <c r="I115" i="83"/>
  <c r="S115" i="83"/>
  <c r="J140" i="83"/>
  <c r="P73" i="83"/>
  <c r="J202" i="83"/>
  <c r="F222" i="83"/>
  <c r="H68" i="83"/>
  <c r="P222" i="83"/>
  <c r="G56" i="80"/>
  <c r="G57" i="80" s="1"/>
  <c r="F56" i="80"/>
  <c r="F57" i="80" s="1"/>
  <c r="F46" i="80"/>
  <c r="F47" i="80" s="1"/>
  <c r="F79" i="72"/>
  <c r="F78" i="72"/>
  <c r="F77" i="72"/>
  <c r="E79" i="72"/>
  <c r="E78" i="72"/>
  <c r="E77" i="72"/>
  <c r="G58" i="80"/>
  <c r="F60" i="80"/>
  <c r="F58" i="80"/>
  <c r="F59" i="80" s="1"/>
  <c r="F50" i="80"/>
  <c r="F48" i="80"/>
  <c r="J157" i="109" l="1" a="1"/>
  <c r="J157" i="109" s="1"/>
  <c r="J116" i="109" a="1"/>
  <c r="J116" i="109" s="1"/>
  <c r="J126" i="109" a="1"/>
  <c r="J126" i="109" s="1"/>
  <c r="I153" i="116"/>
  <c r="G153" i="116"/>
  <c r="I150" i="116"/>
  <c r="G150" i="116"/>
  <c r="G151" i="116"/>
  <c r="I151" i="116"/>
  <c r="I152" i="116"/>
  <c r="G152" i="116"/>
  <c r="I149" i="116"/>
  <c r="G149" i="116"/>
  <c r="I329" i="116"/>
  <c r="I322" i="116"/>
  <c r="I328" i="116"/>
  <c r="I321" i="116"/>
  <c r="I327" i="116"/>
  <c r="I320" i="116"/>
  <c r="I326" i="116"/>
  <c r="I325" i="116"/>
  <c r="I324" i="116"/>
  <c r="I323" i="116"/>
  <c r="H388" i="116"/>
  <c r="J388" i="116"/>
  <c r="H387" i="116"/>
  <c r="J387" i="116"/>
  <c r="H389" i="116"/>
  <c r="J389" i="116"/>
  <c r="H390" i="116"/>
  <c r="J390" i="116"/>
  <c r="J391" i="116"/>
  <c r="H391" i="116"/>
  <c r="H383" i="116"/>
  <c r="J383" i="116"/>
  <c r="H384" i="116"/>
  <c r="J384" i="116"/>
  <c r="H385" i="116"/>
  <c r="J385" i="116"/>
  <c r="H386" i="116"/>
  <c r="J386" i="116"/>
  <c r="I482" i="116"/>
  <c r="G482" i="116"/>
  <c r="I484" i="116"/>
  <c r="G484" i="116"/>
  <c r="I139" i="116"/>
  <c r="G139" i="116"/>
  <c r="I140" i="116"/>
  <c r="G140" i="116"/>
  <c r="E142" i="116" s="1"/>
  <c r="F129" i="116"/>
  <c r="G129" i="116" s="1"/>
  <c r="F127" i="116"/>
  <c r="H471" i="116"/>
  <c r="J471" i="116"/>
  <c r="H472" i="116"/>
  <c r="J472" i="116"/>
  <c r="H470" i="116"/>
  <c r="J470" i="116"/>
  <c r="J469" i="116"/>
  <c r="H469" i="116"/>
  <c r="J452" i="116"/>
  <c r="H452" i="116"/>
  <c r="J451" i="116"/>
  <c r="H451" i="116"/>
  <c r="J454" i="116"/>
  <c r="H454" i="116"/>
  <c r="H453" i="116"/>
  <c r="J453" i="116"/>
  <c r="M27" i="116"/>
  <c r="J27" i="116"/>
  <c r="M28" i="116"/>
  <c r="J28" i="116"/>
  <c r="J26" i="116"/>
  <c r="M26" i="116"/>
  <c r="M29" i="116"/>
  <c r="J29" i="116"/>
  <c r="M30" i="116"/>
  <c r="J30" i="116"/>
  <c r="J31" i="116"/>
  <c r="M31" i="116"/>
  <c r="J32" i="116"/>
  <c r="M32" i="116"/>
  <c r="J43" i="116"/>
  <c r="G51" i="116"/>
  <c r="J46" i="116"/>
  <c r="G50" i="116"/>
  <c r="G49" i="116"/>
  <c r="G48" i="116"/>
  <c r="J51" i="116"/>
  <c r="G47" i="116"/>
  <c r="J50" i="116"/>
  <c r="G46" i="116"/>
  <c r="J48" i="116"/>
  <c r="J49" i="116"/>
  <c r="G45" i="116"/>
  <c r="G44" i="116"/>
  <c r="J47" i="116"/>
  <c r="J45" i="116"/>
  <c r="G43" i="116"/>
  <c r="J44" i="116"/>
  <c r="G42" i="116"/>
  <c r="J70" i="116"/>
  <c r="G66" i="116"/>
  <c r="J69" i="116"/>
  <c r="G65" i="116"/>
  <c r="J68" i="116"/>
  <c r="G64" i="116"/>
  <c r="J67" i="116"/>
  <c r="G63" i="116"/>
  <c r="J66" i="116"/>
  <c r="G62" i="116"/>
  <c r="J65" i="116"/>
  <c r="G61" i="116"/>
  <c r="J64" i="116"/>
  <c r="J63" i="116"/>
  <c r="G70" i="116"/>
  <c r="G68" i="116"/>
  <c r="G69" i="116"/>
  <c r="G67" i="116"/>
  <c r="J88" i="116"/>
  <c r="J87" i="116"/>
  <c r="J86" i="116"/>
  <c r="J85" i="116"/>
  <c r="J84" i="116"/>
  <c r="J83" i="116"/>
  <c r="J82" i="116"/>
  <c r="J81" i="116"/>
  <c r="J80" i="116"/>
  <c r="J25" i="116"/>
  <c r="M25" i="116"/>
  <c r="O40" i="97"/>
  <c r="N40" i="97"/>
  <c r="P40" i="97"/>
  <c r="Q40" i="97"/>
  <c r="O39" i="97"/>
  <c r="Q39" i="97"/>
  <c r="N39" i="97"/>
  <c r="P39" i="97"/>
  <c r="I25" i="96" a="1"/>
  <c r="I25" i="96" s="1"/>
  <c r="G37" i="96" a="1"/>
  <c r="G37" i="96" s="1"/>
  <c r="Q37" i="96" s="1"/>
  <c r="G25" i="96" a="1"/>
  <c r="G25" i="96" s="1"/>
  <c r="P25" i="96" s="1"/>
  <c r="J37" i="96" a="1"/>
  <c r="J37" i="96" s="1"/>
  <c r="H37" i="96" a="1"/>
  <c r="H37" i="96" s="1"/>
  <c r="H25" i="96" a="1"/>
  <c r="H25" i="96" s="1"/>
  <c r="K25" i="96" a="1"/>
  <c r="K25" i="96" s="1"/>
  <c r="Q32" i="96"/>
  <c r="P32" i="96"/>
  <c r="O32" i="96"/>
  <c r="N32" i="96"/>
  <c r="Q28" i="96"/>
  <c r="P28" i="96"/>
  <c r="O28" i="96"/>
  <c r="N28" i="96"/>
  <c r="Q29" i="96"/>
  <c r="P29" i="96"/>
  <c r="O29" i="96"/>
  <c r="N29" i="96"/>
  <c r="Q30" i="96"/>
  <c r="P30" i="96"/>
  <c r="O30" i="96"/>
  <c r="N30" i="96"/>
  <c r="Q35" i="96"/>
  <c r="P35" i="96"/>
  <c r="O35" i="96"/>
  <c r="N35" i="96"/>
  <c r="Q38" i="96"/>
  <c r="O38" i="96"/>
  <c r="N38" i="96"/>
  <c r="Q36" i="96"/>
  <c r="P36" i="96"/>
  <c r="O36" i="96"/>
  <c r="N36" i="96"/>
  <c r="O26" i="96"/>
  <c r="N26" i="96"/>
  <c r="Q26" i="96"/>
  <c r="P26" i="96"/>
  <c r="Q34" i="96"/>
  <c r="P34" i="96"/>
  <c r="O34" i="96"/>
  <c r="N34" i="96"/>
  <c r="P33" i="96"/>
  <c r="E51" i="96" s="1"/>
  <c r="Q33" i="96"/>
  <c r="E52" i="96" s="1"/>
  <c r="N31" i="96"/>
  <c r="Q31" i="96"/>
  <c r="P31" i="96"/>
  <c r="O31" i="96"/>
  <c r="Q39" i="96"/>
  <c r="P39" i="96"/>
  <c r="O39" i="96"/>
  <c r="N39" i="96"/>
  <c r="Q27" i="96"/>
  <c r="O27" i="96"/>
  <c r="N27" i="96"/>
  <c r="P27" i="96"/>
  <c r="X14" i="100"/>
  <c r="P236" i="116" a="1"/>
  <c r="P236" i="116" s="1"/>
  <c r="X12" i="100"/>
  <c r="R236" i="116" a="1"/>
  <c r="R236" i="116" s="1"/>
  <c r="Q236" i="116" a="1"/>
  <c r="Q236" i="116" s="1"/>
  <c r="AH236" i="116" a="1"/>
  <c r="AH236" i="116" s="1"/>
  <c r="AC236" i="116" a="1"/>
  <c r="AC236" i="116" s="1"/>
  <c r="V236" i="116" a="1"/>
  <c r="V236" i="116" s="1"/>
  <c r="U236" i="116" a="1"/>
  <c r="U236" i="116" s="1"/>
  <c r="Z236" i="116" a="1"/>
  <c r="Z236" i="116" s="1"/>
  <c r="O236" i="116" a="1"/>
  <c r="O236" i="116" s="1"/>
  <c r="AD236" i="116" a="1"/>
  <c r="AD236" i="116" s="1"/>
  <c r="AG236" i="116" a="1"/>
  <c r="AL236" i="116" a="1"/>
  <c r="AL236" i="116" s="1"/>
  <c r="Y236" i="116" a="1"/>
  <c r="Y236" i="116" s="1"/>
  <c r="AK236" i="116" a="1"/>
  <c r="AK236" i="116" s="1"/>
  <c r="X13" i="100"/>
  <c r="O35" i="117"/>
  <c r="S48" i="117" s="1"/>
  <c r="E35" i="117"/>
  <c r="I48" i="117" s="1"/>
  <c r="W258" i="116" a="1"/>
  <c r="W258" i="116" s="1"/>
  <c r="AA261" i="116" a="1"/>
  <c r="AA261" i="116" s="1"/>
  <c r="AE254" i="116" a="1"/>
  <c r="AE254" i="116" s="1"/>
  <c r="AA254" i="116" a="1"/>
  <c r="AA254" i="116" s="1"/>
  <c r="S254" i="116" a="1"/>
  <c r="S254" i="116" s="1"/>
  <c r="AE259" i="116" a="1"/>
  <c r="AE259" i="116" s="1"/>
  <c r="W261" i="116" a="1"/>
  <c r="W261" i="116" s="1"/>
  <c r="W254" i="116" a="1"/>
  <c r="W254" i="116" s="1"/>
  <c r="AA257" i="116" a="1"/>
  <c r="AA257" i="116" s="1"/>
  <c r="P21" i="101" a="1"/>
  <c r="P21" i="101" s="1"/>
  <c r="W259" i="116" a="1"/>
  <c r="W259" i="116" s="1"/>
  <c r="AE261" i="116" a="1"/>
  <c r="AE261" i="116" s="1"/>
  <c r="AE258" i="116" a="1"/>
  <c r="AE258" i="116" s="1"/>
  <c r="W257" i="116" a="1"/>
  <c r="W257" i="116" s="1"/>
  <c r="AA253" i="116" a="1"/>
  <c r="AA253" i="116" s="1"/>
  <c r="AA252" i="116" a="1"/>
  <c r="AA252" i="116" s="1"/>
  <c r="W255" i="116" a="1"/>
  <c r="W255" i="116" s="1"/>
  <c r="S259" i="116" a="1"/>
  <c r="S259" i="116" s="1"/>
  <c r="W260" i="116" a="1"/>
  <c r="W260" i="116" s="1"/>
  <c r="AE252" i="116" a="1"/>
  <c r="AE252" i="116" s="1"/>
  <c r="K252" i="116" s="1"/>
  <c r="AE255" i="116" a="1"/>
  <c r="AE255" i="116" s="1"/>
  <c r="W253" i="116" a="1"/>
  <c r="W253" i="116" s="1"/>
  <c r="AA260" i="116" a="1"/>
  <c r="AA260" i="116" s="1"/>
  <c r="V17" i="100"/>
  <c r="X17" i="100" s="1"/>
  <c r="V15" i="100"/>
  <c r="X15" i="100" s="1"/>
  <c r="K34" i="97"/>
  <c r="J34" i="97"/>
  <c r="I34" i="97"/>
  <c r="H34" i="97"/>
  <c r="G34" i="97"/>
  <c r="G37" i="97"/>
  <c r="K37" i="97"/>
  <c r="J37" i="97"/>
  <c r="I37" i="97"/>
  <c r="H37" i="97"/>
  <c r="J179" i="109" a="1"/>
  <c r="J179" i="109" s="1"/>
  <c r="J132" i="109" a="1"/>
  <c r="J132" i="109" s="1"/>
  <c r="D59" i="109"/>
  <c r="G90" i="109" a="1"/>
  <c r="G90" i="109" s="1"/>
  <c r="G82" i="109" a="1"/>
  <c r="G82" i="109" s="1"/>
  <c r="G74" i="109" a="1"/>
  <c r="G74" i="109" s="1"/>
  <c r="G66" i="109" a="1"/>
  <c r="G66" i="109" s="1"/>
  <c r="G89" i="109" a="1"/>
  <c r="G89" i="109" s="1"/>
  <c r="G80" i="109" a="1"/>
  <c r="G80" i="109" s="1"/>
  <c r="G73" i="109" a="1"/>
  <c r="G73" i="109" s="1"/>
  <c r="G65" i="109" a="1"/>
  <c r="G65" i="109" s="1"/>
  <c r="G88" i="109" a="1"/>
  <c r="G88" i="109" s="1"/>
  <c r="G79" i="109" a="1"/>
  <c r="G79" i="109" s="1"/>
  <c r="G72" i="109" a="1"/>
  <c r="G72" i="109" s="1"/>
  <c r="G64" i="109" a="1"/>
  <c r="G64" i="109" s="1"/>
  <c r="G86" i="109" a="1"/>
  <c r="G86" i="109" s="1"/>
  <c r="G78" i="109" a="1"/>
  <c r="G78" i="109" s="1"/>
  <c r="G71" i="109" a="1"/>
  <c r="G71" i="109" s="1"/>
  <c r="G63" i="109" a="1"/>
  <c r="G63" i="109" s="1"/>
  <c r="G85" i="109" a="1"/>
  <c r="G85" i="109" s="1"/>
  <c r="G77" i="109" a="1"/>
  <c r="G77" i="109" s="1"/>
  <c r="G69" i="109" a="1"/>
  <c r="G69" i="109" s="1"/>
  <c r="G62" i="109" a="1"/>
  <c r="G62" i="109" s="1"/>
  <c r="G92" i="109" a="1"/>
  <c r="G92" i="109" s="1"/>
  <c r="G84" i="109" a="1"/>
  <c r="G84" i="109" s="1"/>
  <c r="G76" i="109" a="1"/>
  <c r="G76" i="109" s="1"/>
  <c r="G68" i="109" a="1"/>
  <c r="G68" i="109" s="1"/>
  <c r="G61" i="109" a="1"/>
  <c r="G61" i="109" s="1"/>
  <c r="G91" i="109" a="1"/>
  <c r="G91" i="109" s="1"/>
  <c r="G83" i="109" a="1"/>
  <c r="G83" i="109" s="1"/>
  <c r="G75" i="109" a="1"/>
  <c r="G75" i="109" s="1"/>
  <c r="G67" i="109" a="1"/>
  <c r="G67" i="109" s="1"/>
  <c r="G60" i="109" a="1"/>
  <c r="G60" i="109" s="1"/>
  <c r="AE256" i="116" a="1"/>
  <c r="AE256" i="116" s="1"/>
  <c r="S258" i="116" a="1"/>
  <c r="S258" i="116" s="1"/>
  <c r="V21" i="100"/>
  <c r="X21" i="100" s="1"/>
  <c r="V19" i="100"/>
  <c r="X19" i="100" s="1"/>
  <c r="V13" i="100"/>
  <c r="P20" i="83"/>
  <c r="P35" i="83" s="1"/>
  <c r="P20" i="84"/>
  <c r="F79" i="116" a="1"/>
  <c r="J120" i="109" a="1"/>
  <c r="J120" i="109" s="1"/>
  <c r="J158" i="109" a="1"/>
  <c r="J158" i="109" s="1"/>
  <c r="J134" i="109" a="1"/>
  <c r="J134" i="109" s="1"/>
  <c r="D285" i="116"/>
  <c r="F285" i="116" s="1" a="1"/>
  <c r="F285" i="116" s="1"/>
  <c r="G285" i="116" s="1"/>
  <c r="F293" i="116" a="1"/>
  <c r="F293" i="116" s="1"/>
  <c r="F292" i="116" a="1"/>
  <c r="F292" i="116" s="1"/>
  <c r="F291" i="116" a="1"/>
  <c r="F291" i="116" s="1"/>
  <c r="F290" i="116" a="1"/>
  <c r="F290" i="116" s="1"/>
  <c r="F289" i="116" a="1"/>
  <c r="F289" i="116" s="1"/>
  <c r="F288" i="116" a="1"/>
  <c r="F288" i="116" s="1"/>
  <c r="F287" i="116" a="1"/>
  <c r="F287" i="116" s="1"/>
  <c r="F286" i="116" a="1"/>
  <c r="F286" i="116" s="1"/>
  <c r="G286" i="116" s="1"/>
  <c r="F296" i="116" a="1"/>
  <c r="F296" i="116" s="1"/>
  <c r="F295" i="116" a="1"/>
  <c r="F295" i="116" s="1"/>
  <c r="F294" i="116" a="1"/>
  <c r="F294" i="116" s="1"/>
  <c r="N20" i="83"/>
  <c r="N35" i="83" s="1"/>
  <c r="N20" i="84"/>
  <c r="F20" i="84"/>
  <c r="F20" i="83"/>
  <c r="F35" i="83" s="1"/>
  <c r="J165" i="109" a="1"/>
  <c r="J165" i="109" s="1"/>
  <c r="J160" i="109" a="1"/>
  <c r="J160" i="109" s="1"/>
  <c r="O20" i="83"/>
  <c r="O35" i="83" s="1"/>
  <c r="O20" i="84"/>
  <c r="O30" i="84" s="1"/>
  <c r="O53" i="84" s="1"/>
  <c r="O82" i="84" s="1"/>
  <c r="E22" i="102" a="1"/>
  <c r="E22" i="102" s="1"/>
  <c r="AA255" i="116" a="1"/>
  <c r="AA255" i="116" s="1"/>
  <c r="D20" i="83"/>
  <c r="D35" i="83" s="1"/>
  <c r="D20" i="84"/>
  <c r="K25" i="97"/>
  <c r="J25" i="97"/>
  <c r="I25" i="97"/>
  <c r="H25" i="97"/>
  <c r="G25" i="97"/>
  <c r="E21" i="109"/>
  <c r="H21" i="109" s="1" a="1"/>
  <c r="H21" i="109" s="1"/>
  <c r="H47" i="109" a="1"/>
  <c r="H47" i="109" s="1"/>
  <c r="H39" i="109" a="1"/>
  <c r="H39" i="109" s="1"/>
  <c r="H31" i="109" a="1"/>
  <c r="H31" i="109" s="1"/>
  <c r="H24" i="109" a="1"/>
  <c r="H24" i="109" s="1"/>
  <c r="H54" i="109" a="1"/>
  <c r="H54" i="109" s="1"/>
  <c r="H46" i="109" a="1"/>
  <c r="H46" i="109" s="1"/>
  <c r="H38" i="109" a="1"/>
  <c r="H38" i="109" s="1"/>
  <c r="H30" i="109" a="1"/>
  <c r="H30" i="109" s="1"/>
  <c r="H23" i="109" a="1"/>
  <c r="H23" i="109" s="1"/>
  <c r="H53" i="109" a="1"/>
  <c r="H53" i="109" s="1"/>
  <c r="H45" i="109" a="1"/>
  <c r="H45" i="109" s="1"/>
  <c r="H37" i="109" a="1"/>
  <c r="H37" i="109" s="1"/>
  <c r="H29" i="109" a="1"/>
  <c r="H29" i="109" s="1"/>
  <c r="H22" i="109" a="1"/>
  <c r="H22" i="109" s="1"/>
  <c r="H52" i="109" a="1"/>
  <c r="H52" i="109" s="1"/>
  <c r="H44" i="109" a="1"/>
  <c r="H44" i="109" s="1"/>
  <c r="H36" i="109" a="1"/>
  <c r="H36" i="109" s="1"/>
  <c r="H28" i="109" a="1"/>
  <c r="H28" i="109" s="1"/>
  <c r="H51" i="109" a="1"/>
  <c r="H51" i="109" s="1"/>
  <c r="H42" i="109" a="1"/>
  <c r="H42" i="109" s="1"/>
  <c r="H35" i="109" a="1"/>
  <c r="H35" i="109" s="1"/>
  <c r="H27" i="109" a="1"/>
  <c r="H27" i="109" s="1"/>
  <c r="H50" i="109" a="1"/>
  <c r="H50" i="109" s="1"/>
  <c r="H41" i="109" a="1"/>
  <c r="H41" i="109" s="1"/>
  <c r="H34" i="109" a="1"/>
  <c r="H34" i="109" s="1"/>
  <c r="H26" i="109" a="1"/>
  <c r="H26" i="109" s="1"/>
  <c r="H48" i="109" a="1"/>
  <c r="H48" i="109" s="1"/>
  <c r="H40" i="109" a="1"/>
  <c r="H40" i="109" s="1"/>
  <c r="H33" i="109" a="1"/>
  <c r="H33" i="109" s="1"/>
  <c r="H25" i="109" a="1"/>
  <c r="H25" i="109" s="1"/>
  <c r="D21" i="109"/>
  <c r="G178" i="109" a="1"/>
  <c r="G178" i="109" s="1"/>
  <c r="G169" i="109" a="1"/>
  <c r="G169" i="109" s="1"/>
  <c r="G147" i="109" a="1"/>
  <c r="G147" i="109" s="1"/>
  <c r="G126" i="109" a="1"/>
  <c r="G126" i="109" s="1"/>
  <c r="G119" i="109" a="1"/>
  <c r="G119" i="109" s="1"/>
  <c r="G48" i="109" a="1"/>
  <c r="G48" i="109" s="1"/>
  <c r="G40" i="109" a="1"/>
  <c r="G40" i="109" s="1"/>
  <c r="G33" i="109" a="1"/>
  <c r="G33" i="109" s="1"/>
  <c r="G25" i="109" a="1"/>
  <c r="G25" i="109" s="1"/>
  <c r="G190" i="109" a="1"/>
  <c r="G190" i="109" s="1"/>
  <c r="G161" i="109" a="1"/>
  <c r="G161" i="109" s="1"/>
  <c r="G146" i="109" a="1"/>
  <c r="G146" i="109" s="1"/>
  <c r="G135" i="109" a="1"/>
  <c r="G135" i="109" s="1"/>
  <c r="G189" i="109" a="1"/>
  <c r="G189" i="109" s="1"/>
  <c r="G177" i="109" a="1"/>
  <c r="G177" i="109" s="1"/>
  <c r="G145" i="109" a="1"/>
  <c r="G145" i="109" s="1"/>
  <c r="G125" i="109" a="1"/>
  <c r="G125" i="109" s="1"/>
  <c r="G118" i="109" a="1"/>
  <c r="G118" i="109" s="1"/>
  <c r="G47" i="109" a="1"/>
  <c r="G47" i="109" s="1"/>
  <c r="G39" i="109" a="1"/>
  <c r="G39" i="109" s="1"/>
  <c r="G31" i="109" a="1"/>
  <c r="G31" i="109" s="1"/>
  <c r="G24" i="109" a="1"/>
  <c r="G24" i="109" s="1"/>
  <c r="G188" i="109" a="1"/>
  <c r="G188" i="109" s="1"/>
  <c r="G167" i="109" a="1"/>
  <c r="G167" i="109" s="1"/>
  <c r="G160" i="109" a="1"/>
  <c r="G160" i="109" s="1"/>
  <c r="G134" i="109" a="1"/>
  <c r="G134" i="109" s="1"/>
  <c r="G187" i="109" a="1"/>
  <c r="G187" i="109" s="1"/>
  <c r="G176" i="109" a="1"/>
  <c r="G176" i="109" s="1"/>
  <c r="G143" i="109" a="1"/>
  <c r="G143" i="109" s="1"/>
  <c r="G124" i="109" a="1"/>
  <c r="G124" i="109" s="1"/>
  <c r="G117" i="109" a="1"/>
  <c r="G117" i="109" s="1"/>
  <c r="G54" i="109" a="1"/>
  <c r="G54" i="109" s="1"/>
  <c r="G46" i="109" a="1"/>
  <c r="G46" i="109" s="1"/>
  <c r="G38" i="109" a="1"/>
  <c r="G38" i="109" s="1"/>
  <c r="G30" i="109" a="1"/>
  <c r="G30" i="109" s="1"/>
  <c r="G23" i="109" a="1"/>
  <c r="G23" i="109" s="1"/>
  <c r="G186" i="109" a="1"/>
  <c r="G186" i="109" s="1"/>
  <c r="G166" i="109" a="1"/>
  <c r="G166" i="109" s="1"/>
  <c r="G159" i="109" a="1"/>
  <c r="G159" i="109" s="1"/>
  <c r="G142" i="109" a="1"/>
  <c r="G142" i="109" s="1"/>
  <c r="G133" i="109" a="1"/>
  <c r="G133" i="109" s="1"/>
  <c r="G175" i="109" a="1"/>
  <c r="G175" i="109" s="1"/>
  <c r="G141" i="109" a="1"/>
  <c r="G141" i="109" s="1"/>
  <c r="G123" i="109" a="1"/>
  <c r="G123" i="109" s="1"/>
  <c r="G53" i="109" a="1"/>
  <c r="G53" i="109" s="1"/>
  <c r="G45" i="109" a="1"/>
  <c r="G45" i="109" s="1"/>
  <c r="G37" i="109" a="1"/>
  <c r="G37" i="109" s="1"/>
  <c r="G29" i="109" a="1"/>
  <c r="G29" i="109" s="1"/>
  <c r="G22" i="109" a="1"/>
  <c r="G22" i="109" s="1"/>
  <c r="G184" i="109" a="1"/>
  <c r="G184" i="109" s="1"/>
  <c r="G165" i="109" a="1"/>
  <c r="G165" i="109" s="1"/>
  <c r="G158" i="109" a="1"/>
  <c r="G158" i="109" s="1"/>
  <c r="G140" i="109" a="1"/>
  <c r="G140" i="109" s="1"/>
  <c r="G132" i="109" a="1"/>
  <c r="G132" i="109" s="1"/>
  <c r="G183" i="109" a="1"/>
  <c r="G183" i="109" s="1"/>
  <c r="G174" i="109" a="1"/>
  <c r="G174" i="109" s="1"/>
  <c r="G139" i="109" a="1"/>
  <c r="G139" i="109" s="1"/>
  <c r="G131" i="109" a="1"/>
  <c r="G131" i="109" s="1"/>
  <c r="G122" i="109" a="1"/>
  <c r="G122" i="109" s="1"/>
  <c r="G52" i="109" a="1"/>
  <c r="G52" i="109" s="1"/>
  <c r="G44" i="109" a="1"/>
  <c r="G44" i="109" s="1"/>
  <c r="G36" i="109" a="1"/>
  <c r="G36" i="109" s="1"/>
  <c r="G28" i="109" a="1"/>
  <c r="G28" i="109" s="1"/>
  <c r="G182" i="109" a="1"/>
  <c r="G182" i="109" s="1"/>
  <c r="G164" i="109" a="1"/>
  <c r="G164" i="109" s="1"/>
  <c r="G130" i="109" a="1"/>
  <c r="G130" i="109" s="1"/>
  <c r="G181" i="109" a="1"/>
  <c r="G181" i="109" s="1"/>
  <c r="G173" i="109" a="1"/>
  <c r="G173" i="109" s="1"/>
  <c r="G129" i="109" a="1"/>
  <c r="G129" i="109" s="1"/>
  <c r="G121" i="109" a="1"/>
  <c r="G121" i="109" s="1"/>
  <c r="G51" i="109" a="1"/>
  <c r="G51" i="109" s="1"/>
  <c r="G42" i="109" a="1"/>
  <c r="G42" i="109" s="1"/>
  <c r="G35" i="109" a="1"/>
  <c r="G35" i="109" s="1"/>
  <c r="G27" i="109" a="1"/>
  <c r="G27" i="109" s="1"/>
  <c r="G180" i="109" a="1"/>
  <c r="G180" i="109" s="1"/>
  <c r="G172" i="109" a="1"/>
  <c r="G172" i="109" s="1"/>
  <c r="G163" i="109" a="1"/>
  <c r="G163" i="109" s="1"/>
  <c r="G137" i="109" a="1"/>
  <c r="G137" i="109" s="1"/>
  <c r="G128" i="109" a="1"/>
  <c r="G128" i="109" s="1"/>
  <c r="G171" i="109" a="1"/>
  <c r="G171" i="109" s="1"/>
  <c r="G149" i="109" a="1"/>
  <c r="G149" i="109" s="1"/>
  <c r="G120" i="109" a="1"/>
  <c r="G120" i="109" s="1"/>
  <c r="G50" i="109" a="1"/>
  <c r="G50" i="109" s="1"/>
  <c r="G41" i="109" a="1"/>
  <c r="G41" i="109" s="1"/>
  <c r="G34" i="109" a="1"/>
  <c r="G34" i="109" s="1"/>
  <c r="G26" i="109" a="1"/>
  <c r="G26" i="109" s="1"/>
  <c r="G170" i="109" a="1"/>
  <c r="G170" i="109" s="1"/>
  <c r="G162" i="109" a="1"/>
  <c r="G162" i="109" s="1"/>
  <c r="G148" i="109" a="1"/>
  <c r="G148" i="109" s="1"/>
  <c r="G136" i="109" a="1"/>
  <c r="G136" i="109" s="1"/>
  <c r="J185" i="109" a="1"/>
  <c r="J185" i="109" s="1"/>
  <c r="J167" i="109" a="1"/>
  <c r="J167" i="109" s="1"/>
  <c r="J32" i="97"/>
  <c r="I32" i="97"/>
  <c r="H32" i="97"/>
  <c r="G32" i="97"/>
  <c r="K32" i="97"/>
  <c r="J137" i="109" a="1"/>
  <c r="J137" i="109" s="1"/>
  <c r="J118" i="109" a="1"/>
  <c r="J118" i="109" s="1"/>
  <c r="K38" i="97"/>
  <c r="J38" i="97"/>
  <c r="I38" i="97"/>
  <c r="H38" i="97"/>
  <c r="G38" i="97"/>
  <c r="AE260" i="116" a="1"/>
  <c r="AE260" i="116" s="1"/>
  <c r="AE257" i="116" a="1"/>
  <c r="AE257" i="116" s="1"/>
  <c r="D19" i="105"/>
  <c r="F19" i="105" s="1" a="1"/>
  <c r="F19" i="105" s="1"/>
  <c r="G19" i="105" s="1" a="1"/>
  <c r="G19" i="105" s="1"/>
  <c r="F34" i="105" a="1"/>
  <c r="F34" i="105" s="1"/>
  <c r="G34" i="105" s="1" a="1"/>
  <c r="G34" i="105" s="1"/>
  <c r="F27" i="105" a="1"/>
  <c r="F27" i="105" s="1"/>
  <c r="G27" i="105" s="1" a="1"/>
  <c r="G27" i="105" s="1"/>
  <c r="F20" i="105" a="1"/>
  <c r="F20" i="105" s="1"/>
  <c r="G20" i="105" s="1" a="1"/>
  <c r="G20" i="105" s="1"/>
  <c r="F33" i="105" a="1"/>
  <c r="F33" i="105" s="1"/>
  <c r="G33" i="105" s="1" a="1"/>
  <c r="G33" i="105" s="1"/>
  <c r="F26" i="105" a="1"/>
  <c r="F26" i="105" s="1"/>
  <c r="G26" i="105" s="1" a="1"/>
  <c r="G26" i="105" s="1"/>
  <c r="F32" i="105" a="1"/>
  <c r="F32" i="105" s="1"/>
  <c r="G32" i="105" s="1" a="1"/>
  <c r="G32" i="105" s="1"/>
  <c r="F25" i="105" a="1"/>
  <c r="F25" i="105" s="1"/>
  <c r="G25" i="105" s="1" a="1"/>
  <c r="G25" i="105" s="1"/>
  <c r="F31" i="105" a="1"/>
  <c r="F31" i="105" s="1"/>
  <c r="G31" i="105" s="1" a="1"/>
  <c r="G31" i="105" s="1"/>
  <c r="F24" i="105" a="1"/>
  <c r="F24" i="105" s="1"/>
  <c r="G24" i="105" s="1" a="1"/>
  <c r="G24" i="105" s="1"/>
  <c r="F37" i="105" a="1"/>
  <c r="F37" i="105" s="1"/>
  <c r="G37" i="105" s="1" a="1"/>
  <c r="G37" i="105" s="1"/>
  <c r="F30" i="105" a="1"/>
  <c r="F30" i="105" s="1"/>
  <c r="G30" i="105" s="1" a="1"/>
  <c r="G30" i="105" s="1"/>
  <c r="F23" i="105" a="1"/>
  <c r="F23" i="105" s="1"/>
  <c r="G23" i="105" s="1" a="1"/>
  <c r="G23" i="105" s="1"/>
  <c r="F36" i="105" a="1"/>
  <c r="F36" i="105" s="1"/>
  <c r="G36" i="105" s="1" a="1"/>
  <c r="G36" i="105" s="1"/>
  <c r="F29" i="105" a="1"/>
  <c r="F29" i="105" s="1"/>
  <c r="G29" i="105" s="1" a="1"/>
  <c r="G29" i="105" s="1"/>
  <c r="F22" i="105" a="1"/>
  <c r="F22" i="105" s="1"/>
  <c r="G22" i="105" s="1" a="1"/>
  <c r="G22" i="105" s="1"/>
  <c r="F35" i="105" a="1"/>
  <c r="F35" i="105" s="1"/>
  <c r="G35" i="105" s="1" a="1"/>
  <c r="G35" i="105" s="1"/>
  <c r="F28" i="105" a="1"/>
  <c r="F28" i="105" s="1"/>
  <c r="G28" i="105" s="1" a="1"/>
  <c r="G28" i="105" s="1"/>
  <c r="F21" i="105" a="1"/>
  <c r="F21" i="105" s="1"/>
  <c r="G21" i="105" s="1" a="1"/>
  <c r="G21" i="105" s="1"/>
  <c r="E59" i="109"/>
  <c r="H59" i="109" s="1" a="1"/>
  <c r="H59" i="109" s="1"/>
  <c r="H89" i="109" a="1"/>
  <c r="H89" i="109" s="1"/>
  <c r="H80" i="109" a="1"/>
  <c r="H80" i="109" s="1"/>
  <c r="H73" i="109" a="1"/>
  <c r="H73" i="109" s="1"/>
  <c r="H65" i="109" a="1"/>
  <c r="H65" i="109" s="1"/>
  <c r="H88" i="109" a="1"/>
  <c r="H88" i="109" s="1"/>
  <c r="H79" i="109" a="1"/>
  <c r="H79" i="109" s="1"/>
  <c r="H72" i="109" a="1"/>
  <c r="H72" i="109" s="1"/>
  <c r="H64" i="109" a="1"/>
  <c r="H64" i="109" s="1"/>
  <c r="H86" i="109" a="1"/>
  <c r="H86" i="109" s="1"/>
  <c r="H78" i="109" a="1"/>
  <c r="H78" i="109" s="1"/>
  <c r="H71" i="109" a="1"/>
  <c r="H71" i="109" s="1"/>
  <c r="H63" i="109" a="1"/>
  <c r="H63" i="109" s="1"/>
  <c r="H85" i="109" a="1"/>
  <c r="H85" i="109" s="1"/>
  <c r="H77" i="109" a="1"/>
  <c r="H77" i="109" s="1"/>
  <c r="H69" i="109" a="1"/>
  <c r="H69" i="109" s="1"/>
  <c r="H62" i="109" a="1"/>
  <c r="H62" i="109" s="1"/>
  <c r="H92" i="109" a="1"/>
  <c r="H92" i="109" s="1"/>
  <c r="H84" i="109" a="1"/>
  <c r="H84" i="109" s="1"/>
  <c r="H76" i="109" a="1"/>
  <c r="H76" i="109" s="1"/>
  <c r="H68" i="109" a="1"/>
  <c r="H68" i="109" s="1"/>
  <c r="H61" i="109" a="1"/>
  <c r="H61" i="109" s="1"/>
  <c r="H91" i="109" a="1"/>
  <c r="H91" i="109" s="1"/>
  <c r="H83" i="109" a="1"/>
  <c r="H83" i="109" s="1"/>
  <c r="H75" i="109" a="1"/>
  <c r="H75" i="109" s="1"/>
  <c r="H67" i="109" a="1"/>
  <c r="H67" i="109" s="1"/>
  <c r="H60" i="109" a="1"/>
  <c r="H60" i="109" s="1"/>
  <c r="H90" i="109" a="1"/>
  <c r="H90" i="109" s="1"/>
  <c r="H82" i="109" a="1"/>
  <c r="H82" i="109" s="1"/>
  <c r="H74" i="109" a="1"/>
  <c r="H74" i="109" s="1"/>
  <c r="H66" i="109" a="1"/>
  <c r="H66" i="109" s="1"/>
  <c r="J163" i="109" a="1"/>
  <c r="J163" i="109" s="1"/>
  <c r="J123" i="109" a="1"/>
  <c r="J123" i="109" s="1"/>
  <c r="J125" i="109" a="1"/>
  <c r="J125" i="109" s="1"/>
  <c r="K31" i="97"/>
  <c r="J31" i="97"/>
  <c r="I31" i="97"/>
  <c r="H31" i="97"/>
  <c r="G31" i="97"/>
  <c r="S255" i="116" a="1"/>
  <c r="S255" i="116" s="1"/>
  <c r="J121" i="109" a="1"/>
  <c r="J121" i="109" s="1"/>
  <c r="J175" i="109" a="1"/>
  <c r="J175" i="109" s="1"/>
  <c r="J168" i="109" a="1"/>
  <c r="J168" i="109" s="1"/>
  <c r="K35" i="97"/>
  <c r="J35" i="97"/>
  <c r="I35" i="97"/>
  <c r="H35" i="97"/>
  <c r="G35" i="97"/>
  <c r="W252" i="116" a="1"/>
  <c r="W252" i="116" s="1"/>
  <c r="AE253" i="116" a="1"/>
  <c r="AE253" i="116" s="1"/>
  <c r="AA256" i="116" a="1"/>
  <c r="AA256" i="116" s="1"/>
  <c r="AA258" i="116" a="1"/>
  <c r="AA258" i="116" s="1"/>
  <c r="K28" i="97"/>
  <c r="J28" i="97"/>
  <c r="I28" i="97"/>
  <c r="H28" i="97"/>
  <c r="G28" i="97"/>
  <c r="V14" i="100"/>
  <c r="V12" i="100"/>
  <c r="H33" i="96" a="1"/>
  <c r="H33" i="96" s="1"/>
  <c r="N33" i="96" s="1"/>
  <c r="E49" i="96" s="1"/>
  <c r="S252" i="116" a="1"/>
  <c r="S252" i="116" s="1"/>
  <c r="J138" i="109" a="1"/>
  <c r="J138" i="109" s="1"/>
  <c r="J133" i="109" a="1"/>
  <c r="J133" i="109" s="1"/>
  <c r="J177" i="109" a="1"/>
  <c r="J177" i="109" s="1"/>
  <c r="E252" i="116"/>
  <c r="S253" i="116" a="1"/>
  <c r="S253" i="116" s="1"/>
  <c r="S261" i="116" a="1"/>
  <c r="S261" i="116" s="1"/>
  <c r="D19" i="102"/>
  <c r="F19" i="102" s="1" a="1"/>
  <c r="F19" i="102" s="1"/>
  <c r="F29" i="102" a="1"/>
  <c r="F29" i="102" s="1"/>
  <c r="F28" i="102" a="1"/>
  <c r="F28" i="102" s="1"/>
  <c r="F27" i="102" a="1"/>
  <c r="F27" i="102" s="1"/>
  <c r="F26" i="102" a="1"/>
  <c r="F26" i="102" s="1"/>
  <c r="F25" i="102" a="1"/>
  <c r="F25" i="102" s="1"/>
  <c r="F24" i="102" a="1"/>
  <c r="F24" i="102" s="1"/>
  <c r="F37" i="102" a="1"/>
  <c r="F37" i="102" s="1"/>
  <c r="F23" i="102" a="1"/>
  <c r="F23" i="102" s="1"/>
  <c r="F36" i="102" a="1"/>
  <c r="F36" i="102" s="1"/>
  <c r="F22" i="102" a="1"/>
  <c r="F22" i="102" s="1"/>
  <c r="F35" i="102" a="1"/>
  <c r="F35" i="102" s="1"/>
  <c r="F21" i="102" a="1"/>
  <c r="F21" i="102" s="1"/>
  <c r="F34" i="102" a="1"/>
  <c r="F34" i="102" s="1"/>
  <c r="F20" i="102" a="1"/>
  <c r="F20" i="102" s="1"/>
  <c r="F33" i="102" a="1"/>
  <c r="F33" i="102" s="1"/>
  <c r="F32" i="102" a="1"/>
  <c r="F32" i="102" s="1"/>
  <c r="F31" i="102" a="1"/>
  <c r="F31" i="102" s="1"/>
  <c r="F30" i="102" a="1"/>
  <c r="F30" i="102" s="1"/>
  <c r="Q20" i="84"/>
  <c r="Q20" i="83"/>
  <c r="Q35" i="83" s="1"/>
  <c r="V18" i="100"/>
  <c r="X18" i="100" s="1"/>
  <c r="V16" i="100"/>
  <c r="X16" i="100" s="1"/>
  <c r="J119" i="109" a="1"/>
  <c r="J119" i="109" s="1"/>
  <c r="J173" i="109" a="1"/>
  <c r="J173" i="109" s="1"/>
  <c r="J159" i="109" a="1"/>
  <c r="J159" i="109" s="1"/>
  <c r="J135" i="109" a="1"/>
  <c r="J135" i="109" s="1"/>
  <c r="D19" i="101"/>
  <c r="F19" i="101" s="1" a="1"/>
  <c r="F19" i="101" s="1"/>
  <c r="F26" i="101" a="1"/>
  <c r="F26" i="101" s="1"/>
  <c r="F25" i="101" a="1"/>
  <c r="F25" i="101" s="1"/>
  <c r="F24" i="101" a="1"/>
  <c r="F24" i="101" s="1"/>
  <c r="F37" i="101" a="1"/>
  <c r="F37" i="101" s="1"/>
  <c r="F23" i="101" a="1"/>
  <c r="F23" i="101" s="1"/>
  <c r="F36" i="101" a="1"/>
  <c r="F36" i="101" s="1"/>
  <c r="F22" i="101" a="1"/>
  <c r="F22" i="101" s="1"/>
  <c r="F35" i="101" a="1"/>
  <c r="F35" i="101" s="1"/>
  <c r="F34" i="101" a="1"/>
  <c r="F34" i="101" s="1"/>
  <c r="F33" i="101" a="1"/>
  <c r="F33" i="101" s="1"/>
  <c r="F21" i="101" a="1"/>
  <c r="F21" i="101" s="1"/>
  <c r="F32" i="101" a="1"/>
  <c r="F32" i="101" s="1"/>
  <c r="F20" i="101" a="1"/>
  <c r="F20" i="101" s="1"/>
  <c r="F31" i="101" a="1"/>
  <c r="F31" i="101" s="1"/>
  <c r="F30" i="101" a="1"/>
  <c r="F30" i="101" s="1"/>
  <c r="F29" i="101" a="1"/>
  <c r="F29" i="101" s="1"/>
  <c r="F28" i="101" a="1"/>
  <c r="F28" i="101" s="1"/>
  <c r="F27" i="101" a="1"/>
  <c r="F27" i="101" s="1"/>
  <c r="G20" i="84"/>
  <c r="G30" i="84" s="1"/>
  <c r="G53" i="84" s="1"/>
  <c r="G82" i="84" s="1"/>
  <c r="G20" i="83"/>
  <c r="G35" i="83" s="1"/>
  <c r="V20" i="100"/>
  <c r="X20" i="100" s="1"/>
  <c r="J166" i="109" a="1"/>
  <c r="J166" i="109" s="1"/>
  <c r="J161" i="109" a="1"/>
  <c r="J161" i="109" s="1"/>
  <c r="S257" i="116" a="1"/>
  <c r="S257" i="116" s="1"/>
  <c r="W256" i="116" a="1"/>
  <c r="W256" i="116" s="1"/>
  <c r="O21" i="101" a="1"/>
  <c r="J178" i="109" a="1"/>
  <c r="J178" i="109" s="1"/>
  <c r="J117" i="109" a="1"/>
  <c r="J117" i="109" s="1"/>
  <c r="J38" i="96" a="1"/>
  <c r="J38" i="96" s="1"/>
  <c r="P38" i="96" s="1"/>
  <c r="K36" i="97"/>
  <c r="J36" i="97"/>
  <c r="I36" i="97"/>
  <c r="H36" i="97"/>
  <c r="G36" i="97"/>
  <c r="J127" i="109" a="1"/>
  <c r="J127" i="109" s="1"/>
  <c r="J164" i="109" a="1"/>
  <c r="J164" i="109" s="1"/>
  <c r="J124" i="109" a="1"/>
  <c r="J124" i="109" s="1"/>
  <c r="K33" i="97"/>
  <c r="J33" i="97"/>
  <c r="I33" i="97"/>
  <c r="H33" i="97"/>
  <c r="G33" i="97"/>
  <c r="E20" i="84"/>
  <c r="E30" i="84" s="1"/>
  <c r="E53" i="84" s="1"/>
  <c r="E82" i="84" s="1"/>
  <c r="E20" i="83"/>
  <c r="E35" i="83" s="1"/>
  <c r="I33" i="96" a="1"/>
  <c r="I33" i="96" s="1"/>
  <c r="J29" i="97"/>
  <c r="I29" i="97"/>
  <c r="H29" i="97"/>
  <c r="G29" i="97"/>
  <c r="K29" i="97"/>
  <c r="J136" i="109" a="1"/>
  <c r="J136" i="109" s="1"/>
  <c r="J122" i="109" a="1"/>
  <c r="J122" i="109" s="1"/>
  <c r="J144" i="109" a="1"/>
  <c r="J144" i="109" s="1"/>
  <c r="I26" i="97"/>
  <c r="H26" i="97"/>
  <c r="G26" i="97"/>
  <c r="K26" i="97"/>
  <c r="J26" i="97"/>
  <c r="K27" i="97"/>
  <c r="J27" i="97"/>
  <c r="I27" i="97"/>
  <c r="H27" i="97"/>
  <c r="G27" i="97"/>
  <c r="K30" i="97"/>
  <c r="J30" i="97"/>
  <c r="I30" i="97"/>
  <c r="H30" i="97"/>
  <c r="G30" i="97"/>
  <c r="J162" i="109" a="1"/>
  <c r="J162" i="109" s="1"/>
  <c r="J174" i="109" a="1"/>
  <c r="J174" i="109" s="1"/>
  <c r="J176" i="109" a="1"/>
  <c r="J176" i="109" s="1"/>
  <c r="E29" i="101" a="1"/>
  <c r="E29" i="101" s="1"/>
  <c r="E21" i="101" a="1"/>
  <c r="E21" i="101" s="1"/>
  <c r="E24" i="101" a="1"/>
  <c r="E24" i="101" s="1"/>
  <c r="E22" i="101" a="1"/>
  <c r="E22" i="101" s="1"/>
  <c r="E31" i="102" a="1"/>
  <c r="E31" i="102" s="1"/>
  <c r="E32" i="102" a="1"/>
  <c r="E32" i="102" s="1"/>
  <c r="E24" i="102" a="1"/>
  <c r="E24" i="102" s="1"/>
  <c r="E28" i="102" a="1"/>
  <c r="E28" i="102" s="1"/>
  <c r="E26" i="101" a="1"/>
  <c r="E26" i="101" s="1"/>
  <c r="E21" i="102" a="1"/>
  <c r="E21" i="102" s="1"/>
  <c r="E20" i="101" a="1"/>
  <c r="E20" i="101" s="1"/>
  <c r="E31" i="101" a="1"/>
  <c r="E31" i="101" s="1"/>
  <c r="E37" i="101" a="1"/>
  <c r="E37" i="101" s="1"/>
  <c r="E33" i="102" a="1"/>
  <c r="E33" i="102" s="1"/>
  <c r="E33" i="101" a="1"/>
  <c r="E33" i="101" s="1"/>
  <c r="E30" i="101" a="1"/>
  <c r="E30" i="101" s="1"/>
  <c r="E26" i="102" a="1"/>
  <c r="E26" i="102" s="1"/>
  <c r="E23" i="101" a="1"/>
  <c r="E23" i="101" s="1"/>
  <c r="E30" i="102" a="1"/>
  <c r="E30" i="102" s="1"/>
  <c r="E37" i="102" a="1"/>
  <c r="E37" i="102" s="1"/>
  <c r="E25" i="101" a="1"/>
  <c r="E25" i="101" s="1"/>
  <c r="E23" i="102" a="1"/>
  <c r="E23" i="102" s="1"/>
  <c r="E32" i="101" a="1"/>
  <c r="E32" i="101" s="1"/>
  <c r="G20" i="103"/>
  <c r="E27" i="101" a="1"/>
  <c r="E27" i="101" s="1"/>
  <c r="E35" i="101" a="1"/>
  <c r="E35" i="101" s="1"/>
  <c r="E34" i="102" a="1"/>
  <c r="E34" i="102" s="1"/>
  <c r="E28" i="101" a="1"/>
  <c r="E28" i="101" s="1"/>
  <c r="E36" i="101" a="1"/>
  <c r="E36" i="101" s="1"/>
  <c r="E34" i="101" a="1"/>
  <c r="E34" i="101" s="1"/>
  <c r="E36" i="102" a="1"/>
  <c r="E36" i="102" s="1"/>
  <c r="E27" i="102" a="1"/>
  <c r="E27" i="102" s="1"/>
  <c r="E25" i="102" a="1"/>
  <c r="E25" i="102" s="1"/>
  <c r="E35" i="102" a="1"/>
  <c r="E35" i="102" s="1"/>
  <c r="E29" i="102" a="1"/>
  <c r="E29" i="102" s="1"/>
  <c r="E20" i="102" a="1"/>
  <c r="E20" i="102" s="1"/>
  <c r="E236" i="116" a="1"/>
  <c r="E181" i="116"/>
  <c r="F123" i="116"/>
  <c r="E498" i="116"/>
  <c r="F122" i="116"/>
  <c r="G122" i="116" s="1"/>
  <c r="F125" i="116"/>
  <c r="F126" i="116"/>
  <c r="E487" i="116"/>
  <c r="E143" i="116"/>
  <c r="E363" i="116"/>
  <c r="F128" i="116"/>
  <c r="F120" i="116"/>
  <c r="G120" i="116" s="1"/>
  <c r="F124" i="116"/>
  <c r="E636" i="116"/>
  <c r="E426" i="116"/>
  <c r="F121" i="116"/>
  <c r="G121" i="116" s="1"/>
  <c r="E654" i="116"/>
  <c r="E517" i="116"/>
  <c r="T22" i="87"/>
  <c r="J22" i="87"/>
  <c r="R20" i="84"/>
  <c r="H20" i="84"/>
  <c r="R20" i="83"/>
  <c r="H20" i="83"/>
  <c r="I54" i="109" l="1"/>
  <c r="H149" i="109" s="1"/>
  <c r="I46" i="109"/>
  <c r="H141" i="109" s="1"/>
  <c r="I38" i="109"/>
  <c r="H133" i="109" s="1"/>
  <c r="I133" i="109" s="1"/>
  <c r="K133" i="109" s="1"/>
  <c r="I35" i="109"/>
  <c r="H130" i="109" s="1"/>
  <c r="I42" i="109"/>
  <c r="H137" i="109" s="1"/>
  <c r="I137" i="109" s="1"/>
  <c r="K137" i="109" s="1"/>
  <c r="I23" i="109"/>
  <c r="H118" i="109" s="1"/>
  <c r="I118" i="109" s="1"/>
  <c r="K118" i="109" s="1"/>
  <c r="I33" i="109"/>
  <c r="H128" i="109" s="1"/>
  <c r="I25" i="109"/>
  <c r="H120" i="109" s="1"/>
  <c r="I120" i="109" s="1"/>
  <c r="K120" i="109" s="1"/>
  <c r="I30" i="109"/>
  <c r="H125" i="109" s="1"/>
  <c r="I125" i="109" s="1"/>
  <c r="K125" i="109" s="1"/>
  <c r="I40" i="109"/>
  <c r="H135" i="109" s="1"/>
  <c r="I135" i="109" s="1"/>
  <c r="K135" i="109" s="1"/>
  <c r="I29" i="109"/>
  <c r="H124" i="109" s="1"/>
  <c r="I124" i="109" s="1"/>
  <c r="K124" i="109" s="1"/>
  <c r="I39" i="109"/>
  <c r="H134" i="109" s="1"/>
  <c r="I134" i="109" s="1"/>
  <c r="K134" i="109" s="1"/>
  <c r="I44" i="109"/>
  <c r="H139" i="109" s="1"/>
  <c r="I37" i="109"/>
  <c r="H132" i="109" s="1"/>
  <c r="I132" i="109" s="1"/>
  <c r="K132" i="109" s="1"/>
  <c r="I47" i="109"/>
  <c r="H142" i="109" s="1"/>
  <c r="I26" i="109"/>
  <c r="H121" i="109" s="1"/>
  <c r="I121" i="109" s="1"/>
  <c r="K121" i="109" s="1"/>
  <c r="I75" i="109"/>
  <c r="H173" i="109" s="1"/>
  <c r="I173" i="109" s="1"/>
  <c r="K173" i="109" s="1"/>
  <c r="I78" i="109"/>
  <c r="H176" i="109" s="1"/>
  <c r="I176" i="109" s="1"/>
  <c r="K176" i="109" s="1"/>
  <c r="I83" i="109"/>
  <c r="H181" i="109" s="1"/>
  <c r="I86" i="109"/>
  <c r="H184" i="109" s="1"/>
  <c r="I79" i="109"/>
  <c r="H177" i="109" s="1"/>
  <c r="I177" i="109" s="1"/>
  <c r="K177" i="109" s="1"/>
  <c r="I27" i="109"/>
  <c r="H122" i="109" s="1"/>
  <c r="I122" i="109" s="1"/>
  <c r="K122" i="109" s="1"/>
  <c r="I45" i="109"/>
  <c r="H140" i="109" s="1"/>
  <c r="I84" i="109"/>
  <c r="H182" i="109" s="1"/>
  <c r="I65" i="109"/>
  <c r="H163" i="109" s="1"/>
  <c r="I163" i="109" s="1"/>
  <c r="K163" i="109" s="1"/>
  <c r="I91" i="109"/>
  <c r="H189" i="109" s="1"/>
  <c r="I68" i="109"/>
  <c r="H166" i="109" s="1"/>
  <c r="I166" i="109" s="1"/>
  <c r="K166" i="109" s="1"/>
  <c r="I53" i="109"/>
  <c r="H148" i="109" s="1"/>
  <c r="I92" i="109"/>
  <c r="H190" i="109" s="1"/>
  <c r="I62" i="109"/>
  <c r="H160" i="109" s="1"/>
  <c r="I160" i="109" s="1"/>
  <c r="K160" i="109" s="1"/>
  <c r="I80" i="109"/>
  <c r="H178" i="109" s="1"/>
  <c r="I178" i="109" s="1"/>
  <c r="K178" i="109" s="1"/>
  <c r="I76" i="109"/>
  <c r="H174" i="109" s="1"/>
  <c r="I174" i="109" s="1"/>
  <c r="K174" i="109" s="1"/>
  <c r="I69" i="109"/>
  <c r="H167" i="109" s="1"/>
  <c r="I167" i="109" s="1"/>
  <c r="K167" i="109" s="1"/>
  <c r="I89" i="109"/>
  <c r="H187" i="109" s="1"/>
  <c r="I88" i="109"/>
  <c r="H186" i="109" s="1"/>
  <c r="I41" i="109"/>
  <c r="H136" i="109" s="1"/>
  <c r="I136" i="109" s="1"/>
  <c r="K136" i="109" s="1"/>
  <c r="I77" i="109"/>
  <c r="H175" i="109" s="1"/>
  <c r="I175" i="109" s="1"/>
  <c r="K175" i="109" s="1"/>
  <c r="I66" i="109"/>
  <c r="H164" i="109" s="1"/>
  <c r="I164" i="109" s="1"/>
  <c r="K164" i="109" s="1"/>
  <c r="I64" i="109"/>
  <c r="H162" i="109" s="1"/>
  <c r="I162" i="109" s="1"/>
  <c r="K162" i="109" s="1"/>
  <c r="I85" i="109"/>
  <c r="H183" i="109" s="1"/>
  <c r="I74" i="109"/>
  <c r="H172" i="109" s="1"/>
  <c r="I63" i="109"/>
  <c r="H161" i="109" s="1"/>
  <c r="I161" i="109" s="1"/>
  <c r="K161" i="109" s="1"/>
  <c r="I82" i="109"/>
  <c r="H180" i="109" s="1"/>
  <c r="I67" i="109"/>
  <c r="H165" i="109" s="1"/>
  <c r="I165" i="109" s="1"/>
  <c r="K165" i="109" s="1"/>
  <c r="I71" i="109"/>
  <c r="H169" i="109" s="1"/>
  <c r="I90" i="109"/>
  <c r="H188" i="109" s="1"/>
  <c r="I60" i="109"/>
  <c r="H158" i="109" s="1"/>
  <c r="I158" i="109" s="1"/>
  <c r="K158" i="109" s="1"/>
  <c r="I50" i="109"/>
  <c r="H145" i="109" s="1"/>
  <c r="I36" i="109"/>
  <c r="H131" i="109" s="1"/>
  <c r="I24" i="109"/>
  <c r="H119" i="109" s="1"/>
  <c r="I119" i="109" s="1"/>
  <c r="K119" i="109" s="1"/>
  <c r="I28" i="109"/>
  <c r="H123" i="109" s="1"/>
  <c r="I123" i="109" s="1"/>
  <c r="K123" i="109" s="1"/>
  <c r="I22" i="109"/>
  <c r="H117" i="109" s="1"/>
  <c r="I117" i="109" s="1"/>
  <c r="K117" i="109" s="1"/>
  <c r="I31" i="109"/>
  <c r="H126" i="109" s="1"/>
  <c r="I126" i="109" s="1"/>
  <c r="K126" i="109" s="1"/>
  <c r="I61" i="109"/>
  <c r="H159" i="109" s="1"/>
  <c r="I159" i="109" s="1"/>
  <c r="K159" i="109" s="1"/>
  <c r="I72" i="109"/>
  <c r="H170" i="109" s="1"/>
  <c r="I48" i="109"/>
  <c r="H143" i="109" s="1"/>
  <c r="I52" i="109"/>
  <c r="H147" i="109" s="1"/>
  <c r="I73" i="109"/>
  <c r="H171" i="109" s="1"/>
  <c r="I34" i="109"/>
  <c r="H129" i="109" s="1"/>
  <c r="I51" i="109"/>
  <c r="H146" i="109" s="1"/>
  <c r="E155" i="116"/>
  <c r="E156" i="116"/>
  <c r="G296" i="116"/>
  <c r="I296" i="116"/>
  <c r="I287" i="116"/>
  <c r="G287" i="116"/>
  <c r="G289" i="116"/>
  <c r="I289" i="116"/>
  <c r="G290" i="116"/>
  <c r="I290" i="116"/>
  <c r="G291" i="116"/>
  <c r="I291" i="116"/>
  <c r="G292" i="116"/>
  <c r="I292" i="116"/>
  <c r="I288" i="116"/>
  <c r="G288" i="116"/>
  <c r="I293" i="116"/>
  <c r="G293" i="116"/>
  <c r="I294" i="116"/>
  <c r="G294" i="116"/>
  <c r="G295" i="116"/>
  <c r="I295" i="116"/>
  <c r="E488" i="116"/>
  <c r="F254" i="116"/>
  <c r="G254" i="116" s="1"/>
  <c r="I129" i="116"/>
  <c r="I126" i="116"/>
  <c r="G126" i="116"/>
  <c r="I125" i="116"/>
  <c r="G125" i="116"/>
  <c r="I127" i="116"/>
  <c r="G127" i="116"/>
  <c r="G123" i="116"/>
  <c r="I123" i="116"/>
  <c r="G128" i="116"/>
  <c r="I128" i="116"/>
  <c r="I124" i="116"/>
  <c r="G124" i="116"/>
  <c r="E91" i="116"/>
  <c r="E73" i="116"/>
  <c r="F36" i="13" s="1" a="1"/>
  <c r="F36" i="13" s="1"/>
  <c r="I36" i="13" s="1"/>
  <c r="E53" i="116"/>
  <c r="E72" i="116"/>
  <c r="E36" i="13" s="1" a="1"/>
  <c r="E36" i="13" s="1"/>
  <c r="E54" i="116"/>
  <c r="E35" i="116"/>
  <c r="Q30" i="97"/>
  <c r="P30" i="97"/>
  <c r="N30" i="97"/>
  <c r="O30" i="97"/>
  <c r="Q37" i="97"/>
  <c r="P37" i="97"/>
  <c r="O37" i="97"/>
  <c r="N37" i="97"/>
  <c r="Q34" i="97"/>
  <c r="P34" i="97"/>
  <c r="O34" i="97"/>
  <c r="N34" i="97"/>
  <c r="Q36" i="97"/>
  <c r="P36" i="97"/>
  <c r="O36" i="97"/>
  <c r="N36" i="97"/>
  <c r="O28" i="97"/>
  <c r="N28" i="97"/>
  <c r="Q28" i="97"/>
  <c r="P28" i="97"/>
  <c r="Q27" i="97"/>
  <c r="P27" i="97"/>
  <c r="O27" i="97"/>
  <c r="N27" i="97"/>
  <c r="O32" i="97"/>
  <c r="N32" i="97"/>
  <c r="Q32" i="97"/>
  <c r="P32" i="97"/>
  <c r="N29" i="97"/>
  <c r="Q29" i="97"/>
  <c r="P29" i="97"/>
  <c r="O29" i="97"/>
  <c r="Q38" i="97"/>
  <c r="P38" i="97"/>
  <c r="O38" i="97"/>
  <c r="N38" i="97"/>
  <c r="Q35" i="97"/>
  <c r="P35" i="97"/>
  <c r="O35" i="97"/>
  <c r="N35" i="97"/>
  <c r="P26" i="97"/>
  <c r="Q26" i="97"/>
  <c r="O26" i="97"/>
  <c r="N26" i="97"/>
  <c r="Q31" i="97"/>
  <c r="P31" i="97"/>
  <c r="O31" i="97"/>
  <c r="N31" i="97"/>
  <c r="P25" i="97"/>
  <c r="O25" i="97"/>
  <c r="N25" i="97"/>
  <c r="Q25" i="97"/>
  <c r="Q33" i="97"/>
  <c r="P33" i="97"/>
  <c r="O33" i="97"/>
  <c r="N33" i="97"/>
  <c r="O37" i="96"/>
  <c r="E62" i="96" s="1"/>
  <c r="Q25" i="96"/>
  <c r="E46" i="96" s="1"/>
  <c r="O25" i="96"/>
  <c r="N37" i="96"/>
  <c r="E61" i="96" s="1"/>
  <c r="N25" i="96"/>
  <c r="E43" i="96" s="1"/>
  <c r="P37" i="96"/>
  <c r="E63" i="96" s="1"/>
  <c r="E58" i="96"/>
  <c r="O33" i="96"/>
  <c r="E50" i="96" s="1"/>
  <c r="AI241" i="116" a="1"/>
  <c r="AI241" i="116" s="1"/>
  <c r="AG236" i="116"/>
  <c r="AI236" i="116" s="1" a="1"/>
  <c r="AI236" i="116" s="1"/>
  <c r="AA241" i="116" a="1"/>
  <c r="AA241" i="116" s="1"/>
  <c r="S240" i="116" a="1"/>
  <c r="S240" i="116" s="1"/>
  <c r="AI243" i="116" a="1"/>
  <c r="AI243" i="116" s="1"/>
  <c r="AE243" i="116" a="1"/>
  <c r="AE243" i="116" s="1"/>
  <c r="AA245" i="116" a="1"/>
  <c r="AA245" i="116" s="1"/>
  <c r="AI240" i="116" a="1"/>
  <c r="AI240" i="116" s="1"/>
  <c r="AE241" i="116" a="1"/>
  <c r="AE241" i="116" s="1"/>
  <c r="AE236" i="116" a="1"/>
  <c r="AE236" i="116" s="1"/>
  <c r="AE240" i="116" a="1"/>
  <c r="AE240" i="116" s="1"/>
  <c r="AE238" i="116" a="1"/>
  <c r="AE238" i="116" s="1"/>
  <c r="AA237" i="116" a="1"/>
  <c r="AA237" i="116" s="1"/>
  <c r="AM236" i="116" a="1"/>
  <c r="AM236" i="116" s="1"/>
  <c r="AE244" i="116" a="1"/>
  <c r="AE244" i="116" s="1"/>
  <c r="AE245" i="116" a="1"/>
  <c r="AE245" i="116" s="1"/>
  <c r="W243" i="116" a="1"/>
  <c r="W243" i="116" s="1"/>
  <c r="S243" i="116" a="1"/>
  <c r="S243" i="116" s="1"/>
  <c r="AI245" i="116" a="1"/>
  <c r="AI245" i="116" s="1"/>
  <c r="S244" i="116" a="1"/>
  <c r="S244" i="116" s="1"/>
  <c r="AE239" i="116" a="1"/>
  <c r="AE239" i="116" s="1"/>
  <c r="S237" i="116" a="1"/>
  <c r="S237" i="116" s="1"/>
  <c r="S236" i="116" a="1"/>
  <c r="S236" i="116" s="1"/>
  <c r="AI242" i="116" a="1"/>
  <c r="AI242" i="116" s="1"/>
  <c r="S239" i="116" a="1"/>
  <c r="S239" i="116" s="1"/>
  <c r="S241" i="116" a="1"/>
  <c r="S241" i="116" s="1"/>
  <c r="W236" i="116" a="1"/>
  <c r="W236" i="116" s="1"/>
  <c r="AA240" i="116" a="1"/>
  <c r="AA240" i="116" s="1"/>
  <c r="S238" i="116" a="1"/>
  <c r="S238" i="116" s="1"/>
  <c r="AA243" i="116" a="1"/>
  <c r="AA243" i="116" s="1"/>
  <c r="S245" i="116" a="1"/>
  <c r="S245" i="116" s="1"/>
  <c r="AI238" i="116" a="1"/>
  <c r="AI238" i="116" s="1"/>
  <c r="AI237" i="116" a="1"/>
  <c r="AI237" i="116" s="1"/>
  <c r="AE237" i="116" a="1"/>
  <c r="AE237" i="116" s="1"/>
  <c r="AA238" i="116" a="1"/>
  <c r="AA238" i="116" s="1"/>
  <c r="AE242" i="116" a="1"/>
  <c r="AE242" i="116" s="1"/>
  <c r="AA239" i="116" a="1"/>
  <c r="AA239" i="116" s="1"/>
  <c r="AA236" i="116" a="1"/>
  <c r="AA236" i="116" s="1"/>
  <c r="AI239" i="116" a="1"/>
  <c r="AI239" i="116" s="1"/>
  <c r="AA242" i="116" a="1"/>
  <c r="AA242" i="116" s="1"/>
  <c r="AA244" i="116" a="1"/>
  <c r="AA244" i="116" s="1"/>
  <c r="AI244" i="116" a="1"/>
  <c r="AI244" i="116" s="1"/>
  <c r="S242" i="116" a="1"/>
  <c r="S242" i="116" s="1"/>
  <c r="W245" i="116" a="1"/>
  <c r="W245" i="116" s="1"/>
  <c r="AM241" i="116" a="1"/>
  <c r="AM241" i="116" s="1"/>
  <c r="AM245" i="116" a="1"/>
  <c r="AM245" i="116" s="1"/>
  <c r="AM238" i="116" a="1"/>
  <c r="AM238" i="116" s="1"/>
  <c r="AM242" i="116" a="1"/>
  <c r="AM242" i="116" s="1"/>
  <c r="AM237" i="116" a="1"/>
  <c r="AM237" i="116" s="1"/>
  <c r="W239" i="116" a="1"/>
  <c r="W239" i="116" s="1"/>
  <c r="W244" i="116" a="1"/>
  <c r="W244" i="116" s="1"/>
  <c r="AM239" i="116" a="1"/>
  <c r="AM239" i="116" s="1"/>
  <c r="W240" i="116" a="1"/>
  <c r="W240" i="116" s="1"/>
  <c r="AM240" i="116" a="1"/>
  <c r="AM240" i="116" s="1"/>
  <c r="W237" i="116" a="1"/>
  <c r="W237" i="116" s="1"/>
  <c r="W242" i="116" a="1"/>
  <c r="W242" i="116" s="1"/>
  <c r="W241" i="116" a="1"/>
  <c r="W241" i="116" s="1"/>
  <c r="W238" i="116" a="1"/>
  <c r="W238" i="116" s="1"/>
  <c r="AM243" i="116" a="1"/>
  <c r="AM243" i="116" s="1"/>
  <c r="AM244" i="116" a="1"/>
  <c r="AM244" i="116" s="1"/>
  <c r="E236" i="116"/>
  <c r="J236" i="116" s="1"/>
  <c r="J245" i="116"/>
  <c r="J244" i="116"/>
  <c r="J243" i="116"/>
  <c r="J242" i="116"/>
  <c r="J241" i="116"/>
  <c r="J240" i="116"/>
  <c r="J239" i="116"/>
  <c r="J238" i="116"/>
  <c r="J237" i="116"/>
  <c r="E19" i="101" a="1"/>
  <c r="E19" i="101" s="1"/>
  <c r="E23" i="106" s="1"/>
  <c r="E32" i="106"/>
  <c r="K254" i="116"/>
  <c r="H254" i="116"/>
  <c r="E37" i="105"/>
  <c r="E77" i="105" s="1"/>
  <c r="E26" i="105"/>
  <c r="E66" i="105" s="1"/>
  <c r="E36" i="105"/>
  <c r="E76" i="105" s="1"/>
  <c r="E20" i="105"/>
  <c r="E60" i="105" s="1"/>
  <c r="H256" i="116"/>
  <c r="E36" i="106"/>
  <c r="K260" i="116"/>
  <c r="E35" i="105"/>
  <c r="E75" i="105" s="1"/>
  <c r="E34" i="106"/>
  <c r="E37" i="106"/>
  <c r="Q27" i="101"/>
  <c r="Q29" i="101"/>
  <c r="K255" i="116"/>
  <c r="F255" i="116"/>
  <c r="G255" i="116" s="1"/>
  <c r="H255" i="116"/>
  <c r="H261" i="116"/>
  <c r="F261" i="116"/>
  <c r="G261" i="116" s="1"/>
  <c r="K261" i="116"/>
  <c r="K253" i="116"/>
  <c r="H253" i="116"/>
  <c r="F253" i="116"/>
  <c r="G253" i="116" s="1"/>
  <c r="K256" i="116"/>
  <c r="Q22" i="101"/>
  <c r="F256" i="116"/>
  <c r="G256" i="116" s="1"/>
  <c r="H257" i="116"/>
  <c r="F257" i="116"/>
  <c r="G257" i="116" s="1"/>
  <c r="K257" i="116"/>
  <c r="O11" i="101" a="1"/>
  <c r="O11" i="101" s="1"/>
  <c r="H252" i="116"/>
  <c r="F252" i="116"/>
  <c r="G252" i="116" s="1"/>
  <c r="K259" i="116"/>
  <c r="H259" i="116"/>
  <c r="F259" i="116"/>
  <c r="G259" i="116" s="1"/>
  <c r="H258" i="116"/>
  <c r="F258" i="116"/>
  <c r="G258" i="116" s="1"/>
  <c r="K258" i="116"/>
  <c r="F260" i="116"/>
  <c r="G260" i="116" s="1"/>
  <c r="H260" i="116"/>
  <c r="G88" i="116"/>
  <c r="G87" i="116"/>
  <c r="G86" i="116"/>
  <c r="G85" i="116"/>
  <c r="G84" i="116"/>
  <c r="G83" i="116"/>
  <c r="G82" i="116"/>
  <c r="G81" i="116"/>
  <c r="G80" i="116"/>
  <c r="Q115" i="83"/>
  <c r="Q117" i="83"/>
  <c r="Q116" i="83"/>
  <c r="N30" i="84"/>
  <c r="N53" i="84" s="1"/>
  <c r="N82" i="84" s="1"/>
  <c r="O116" i="83"/>
  <c r="O117" i="83"/>
  <c r="O115" i="83"/>
  <c r="E115" i="83"/>
  <c r="E117" i="83"/>
  <c r="E116" i="83"/>
  <c r="D30" i="84"/>
  <c r="D53" i="84" s="1"/>
  <c r="D82" i="84" s="1"/>
  <c r="P30" i="84"/>
  <c r="P53" i="84" s="1"/>
  <c r="P82" i="84" s="1"/>
  <c r="R117" i="83"/>
  <c r="R115" i="83"/>
  <c r="R116" i="83"/>
  <c r="H117" i="83"/>
  <c r="H116" i="83"/>
  <c r="H115" i="83"/>
  <c r="Q30" i="84"/>
  <c r="Q53" i="84" s="1"/>
  <c r="Q82" i="84" s="1"/>
  <c r="H111" i="84"/>
  <c r="H108" i="84"/>
  <c r="I22" i="85" s="1"/>
  <c r="I57" i="85" s="1"/>
  <c r="H110" i="84"/>
  <c r="I24" i="85" s="1"/>
  <c r="I59" i="85" s="1"/>
  <c r="H109" i="84"/>
  <c r="P108" i="84"/>
  <c r="P110" i="84"/>
  <c r="P111" i="84"/>
  <c r="P109" i="84"/>
  <c r="P117" i="83"/>
  <c r="P115" i="83"/>
  <c r="P116" i="83"/>
  <c r="F117" i="83"/>
  <c r="F115" i="83"/>
  <c r="F116" i="83"/>
  <c r="F111" i="84"/>
  <c r="F110" i="84"/>
  <c r="G24" i="85" s="1"/>
  <c r="G59" i="85" s="1"/>
  <c r="F109" i="84"/>
  <c r="G23" i="85" s="1"/>
  <c r="G58" i="85" s="1"/>
  <c r="F108" i="84"/>
  <c r="G115" i="83"/>
  <c r="G117" i="83"/>
  <c r="G116" i="83"/>
  <c r="F30" i="84"/>
  <c r="F53" i="84" s="1"/>
  <c r="F82" i="84" s="1"/>
  <c r="P11" i="101" a="1"/>
  <c r="P11" i="101" s="1"/>
  <c r="N34" i="101" s="1"/>
  <c r="E23" i="105"/>
  <c r="E63" i="105" s="1"/>
  <c r="E35" i="106"/>
  <c r="E21" i="105"/>
  <c r="E61" i="105" s="1"/>
  <c r="G59" i="109" a="1"/>
  <c r="G59" i="109" s="1"/>
  <c r="F79" i="116"/>
  <c r="G79" i="116" s="1"/>
  <c r="E331" i="116"/>
  <c r="E29" i="105"/>
  <c r="E69" i="105" s="1"/>
  <c r="G116" i="109" a="1"/>
  <c r="G116" i="109" s="1"/>
  <c r="G21" i="109" a="1"/>
  <c r="G21" i="109" s="1"/>
  <c r="G157" i="109" a="1"/>
  <c r="G157" i="109" s="1"/>
  <c r="E19" i="102" a="1"/>
  <c r="E19" i="102" s="1"/>
  <c r="I23" i="85"/>
  <c r="I58" i="85" s="1"/>
  <c r="E31" i="106"/>
  <c r="E34" i="105"/>
  <c r="E74" i="105" s="1"/>
  <c r="E25" i="105"/>
  <c r="E65" i="105" s="1"/>
  <c r="E26" i="106"/>
  <c r="O21" i="101"/>
  <c r="Q21" i="101" s="1"/>
  <c r="Q26" i="101"/>
  <c r="Q28" i="101"/>
  <c r="Q25" i="101"/>
  <c r="Q30" i="101"/>
  <c r="Q23" i="101"/>
  <c r="Q24" i="101"/>
  <c r="E28" i="106"/>
  <c r="E67" i="106"/>
  <c r="E104" i="105"/>
  <c r="E136" i="105" s="1"/>
  <c r="E332" i="116"/>
  <c r="E102" i="105"/>
  <c r="E134" i="105" s="1"/>
  <c r="E65" i="106"/>
  <c r="E32" i="103"/>
  <c r="K44" i="103" s="1"/>
  <c r="E103" i="105"/>
  <c r="E135" i="105" s="1"/>
  <c r="E66" i="106"/>
  <c r="E657" i="116"/>
  <c r="E64" i="96"/>
  <c r="E475" i="116"/>
  <c r="E457" i="116"/>
  <c r="E394" i="116"/>
  <c r="E456" i="116"/>
  <c r="E393" i="116"/>
  <c r="E474" i="116"/>
  <c r="E34" i="116"/>
  <c r="E57" i="96"/>
  <c r="E44" i="96"/>
  <c r="E56" i="96"/>
  <c r="E45" i="96"/>
  <c r="E55" i="96"/>
  <c r="J58" i="78"/>
  <c r="J38" i="78"/>
  <c r="J37" i="78"/>
  <c r="J32" i="78"/>
  <c r="D11" i="78"/>
  <c r="D10" i="78"/>
  <c r="D14" i="78"/>
  <c r="I16" i="81"/>
  <c r="I15" i="81"/>
  <c r="I14" i="81"/>
  <c r="I13" i="81"/>
  <c r="I12" i="81"/>
  <c r="I11" i="81"/>
  <c r="I10" i="81"/>
  <c r="I9" i="81"/>
  <c r="I8" i="81"/>
  <c r="I7" i="81"/>
  <c r="I127" i="109" l="1"/>
  <c r="K127" i="109" s="1"/>
  <c r="I138" i="109"/>
  <c r="K138" i="109" s="1"/>
  <c r="I168" i="109"/>
  <c r="K168" i="109" s="1"/>
  <c r="I144" i="109"/>
  <c r="K144" i="109" s="1"/>
  <c r="I59" i="109"/>
  <c r="H157" i="109" s="1"/>
  <c r="I157" i="109" s="1"/>
  <c r="I185" i="109"/>
  <c r="K185" i="109" s="1"/>
  <c r="I21" i="109"/>
  <c r="H116" i="109" s="1"/>
  <c r="I116" i="109" s="1"/>
  <c r="K116" i="109" s="1"/>
  <c r="I179" i="109"/>
  <c r="K179" i="109" s="1"/>
  <c r="E298" i="116"/>
  <c r="E299" i="116"/>
  <c r="E94" i="116"/>
  <c r="E51" i="97"/>
  <c r="E44" i="97"/>
  <c r="E52" i="97"/>
  <c r="E50" i="97"/>
  <c r="E49" i="97"/>
  <c r="E45" i="97"/>
  <c r="E46" i="97"/>
  <c r="E43" i="97"/>
  <c r="F243" i="116"/>
  <c r="G243" i="116" s="1"/>
  <c r="F237" i="116"/>
  <c r="G237" i="116" s="1"/>
  <c r="H244" i="116"/>
  <c r="K236" i="116"/>
  <c r="H243" i="116"/>
  <c r="K239" i="116"/>
  <c r="K243" i="116"/>
  <c r="F236" i="116"/>
  <c r="G236" i="116" s="1"/>
  <c r="H241" i="116"/>
  <c r="H238" i="116"/>
  <c r="F245" i="116"/>
  <c r="G245" i="116" s="1"/>
  <c r="K242" i="116"/>
  <c r="K238" i="116"/>
  <c r="H236" i="116"/>
  <c r="H239" i="116"/>
  <c r="H240" i="116"/>
  <c r="F239" i="116"/>
  <c r="G239" i="116" s="1"/>
  <c r="F238" i="116"/>
  <c r="G238" i="116" s="1"/>
  <c r="H245" i="116"/>
  <c r="F244" i="116"/>
  <c r="G244" i="116" s="1"/>
  <c r="K245" i="116"/>
  <c r="K241" i="116"/>
  <c r="H242" i="116"/>
  <c r="K237" i="116"/>
  <c r="K240" i="116"/>
  <c r="H237" i="116"/>
  <c r="F240" i="116"/>
  <c r="G240" i="116" s="1"/>
  <c r="F241" i="116"/>
  <c r="G241" i="116" s="1"/>
  <c r="F242" i="116"/>
  <c r="G242" i="116" s="1"/>
  <c r="K244" i="116"/>
  <c r="E28" i="105"/>
  <c r="E68" i="105" s="1"/>
  <c r="E39" i="106"/>
  <c r="E30" i="106"/>
  <c r="E30" i="105"/>
  <c r="E70" i="105" s="1"/>
  <c r="E40" i="106"/>
  <c r="E33" i="105"/>
  <c r="E73" i="105" s="1"/>
  <c r="E24" i="106"/>
  <c r="E25" i="106"/>
  <c r="E32" i="105"/>
  <c r="E72" i="105" s="1"/>
  <c r="E31" i="105"/>
  <c r="E71" i="105" s="1"/>
  <c r="E41" i="106"/>
  <c r="Q15" i="101"/>
  <c r="Q12" i="101"/>
  <c r="Q18" i="101"/>
  <c r="E33" i="106"/>
  <c r="E27" i="105"/>
  <c r="E67" i="105" s="1"/>
  <c r="Q11" i="101"/>
  <c r="Q19" i="101"/>
  <c r="Q20" i="101"/>
  <c r="E38" i="106"/>
  <c r="Q16" i="101"/>
  <c r="Q13" i="101"/>
  <c r="E29" i="106"/>
  <c r="Q17" i="101"/>
  <c r="E19" i="105"/>
  <c r="E59" i="105" s="1"/>
  <c r="Q14" i="101"/>
  <c r="E22" i="105"/>
  <c r="E62" i="105" s="1"/>
  <c r="F20" i="88"/>
  <c r="H23" i="90"/>
  <c r="I25" i="85"/>
  <c r="I60" i="85" s="1"/>
  <c r="H19" i="89"/>
  <c r="H24" i="89" s="1"/>
  <c r="H20" i="88"/>
  <c r="G25" i="85"/>
  <c r="G60" i="85" s="1"/>
  <c r="F19" i="89"/>
  <c r="F24" i="89" s="1"/>
  <c r="O19" i="89"/>
  <c r="O24" i="89" s="1"/>
  <c r="Q25" i="85"/>
  <c r="Q60" i="85" s="1"/>
  <c r="P20" i="88"/>
  <c r="Q109" i="84"/>
  <c r="Q110" i="84"/>
  <c r="Q111" i="84"/>
  <c r="Q108" i="84"/>
  <c r="F150" i="84"/>
  <c r="P23" i="90"/>
  <c r="F151" i="84"/>
  <c r="F23" i="90"/>
  <c r="F152" i="84"/>
  <c r="E109" i="84"/>
  <c r="E108" i="84"/>
  <c r="E110" i="84"/>
  <c r="E111" i="84"/>
  <c r="E19" i="89" s="1"/>
  <c r="E24" i="89" s="1"/>
  <c r="P151" i="84"/>
  <c r="Q23" i="85"/>
  <c r="Q58" i="85" s="1"/>
  <c r="O108" i="84"/>
  <c r="O111" i="84"/>
  <c r="O110" i="84"/>
  <c r="O109" i="84"/>
  <c r="P152" i="84"/>
  <c r="Q24" i="85"/>
  <c r="Q59" i="85" s="1"/>
  <c r="P150" i="84"/>
  <c r="Q22" i="85"/>
  <c r="Q57" i="85" s="1"/>
  <c r="G111" i="84"/>
  <c r="G19" i="89" s="1"/>
  <c r="G24" i="89" s="1"/>
  <c r="G110" i="84"/>
  <c r="G109" i="84"/>
  <c r="G108" i="84"/>
  <c r="G22" i="85"/>
  <c r="G57" i="85" s="1"/>
  <c r="H151" i="84"/>
  <c r="H152" i="84"/>
  <c r="H150" i="84"/>
  <c r="R111" i="84"/>
  <c r="S25" i="85" s="1"/>
  <c r="S60" i="85" s="1"/>
  <c r="R110" i="84"/>
  <c r="R109" i="84"/>
  <c r="R108" i="84"/>
  <c r="E70" i="96"/>
  <c r="I530" i="116" s="1"/>
  <c r="F25" i="85"/>
  <c r="F60" i="85" s="1"/>
  <c r="E24" i="105"/>
  <c r="E64" i="105" s="1"/>
  <c r="E264" i="116"/>
  <c r="E90" i="116"/>
  <c r="E93" i="116" s="1"/>
  <c r="E22" i="72"/>
  <c r="E27" i="106"/>
  <c r="E132" i="116"/>
  <c r="E160" i="116" s="1"/>
  <c r="E131" i="116"/>
  <c r="E159" i="116" s="1"/>
  <c r="E37" i="13" s="1" a="1"/>
  <c r="E37" i="13" s="1"/>
  <c r="F40" i="13" a="1"/>
  <c r="F40" i="13" s="1"/>
  <c r="I40" i="13" s="1"/>
  <c r="E40" i="13" a="1"/>
  <c r="E40" i="13" s="1"/>
  <c r="H40" i="13" s="1"/>
  <c r="E69" i="96"/>
  <c r="E18" i="13" s="1" a="1"/>
  <c r="E18" i="13" s="1"/>
  <c r="F18" i="13" s="1"/>
  <c r="E67" i="96"/>
  <c r="E16" i="13" s="1" a="1"/>
  <c r="E16" i="13" s="1"/>
  <c r="F16" i="13" s="1"/>
  <c r="E68" i="96"/>
  <c r="E17" i="13" s="1" a="1"/>
  <c r="E17" i="13" s="1"/>
  <c r="F54" i="80"/>
  <c r="F55" i="80" s="1"/>
  <c r="F44" i="80"/>
  <c r="G59" i="80"/>
  <c r="G54" i="80"/>
  <c r="G55" i="80" s="1"/>
  <c r="E151" i="109" l="1"/>
  <c r="E22" i="13" s="1" a="1"/>
  <c r="E22" i="13" s="1"/>
  <c r="F22" i="13" s="1"/>
  <c r="I22" i="13" s="1"/>
  <c r="K157" i="109"/>
  <c r="E192" i="109" s="1"/>
  <c r="E603" i="116" s="1"/>
  <c r="E56" i="97"/>
  <c r="E20" i="13" s="1" a="1"/>
  <c r="E20" i="13" s="1"/>
  <c r="F20" i="13" s="1"/>
  <c r="I19" i="13" s="1"/>
  <c r="E58" i="97"/>
  <c r="I531" i="116" s="1"/>
  <c r="E533" i="116" s="1"/>
  <c r="E42" i="13" s="1" a="1"/>
  <c r="E42" i="13" s="1"/>
  <c r="E57" i="97"/>
  <c r="E21" i="13" s="1" a="1"/>
  <c r="E21" i="13" s="1"/>
  <c r="F21" i="13" s="1"/>
  <c r="E55" i="97"/>
  <c r="E19" i="13" s="1" a="1"/>
  <c r="E19" i="13" s="1"/>
  <c r="F19" i="13" s="1"/>
  <c r="E263" i="116"/>
  <c r="E266" i="116"/>
  <c r="E267" i="116"/>
  <c r="N33" i="101"/>
  <c r="N35" i="101" s="1"/>
  <c r="E20" i="88"/>
  <c r="H25" i="85"/>
  <c r="H60" i="85" s="1"/>
  <c r="G23" i="90"/>
  <c r="R23" i="90"/>
  <c r="Q19" i="89"/>
  <c r="Q24" i="89" s="1"/>
  <c r="E150" i="84"/>
  <c r="F22" i="85"/>
  <c r="F57" i="85" s="1"/>
  <c r="G192" i="84"/>
  <c r="G191" i="84"/>
  <c r="G190" i="84"/>
  <c r="G189" i="84"/>
  <c r="G193" i="84"/>
  <c r="G30" i="85" s="1"/>
  <c r="Q151" i="84"/>
  <c r="R23" i="85"/>
  <c r="R58" i="85" s="1"/>
  <c r="I192" i="84"/>
  <c r="I189" i="84"/>
  <c r="I190" i="84"/>
  <c r="I191" i="84"/>
  <c r="I193" i="84"/>
  <c r="I26" i="87" s="1"/>
  <c r="Q189" i="84"/>
  <c r="Q192" i="84"/>
  <c r="Q191" i="84"/>
  <c r="Q190" i="84"/>
  <c r="Q193" i="84"/>
  <c r="Q26" i="87" s="1"/>
  <c r="E23" i="90"/>
  <c r="O23" i="90"/>
  <c r="N19" i="89"/>
  <c r="N24" i="89" s="1"/>
  <c r="P25" i="85"/>
  <c r="P60" i="85" s="1"/>
  <c r="O20" i="88"/>
  <c r="R150" i="84"/>
  <c r="S22" i="85"/>
  <c r="S57" i="85" s="1"/>
  <c r="G150" i="84"/>
  <c r="H22" i="85"/>
  <c r="H57" i="85" s="1"/>
  <c r="O150" i="84"/>
  <c r="P22" i="85"/>
  <c r="P57" i="85" s="1"/>
  <c r="O151" i="84"/>
  <c r="P23" i="85"/>
  <c r="P58" i="85" s="1"/>
  <c r="R151" i="84"/>
  <c r="S23" i="85"/>
  <c r="S58" i="85" s="1"/>
  <c r="G151" i="84"/>
  <c r="H23" i="85"/>
  <c r="H58" i="85" s="1"/>
  <c r="R152" i="84"/>
  <c r="S24" i="85"/>
  <c r="S59" i="85" s="1"/>
  <c r="G152" i="84"/>
  <c r="H24" i="85"/>
  <c r="H59" i="85" s="1"/>
  <c r="G196" i="84"/>
  <c r="G198" i="84"/>
  <c r="G31" i="87" s="1"/>
  <c r="G194" i="84"/>
  <c r="G195" i="84"/>
  <c r="G197" i="84"/>
  <c r="R20" i="88"/>
  <c r="G20" i="88"/>
  <c r="E152" i="84"/>
  <c r="F24" i="85"/>
  <c r="F59" i="85" s="1"/>
  <c r="O152" i="84"/>
  <c r="P24" i="85"/>
  <c r="P59" i="85" s="1"/>
  <c r="E151" i="84"/>
  <c r="F23" i="85"/>
  <c r="F58" i="85" s="1"/>
  <c r="I199" i="84"/>
  <c r="I202" i="84"/>
  <c r="I201" i="84"/>
  <c r="I200" i="84"/>
  <c r="I203" i="84"/>
  <c r="I40" i="85" s="1"/>
  <c r="Q203" i="84"/>
  <c r="Q40" i="85" s="1"/>
  <c r="Q199" i="84"/>
  <c r="Q201" i="84"/>
  <c r="Q200" i="84"/>
  <c r="Q202" i="84"/>
  <c r="Q150" i="84"/>
  <c r="R22" i="85"/>
  <c r="R57" i="85" s="1"/>
  <c r="I195" i="84"/>
  <c r="I194" i="84"/>
  <c r="I197" i="84"/>
  <c r="I198" i="84"/>
  <c r="I35" i="85" s="1"/>
  <c r="I196" i="84"/>
  <c r="G203" i="84"/>
  <c r="G40" i="85" s="1"/>
  <c r="G199" i="84"/>
  <c r="G201" i="84"/>
  <c r="G202" i="84"/>
  <c r="G200" i="84"/>
  <c r="R25" i="85"/>
  <c r="R60" i="85" s="1"/>
  <c r="Q20" i="88"/>
  <c r="Q23" i="90"/>
  <c r="P19" i="89"/>
  <c r="P24" i="89" s="1"/>
  <c r="Q196" i="84"/>
  <c r="Q198" i="84"/>
  <c r="Q35" i="85" s="1"/>
  <c r="Q194" i="84"/>
  <c r="Q197" i="84"/>
  <c r="Q195" i="84"/>
  <c r="Q152" i="84"/>
  <c r="R24" i="85"/>
  <c r="R59" i="85" s="1"/>
  <c r="E26" i="89"/>
  <c r="I38" i="89" s="1"/>
  <c r="F37" i="13" a="1"/>
  <c r="F37" i="13" s="1"/>
  <c r="I37" i="13" s="1"/>
  <c r="F17" i="13"/>
  <c r="I16" i="13" s="1"/>
  <c r="H16" i="13"/>
  <c r="G44" i="80"/>
  <c r="G46" i="80"/>
  <c r="G47" i="80" s="1"/>
  <c r="G48" i="80"/>
  <c r="D40" i="80"/>
  <c r="D32" i="80"/>
  <c r="D75" i="72" a="1"/>
  <c r="F55" i="72"/>
  <c r="E55" i="72"/>
  <c r="F54" i="72"/>
  <c r="E54" i="72"/>
  <c r="F53" i="72"/>
  <c r="E53" i="72"/>
  <c r="D72" i="72"/>
  <c r="F46" i="13" a="1"/>
  <c r="F46" i="13" s="1"/>
  <c r="I46" i="13" s="1"/>
  <c r="E46" i="13" a="1"/>
  <c r="E46" i="13" s="1"/>
  <c r="H46" i="13" s="1"/>
  <c r="F45" i="13" a="1"/>
  <c r="F45" i="13" s="1"/>
  <c r="I45" i="13" s="1"/>
  <c r="E45" i="13" a="1"/>
  <c r="E45" i="13" s="1"/>
  <c r="H45" i="13" s="1"/>
  <c r="E43" i="13" a="1"/>
  <c r="E43" i="13" s="1"/>
  <c r="F41" i="13" a="1"/>
  <c r="F41" i="13" s="1"/>
  <c r="I41" i="13" s="1"/>
  <c r="E41" i="13" a="1"/>
  <c r="E41" i="13" s="1"/>
  <c r="H41" i="13" s="1"/>
  <c r="F39" i="13" a="1"/>
  <c r="F39" i="13" s="1"/>
  <c r="I39" i="13" s="1"/>
  <c r="E39" i="13" a="1"/>
  <c r="E39" i="13" s="1"/>
  <c r="H39" i="13" s="1"/>
  <c r="F38" i="13" a="1"/>
  <c r="F38" i="13" s="1"/>
  <c r="I38" i="13" s="1"/>
  <c r="E38" i="13" a="1"/>
  <c r="E38" i="13" s="1"/>
  <c r="H38" i="13" s="1"/>
  <c r="H37" i="13"/>
  <c r="H36" i="13"/>
  <c r="H22" i="13" l="1"/>
  <c r="E44" i="13" a="1"/>
  <c r="E44" i="13" s="1"/>
  <c r="H44" i="13" s="1"/>
  <c r="H19" i="13"/>
  <c r="S92" i="101"/>
  <c r="I28" i="85"/>
  <c r="I63" i="85" s="1"/>
  <c r="G28" i="87"/>
  <c r="G28" i="86"/>
  <c r="Q39" i="85"/>
  <c r="Q74" i="85" s="1"/>
  <c r="I24" i="87"/>
  <c r="I144" i="87" s="1"/>
  <c r="G31" i="85"/>
  <c r="G66" i="85" s="1"/>
  <c r="Q29" i="85"/>
  <c r="Q64" i="85" s="1"/>
  <c r="Q25" i="87"/>
  <c r="Q192" i="87" s="1"/>
  <c r="G32" i="85"/>
  <c r="G67" i="85" s="1"/>
  <c r="I32" i="85"/>
  <c r="I67" i="85" s="1"/>
  <c r="I31" i="87"/>
  <c r="I151" i="87" s="1"/>
  <c r="Q27" i="85"/>
  <c r="Q62" i="85" s="1"/>
  <c r="I28" i="86"/>
  <c r="G23" i="87"/>
  <c r="G190" i="87" s="1"/>
  <c r="Q26" i="85"/>
  <c r="Q61" i="85" s="1"/>
  <c r="G39" i="85"/>
  <c r="G74" i="85" s="1"/>
  <c r="Q27" i="86"/>
  <c r="I33" i="85"/>
  <c r="I68" i="85" s="1"/>
  <c r="Q22" i="87"/>
  <c r="Q24" i="87"/>
  <c r="Q107" i="87" s="1"/>
  <c r="I39" i="85"/>
  <c r="I74" i="85" s="1"/>
  <c r="G24" i="87"/>
  <c r="G144" i="87" s="1"/>
  <c r="G34" i="85"/>
  <c r="G69" i="85" s="1"/>
  <c r="G28" i="85"/>
  <c r="G63" i="85" s="1"/>
  <c r="G29" i="85"/>
  <c r="G64" i="85" s="1"/>
  <c r="I38" i="85"/>
  <c r="I73" i="85" s="1"/>
  <c r="G25" i="87"/>
  <c r="G192" i="87" s="1"/>
  <c r="Q23" i="87"/>
  <c r="Q190" i="87" s="1"/>
  <c r="I27" i="87"/>
  <c r="G27" i="87"/>
  <c r="Q29" i="87"/>
  <c r="Q196" i="87" s="1"/>
  <c r="I31" i="85"/>
  <c r="I66" i="85" s="1"/>
  <c r="G30" i="87"/>
  <c r="G197" i="87" s="1"/>
  <c r="I37" i="85"/>
  <c r="I72" i="85" s="1"/>
  <c r="Q30" i="85"/>
  <c r="G27" i="85"/>
  <c r="G62" i="85" s="1"/>
  <c r="G26" i="87"/>
  <c r="G146" i="87" s="1"/>
  <c r="I36" i="87"/>
  <c r="I203" i="87" s="1"/>
  <c r="Q32" i="85"/>
  <c r="Q67" i="85" s="1"/>
  <c r="G22" i="87"/>
  <c r="Q31" i="85"/>
  <c r="Q66" i="85" s="1"/>
  <c r="I28" i="87"/>
  <c r="I111" i="87" s="1"/>
  <c r="Q33" i="85"/>
  <c r="Q68" i="85" s="1"/>
  <c r="Q31" i="87"/>
  <c r="Q114" i="87" s="1"/>
  <c r="G27" i="86"/>
  <c r="I32" i="87"/>
  <c r="Q36" i="87"/>
  <c r="Q203" i="87" s="1"/>
  <c r="I34" i="85"/>
  <c r="I69" i="85" s="1"/>
  <c r="G38" i="85"/>
  <c r="G73" i="85" s="1"/>
  <c r="I30" i="87"/>
  <c r="I113" i="87" s="1"/>
  <c r="G34" i="87"/>
  <c r="G117" i="87" s="1"/>
  <c r="Q28" i="86"/>
  <c r="G26" i="85"/>
  <c r="G61" i="85" s="1"/>
  <c r="Q36" i="85"/>
  <c r="Q71" i="85" s="1"/>
  <c r="I29" i="87"/>
  <c r="I149" i="87" s="1"/>
  <c r="Q27" i="87"/>
  <c r="Q28" i="85"/>
  <c r="Q63" i="85" s="1"/>
  <c r="G32" i="87"/>
  <c r="N26" i="89"/>
  <c r="R38" i="89" s="1"/>
  <c r="G114" i="87"/>
  <c r="G151" i="87"/>
  <c r="G198" i="87"/>
  <c r="R193" i="84"/>
  <c r="R192" i="84"/>
  <c r="R191" i="84"/>
  <c r="R190" i="84"/>
  <c r="R189" i="84"/>
  <c r="G35" i="85"/>
  <c r="G37" i="85"/>
  <c r="G72" i="85" s="1"/>
  <c r="Q29" i="86"/>
  <c r="Q34" i="87"/>
  <c r="Q28" i="87"/>
  <c r="I23" i="87"/>
  <c r="H200" i="84"/>
  <c r="H199" i="84"/>
  <c r="H201" i="84"/>
  <c r="H202" i="84"/>
  <c r="H203" i="84"/>
  <c r="Q37" i="85"/>
  <c r="Q72" i="85" s="1"/>
  <c r="Q33" i="87"/>
  <c r="Q32" i="87"/>
  <c r="S199" i="84"/>
  <c r="S202" i="84"/>
  <c r="S201" i="84"/>
  <c r="S200" i="84"/>
  <c r="S203" i="84"/>
  <c r="P190" i="84"/>
  <c r="P189" i="84"/>
  <c r="P191" i="84"/>
  <c r="P193" i="84"/>
  <c r="P30" i="85" s="1"/>
  <c r="P192" i="84"/>
  <c r="I193" i="87"/>
  <c r="I109" i="87"/>
  <c r="I146" i="87"/>
  <c r="P203" i="84"/>
  <c r="P202" i="84"/>
  <c r="P201" i="84"/>
  <c r="P200" i="84"/>
  <c r="P199" i="84"/>
  <c r="G29" i="87"/>
  <c r="I27" i="86"/>
  <c r="H198" i="84"/>
  <c r="H194" i="84"/>
  <c r="H197" i="84"/>
  <c r="H195" i="84"/>
  <c r="H196" i="84"/>
  <c r="H193" i="84"/>
  <c r="H192" i="84"/>
  <c r="H191" i="84"/>
  <c r="H190" i="84"/>
  <c r="H189" i="84"/>
  <c r="Q193" i="87"/>
  <c r="Q109" i="87"/>
  <c r="Q146" i="87"/>
  <c r="G33" i="85"/>
  <c r="G68" i="85" s="1"/>
  <c r="F197" i="84"/>
  <c r="F34" i="85" s="1"/>
  <c r="F69" i="85" s="1"/>
  <c r="F196" i="84"/>
  <c r="F195" i="84"/>
  <c r="F28" i="87" s="1"/>
  <c r="F198" i="84"/>
  <c r="F194" i="84"/>
  <c r="F28" i="86" s="1"/>
  <c r="P197" i="84"/>
  <c r="P196" i="84"/>
  <c r="P195" i="84"/>
  <c r="P198" i="84"/>
  <c r="P194" i="84"/>
  <c r="Q38" i="85"/>
  <c r="Q73" i="85" s="1"/>
  <c r="F203" i="84"/>
  <c r="F202" i="84"/>
  <c r="F201" i="84"/>
  <c r="F200" i="84"/>
  <c r="F199" i="84"/>
  <c r="Q34" i="85"/>
  <c r="Q69" i="85" s="1"/>
  <c r="I25" i="87"/>
  <c r="G148" i="87"/>
  <c r="G111" i="87"/>
  <c r="G195" i="87"/>
  <c r="Q145" i="87"/>
  <c r="R200" i="84"/>
  <c r="R199" i="84"/>
  <c r="R201" i="84"/>
  <c r="R203" i="84"/>
  <c r="R202" i="84"/>
  <c r="Q30" i="87"/>
  <c r="S195" i="84"/>
  <c r="S194" i="84"/>
  <c r="S197" i="84"/>
  <c r="S196" i="84"/>
  <c r="S198" i="84"/>
  <c r="S31" i="87" s="1"/>
  <c r="F190" i="84"/>
  <c r="F189" i="84"/>
  <c r="F22" i="87" s="1"/>
  <c r="F191" i="84"/>
  <c r="F24" i="87" s="1"/>
  <c r="F192" i="84"/>
  <c r="F193" i="84"/>
  <c r="F30" i="85" s="1"/>
  <c r="R198" i="84"/>
  <c r="R194" i="84"/>
  <c r="R197" i="84"/>
  <c r="R196" i="84"/>
  <c r="R195" i="84"/>
  <c r="Q35" i="87"/>
  <c r="S192" i="84"/>
  <c r="S25" i="87" s="1"/>
  <c r="S190" i="84"/>
  <c r="S27" i="85" s="1"/>
  <c r="S62" i="85" s="1"/>
  <c r="S189" i="84"/>
  <c r="S191" i="84"/>
  <c r="S24" i="87" s="1"/>
  <c r="S193" i="84"/>
  <c r="S26" i="87" s="1"/>
  <c r="I26" i="85"/>
  <c r="I61" i="85" s="1"/>
  <c r="I22" i="87"/>
  <c r="I33" i="87"/>
  <c r="G29" i="86"/>
  <c r="G35" i="87"/>
  <c r="G36" i="85"/>
  <c r="G71" i="85" s="1"/>
  <c r="F29" i="87"/>
  <c r="I29" i="85"/>
  <c r="I64" i="85" s="1"/>
  <c r="I30" i="85"/>
  <c r="I27" i="85"/>
  <c r="I62" i="85" s="1"/>
  <c r="I35" i="87"/>
  <c r="I34" i="87"/>
  <c r="I29" i="86"/>
  <c r="G36" i="87"/>
  <c r="G33" i="87"/>
  <c r="I36" i="85"/>
  <c r="I71" i="85" s="1"/>
  <c r="R76" i="101"/>
  <c r="O107" i="101" s="1"/>
  <c r="R60" i="101"/>
  <c r="O106" i="101" s="1"/>
  <c r="R46" i="101"/>
  <c r="O105" i="101" s="1"/>
  <c r="S93" i="101" s="1"/>
  <c r="E76" i="72"/>
  <c r="F76" i="72"/>
  <c r="D75" i="72"/>
  <c r="F42" i="13"/>
  <c r="I42" i="13" s="1"/>
  <c r="H42" i="13"/>
  <c r="F43" i="13"/>
  <c r="I43" i="13" s="1"/>
  <c r="H43" i="13"/>
  <c r="F44" i="13" l="1"/>
  <c r="I44" i="13" s="1"/>
  <c r="Q108" i="87"/>
  <c r="I198" i="87"/>
  <c r="I191" i="87"/>
  <c r="I107" i="87"/>
  <c r="G145" i="87"/>
  <c r="G143" i="87"/>
  <c r="G106" i="87"/>
  <c r="I114" i="87"/>
  <c r="Q143" i="87"/>
  <c r="Q106" i="87"/>
  <c r="G108" i="87"/>
  <c r="F27" i="86"/>
  <c r="I197" i="87"/>
  <c r="G150" i="87"/>
  <c r="G113" i="87"/>
  <c r="I156" i="87"/>
  <c r="Q149" i="87"/>
  <c r="G107" i="87"/>
  <c r="I150" i="87"/>
  <c r="G109" i="87"/>
  <c r="G193" i="87"/>
  <c r="Q156" i="87"/>
  <c r="Q191" i="87"/>
  <c r="Q144" i="87"/>
  <c r="Q112" i="87"/>
  <c r="G191" i="87"/>
  <c r="Q119" i="87"/>
  <c r="I119" i="87"/>
  <c r="S30" i="85"/>
  <c r="I112" i="87"/>
  <c r="G201" i="87"/>
  <c r="I195" i="87"/>
  <c r="Q198" i="87"/>
  <c r="I148" i="87"/>
  <c r="Q151" i="87"/>
  <c r="F26" i="87"/>
  <c r="F193" i="87" s="1"/>
  <c r="I196" i="87"/>
  <c r="G154" i="87"/>
  <c r="S144" i="87"/>
  <c r="S191" i="87"/>
  <c r="S107" i="87"/>
  <c r="H30" i="85"/>
  <c r="H26" i="87"/>
  <c r="P29" i="85"/>
  <c r="P64" i="85" s="1"/>
  <c r="P25" i="87"/>
  <c r="F37" i="85"/>
  <c r="F72" i="85" s="1"/>
  <c r="F33" i="87"/>
  <c r="F34" i="87"/>
  <c r="F38" i="85"/>
  <c r="F73" i="85" s="1"/>
  <c r="H35" i="85"/>
  <c r="H31" i="87"/>
  <c r="F27" i="87"/>
  <c r="S145" i="87"/>
  <c r="S192" i="87"/>
  <c r="S108" i="87"/>
  <c r="S23" i="87"/>
  <c r="R30" i="87"/>
  <c r="R34" i="85"/>
  <c r="R69" i="85" s="1"/>
  <c r="I145" i="87"/>
  <c r="I192" i="87"/>
  <c r="I108" i="87"/>
  <c r="F39" i="85"/>
  <c r="F74" i="85" s="1"/>
  <c r="F35" i="87"/>
  <c r="F33" i="85"/>
  <c r="F68" i="85" s="1"/>
  <c r="P35" i="87"/>
  <c r="P39" i="85"/>
  <c r="P74" i="85" s="1"/>
  <c r="S40" i="85"/>
  <c r="S36" i="87"/>
  <c r="Q148" i="87"/>
  <c r="Q111" i="87"/>
  <c r="Q195" i="87"/>
  <c r="R22" i="87"/>
  <c r="R27" i="86"/>
  <c r="R26" i="85"/>
  <c r="R61" i="85" s="1"/>
  <c r="H35" i="87"/>
  <c r="H39" i="85"/>
  <c r="H74" i="85" s="1"/>
  <c r="F195" i="87"/>
  <c r="F148" i="87"/>
  <c r="F111" i="87"/>
  <c r="S193" i="87"/>
  <c r="S109" i="87"/>
  <c r="S146" i="87"/>
  <c r="S27" i="87"/>
  <c r="S28" i="86"/>
  <c r="S31" i="85"/>
  <c r="S66" i="85" s="1"/>
  <c r="F36" i="85"/>
  <c r="F71" i="85" s="1"/>
  <c r="F32" i="87"/>
  <c r="F29" i="86"/>
  <c r="P28" i="85"/>
  <c r="P63" i="85" s="1"/>
  <c r="P24" i="87"/>
  <c r="R29" i="87"/>
  <c r="R33" i="85"/>
  <c r="R68" i="85" s="1"/>
  <c r="P34" i="87"/>
  <c r="P38" i="85"/>
  <c r="P73" i="85" s="1"/>
  <c r="I190" i="87"/>
  <c r="I106" i="87"/>
  <c r="I143" i="87"/>
  <c r="F149" i="87"/>
  <c r="F196" i="87"/>
  <c r="F112" i="87"/>
  <c r="S29" i="85"/>
  <c r="S64" i="85" s="1"/>
  <c r="R27" i="87"/>
  <c r="R28" i="86"/>
  <c r="R31" i="85"/>
  <c r="R66" i="85" s="1"/>
  <c r="F40" i="85"/>
  <c r="F36" i="87"/>
  <c r="F30" i="87"/>
  <c r="P36" i="87"/>
  <c r="P40" i="85"/>
  <c r="S33" i="87"/>
  <c r="S37" i="85"/>
  <c r="S72" i="85" s="1"/>
  <c r="Q201" i="87"/>
  <c r="Q117" i="87"/>
  <c r="Q154" i="87"/>
  <c r="R27" i="85"/>
  <c r="R62" i="85" s="1"/>
  <c r="R23" i="87"/>
  <c r="P34" i="85"/>
  <c r="P69" i="85" s="1"/>
  <c r="P30" i="87"/>
  <c r="P26" i="87"/>
  <c r="S28" i="85"/>
  <c r="S63" i="85" s="1"/>
  <c r="R32" i="85"/>
  <c r="R67" i="85" s="1"/>
  <c r="R28" i="87"/>
  <c r="F35" i="85"/>
  <c r="F31" i="87"/>
  <c r="H28" i="86"/>
  <c r="H27" i="87"/>
  <c r="H31" i="85"/>
  <c r="H66" i="85" s="1"/>
  <c r="P33" i="87"/>
  <c r="P37" i="85"/>
  <c r="P72" i="85" s="1"/>
  <c r="H33" i="87"/>
  <c r="H37" i="85"/>
  <c r="H72" i="85" s="1"/>
  <c r="S26" i="85"/>
  <c r="S61" i="85" s="1"/>
  <c r="S27" i="86"/>
  <c r="S22" i="87"/>
  <c r="Q197" i="87"/>
  <c r="Q113" i="87"/>
  <c r="Q150" i="87"/>
  <c r="F32" i="85"/>
  <c r="F67" i="85" s="1"/>
  <c r="P23" i="87"/>
  <c r="P27" i="85"/>
  <c r="P62" i="85" s="1"/>
  <c r="F107" i="87"/>
  <c r="F144" i="87"/>
  <c r="F191" i="87"/>
  <c r="Q155" i="87"/>
  <c r="Q118" i="87"/>
  <c r="Q202" i="87"/>
  <c r="R35" i="85"/>
  <c r="R31" i="87"/>
  <c r="S38" i="85"/>
  <c r="S73" i="85" s="1"/>
  <c r="S34" i="87"/>
  <c r="R28" i="85"/>
  <c r="R63" i="85" s="1"/>
  <c r="R24" i="87"/>
  <c r="G200" i="87"/>
  <c r="G116" i="87"/>
  <c r="G153" i="87"/>
  <c r="G155" i="87"/>
  <c r="G202" i="87"/>
  <c r="G118" i="87"/>
  <c r="R35" i="87"/>
  <c r="R39" i="85"/>
  <c r="R74" i="85" s="1"/>
  <c r="S35" i="87"/>
  <c r="S39" i="85"/>
  <c r="S74" i="85" s="1"/>
  <c r="R25" i="87"/>
  <c r="R29" i="85"/>
  <c r="R64" i="85" s="1"/>
  <c r="S29" i="87"/>
  <c r="S33" i="85"/>
  <c r="S68" i="85" s="1"/>
  <c r="H34" i="87"/>
  <c r="H38" i="85"/>
  <c r="H73" i="85" s="1"/>
  <c r="G156" i="87"/>
  <c r="G203" i="87"/>
  <c r="G119" i="87"/>
  <c r="F29" i="85"/>
  <c r="F64" i="85" s="1"/>
  <c r="F25" i="87"/>
  <c r="R40" i="85"/>
  <c r="R36" i="87"/>
  <c r="H26" i="85"/>
  <c r="H61" i="85" s="1"/>
  <c r="H22" i="87"/>
  <c r="H27" i="86"/>
  <c r="G149" i="87"/>
  <c r="G196" i="87"/>
  <c r="G112" i="87"/>
  <c r="S36" i="85"/>
  <c r="S71" i="85" s="1"/>
  <c r="S29" i="86"/>
  <c r="S32" i="87"/>
  <c r="R30" i="85"/>
  <c r="R26" i="87"/>
  <c r="H33" i="85"/>
  <c r="H68" i="85" s="1"/>
  <c r="H29" i="87"/>
  <c r="F31" i="85"/>
  <c r="F66" i="85" s="1"/>
  <c r="H30" i="87"/>
  <c r="H34" i="85"/>
  <c r="H69" i="85" s="1"/>
  <c r="P36" i="85"/>
  <c r="P71" i="85" s="1"/>
  <c r="P32" i="87"/>
  <c r="P29" i="86"/>
  <c r="H36" i="85"/>
  <c r="H71" i="85" s="1"/>
  <c r="H32" i="87"/>
  <c r="H29" i="86"/>
  <c r="S28" i="87"/>
  <c r="I200" i="87"/>
  <c r="I116" i="87"/>
  <c r="I153" i="87"/>
  <c r="F28" i="85"/>
  <c r="F63" i="85" s="1"/>
  <c r="R34" i="87"/>
  <c r="R38" i="85"/>
  <c r="R73" i="85" s="1"/>
  <c r="H23" i="87"/>
  <c r="H27" i="85"/>
  <c r="H62" i="85" s="1"/>
  <c r="S151" i="87"/>
  <c r="S114" i="87"/>
  <c r="S198" i="87"/>
  <c r="P32" i="85"/>
  <c r="P67" i="85" s="1"/>
  <c r="P28" i="87"/>
  <c r="H40" i="85"/>
  <c r="H36" i="87"/>
  <c r="P29" i="87"/>
  <c r="P33" i="85"/>
  <c r="P68" i="85" s="1"/>
  <c r="P22" i="87"/>
  <c r="P27" i="86"/>
  <c r="P26" i="85"/>
  <c r="P61" i="85" s="1"/>
  <c r="I117" i="87"/>
  <c r="I154" i="87"/>
  <c r="I201" i="87"/>
  <c r="S32" i="85"/>
  <c r="S67" i="85" s="1"/>
  <c r="F26" i="85"/>
  <c r="F61" i="85" s="1"/>
  <c r="R32" i="87"/>
  <c r="R36" i="85"/>
  <c r="R71" i="85" s="1"/>
  <c r="R29" i="86"/>
  <c r="P27" i="87"/>
  <c r="P28" i="86"/>
  <c r="P31" i="85"/>
  <c r="P66" i="85" s="1"/>
  <c r="H28" i="85"/>
  <c r="H63" i="85" s="1"/>
  <c r="H24" i="87"/>
  <c r="Q200" i="87"/>
  <c r="Q116" i="87"/>
  <c r="Q153" i="87"/>
  <c r="S35" i="85"/>
  <c r="S30" i="87"/>
  <c r="S34" i="85"/>
  <c r="S69" i="85" s="1"/>
  <c r="H32" i="85"/>
  <c r="H67" i="85" s="1"/>
  <c r="H28" i="87"/>
  <c r="I155" i="87"/>
  <c r="I202" i="87"/>
  <c r="I118" i="87"/>
  <c r="F23" i="87"/>
  <c r="F27" i="85"/>
  <c r="F62" i="85" s="1"/>
  <c r="R33" i="87"/>
  <c r="R37" i="85"/>
  <c r="R72" i="85" s="1"/>
  <c r="P35" i="85"/>
  <c r="P31" i="87"/>
  <c r="H29" i="85"/>
  <c r="H64" i="85" s="1"/>
  <c r="H25" i="87"/>
  <c r="H47" i="13"/>
  <c r="I47" i="13"/>
  <c r="D43" i="13" a="1"/>
  <c r="D43" i="13" s="1"/>
  <c r="E29" i="13" a="1"/>
  <c r="E29" i="13" s="1"/>
  <c r="F29" i="13" s="1"/>
  <c r="I29" i="13" s="1"/>
  <c r="I30" i="13" s="1"/>
  <c r="D29" i="13" a="1"/>
  <c r="D29" i="13" s="1"/>
  <c r="E68" i="72"/>
  <c r="E67" i="72"/>
  <c r="D64" i="72" a="1"/>
  <c r="D64" i="72" s="1"/>
  <c r="D61" i="72"/>
  <c r="D51" i="72" a="1"/>
  <c r="D47" i="72" a="1"/>
  <c r="D47" i="72" s="1"/>
  <c r="D45" i="72"/>
  <c r="G39" i="72"/>
  <c r="E52" i="13" s="1"/>
  <c r="J59" i="78"/>
  <c r="J57" i="78"/>
  <c r="J56" i="78"/>
  <c r="J55" i="78"/>
  <c r="J48" i="78"/>
  <c r="J47" i="78"/>
  <c r="J46" i="78"/>
  <c r="J45" i="78"/>
  <c r="J36" i="78"/>
  <c r="J34" i="78"/>
  <c r="J33" i="78"/>
  <c r="J31" i="78"/>
  <c r="J25" i="78"/>
  <c r="J24" i="78"/>
  <c r="J23" i="78"/>
  <c r="J22" i="78"/>
  <c r="J21" i="78"/>
  <c r="J20" i="78"/>
  <c r="J14" i="78"/>
  <c r="J12" i="78"/>
  <c r="J11" i="78"/>
  <c r="J10" i="78"/>
  <c r="J8" i="78"/>
  <c r="D59" i="78"/>
  <c r="D57" i="78"/>
  <c r="D56" i="78"/>
  <c r="D55" i="78"/>
  <c r="D48" i="78"/>
  <c r="D47" i="78"/>
  <c r="D46" i="78"/>
  <c r="D45" i="78"/>
  <c r="D25" i="78"/>
  <c r="D24" i="78"/>
  <c r="D23" i="78"/>
  <c r="D22" i="78"/>
  <c r="D21" i="78"/>
  <c r="D20" i="78"/>
  <c r="G46" i="91"/>
  <c r="D117" i="79" a="1"/>
  <c r="D117" i="79" s="1"/>
  <c r="D107" i="79" a="1"/>
  <c r="D107" i="79" s="1"/>
  <c r="D83" i="79" a="1"/>
  <c r="D83" i="79" s="1"/>
  <c r="D59" i="79" a="1"/>
  <c r="D59" i="79" s="1"/>
  <c r="F146" i="87" l="1"/>
  <c r="F109" i="87"/>
  <c r="O77" i="85"/>
  <c r="S89" i="85" s="1"/>
  <c r="E77" i="85"/>
  <c r="I89" i="85" s="1"/>
  <c r="F114" i="87"/>
  <c r="F151" i="87"/>
  <c r="F198" i="87"/>
  <c r="R117" i="87"/>
  <c r="R154" i="87"/>
  <c r="R201" i="87"/>
  <c r="R145" i="87"/>
  <c r="R192" i="87"/>
  <c r="R108" i="87"/>
  <c r="R191" i="87"/>
  <c r="R144" i="87"/>
  <c r="R107" i="87"/>
  <c r="S190" i="87"/>
  <c r="S106" i="87"/>
  <c r="S143" i="87"/>
  <c r="P108" i="87"/>
  <c r="P192" i="87"/>
  <c r="P145" i="87"/>
  <c r="F108" i="87"/>
  <c r="F192" i="87"/>
  <c r="F145" i="87"/>
  <c r="P195" i="87"/>
  <c r="P148" i="87"/>
  <c r="P111" i="87"/>
  <c r="P143" i="87"/>
  <c r="P106" i="87"/>
  <c r="P190" i="87"/>
  <c r="P193" i="87"/>
  <c r="P109" i="87"/>
  <c r="P146" i="87"/>
  <c r="S200" i="87"/>
  <c r="S116" i="87"/>
  <c r="S153" i="87"/>
  <c r="P202" i="87"/>
  <c r="P155" i="87"/>
  <c r="P118" i="87"/>
  <c r="H196" i="87"/>
  <c r="H112" i="87"/>
  <c r="H149" i="87"/>
  <c r="S196" i="87"/>
  <c r="S112" i="87"/>
  <c r="S149" i="87"/>
  <c r="F201" i="87"/>
  <c r="F154" i="87"/>
  <c r="F117" i="87"/>
  <c r="R153" i="87"/>
  <c r="R116" i="87"/>
  <c r="R200" i="87"/>
  <c r="F200" i="87"/>
  <c r="F116" i="87"/>
  <c r="F153" i="87"/>
  <c r="S203" i="87"/>
  <c r="S119" i="87"/>
  <c r="S156" i="87"/>
  <c r="P200" i="87"/>
  <c r="P116" i="87"/>
  <c r="P153" i="87"/>
  <c r="P150" i="87"/>
  <c r="P113" i="87"/>
  <c r="P197" i="87"/>
  <c r="S197" i="87"/>
  <c r="S113" i="87"/>
  <c r="S150" i="87"/>
  <c r="H190" i="87"/>
  <c r="H143" i="87"/>
  <c r="H106" i="87"/>
  <c r="R197" i="87"/>
  <c r="R150" i="87"/>
  <c r="R113" i="87"/>
  <c r="H191" i="87"/>
  <c r="H144" i="87"/>
  <c r="H107" i="87"/>
  <c r="S155" i="87"/>
  <c r="S202" i="87"/>
  <c r="S118" i="87"/>
  <c r="S117" i="87"/>
  <c r="S154" i="87"/>
  <c r="S201" i="87"/>
  <c r="H118" i="87"/>
  <c r="H202" i="87"/>
  <c r="H155" i="87"/>
  <c r="H146" i="87"/>
  <c r="H109" i="87"/>
  <c r="H193" i="87"/>
  <c r="R190" i="87"/>
  <c r="R143" i="87"/>
  <c r="R106" i="87"/>
  <c r="P201" i="87"/>
  <c r="P154" i="87"/>
  <c r="P117" i="87"/>
  <c r="P149" i="87"/>
  <c r="P196" i="87"/>
  <c r="P112" i="87"/>
  <c r="F143" i="87"/>
  <c r="F106" i="87"/>
  <c r="F190" i="87"/>
  <c r="H203" i="87"/>
  <c r="H119" i="87"/>
  <c r="H156" i="87"/>
  <c r="H153" i="87"/>
  <c r="H116" i="87"/>
  <c r="H200" i="87"/>
  <c r="P107" i="87"/>
  <c r="P144" i="87"/>
  <c r="P191" i="87"/>
  <c r="H145" i="87"/>
  <c r="H192" i="87"/>
  <c r="H108" i="87"/>
  <c r="H197" i="87"/>
  <c r="H150" i="87"/>
  <c r="H113" i="87"/>
  <c r="P156" i="87"/>
  <c r="P203" i="87"/>
  <c r="P119" i="87"/>
  <c r="R203" i="87"/>
  <c r="R119" i="87"/>
  <c r="R156" i="87"/>
  <c r="R146" i="87"/>
  <c r="R109" i="87"/>
  <c r="R193" i="87"/>
  <c r="H117" i="87"/>
  <c r="H154" i="87"/>
  <c r="H201" i="87"/>
  <c r="F150" i="87"/>
  <c r="F113" i="87"/>
  <c r="F197" i="87"/>
  <c r="F202" i="87"/>
  <c r="F155" i="87"/>
  <c r="F118" i="87"/>
  <c r="R111" i="87"/>
  <c r="R195" i="87"/>
  <c r="R148" i="87"/>
  <c r="R118" i="87"/>
  <c r="R202" i="87"/>
  <c r="R155" i="87"/>
  <c r="R198" i="87"/>
  <c r="R151" i="87"/>
  <c r="R114" i="87"/>
  <c r="H198" i="87"/>
  <c r="H151" i="87"/>
  <c r="H114" i="87"/>
  <c r="R196" i="87"/>
  <c r="R112" i="87"/>
  <c r="R149" i="87"/>
  <c r="P114" i="87"/>
  <c r="P151" i="87"/>
  <c r="P198" i="87"/>
  <c r="H111" i="87"/>
  <c r="H195" i="87"/>
  <c r="H148" i="87"/>
  <c r="S148" i="87"/>
  <c r="S195" i="87"/>
  <c r="S111" i="87"/>
  <c r="F156" i="87"/>
  <c r="F203" i="87"/>
  <c r="F119" i="87"/>
  <c r="E74" i="83"/>
  <c r="E79" i="83"/>
  <c r="E76" i="83"/>
  <c r="E81" i="83"/>
  <c r="E75" i="83"/>
  <c r="E80" i="83"/>
  <c r="E77" i="83"/>
  <c r="E73" i="83"/>
  <c r="E78" i="83"/>
  <c r="E64" i="72"/>
  <c r="J44" i="90"/>
  <c r="I49" i="86"/>
  <c r="S54" i="83"/>
  <c r="S134" i="83"/>
  <c r="I54" i="83"/>
  <c r="I134" i="83"/>
  <c r="I56" i="106"/>
  <c r="I68" i="117"/>
  <c r="I14" i="106"/>
  <c r="I14" i="86"/>
  <c r="P36" i="86" s="1"/>
  <c r="I14" i="90"/>
  <c r="G83" i="101"/>
  <c r="Q50" i="90"/>
  <c r="G248" i="84"/>
  <c r="G97" i="106"/>
  <c r="G50" i="90"/>
  <c r="G82" i="105"/>
  <c r="P48" i="89"/>
  <c r="Q62" i="86"/>
  <c r="G48" i="89"/>
  <c r="G62" i="86"/>
  <c r="G149" i="105"/>
  <c r="O591" i="116"/>
  <c r="Q30" i="88"/>
  <c r="G591" i="116"/>
  <c r="G30" i="88"/>
  <c r="Q99" i="85"/>
  <c r="Q225" i="83"/>
  <c r="G99" i="85"/>
  <c r="G225" i="83"/>
  <c r="G53" i="103"/>
  <c r="P113" i="101"/>
  <c r="Q248" i="84"/>
  <c r="O76" i="83"/>
  <c r="O78" i="83"/>
  <c r="O80" i="83"/>
  <c r="O81" i="83"/>
  <c r="O73" i="83"/>
  <c r="O77" i="83"/>
  <c r="O79" i="83"/>
  <c r="G45" i="91"/>
  <c r="J50" i="105"/>
  <c r="O108" i="101" a="1"/>
  <c r="O108" i="101" s="1"/>
  <c r="I50" i="101"/>
  <c r="I125" i="105"/>
  <c r="I39" i="89"/>
  <c r="I90" i="85"/>
  <c r="I49" i="117"/>
  <c r="H21" i="13" a="1"/>
  <c r="H21" i="13" s="1"/>
  <c r="H20" i="13" a="1"/>
  <c r="H20" i="13" s="1"/>
  <c r="I21" i="13" a="1"/>
  <c r="I21" i="13" s="1"/>
  <c r="I20" i="13" a="1"/>
  <c r="I20" i="13" s="1"/>
  <c r="H17" i="13" a="1"/>
  <c r="H17" i="13" s="1"/>
  <c r="I17" i="13" a="1"/>
  <c r="I17" i="13" s="1"/>
  <c r="H18" i="13" a="1"/>
  <c r="H18" i="13" s="1"/>
  <c r="I18" i="13" a="1"/>
  <c r="I18" i="13" s="1"/>
  <c r="E52" i="72"/>
  <c r="F52" i="72"/>
  <c r="H29" i="13"/>
  <c r="H30" i="13" s="1"/>
  <c r="J50" i="78"/>
  <c r="J61" i="78"/>
  <c r="J40" i="78"/>
  <c r="J16" i="78"/>
  <c r="J27" i="78"/>
  <c r="D51" i="72"/>
  <c r="E65" i="72"/>
  <c r="E66" i="72"/>
  <c r="H48" i="79"/>
  <c r="I51" i="102" s="1"/>
  <c r="E22" i="75"/>
  <c r="H51" i="79"/>
  <c r="E19" i="75"/>
  <c r="H53" i="79"/>
  <c r="H50" i="79"/>
  <c r="J45" i="90" s="1"/>
  <c r="H54" i="79"/>
  <c r="H52" i="79"/>
  <c r="H49" i="79"/>
  <c r="R89" i="83" l="1"/>
  <c r="S205" i="83" s="1"/>
  <c r="P89" i="83"/>
  <c r="Q205" i="83" s="1"/>
  <c r="O89" i="83"/>
  <c r="P205" i="83" s="1"/>
  <c r="Q89" i="83"/>
  <c r="R205" i="83" s="1"/>
  <c r="R170" i="83"/>
  <c r="R217" i="83" s="1"/>
  <c r="R160" i="83"/>
  <c r="R207" i="83" s="1"/>
  <c r="Q165" i="83"/>
  <c r="Q212" i="83" s="1"/>
  <c r="S160" i="83"/>
  <c r="S207" i="83" s="1"/>
  <c r="R165" i="83"/>
  <c r="R212" i="83" s="1"/>
  <c r="P165" i="83"/>
  <c r="P212" i="83" s="1"/>
  <c r="Q160" i="83"/>
  <c r="Q207" i="83" s="1"/>
  <c r="P170" i="83"/>
  <c r="P217" i="83" s="1"/>
  <c r="S165" i="83"/>
  <c r="S212" i="83" s="1"/>
  <c r="S170" i="83"/>
  <c r="S217" i="83" s="1"/>
  <c r="Q170" i="83"/>
  <c r="Q217" i="83" s="1"/>
  <c r="P160" i="83"/>
  <c r="P207" i="83" s="1"/>
  <c r="S169" i="83"/>
  <c r="S216" i="83" s="1"/>
  <c r="Q169" i="83"/>
  <c r="Q216" i="83" s="1"/>
  <c r="P169" i="83"/>
  <c r="P216" i="83" s="1"/>
  <c r="S159" i="83"/>
  <c r="S206" i="83" s="1"/>
  <c r="Q164" i="83"/>
  <c r="Q211" i="83" s="1"/>
  <c r="P164" i="83"/>
  <c r="P211" i="83" s="1"/>
  <c r="P159" i="83"/>
  <c r="P206" i="83" s="1"/>
  <c r="Q159" i="83"/>
  <c r="Q206" i="83" s="1"/>
  <c r="R169" i="83"/>
  <c r="R216" i="83" s="1"/>
  <c r="R164" i="83"/>
  <c r="R211" i="83" s="1"/>
  <c r="R159" i="83"/>
  <c r="R206" i="83" s="1"/>
  <c r="S164" i="83"/>
  <c r="S211" i="83" s="1"/>
  <c r="Q167" i="83"/>
  <c r="Q214" i="83" s="1"/>
  <c r="S162" i="83"/>
  <c r="S209" i="83" s="1"/>
  <c r="S172" i="83"/>
  <c r="S219" i="83" s="1"/>
  <c r="R167" i="83"/>
  <c r="R214" i="83" s="1"/>
  <c r="Q172" i="83"/>
  <c r="Q219" i="83" s="1"/>
  <c r="R162" i="83"/>
  <c r="R209" i="83" s="1"/>
  <c r="P167" i="83"/>
  <c r="P214" i="83" s="1"/>
  <c r="S167" i="83"/>
  <c r="S214" i="83" s="1"/>
  <c r="Q162" i="83"/>
  <c r="Q209" i="83" s="1"/>
  <c r="R172" i="83"/>
  <c r="R219" i="83" s="1"/>
  <c r="P172" i="83"/>
  <c r="P219" i="83" s="1"/>
  <c r="P162" i="83"/>
  <c r="P209" i="83" s="1"/>
  <c r="Q171" i="83"/>
  <c r="Q218" i="83" s="1"/>
  <c r="S166" i="83"/>
  <c r="S213" i="83" s="1"/>
  <c r="R171" i="83"/>
  <c r="R218" i="83" s="1"/>
  <c r="Q166" i="83"/>
  <c r="Q213" i="83" s="1"/>
  <c r="S171" i="83"/>
  <c r="S218" i="83" s="1"/>
  <c r="R161" i="83"/>
  <c r="R208" i="83" s="1"/>
  <c r="R166" i="83"/>
  <c r="R213" i="83" s="1"/>
  <c r="S161" i="83"/>
  <c r="S208" i="83" s="1"/>
  <c r="P166" i="83"/>
  <c r="P213" i="83" s="1"/>
  <c r="Q161" i="83"/>
  <c r="Q208" i="83" s="1"/>
  <c r="P171" i="83"/>
  <c r="P218" i="83" s="1"/>
  <c r="P161" i="83"/>
  <c r="P208" i="83" s="1"/>
  <c r="Q86" i="83"/>
  <c r="R202" i="83" s="1"/>
  <c r="R86" i="83"/>
  <c r="S202" i="83" s="1"/>
  <c r="O86" i="83"/>
  <c r="P202" i="83" s="1"/>
  <c r="P86" i="83"/>
  <c r="Q202" i="83" s="1"/>
  <c r="S168" i="83"/>
  <c r="S215" i="83" s="1"/>
  <c r="Q173" i="83"/>
  <c r="Q220" i="83" s="1"/>
  <c r="R163" i="83"/>
  <c r="R210" i="83" s="1"/>
  <c r="P163" i="83"/>
  <c r="P210" i="83" s="1"/>
  <c r="Q168" i="83"/>
  <c r="Q215" i="83" s="1"/>
  <c r="S173" i="83"/>
  <c r="S220" i="83" s="1"/>
  <c r="S163" i="83"/>
  <c r="S210" i="83" s="1"/>
  <c r="P168" i="83"/>
  <c r="P215" i="83" s="1"/>
  <c r="R168" i="83"/>
  <c r="R215" i="83" s="1"/>
  <c r="R173" i="83"/>
  <c r="R220" i="83" s="1"/>
  <c r="Q163" i="83"/>
  <c r="Q210" i="83" s="1"/>
  <c r="P173" i="83"/>
  <c r="P220" i="83" s="1"/>
  <c r="O74" i="117"/>
  <c r="E74" i="117"/>
  <c r="Q36" i="86"/>
  <c r="I34" i="86"/>
  <c r="I36" i="86"/>
  <c r="G36" i="86"/>
  <c r="G34" i="86"/>
  <c r="Q34" i="86"/>
  <c r="G35" i="86"/>
  <c r="I35" i="86"/>
  <c r="Q35" i="86"/>
  <c r="F35" i="86"/>
  <c r="S34" i="86"/>
  <c r="H28" i="90"/>
  <c r="P28" i="90"/>
  <c r="F28" i="90"/>
  <c r="O28" i="90"/>
  <c r="Q28" i="90"/>
  <c r="E28" i="90"/>
  <c r="R28" i="90"/>
  <c r="G28" i="90"/>
  <c r="P35" i="86"/>
  <c r="H34" i="86"/>
  <c r="P34" i="86"/>
  <c r="F34" i="86"/>
  <c r="S36" i="86"/>
  <c r="R36" i="86"/>
  <c r="H36" i="86"/>
  <c r="H35" i="86"/>
  <c r="F36" i="86"/>
  <c r="S35" i="86"/>
  <c r="R35" i="86"/>
  <c r="R34" i="86"/>
  <c r="J88" i="117"/>
  <c r="I91" i="85"/>
  <c r="O96" i="85" s="1"/>
  <c r="K46" i="103"/>
  <c r="I15" i="88"/>
  <c r="H25" i="88" s="1"/>
  <c r="J15" i="117"/>
  <c r="I20" i="104"/>
  <c r="I169" i="83"/>
  <c r="I216" i="83" s="1"/>
  <c r="F159" i="83"/>
  <c r="F206" i="83" s="1"/>
  <c r="I159" i="83"/>
  <c r="I206" i="83" s="1"/>
  <c r="H159" i="83"/>
  <c r="H206" i="83" s="1"/>
  <c r="H169" i="83"/>
  <c r="H216" i="83" s="1"/>
  <c r="H164" i="83"/>
  <c r="H211" i="83" s="1"/>
  <c r="F169" i="83"/>
  <c r="F216" i="83" s="1"/>
  <c r="G164" i="83"/>
  <c r="G211" i="83" s="1"/>
  <c r="I164" i="83"/>
  <c r="I211" i="83" s="1"/>
  <c r="G159" i="83"/>
  <c r="G206" i="83" s="1"/>
  <c r="F164" i="83"/>
  <c r="F211" i="83" s="1"/>
  <c r="G169" i="83"/>
  <c r="G216" i="83" s="1"/>
  <c r="F168" i="83"/>
  <c r="F215" i="83" s="1"/>
  <c r="H162" i="83"/>
  <c r="H209" i="83" s="1"/>
  <c r="G167" i="83"/>
  <c r="G214" i="83" s="1"/>
  <c r="I172" i="83"/>
  <c r="I219" i="83" s="1"/>
  <c r="H172" i="83"/>
  <c r="H219" i="83" s="1"/>
  <c r="I167" i="83"/>
  <c r="I214" i="83" s="1"/>
  <c r="F172" i="83"/>
  <c r="F219" i="83" s="1"/>
  <c r="G172" i="83"/>
  <c r="G219" i="83" s="1"/>
  <c r="G168" i="83"/>
  <c r="G215" i="83" s="1"/>
  <c r="H168" i="83"/>
  <c r="H215" i="83" s="1"/>
  <c r="F167" i="83"/>
  <c r="F214" i="83" s="1"/>
  <c r="F162" i="83"/>
  <c r="F209" i="83" s="1"/>
  <c r="G162" i="83"/>
  <c r="G209" i="83" s="1"/>
  <c r="H167" i="83"/>
  <c r="H214" i="83" s="1"/>
  <c r="I162" i="83"/>
  <c r="I209" i="83" s="1"/>
  <c r="I168" i="83"/>
  <c r="I215" i="83" s="1"/>
  <c r="H163" i="83"/>
  <c r="H210" i="83" s="1"/>
  <c r="H173" i="83"/>
  <c r="H220" i="83" s="1"/>
  <c r="F173" i="83"/>
  <c r="F220" i="83" s="1"/>
  <c r="G163" i="83"/>
  <c r="G210" i="83" s="1"/>
  <c r="I173" i="83"/>
  <c r="I220" i="83" s="1"/>
  <c r="G173" i="83"/>
  <c r="G220" i="83" s="1"/>
  <c r="F163" i="83"/>
  <c r="F210" i="83" s="1"/>
  <c r="I163" i="83"/>
  <c r="I210" i="83" s="1"/>
  <c r="F171" i="83"/>
  <c r="F218" i="83" s="1"/>
  <c r="I161" i="83"/>
  <c r="I208" i="83" s="1"/>
  <c r="G166" i="83"/>
  <c r="G213" i="83" s="1"/>
  <c r="I171" i="83"/>
  <c r="I218" i="83" s="1"/>
  <c r="H166" i="83"/>
  <c r="H213" i="83" s="1"/>
  <c r="H161" i="83"/>
  <c r="H208" i="83" s="1"/>
  <c r="H171" i="83"/>
  <c r="H218" i="83" s="1"/>
  <c r="F161" i="83"/>
  <c r="F208" i="83" s="1"/>
  <c r="I166" i="83"/>
  <c r="I213" i="83" s="1"/>
  <c r="G171" i="83"/>
  <c r="G218" i="83" s="1"/>
  <c r="G161" i="83"/>
  <c r="G208" i="83" s="1"/>
  <c r="F166" i="83"/>
  <c r="F213" i="83" s="1"/>
  <c r="O87" i="83"/>
  <c r="P203" i="83" s="1"/>
  <c r="H87" i="83"/>
  <c r="I203" i="83" s="1"/>
  <c r="F87" i="83"/>
  <c r="G203" i="83" s="1"/>
  <c r="G87" i="83"/>
  <c r="H203" i="83" s="1"/>
  <c r="Q87" i="83"/>
  <c r="R203" i="83" s="1"/>
  <c r="E87" i="83"/>
  <c r="F203" i="83" s="1"/>
  <c r="R87" i="83"/>
  <c r="S203" i="83" s="1"/>
  <c r="P87" i="83"/>
  <c r="Q203" i="83" s="1"/>
  <c r="F86" i="83"/>
  <c r="G202" i="83" s="1"/>
  <c r="G86" i="83"/>
  <c r="H202" i="83" s="1"/>
  <c r="E86" i="83"/>
  <c r="F202" i="83" s="1"/>
  <c r="H86" i="83"/>
  <c r="I202" i="83" s="1"/>
  <c r="O88" i="83"/>
  <c r="P204" i="83" s="1"/>
  <c r="Q88" i="83"/>
  <c r="R204" i="83" s="1"/>
  <c r="F88" i="83"/>
  <c r="G204" i="83" s="1"/>
  <c r="R88" i="83"/>
  <c r="S204" i="83" s="1"/>
  <c r="H88" i="83"/>
  <c r="I204" i="83" s="1"/>
  <c r="E88" i="83"/>
  <c r="F204" i="83" s="1"/>
  <c r="G88" i="83"/>
  <c r="H204" i="83" s="1"/>
  <c r="P88" i="83"/>
  <c r="Q204" i="83" s="1"/>
  <c r="E89" i="83"/>
  <c r="F205" i="83" s="1"/>
  <c r="F89" i="83"/>
  <c r="G205" i="83" s="1"/>
  <c r="H89" i="83"/>
  <c r="I205" i="83" s="1"/>
  <c r="G89" i="83"/>
  <c r="H205" i="83" s="1"/>
  <c r="F170" i="83"/>
  <c r="F217" i="83" s="1"/>
  <c r="H170" i="83"/>
  <c r="H217" i="83" s="1"/>
  <c r="I170" i="83"/>
  <c r="I217" i="83" s="1"/>
  <c r="H160" i="83"/>
  <c r="H207" i="83" s="1"/>
  <c r="G165" i="83"/>
  <c r="G212" i="83" s="1"/>
  <c r="G160" i="83"/>
  <c r="G207" i="83" s="1"/>
  <c r="H165" i="83"/>
  <c r="H212" i="83" s="1"/>
  <c r="F160" i="83"/>
  <c r="F207" i="83" s="1"/>
  <c r="G170" i="83"/>
  <c r="G217" i="83" s="1"/>
  <c r="I165" i="83"/>
  <c r="I212" i="83" s="1"/>
  <c r="I160" i="83"/>
  <c r="I207" i="83" s="1"/>
  <c r="F165" i="83"/>
  <c r="F212" i="83" s="1"/>
  <c r="I126" i="105"/>
  <c r="I51" i="101"/>
  <c r="I50" i="117"/>
  <c r="J92" i="106"/>
  <c r="S94" i="101"/>
  <c r="P112" i="101" s="1"/>
  <c r="N115" i="101" s="1" a="1"/>
  <c r="N115" i="101" s="1"/>
  <c r="I217" i="84"/>
  <c r="J86" i="117"/>
  <c r="T86" i="117"/>
  <c r="I50" i="86"/>
  <c r="S99" i="101"/>
  <c r="N106" i="101" s="1"/>
  <c r="N108" i="101" s="1"/>
  <c r="I43" i="89"/>
  <c r="I129" i="105"/>
  <c r="I55" i="101"/>
  <c r="I94" i="85"/>
  <c r="J54" i="105"/>
  <c r="I53" i="117"/>
  <c r="I40" i="89"/>
  <c r="J51" i="105"/>
  <c r="E62" i="78"/>
  <c r="E69" i="72"/>
  <c r="E13" i="72"/>
  <c r="E18" i="75"/>
  <c r="E20" i="75" s="1"/>
  <c r="E21" i="75" s="1"/>
  <c r="E20" i="72"/>
  <c r="Q25" i="88" l="1"/>
  <c r="O25" i="88"/>
  <c r="R25" i="88"/>
  <c r="E96" i="85"/>
  <c r="E11" i="13" s="1"/>
  <c r="H11" i="13" s="1" a="1"/>
  <c r="H11" i="13" s="1"/>
  <c r="G25" i="88"/>
  <c r="E25" i="88"/>
  <c r="P25" i="88"/>
  <c r="F25" i="88"/>
  <c r="E90" i="117"/>
  <c r="E45" i="89"/>
  <c r="G47" i="89" s="1"/>
  <c r="E50" i="89" s="1" a="1"/>
  <c r="E50" i="89" s="1"/>
  <c r="N45" i="89"/>
  <c r="P47" i="89" s="1"/>
  <c r="N50" i="89" s="1" a="1"/>
  <c r="N50" i="89" s="1"/>
  <c r="F56" i="86"/>
  <c r="G55" i="86"/>
  <c r="Q56" i="86"/>
  <c r="G56" i="86"/>
  <c r="I55" i="86"/>
  <c r="G57" i="86"/>
  <c r="I57" i="86"/>
  <c r="Q55" i="86"/>
  <c r="Q57" i="86"/>
  <c r="I56" i="86"/>
  <c r="F57" i="86"/>
  <c r="R55" i="86"/>
  <c r="P55" i="86"/>
  <c r="R57" i="86"/>
  <c r="S57" i="86"/>
  <c r="H56" i="86"/>
  <c r="P56" i="86"/>
  <c r="R56" i="86"/>
  <c r="H55" i="86"/>
  <c r="S55" i="86"/>
  <c r="P57" i="86"/>
  <c r="S56" i="86"/>
  <c r="H57" i="86"/>
  <c r="F55" i="86"/>
  <c r="Q228" i="84"/>
  <c r="Q225" i="84"/>
  <c r="Q226" i="84"/>
  <c r="I228" i="84"/>
  <c r="G225" i="84"/>
  <c r="I225" i="84"/>
  <c r="I226" i="84"/>
  <c r="G228" i="84"/>
  <c r="I227" i="84"/>
  <c r="G227" i="84"/>
  <c r="G226" i="84"/>
  <c r="Q227" i="84"/>
  <c r="P226" i="84"/>
  <c r="R225" i="84"/>
  <c r="F226" i="84"/>
  <c r="S226" i="84"/>
  <c r="F225" i="84"/>
  <c r="S225" i="84"/>
  <c r="H226" i="84"/>
  <c r="S228" i="84"/>
  <c r="H225" i="84"/>
  <c r="H228" i="84"/>
  <c r="S227" i="84"/>
  <c r="F227" i="84"/>
  <c r="R227" i="84"/>
  <c r="F228" i="84"/>
  <c r="P225" i="84"/>
  <c r="H227" i="84"/>
  <c r="R228" i="84"/>
  <c r="R226" i="84"/>
  <c r="P228" i="84"/>
  <c r="P227" i="84"/>
  <c r="Q230" i="84"/>
  <c r="G235" i="84"/>
  <c r="Q235" i="84"/>
  <c r="G230" i="84"/>
  <c r="I236" i="84"/>
  <c r="Q231" i="84"/>
  <c r="I230" i="84"/>
  <c r="G231" i="84"/>
  <c r="I229" i="84"/>
  <c r="I242" i="84"/>
  <c r="G229" i="84"/>
  <c r="G240" i="84"/>
  <c r="I240" i="84"/>
  <c r="Q234" i="84"/>
  <c r="G241" i="84"/>
  <c r="I234" i="84"/>
  <c r="Q240" i="84"/>
  <c r="Q232" i="84"/>
  <c r="Q241" i="84"/>
  <c r="G232" i="84"/>
  <c r="I239" i="84"/>
  <c r="Q236" i="84"/>
  <c r="Q229" i="84"/>
  <c r="G234" i="84"/>
  <c r="G242" i="84"/>
  <c r="Q237" i="84"/>
  <c r="I231" i="84"/>
  <c r="Q242" i="84"/>
  <c r="I237" i="84"/>
  <c r="G237" i="84"/>
  <c r="G239" i="84"/>
  <c r="I235" i="84"/>
  <c r="G236" i="84"/>
  <c r="I232" i="84"/>
  <c r="I241" i="84"/>
  <c r="Q239" i="84"/>
  <c r="S230" i="84"/>
  <c r="P231" i="84"/>
  <c r="R235" i="84"/>
  <c r="S236" i="84"/>
  <c r="H229" i="84"/>
  <c r="F232" i="84"/>
  <c r="H242" i="84"/>
  <c r="P242" i="84"/>
  <c r="S232" i="84"/>
  <c r="S229" i="84"/>
  <c r="S235" i="84"/>
  <c r="H231" i="84"/>
  <c r="P236" i="84"/>
  <c r="S231" i="84"/>
  <c r="F240" i="84"/>
  <c r="R237" i="84"/>
  <c r="F234" i="84"/>
  <c r="F242" i="84"/>
  <c r="F237" i="84"/>
  <c r="R231" i="84"/>
  <c r="P234" i="84"/>
  <c r="S240" i="84"/>
  <c r="R236" i="84"/>
  <c r="R234" i="84"/>
  <c r="H241" i="84"/>
  <c r="P235" i="84"/>
  <c r="F230" i="84"/>
  <c r="S242" i="84"/>
  <c r="P240" i="84"/>
  <c r="R232" i="84"/>
  <c r="H235" i="84"/>
  <c r="H236" i="84"/>
  <c r="H237" i="84"/>
  <c r="F235" i="84"/>
  <c r="P230" i="84"/>
  <c r="F236" i="84"/>
  <c r="P232" i="84"/>
  <c r="F241" i="84"/>
  <c r="R230" i="84"/>
  <c r="H234" i="84"/>
  <c r="R242" i="84"/>
  <c r="F229" i="84"/>
  <c r="P237" i="84"/>
  <c r="F239" i="84"/>
  <c r="P229" i="84"/>
  <c r="H240" i="84"/>
  <c r="S234" i="84"/>
  <c r="P241" i="84"/>
  <c r="F231" i="84"/>
  <c r="R240" i="84"/>
  <c r="R241" i="84"/>
  <c r="H230" i="84"/>
  <c r="R229" i="84"/>
  <c r="S241" i="84"/>
  <c r="S239" i="84"/>
  <c r="P239" i="84"/>
  <c r="R239" i="84"/>
  <c r="S237" i="84"/>
  <c r="H239" i="84"/>
  <c r="H232" i="84"/>
  <c r="E55" i="117"/>
  <c r="O55" i="117"/>
  <c r="R585" i="116" s="1"/>
  <c r="O90" i="117"/>
  <c r="R586" i="116" s="1"/>
  <c r="D11" i="82"/>
  <c r="D10" i="82"/>
  <c r="E30" i="92"/>
  <c r="I67" i="87"/>
  <c r="H67" i="87"/>
  <c r="R72" i="87"/>
  <c r="G67" i="87"/>
  <c r="G77" i="87"/>
  <c r="Q77" i="87"/>
  <c r="R67" i="87"/>
  <c r="P72" i="87"/>
  <c r="F72" i="87"/>
  <c r="F67" i="87"/>
  <c r="S67" i="87"/>
  <c r="F77" i="87"/>
  <c r="P77" i="87"/>
  <c r="R77" i="87"/>
  <c r="S77" i="87"/>
  <c r="E78" i="102"/>
  <c r="H77" i="87"/>
  <c r="I77" i="87"/>
  <c r="E222" i="83"/>
  <c r="Q67" i="87"/>
  <c r="H72" i="87"/>
  <c r="K48" i="103"/>
  <c r="K45" i="103" s="1"/>
  <c r="G52" i="103" s="1"/>
  <c r="E55" i="103" s="1" a="1"/>
  <c r="E55" i="103" s="1"/>
  <c r="J17" i="117"/>
  <c r="J14" i="117" s="1"/>
  <c r="E19" i="117" s="1"/>
  <c r="E30" i="90"/>
  <c r="J43" i="90" s="1"/>
  <c r="E47" i="90" s="1"/>
  <c r="E77" i="106"/>
  <c r="J90" i="106" s="1"/>
  <c r="Q72" i="87"/>
  <c r="G72" i="87"/>
  <c r="S72" i="87"/>
  <c r="O30" i="90"/>
  <c r="T43" i="90" s="1"/>
  <c r="O47" i="90" s="1"/>
  <c r="E43" i="106"/>
  <c r="J89" i="106" s="1"/>
  <c r="P67" i="87"/>
  <c r="I72" i="87"/>
  <c r="O222" i="83"/>
  <c r="Q98" i="85"/>
  <c r="O101" i="85" s="1" a="1"/>
  <c r="O101" i="85" s="1"/>
  <c r="F11" i="13"/>
  <c r="I11" i="13" s="1" a="1"/>
  <c r="I11" i="13" s="1"/>
  <c r="D4" i="13"/>
  <c r="D55" i="13"/>
  <c r="D50" i="13"/>
  <c r="D36" i="72"/>
  <c r="F49" i="80"/>
  <c r="G49" i="80"/>
  <c r="F45" i="80"/>
  <c r="G45" i="80"/>
  <c r="O19" i="117" l="1"/>
  <c r="R584" i="116" s="1"/>
  <c r="E31" i="104"/>
  <c r="E27" i="88"/>
  <c r="G98" i="85"/>
  <c r="E101" i="85" s="1" a="1"/>
  <c r="E101" i="85" s="1"/>
  <c r="O27" i="88"/>
  <c r="E14" i="13"/>
  <c r="H14" i="13" s="1" a="1"/>
  <c r="H14" i="13" s="1"/>
  <c r="F14" i="13"/>
  <c r="I14" i="13" s="1" a="1"/>
  <c r="I14" i="13" s="1"/>
  <c r="E79" i="105"/>
  <c r="G81" i="105" s="1"/>
  <c r="E84" i="105" s="1" a="1"/>
  <c r="E84" i="105" s="1"/>
  <c r="E146" i="105"/>
  <c r="G148" i="105" s="1"/>
  <c r="E151" i="105" s="1" a="1"/>
  <c r="E151" i="105" s="1"/>
  <c r="E80" i="101"/>
  <c r="G82" i="101" s="1"/>
  <c r="E85" i="101" s="1" a="1"/>
  <c r="E85" i="101" s="1"/>
  <c r="F194" i="87"/>
  <c r="F147" i="87"/>
  <c r="F110" i="87"/>
  <c r="R110" i="87"/>
  <c r="R147" i="87"/>
  <c r="R194" i="87"/>
  <c r="P115" i="87"/>
  <c r="P199" i="87"/>
  <c r="P152" i="87"/>
  <c r="G115" i="87"/>
  <c r="G199" i="87"/>
  <c r="G152" i="87"/>
  <c r="F115" i="87"/>
  <c r="F199" i="87"/>
  <c r="F152" i="87"/>
  <c r="Q142" i="87"/>
  <c r="Q189" i="87"/>
  <c r="Q105" i="87"/>
  <c r="G142" i="87"/>
  <c r="G105" i="87"/>
  <c r="G189" i="87"/>
  <c r="S189" i="87"/>
  <c r="S105" i="87"/>
  <c r="S142" i="87"/>
  <c r="I110" i="87"/>
  <c r="I147" i="87"/>
  <c r="I194" i="87"/>
  <c r="P105" i="87"/>
  <c r="P142" i="87"/>
  <c r="P189" i="87"/>
  <c r="H142" i="87"/>
  <c r="H189" i="87"/>
  <c r="H105" i="87"/>
  <c r="I142" i="87"/>
  <c r="I189" i="87"/>
  <c r="I105" i="87"/>
  <c r="H152" i="87"/>
  <c r="H199" i="87"/>
  <c r="H115" i="87"/>
  <c r="H194" i="87"/>
  <c r="H147" i="87"/>
  <c r="H110" i="87"/>
  <c r="F189" i="87"/>
  <c r="F142" i="87"/>
  <c r="F105" i="87"/>
  <c r="S110" i="87"/>
  <c r="S147" i="87"/>
  <c r="S194" i="87"/>
  <c r="G110" i="87"/>
  <c r="G194" i="87"/>
  <c r="G147" i="87"/>
  <c r="S152" i="87"/>
  <c r="S199" i="87"/>
  <c r="S115" i="87"/>
  <c r="P110" i="87"/>
  <c r="P147" i="87"/>
  <c r="P194" i="87"/>
  <c r="Q194" i="87"/>
  <c r="Q147" i="87"/>
  <c r="Q110" i="87"/>
  <c r="R105" i="87"/>
  <c r="R142" i="87"/>
  <c r="R189" i="87"/>
  <c r="I152" i="87"/>
  <c r="I199" i="87"/>
  <c r="I115" i="87"/>
  <c r="R152" i="87"/>
  <c r="R199" i="87"/>
  <c r="R115" i="87"/>
  <c r="Q115" i="87"/>
  <c r="Q199" i="87"/>
  <c r="Q152" i="87"/>
  <c r="F15" i="13"/>
  <c r="I15" i="13" s="1" a="1"/>
  <c r="I15" i="13" s="1"/>
  <c r="Q49" i="90"/>
  <c r="O52" i="90" s="1" a="1"/>
  <c r="O52" i="90" s="1"/>
  <c r="O245" i="84"/>
  <c r="E15" i="13"/>
  <c r="H15" i="13" s="1" a="1"/>
  <c r="H15" i="13" s="1"/>
  <c r="G49" i="90"/>
  <c r="E52" i="90" s="1" a="1"/>
  <c r="E52" i="90" s="1"/>
  <c r="J584" i="116"/>
  <c r="I37" i="92"/>
  <c r="E41" i="92" s="1"/>
  <c r="I48" i="92"/>
  <c r="I38" i="92"/>
  <c r="I46" i="92"/>
  <c r="E50" i="92" s="1"/>
  <c r="I39" i="92"/>
  <c r="I47" i="92"/>
  <c r="E59" i="86"/>
  <c r="E13" i="13"/>
  <c r="H13" i="13" s="1" a="1"/>
  <c r="H13" i="13" s="1"/>
  <c r="G29" i="88"/>
  <c r="E32" i="88" s="1" a="1"/>
  <c r="E32" i="88" s="1"/>
  <c r="E245" i="84"/>
  <c r="O59" i="86"/>
  <c r="E9" i="13"/>
  <c r="H9" i="13" s="1" a="1"/>
  <c r="H9" i="13" s="1"/>
  <c r="G224" i="83"/>
  <c r="E227" i="83" s="1" a="1"/>
  <c r="E227" i="83" s="1"/>
  <c r="F13" i="13"/>
  <c r="I13" i="13" s="1" a="1"/>
  <c r="I13" i="13" s="1"/>
  <c r="Q29" i="88"/>
  <c r="O32" i="88" s="1" a="1"/>
  <c r="O32" i="88" s="1"/>
  <c r="Q224" i="83"/>
  <c r="O227" i="83" s="1" a="1"/>
  <c r="O227" i="83" s="1"/>
  <c r="F9" i="13"/>
  <c r="I9" i="13" s="1" a="1"/>
  <c r="I9" i="13" s="1"/>
  <c r="J585" i="116" l="1"/>
  <c r="M588" i="116"/>
  <c r="O590" i="116" s="1"/>
  <c r="M593" i="116" s="1" a="1"/>
  <c r="M593" i="116" s="1"/>
  <c r="E121" i="87"/>
  <c r="E205" i="87"/>
  <c r="J35" i="93"/>
  <c r="I566" i="116"/>
  <c r="J34" i="93"/>
  <c r="I565" i="116"/>
  <c r="F10" i="13"/>
  <c r="I10" i="13" s="1" a="1"/>
  <c r="I10" i="13" s="1"/>
  <c r="Q247" i="84"/>
  <c r="O250" i="84" s="1" a="1"/>
  <c r="O250" i="84" s="1"/>
  <c r="F12" i="13"/>
  <c r="I12" i="13" s="1" a="1"/>
  <c r="I12" i="13" s="1"/>
  <c r="Q61" i="86"/>
  <c r="O64" i="86" s="1" a="1"/>
  <c r="O64" i="86" s="1"/>
  <c r="O205" i="87"/>
  <c r="G247" i="84"/>
  <c r="E250" i="84" s="1" a="1"/>
  <c r="E250" i="84" s="1"/>
  <c r="E10" i="13"/>
  <c r="H10" i="13" s="1" a="1"/>
  <c r="H10" i="13" s="1"/>
  <c r="G96" i="106"/>
  <c r="E99" i="106" s="1" a="1"/>
  <c r="E99" i="106" s="1"/>
  <c r="J586" i="116"/>
  <c r="E12" i="13"/>
  <c r="H12" i="13" s="1" a="1"/>
  <c r="H12" i="13" s="1"/>
  <c r="G61" i="86"/>
  <c r="E64" i="86" s="1" a="1"/>
  <c r="E64" i="86" s="1"/>
  <c r="O121" i="87"/>
  <c r="E158" i="87"/>
  <c r="O158" i="87"/>
  <c r="E588" i="116" l="1"/>
  <c r="G590" i="116" s="1"/>
  <c r="E593" i="116" s="1" a="1"/>
  <c r="E593" i="116" s="1"/>
  <c r="H23" i="13"/>
  <c r="E58" i="13" s="1"/>
  <c r="E59" i="13" s="1"/>
  <c r="I23" i="13"/>
  <c r="F58" i="13" s="1"/>
  <c r="F59" i="13" s="1"/>
  <c r="E51" i="72" l="1"/>
  <c r="E75" i="72" s="1"/>
  <c r="E80" i="72" s="1"/>
  <c r="E37" i="80" s="1"/>
  <c r="H59" i="80" s="1"/>
  <c r="F51" i="72"/>
  <c r="F75" i="72" s="1"/>
  <c r="F80" i="72" s="1"/>
  <c r="F37" i="80" s="1"/>
  <c r="I59" i="80" s="1"/>
  <c r="H55" i="80" l="1"/>
  <c r="H49" i="80"/>
  <c r="H57" i="80"/>
  <c r="H45" i="80"/>
  <c r="H47" i="80"/>
  <c r="E56" i="72"/>
  <c r="E36" i="80" s="1"/>
  <c r="H48" i="80" s="1"/>
  <c r="I55" i="80"/>
  <c r="I45" i="80"/>
  <c r="I47" i="80"/>
  <c r="I57" i="80"/>
  <c r="I49" i="80"/>
  <c r="F56" i="72"/>
  <c r="F36" i="80" s="1"/>
  <c r="I54" i="80" s="1"/>
  <c r="H58" i="80" l="1"/>
  <c r="H56" i="80"/>
  <c r="H44" i="80"/>
  <c r="H54" i="80"/>
  <c r="H46" i="80"/>
  <c r="I58" i="80"/>
  <c r="I44" i="80"/>
  <c r="I46" i="80"/>
  <c r="I56" i="80"/>
  <c r="I48" i="8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<sst xmlns="http://schemas.openxmlformats.org/spreadsheetml/2006/main" count="7965" uniqueCount="2420">
  <si>
    <t>INPUTS</t>
  </si>
  <si>
    <t>APPENDICES</t>
  </si>
  <si>
    <t>CALCULATIONS</t>
  </si>
  <si>
    <t>Scope 1 source</t>
  </si>
  <si>
    <t>Total</t>
  </si>
  <si>
    <t>GHG Unit</t>
  </si>
  <si>
    <t>t CH4</t>
  </si>
  <si>
    <t>t CO2e</t>
  </si>
  <si>
    <t>GHG emissions method 1</t>
  </si>
  <si>
    <t>GHG emissions method 2</t>
  </si>
  <si>
    <t>CO2-e emissions method 1</t>
  </si>
  <si>
    <t>CO2-e emissions method 2</t>
  </si>
  <si>
    <t>t N2O</t>
  </si>
  <si>
    <t>Production timeframe start</t>
  </si>
  <si>
    <t>Production timeframe end</t>
  </si>
  <si>
    <t>Production timeframe length</t>
  </si>
  <si>
    <t>Emissions calculation period start date</t>
  </si>
  <si>
    <t>Emissions calculation period end date</t>
  </si>
  <si>
    <t>Production</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</si>
  <si>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</si>
  <si>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</si>
  <si>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</si>
  <si>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</si>
  <si>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</si>
  <si>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</si>
  <si>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</si>
  <si>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</si>
  <si>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</si>
  <si>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</si>
  <si>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</si>
  <si>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</si>
  <si>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</si>
  <si>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</si>
  <si>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</si>
  <si>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</si>
  <si>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</si>
  <si>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</si>
  <si>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</si>
  <si>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</si>
  <si>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</si>
  <si>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</si>
  <si>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</si>
  <si>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</si>
  <si>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</si>
  <si>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</si>
  <si>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</si>
  <si>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</si>
  <si>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</si>
  <si>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</si>
  <si>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</si>
  <si>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</si>
  <si>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</si>
  <si>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</si>
  <si>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</si>
  <si>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</si>
  <si>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</si>
  <si>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</si>
  <si>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</si>
  <si>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</si>
  <si>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</si>
  <si>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</si>
  <si>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</si>
  <si>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</si>
  <si>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</si>
  <si>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</si>
  <si>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</si>
  <si>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</si>
  <si>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</si>
  <si>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</si>
  <si>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</si>
  <si>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</si>
  <si>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</si>
  <si>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</si>
  <si>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</si>
  <si>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</si>
  <si>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</si>
  <si>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</si>
  <si>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</si>
  <si>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</si>
  <si>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</si>
  <si>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</si>
  <si>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</si>
  <si>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</si>
  <si>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</si>
  <si>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</si>
  <si>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</si>
  <si>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</si>
  <si>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</si>
  <si>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</si>
  <si>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</si>
  <si>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</si>
  <si>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</si>
  <si>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</si>
  <si>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0"/>
        <color theme="1" tint="0.34998626667073579"/>
        <rFont val="Arial"/>
        <family val="1"/>
      </rPr>
      <t xml:space="preserve">← </t>
    </r>
    <r>
      <rPr>
        <i/>
        <sz val="10"/>
        <color theme="1" tint="0.34998626667073579"/>
        <rFont val="Arial"/>
        <family val="1"/>
      </rPr>
      <t>DD/MM/YYYY or DD Month YYYY</t>
    </r>
  </si>
  <si>
    <r>
      <rPr>
        <sz val="10"/>
        <color theme="1" tint="0.34998626667073579"/>
        <rFont val="Arial"/>
        <family val="1"/>
      </rPr>
      <t xml:space="preserve">← </t>
    </r>
    <r>
      <rPr>
        <i/>
        <sz val="10"/>
        <color theme="1" tint="0.34998626667073579"/>
        <rFont val="Arial"/>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</si>
  <si>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</si>
  <si>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</si>
  <si>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</si>
  <si>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</si>
  <si>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</si>
  <si>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0"/>
        <color theme="1" tint="0.34998626667073579"/>
        <rFont val="Arial"/>
        <family val="1"/>
      </rPr>
      <t xml:space="preserve">← </t>
    </r>
    <r>
      <rPr>
        <i/>
        <sz val="10"/>
        <color theme="1" tint="0.34998626667073579"/>
        <rFont val="Arial"/>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</si>
  <si>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</si>
  <si>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</si>
  <si>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</si>
  <si>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</si>
  <si>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</si>
  <si>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</si>
  <si>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</si>
  <si>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</si>
  <si>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</si>
  <si>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</si>
  <si>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</si>
  <si>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</si>
  <si>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</si>
  <si>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</si>
  <si>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</si>
  <si>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</si>
  <si>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Amount (tonnnes)</t>
  </si>
  <si>
    <t>Unit</t>
  </si>
  <si>
    <t>Emissions intensity (Method 1)</t>
  </si>
  <si>
    <t>Emissions intensity (Method 2)</t>
  </si>
  <si>
    <t>Product type</t>
  </si>
  <si>
    <t>Main product</t>
  </si>
  <si>
    <t>Co-product</t>
  </si>
  <si>
    <t>N/A</t>
  </si>
  <si>
    <t>Residual product</t>
  </si>
  <si>
    <t>CO2 removed attributed to this enterprise</t>
  </si>
  <si>
    <t>t CO2</t>
  </si>
  <si>
    <t>Total emissions for production cycle</t>
  </si>
  <si>
    <t>Total carbon removals for production cycle</t>
  </si>
  <si>
    <t>Method 1</t>
  </si>
  <si>
    <t>Method 2</t>
  </si>
  <si>
    <t>Product</t>
  </si>
  <si>
    <t>8.1.1.1-2 Transport fuel CO2</t>
  </si>
  <si>
    <t>8.1.1.1-2 Transport fuel N2O</t>
  </si>
  <si>
    <t>8.1.1.1-2 Transport fuel CH4</t>
  </si>
  <si>
    <t>8.2.1.1-2 Stationary fuel CO2</t>
  </si>
  <si>
    <t>8.2.1.1-2 Stationary fuel CH4</t>
  </si>
  <si>
    <t>8.2.1.1-2 Stationary fuel N2O</t>
  </si>
  <si>
    <t>Input - Enterprise</t>
  </si>
  <si>
    <t>percent</t>
  </si>
  <si>
    <t>Economic emissions assignment</t>
  </si>
  <si>
    <t>Mass emissions assignment</t>
  </si>
  <si>
    <t>Emissions intestity (Method 1)</t>
  </si>
  <si>
    <t>Emissions intestity (Method 2)</t>
  </si>
  <si>
    <t>Product emissions - Mass</t>
  </si>
  <si>
    <t>Product emissions - Economic</t>
  </si>
  <si>
    <t>Input - Data quality</t>
  </si>
  <si>
    <t>Notes</t>
  </si>
  <si>
    <t>Evidence files</t>
  </si>
  <si>
    <t>Score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</si>
  <si>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</si>
  <si>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</si>
  <si>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</si>
  <si>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</si>
  <si>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</si>
  <si>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</si>
  <si>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</si>
  <si>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</si>
  <si>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</si>
  <si>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</si>
  <si>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</si>
  <si>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</si>
  <si>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</si>
  <si>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</si>
  <si>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</si>
  <si>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</si>
  <si>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</si>
  <si>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</si>
  <si>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</si>
  <si>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</si>
  <si>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</si>
  <si>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</si>
  <si>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</si>
  <si>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</si>
  <si>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</si>
  <si>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</si>
  <si>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</si>
  <si>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</si>
  <si>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</si>
  <si>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</si>
  <si>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</si>
  <si>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</si>
  <si>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</si>
  <si>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</si>
  <si>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</si>
  <si>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</si>
  <si>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</si>
  <si>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</si>
  <si>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</si>
  <si>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</si>
  <si>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</si>
  <si>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</si>
  <si>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</si>
  <si>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</si>
  <si>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</si>
  <si>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</si>
  <si>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</si>
  <si>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User friendly description</t>
  </si>
  <si>
    <t>During this emissions calculation period</t>
  </si>
  <si>
    <t>Within 2 years of this emissions calculation period</t>
  </si>
  <si>
    <t>Within 3 years of this emissions calculation period</t>
  </si>
  <si>
    <t>Within 4 years of this emissions calculation period</t>
  </si>
  <si>
    <t>Unknown, or more than 4 years of this emissions calculation period</t>
  </si>
  <si>
    <t>This location with spatial partitioning</t>
  </si>
  <si>
    <t>This location without spatial partitioning</t>
  </si>
  <si>
    <t>Regional-level data from a government or industry database/survey</t>
  </si>
  <si>
    <t>State-level data from a government or industry database/survey</t>
  </si>
  <si>
    <t>National-level data from a government or industry database/survey</t>
  </si>
  <si>
    <t>Over 90%</t>
  </si>
  <si>
    <t>Between 51% and 90%</t>
  </si>
  <si>
    <t>Between 21% and 50%</t>
  </si>
  <si>
    <t>Less than 20%</t>
  </si>
  <si>
    <t>Unknown</t>
  </si>
  <si>
    <t>Verified report complying to ISO14067 2018 or GHG Protocol Lifecycle Accounting and Reporting Standard</t>
  </si>
  <si>
    <t>Report consistent with ISO14067 2018, GHG Protocol Lifecycle Accounting and Reporting Standard or this tool</t>
  </si>
  <si>
    <t>Regional-level database</t>
  </si>
  <si>
    <t>National-level database</t>
  </si>
  <si>
    <t>Geographically generic database</t>
  </si>
  <si>
    <t>Enterprise</t>
  </si>
  <si>
    <t>Data type</t>
  </si>
  <si>
    <t>When was the data sourced?</t>
  </si>
  <si>
    <t>Where is the data sourced from?</t>
  </si>
  <si>
    <t>How much of the data was from direct samples?</t>
  </si>
  <si>
    <t>Site</t>
  </si>
  <si>
    <t>Fuel and electricity</t>
  </si>
  <si>
    <t>Farm input purchases, freight and waste outputs</t>
  </si>
  <si>
    <t>Total data quality score</t>
  </si>
  <si>
    <t>Carbon removals</t>
  </si>
  <si>
    <t>Planting name</t>
  </si>
  <si>
    <t>Total removed CO2</t>
  </si>
  <si>
    <t>Percent allocated to this enterprise</t>
  </si>
  <si>
    <t>Removal allocated to this enterprise</t>
  </si>
  <si>
    <t>Production cycle emissions and removals</t>
  </si>
  <si>
    <t>Enter the method 1 and 2 CO2e emissions (excluding removals) from previous emissions calculation periods if applicable.</t>
  </si>
  <si>
    <t>Scope 1</t>
  </si>
  <si>
    <t>Scope 2</t>
  </si>
  <si>
    <t>Scope 2 source</t>
  </si>
  <si>
    <t>Total scope 2</t>
  </si>
  <si>
    <t>Scope 3</t>
  </si>
  <si>
    <t>Scope 3 source</t>
  </si>
  <si>
    <t>15.7.1.1 Services and contractor operations</t>
  </si>
  <si>
    <t>15.10.1.1 Other: Cleaning chemicals</t>
  </si>
  <si>
    <t>15.10.1.1 Other: Uncategorised</t>
  </si>
  <si>
    <t>15.11.1.1 Fuel</t>
  </si>
  <si>
    <t>15.14.1.1 Incoming freight</t>
  </si>
  <si>
    <t>15.13.1.1 Waste sent to treatment facility</t>
  </si>
  <si>
    <t>15.14.1.1 Outgoing freight</t>
  </si>
  <si>
    <t>Total scope 3</t>
  </si>
  <si>
    <t>Total removals</t>
  </si>
  <si>
    <t>Total emissions excluding removals</t>
  </si>
  <si>
    <t>t CO2-e</t>
  </si>
  <si>
    <t>Total net emissions</t>
  </si>
  <si>
    <t>Emissions for production cycle excluding removals</t>
  </si>
  <si>
    <t>Net emissions for production cycle</t>
  </si>
  <si>
    <t>Results - Product emissions intensity</t>
  </si>
  <si>
    <t>Results - Activity period</t>
  </si>
  <si>
    <t>Input - Livestock sales</t>
  </si>
  <si>
    <t>⚠️ Livestock sales are not automatically reflected in the duration and head tables - you will need to manually adjust head count and average liveweight</t>
  </si>
  <si>
    <t>Transaction name</t>
  </si>
  <si>
    <t>Class (select)</t>
  </si>
  <si>
    <t>Sale date</t>
  </si>
  <si>
    <t>Head sold</t>
  </si>
  <si>
    <t>Average weight per head (kg)</t>
  </si>
  <si>
    <t>Total liveweight sold</t>
  </si>
  <si>
    <t>Manure produced</t>
  </si>
  <si>
    <t>10.1.1-2 Solid waste treatment</t>
  </si>
  <si>
    <t>15.1.1.1 Total emissions from purchased livestock - Pigs</t>
  </si>
  <si>
    <t>15.2.1.1 Emissions from purchased feed</t>
  </si>
  <si>
    <t>15.10.1.1 Other: Pharmacy chemicals</t>
  </si>
  <si>
    <t>Percentage of income from manure sold</t>
  </si>
  <si>
    <t>Percent manure sold</t>
  </si>
  <si>
    <t>Percent manure used as fertiliser on own farm</t>
  </si>
  <si>
    <t>Liveweight sold - excluding removals</t>
  </si>
  <si>
    <t>Liveweight sold - net emissions</t>
  </si>
  <si>
    <t>Manure sold - excluding removals</t>
  </si>
  <si>
    <t>Manure sold - net emissions</t>
  </si>
  <si>
    <t>Manure used as feed on own farm</t>
  </si>
  <si>
    <t>Poultry management</t>
  </si>
  <si>
    <t>Birds sold</t>
  </si>
  <si>
    <t>Eggs sold</t>
  </si>
  <si>
    <t>Percentage of income from birds sold</t>
  </si>
  <si>
    <t>Percentage of income from eggs sold</t>
  </si>
  <si>
    <t>Eggs sold - excluding removals</t>
  </si>
  <si>
    <t>Eggs sold - net emissions</t>
  </si>
  <si>
    <t xml:space="preserve">4.6.1.1-2 Manure Methane </t>
  </si>
  <si>
    <t xml:space="preserve">4.6.1.3-4 Manure Direct N20 </t>
  </si>
  <si>
    <t>4.6.1.5-6 Manure Atmospheric Deposition</t>
  </si>
  <si>
    <t>4.6.1.7-8 Manure Leaching and runoff</t>
  </si>
  <si>
    <t>4.6.1.10-11 Soil direct N2O</t>
  </si>
  <si>
    <t>4.6.1.12-13 Soil atmos dep</t>
  </si>
  <si>
    <t>4.6.1.14-15 Soil leach runoff</t>
  </si>
  <si>
    <t>t co2e/t birds sold</t>
  </si>
  <si>
    <t>t co2e/t eggs sold</t>
  </si>
  <si>
    <t>t co2e/t manure sold</t>
  </si>
  <si>
    <t>Input -Poultry</t>
  </si>
  <si>
    <t>This tool demostrates inputs for one production system.</t>
  </si>
  <si>
    <t>Layers</t>
  </si>
  <si>
    <t>Meat chicken growers</t>
  </si>
  <si>
    <t>Meat chicken breeders</t>
  </si>
  <si>
    <t>Other</t>
  </si>
  <si>
    <t>Head</t>
  </si>
  <si>
    <t>Manure production</t>
  </si>
  <si>
    <t>Method 1 default values (Do not edit)</t>
  </si>
  <si>
    <t>Dry matter intake</t>
  </si>
  <si>
    <t>kg/DM/bird/day</t>
  </si>
  <si>
    <t>Dry matter digestibility (DMD)</t>
  </si>
  <si>
    <t>fraction</t>
  </si>
  <si>
    <t>Crude protein (CP)</t>
  </si>
  <si>
    <t>Method 2 custom values (Edit if known)</t>
  </si>
  <si>
    <t>Manure management systems</t>
  </si>
  <si>
    <t>Production system</t>
  </si>
  <si>
    <t>Cage</t>
  </si>
  <si>
    <t xml:space="preserve"> </t>
  </si>
  <si>
    <t>Stage 1 MMS</t>
  </si>
  <si>
    <t>Percent</t>
  </si>
  <si>
    <t>Total sent to all MMS (Must equal 100%)</t>
  </si>
  <si>
    <t>▼</t>
  </si>
  <si>
    <t>Stage 2 MMS</t>
  </si>
  <si>
    <t>►</t>
  </si>
  <si>
    <t>Destination after stage 2 MMS (Percent)</t>
  </si>
  <si>
    <t>Sold</t>
  </si>
  <si>
    <t>Fert for own farm (eg crop)</t>
  </si>
  <si>
    <t>Direct application to soil</t>
  </si>
  <si>
    <t>Where manure was deposited on farm soils, what is the closest match?</t>
  </si>
  <si>
    <t>Crop</t>
  </si>
  <si>
    <t>Sprinkler irrigation</t>
  </si>
  <si>
    <t>4.6.1.1-2 Manure Methane</t>
  </si>
  <si>
    <t>Variable</t>
  </si>
  <si>
    <t>M1_Table_I_j_k</t>
  </si>
  <si>
    <t>M2_Table_I_j_k</t>
  </si>
  <si>
    <t>Dry matter intake (Method 1)</t>
  </si>
  <si>
    <t>Dry matter intake (Method 2)</t>
  </si>
  <si>
    <t>M1_Table_DMD_j_k</t>
  </si>
  <si>
    <t>M2_Table_DMD_j_k</t>
  </si>
  <si>
    <t>Dry matter digestibility (Method 1)</t>
  </si>
  <si>
    <t>Dry matter digestibility (Method 2)</t>
  </si>
  <si>
    <t>Table_A_j</t>
  </si>
  <si>
    <t>Ash content of manure</t>
  </si>
  <si>
    <t>M1_Table_VS_j_k</t>
  </si>
  <si>
    <t>M2_Table_VS_j_k</t>
  </si>
  <si>
    <t>Volatile solid production (Method 1)</t>
  </si>
  <si>
    <t>Volatile solid production (Method 2)</t>
  </si>
  <si>
    <t>Table_MMS_j_m_T-1</t>
  </si>
  <si>
    <t>Fraction of manure sent to stage 1 MMS</t>
  </si>
  <si>
    <t>Table_B_0_j</t>
  </si>
  <si>
    <t>Methane emissions potential per class</t>
  </si>
  <si>
    <t>Table_MCF_i_m</t>
  </si>
  <si>
    <t>Methane conversion factor for state</t>
  </si>
  <si>
    <t>MMS</t>
  </si>
  <si>
    <r>
      <t>MCF</t>
    </r>
    <r>
      <rPr>
        <b/>
        <vertAlign val="subscript"/>
        <sz val="10"/>
        <color rgb="FF183C1B"/>
        <rFont val="Arial"/>
        <family val="1"/>
      </rPr>
      <t>im</t>
    </r>
  </si>
  <si>
    <t>No data</t>
  </si>
  <si>
    <t>M1_Table_M_j_k_m_T-1</t>
  </si>
  <si>
    <t>M2_Table_M_j_k_m_T-1</t>
  </si>
  <si>
    <t>Production of methane in stage 1 MMS (Method 1)</t>
  </si>
  <si>
    <t>Production of methane in stage 1 MMS (Method 2)</t>
  </si>
  <si>
    <t>Table_VSL_m_T-1</t>
  </si>
  <si>
    <t>Fraction volatile solids lost in stage 1 MMS</t>
  </si>
  <si>
    <r>
      <t>VSL</t>
    </r>
    <r>
      <rPr>
        <b/>
        <vertAlign val="subscript"/>
        <sz val="10"/>
        <color rgb="FF183C1B"/>
        <rFont val="Arial"/>
        <family val="1"/>
      </rPr>
      <t>mT=1</t>
    </r>
  </si>
  <si>
    <t>M1_Table_VST_j_k</t>
  </si>
  <si>
    <t>M2_Table_VST_j_k</t>
  </si>
  <si>
    <t>Volatile solids sent to stage 2 MMS (Method 1)</t>
  </si>
  <si>
    <t>Volatile solids sent to stage 2 MMS (Method 2)</t>
  </si>
  <si>
    <t>Table_MMS_j_m_T-2</t>
  </si>
  <si>
    <t>Fraction of manure in stage 2 MMS</t>
  </si>
  <si>
    <t>M1_Table_M_j_k_m_T-2</t>
  </si>
  <si>
    <t>Production of methane in stage 2 MMS</t>
  </si>
  <si>
    <t>Table_D_j_k</t>
  </si>
  <si>
    <t>Duration of stay</t>
  </si>
  <si>
    <t>Table_N_j_k</t>
  </si>
  <si>
    <t>Number of poultry</t>
  </si>
  <si>
    <t>M1_Table_N_j_k</t>
  </si>
  <si>
    <t>M2_Table_N_j_k</t>
  </si>
  <si>
    <t>Methane emissions from manure management (Method 1)</t>
  </si>
  <si>
    <t>Methane emissions from manure management (Method 2)</t>
  </si>
  <si>
    <r>
      <t>E</t>
    </r>
    <r>
      <rPr>
        <b/>
        <vertAlign val="subscript"/>
        <sz val="14"/>
        <color theme="1" tint="0.24994659260841701"/>
        <rFont val="Arial"/>
        <family val="1"/>
      </rPr>
      <t>CH4</t>
    </r>
  </si>
  <si>
    <r>
      <t>E</t>
    </r>
    <r>
      <rPr>
        <vertAlign val="subscript"/>
        <sz val="10"/>
        <color theme="1" tint="0.24994659260841701"/>
        <rFont val="Arial"/>
        <family val="1"/>
      </rPr>
      <t>CO2e</t>
    </r>
  </si>
  <si>
    <t>4.6.1.3-4 Manure Direct N2O</t>
  </si>
  <si>
    <t>M1_Table_CP_j_k</t>
  </si>
  <si>
    <t>M2_Table_CP_j_k</t>
  </si>
  <si>
    <t>Crude protein content of feed (Method 1)</t>
  </si>
  <si>
    <t>Crude protein content of feed (Method 2)</t>
  </si>
  <si>
    <t>M1_Table_NI_j_k</t>
  </si>
  <si>
    <t>M2_Table_NI_j_k</t>
  </si>
  <si>
    <t>Nitrogen intake (Method 1)</t>
  </si>
  <si>
    <t>Nitrogen intake (Method 2)</t>
  </si>
  <si>
    <t>Table_NR_j_k</t>
  </si>
  <si>
    <t>Nitrogen retention rate</t>
  </si>
  <si>
    <t>M1_Table_NE_j_k</t>
  </si>
  <si>
    <t>M2_Table_NE_j_k</t>
  </si>
  <si>
    <t>Nitrogen excretion (Method 1)</t>
  </si>
  <si>
    <t>Nitrogen excretion (Method 2)</t>
  </si>
  <si>
    <t>M1_Table_AE_j_k</t>
  </si>
  <si>
    <t>M2_Table_AE_j_k</t>
  </si>
  <si>
    <t>Annual nitroge excretion (Method 1)</t>
  </si>
  <si>
    <t>Annual nitroge excretion (Method 2)</t>
  </si>
  <si>
    <t>M1_Table_MN_j_k_m_T-1</t>
  </si>
  <si>
    <t>M2_Table_MN_j_k_m_T-1</t>
  </si>
  <si>
    <t>Nitrogen in stage 1 MMS (Method 1)</t>
  </si>
  <si>
    <t>Nitrogen in stage 1 MMS (Method 2)</t>
  </si>
  <si>
    <t>Table_FracGASM_m_T-1</t>
  </si>
  <si>
    <t>Faction N volatilised in stage 1 MMS</t>
  </si>
  <si>
    <t>FracGASM</t>
  </si>
  <si>
    <t>Table_EF_m</t>
  </si>
  <si>
    <t>Nitrous oxide emission factor for stage 1 MMS</t>
  </si>
  <si>
    <t>EFm</t>
  </si>
  <si>
    <t>M1_Table_NT_j_k_m_T-1</t>
  </si>
  <si>
    <t>M2_Table_NT_j_k_m_T-1</t>
  </si>
  <si>
    <t>Nitrogen transferred to stage 2 MMS (Method 1)</t>
  </si>
  <si>
    <t>Nitrogen transferred to stage 2 MMS (Method 2)</t>
  </si>
  <si>
    <t>M1_Table_MN_j_k_m_T-2</t>
  </si>
  <si>
    <t>M2_Table_MN_j_k_m_T-2</t>
  </si>
  <si>
    <t>Nitrogen in stage 2 MMS (Method 1)</t>
  </si>
  <si>
    <t>Nitrogen in stage 2 MMS (Method 2)</t>
  </si>
  <si>
    <r>
      <rPr>
        <b/>
        <sz val="10"/>
        <color rgb="FF0070C0"/>
        <rFont val="Arial"/>
        <family val="1"/>
      </rPr>
      <t>Note:</t>
    </r>
    <r>
      <rPr>
        <sz val="10"/>
        <color rgb="FF0070C0"/>
        <rFont val="Arial"/>
        <family val="1"/>
      </rPr>
      <t xml:space="preserve"> Manure that is directly applied to soil after stage 1 is</t>
    </r>
    <r>
      <rPr>
        <i/>
        <sz val="10"/>
        <color rgb="FF0070C0"/>
        <rFont val="Arial"/>
        <family val="1"/>
      </rPr>
      <t xml:space="preserve"> not</t>
    </r>
    <r>
      <rPr>
        <sz val="10"/>
        <color rgb="FF0070C0"/>
        <rFont val="Arial"/>
        <family val="1"/>
      </rPr>
      <t xml:space="preserve"> included in Direct N2O calculations</t>
    </r>
  </si>
  <si>
    <t>and instead is handled in 'Manure applied to soils'.</t>
  </si>
  <si>
    <t>M1_Table_E_N2O_dir</t>
  </si>
  <si>
    <t>M2_Table_E_N2O_dir</t>
  </si>
  <si>
    <t>Total annual direct nitrous oxide emissions from MMS (Method 1)</t>
  </si>
  <si>
    <t>Total annual direct nitrous oxide emissions from MMS (Method 2)</t>
  </si>
  <si>
    <r>
      <t>E</t>
    </r>
    <r>
      <rPr>
        <b/>
        <vertAlign val="subscript"/>
        <sz val="14"/>
        <color theme="1" tint="0.24994659260841701"/>
        <rFont val="Arial"/>
        <family val="1"/>
      </rPr>
      <t>N2O,dir</t>
    </r>
  </si>
  <si>
    <t>4.6.1.5-6 Atmospheric deposition N2O</t>
  </si>
  <si>
    <r>
      <rPr>
        <b/>
        <sz val="10"/>
        <color rgb="FF0070C0"/>
        <rFont val="Arial"/>
        <family val="1"/>
      </rPr>
      <t>Note:</t>
    </r>
    <r>
      <rPr>
        <sz val="10"/>
        <color rgb="FF0070C0"/>
        <rFont val="Arial"/>
        <family val="1"/>
      </rPr>
      <t xml:space="preserve"> Manure that is directly applied to soil after stage 1 is not included in Atmospheric Deposition calculations</t>
    </r>
  </si>
  <si>
    <t>M1_Table_MN_j_k_m_T</t>
  </si>
  <si>
    <t>M2_Table_MN_j_k_m_T</t>
  </si>
  <si>
    <t>Nitrogen in each MMS (Method 1)</t>
  </si>
  <si>
    <t>Nitrogen in each MMS (Method 2)</t>
  </si>
  <si>
    <t>Table_FracGASM_m_T</t>
  </si>
  <si>
    <t>Faction N volatilised in MMS</t>
  </si>
  <si>
    <t>M1_Table_MMS_ATMOS</t>
  </si>
  <si>
    <t>M2_Table_MMS_ATMOS</t>
  </si>
  <si>
    <t>Total nitrogen volatilised from each MMS (Method 1)</t>
  </si>
  <si>
    <t>Total nitrogen volatilised from each MMS (Method 2)</t>
  </si>
  <si>
    <r>
      <t>MMS</t>
    </r>
    <r>
      <rPr>
        <b/>
        <vertAlign val="subscript"/>
        <sz val="10"/>
        <color theme="1" tint="0.24994659260841701"/>
        <rFont val="Arial"/>
        <family val="1"/>
      </rPr>
      <t>ATMOS</t>
    </r>
  </si>
  <si>
    <r>
      <t>E</t>
    </r>
    <r>
      <rPr>
        <b/>
        <vertAlign val="subscript"/>
        <sz val="14"/>
        <color theme="1" tint="0.24994659260841701"/>
        <rFont val="Arial"/>
        <family val="1"/>
      </rPr>
      <t>N2O,ad</t>
    </r>
  </si>
  <si>
    <t>4.6.1.7-8 Leaching and runoff</t>
  </si>
  <si>
    <t xml:space="preserve">MNleach is assumed to be 0 for all MMS except free range operations manure excreted on pasture in free range operations and manure and manure stockpiles. </t>
  </si>
  <si>
    <t>Leaching from emissions from the pasture component (m=14) is estimated in the manure applied to soils equations (Section 4.6.1.10 - 4.6.1.15).</t>
  </si>
  <si>
    <r>
      <t xml:space="preserve">Therefore, </t>
    </r>
    <r>
      <rPr>
        <b/>
        <sz val="10"/>
        <color rgb="FF0070C0"/>
        <rFont val="Arial"/>
        <family val="1"/>
      </rPr>
      <t>emissions from leaching and run off are only estimated for solid storage stockpiles</t>
    </r>
    <r>
      <rPr>
        <sz val="10"/>
        <color rgb="FF0070C0"/>
        <rFont val="Arial"/>
        <family val="1"/>
      </rPr>
      <t xml:space="preserve"> MMS (m=4)</t>
    </r>
  </si>
  <si>
    <t>M1_Table_MN_j_k_m-4</t>
  </si>
  <si>
    <t>Nitrogen in solid storage MMS (Method 1)</t>
  </si>
  <si>
    <t>M1_Table_MN_Leach_j_k_m-4</t>
  </si>
  <si>
    <t>M2_Table_MN_j_k_m-4</t>
  </si>
  <si>
    <t>Mass of N lost to leaching and runoff (Method 1)</t>
  </si>
  <si>
    <t>Mass of N lost to leaching and runoff (Method 2)</t>
  </si>
  <si>
    <t>M1_Table_E_N2O_leach</t>
  </si>
  <si>
    <t>M2_Table_E_N2O_leach</t>
  </si>
  <si>
    <t>Annual emissions from leaching and runoff (Method 1)</t>
  </si>
  <si>
    <t>Annual emissions from leaching and runoff (Method 2)</t>
  </si>
  <si>
    <t>4.6.1.9 Manure applied to soils</t>
  </si>
  <si>
    <t>M1_Table_MNLeach_MMS</t>
  </si>
  <si>
    <t>M2_Table_MNLeach_MMS</t>
  </si>
  <si>
    <t>Table_PF</t>
  </si>
  <si>
    <t>Fraction of manure applied to soils on farm</t>
  </si>
  <si>
    <t>PF</t>
  </si>
  <si>
    <t>M1_Table_MNSoil_scope1</t>
  </si>
  <si>
    <t>M2_Table_MNSoil_scope1</t>
  </si>
  <si>
    <t>Mass of nitrogen applied to soils for scope 1</t>
  </si>
  <si>
    <t>Mass of nitrogen applied to soils for scope 2</t>
  </si>
  <si>
    <r>
      <t>MNSoil</t>
    </r>
    <r>
      <rPr>
        <b/>
        <vertAlign val="subscript"/>
        <sz val="14"/>
        <color theme="1" tint="0.24994659260841701"/>
        <rFont val="Arial"/>
        <family val="1"/>
      </rPr>
      <t>scope1</t>
    </r>
  </si>
  <si>
    <t>M1_Table_MNSoil_scope3</t>
  </si>
  <si>
    <t>M2_Table_MNSoil_scope3</t>
  </si>
  <si>
    <t>Mass of nitrogen applied to soils for scope 3 (Method 1)</t>
  </si>
  <si>
    <t>Mass of nitrogen applied to soils for scope 3 (Method 2)</t>
  </si>
  <si>
    <r>
      <t>MNSoil</t>
    </r>
    <r>
      <rPr>
        <b/>
        <vertAlign val="subscript"/>
        <sz val="14"/>
        <color theme="1" tint="0.24994659260841701"/>
        <rFont val="Arial"/>
        <family val="1"/>
      </rPr>
      <t>scope3</t>
    </r>
  </si>
  <si>
    <t>* Scope 1: Manure that is removed from MMS and used as fertiliser on the farm, for other enterprises (eg crops)</t>
  </si>
  <si>
    <t>Scope 1: Mass of nitrogen applied as fertiliser on own farm</t>
  </si>
  <si>
    <t>M1_Table_PF_fert</t>
  </si>
  <si>
    <t>Fraction of manure applied as fertiliser on farm for other enterpsises (eg crops) (Method 1)</t>
  </si>
  <si>
    <t>M1_Table_MNSoil_scope1_fert</t>
  </si>
  <si>
    <t>M2_Table_MNSoil_scope1_fert</t>
  </si>
  <si>
    <t>Mass of nitrogen applied as fertiliser on own farm for other enterprise (eg crops) for scope 1 emissions (Method 1)</t>
  </si>
  <si>
    <t>Mass of nitrogen applied as fertiliser on own farm for other enterprise (eg crops) for scope 1 emissions (Method 2)</t>
  </si>
  <si>
    <r>
      <t>MNSoil</t>
    </r>
    <r>
      <rPr>
        <b/>
        <vertAlign val="subscript"/>
        <sz val="14"/>
        <color theme="1" tint="0.24994659260841701"/>
        <rFont val="Arial"/>
        <family val="1"/>
      </rPr>
      <t>scope1,fert</t>
    </r>
  </si>
  <si>
    <t>M1_Table_MN_j_k_m-14_T-1</t>
  </si>
  <si>
    <t>M2_Table_MN_j_k_m-14_T-1</t>
  </si>
  <si>
    <t>Mass on nitrogen excreted on pasture range and paddock (Method 1)</t>
  </si>
  <si>
    <t>Mass on nitrogen excreted on pasture range and paddock (Method 2)</t>
  </si>
  <si>
    <t>M1_Table_EM_N2O_PRP_dir</t>
  </si>
  <si>
    <t>M2_Table_EM_N2O_PRP_dir</t>
  </si>
  <si>
    <t>Direct nitrous oxide emissions from manure on pasture (Method 1)</t>
  </si>
  <si>
    <t>Direct nitrous oxide emissions from manure on pasture (Method 2)</t>
  </si>
  <si>
    <t>kg N</t>
  </si>
  <si>
    <r>
      <t>EM</t>
    </r>
    <r>
      <rPr>
        <b/>
        <vertAlign val="subscript"/>
        <sz val="14"/>
        <color theme="1" tint="0.24994659260841701"/>
        <rFont val="Arial"/>
        <family val="1"/>
      </rPr>
      <t>N2O,PRP,dir</t>
    </r>
  </si>
  <si>
    <t>4.6.1.12-13 Soil atmospheric deposition</t>
  </si>
  <si>
    <t>M1_Table_M_vol_m-14</t>
  </si>
  <si>
    <t>M2_Table_M_vol_m-14</t>
  </si>
  <si>
    <r>
      <t>M</t>
    </r>
    <r>
      <rPr>
        <b/>
        <vertAlign val="subscript"/>
        <sz val="10"/>
        <color theme="1" tint="0.24994659260841701"/>
        <rFont val="Arial"/>
        <family val="1"/>
      </rPr>
      <t>vol,m=14</t>
    </r>
  </si>
  <si>
    <t>4.6.1.14-15 Soil leaching and runoff</t>
  </si>
  <si>
    <r>
      <t>M</t>
    </r>
    <r>
      <rPr>
        <b/>
        <vertAlign val="subscript"/>
        <sz val="10"/>
        <color theme="1" tint="0.24994659260841701"/>
        <rFont val="Arial"/>
        <family val="1"/>
      </rPr>
      <t>leach,m=14</t>
    </r>
  </si>
  <si>
    <t>Constants - Poultry</t>
  </si>
  <si>
    <t>Nutrient analysis</t>
  </si>
  <si>
    <t>Meat chicken breeder</t>
  </si>
  <si>
    <t>Meat other</t>
  </si>
  <si>
    <t>Poultry class</t>
  </si>
  <si>
    <t>B0</t>
  </si>
  <si>
    <t>Poultry manure management systems</t>
  </si>
  <si>
    <t>Poultry manure management systems - Stage 1</t>
  </si>
  <si>
    <t>Poultry manure management systems - Stage 2</t>
  </si>
  <si>
    <t>Symbol and MMS</t>
  </si>
  <si>
    <t>Poultry manure with bedding (m=10)</t>
  </si>
  <si>
    <t>Solid storage (m=4)</t>
  </si>
  <si>
    <t>Belt manure removal</t>
  </si>
  <si>
    <t>Belt manure removal (m=11a)</t>
  </si>
  <si>
    <t>Composting (passive windrow) (m=6)</t>
  </si>
  <si>
    <t>Manure stored in house</t>
  </si>
  <si>
    <t>Manure stored in house (m=11b)</t>
  </si>
  <si>
    <t>Digester / covered lagoons (m=7)</t>
  </si>
  <si>
    <t>Pasture range and paddock (m=14)</t>
  </si>
  <si>
    <t>Direct processing (m=12)</t>
  </si>
  <si>
    <t>No MMS</t>
  </si>
  <si>
    <t>Direct application (m=13)</t>
  </si>
  <si>
    <t>Poultry production systems</t>
  </si>
  <si>
    <t>Poultry crop or pasture production systems</t>
  </si>
  <si>
    <t>Irrigation methods</t>
  </si>
  <si>
    <t>Not irrigated</t>
  </si>
  <si>
    <t>Drip irrigation</t>
  </si>
  <si>
    <t>Surface irrigation</t>
  </si>
  <si>
    <t>Other irrigation</t>
  </si>
  <si>
    <t>MMS m</t>
  </si>
  <si>
    <t>All states</t>
  </si>
  <si>
    <t>NSW</t>
  </si>
  <si>
    <t>ACT</t>
  </si>
  <si>
    <t>QLD</t>
  </si>
  <si>
    <t>NT</t>
  </si>
  <si>
    <t>VIC</t>
  </si>
  <si>
    <t>SA</t>
  </si>
  <si>
    <t>WA</t>
  </si>
  <si>
    <t>TAS</t>
  </si>
  <si>
    <t>NIR definition</t>
  </si>
  <si>
    <t>VSL</t>
  </si>
  <si>
    <t>MMSm</t>
  </si>
  <si>
    <t>FracGASMmT</t>
  </si>
  <si>
    <t>NIR reference</t>
  </si>
  <si>
    <t>EFmT</t>
  </si>
  <si>
    <t>Livestock class j</t>
  </si>
  <si>
    <t>Average liveweight (kg)</t>
  </si>
  <si>
    <t>Input - Electricity</t>
  </si>
  <si>
    <t>How do you want to calculate electricity emissions?</t>
  </si>
  <si>
    <t>Location-based (simpler)</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</si>
  <si>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</si>
  <si>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</si>
  <si>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</si>
  <si>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</si>
  <si>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</si>
  <si>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</si>
  <si>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</si>
  <si>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Western Australia - North Western Interconnected System (NWIS)</t>
  </si>
  <si>
    <t>Option 2: Market-based electricity</t>
  </si>
  <si>
    <t>Electricity purchased in kWh (excluding GreenPower providers)</t>
  </si>
  <si>
    <t xml:space="preserve">Renewable Power Percentage </t>
  </si>
  <si>
    <t>Jurisdictional renewable power percentage (ACT only)</t>
  </si>
  <si>
    <t>Electricity purchased from an accredited GreenPower provider</t>
  </si>
  <si>
    <t>Start of reporting year</t>
  </si>
  <si>
    <t>End of reporting year</t>
  </si>
  <si>
    <t>Voluntarily surrendered Renewable Energy Certificates (RECs)</t>
  </si>
  <si>
    <t>💡 You can add more rows to the table by right-clicking on the table and selecting "Insert &gt; Table rows above/below"</t>
  </si>
  <si>
    <t>Source (select)</t>
  </si>
  <si>
    <t>Generation date</t>
  </si>
  <si>
    <t>Number of certificates</t>
  </si>
  <si>
    <t>MWh</t>
  </si>
  <si>
    <t>Elegibility</t>
  </si>
  <si>
    <t>Dec 2020 certs</t>
  </si>
  <si>
    <t>Purchased certificate</t>
  </si>
  <si>
    <t>Jan 2022 certs</t>
  </si>
  <si>
    <t>Issued for generated electricity</t>
  </si>
  <si>
    <t>2024 certs</t>
  </si>
  <si>
    <t>Total elegible voluntarily surrendered RECs</t>
  </si>
  <si>
    <t>Renewable Energy Certificates (RECs) for electricity produced on-site and consumed by the entity</t>
  </si>
  <si>
    <t>Source</t>
  </si>
  <si>
    <t>May 2022 generated</t>
  </si>
  <si>
    <t>Jul 24 certs generated</t>
  </si>
  <si>
    <t>Total elegible RECs for electricity produced on-site and consumed by entity</t>
  </si>
  <si>
    <t>14.1.1-2 Purchased Electricity</t>
  </si>
  <si>
    <r>
      <rPr>
        <b/>
        <sz val="14"/>
        <color theme="1" tint="0.24994659260841701"/>
        <rFont val="Arial"/>
        <family val="1"/>
      </rPr>
      <t>E</t>
    </r>
    <r>
      <rPr>
        <b/>
        <vertAlign val="subscript"/>
        <sz val="14"/>
        <color theme="1" tint="0.24994659260841701"/>
        <rFont val="Arial"/>
        <family val="1"/>
      </rPr>
      <t>2,elec</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</si>
  <si>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</si>
  <si>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</si>
  <si>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</si>
  <si>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</si>
  <si>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</si>
  <si>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</si>
  <si>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</si>
  <si>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</si>
  <si>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</si>
  <si>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</si>
  <si>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</si>
  <si>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</si>
  <si>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</si>
  <si>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</si>
  <si>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</si>
  <si>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</si>
  <si>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</si>
  <si>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</si>
  <si>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</si>
  <si>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</si>
  <si>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</si>
  <si>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</si>
  <si>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</si>
  <si>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</si>
  <si>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</si>
  <si>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</si>
  <si>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</si>
  <si>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</si>
  <si>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</si>
  <si>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</si>
  <si>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</si>
  <si>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</si>
  <si>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</si>
  <si>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</si>
  <si>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</si>
  <si>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</si>
  <si>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</si>
  <si>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0"/>
        <color rgb="FF183C1B"/>
        <rFont val="Arial"/>
        <family val="1"/>
      </rPr>
      <t>Trans,q</t>
    </r>
  </si>
  <si>
    <r>
      <t>EF</t>
    </r>
    <r>
      <rPr>
        <b/>
        <vertAlign val="subscript"/>
        <sz val="10"/>
        <color rgb="FF183C1B"/>
        <rFont val="Arial"/>
        <family val="1"/>
      </rPr>
      <t>Trans,1,q,g=CO2</t>
    </r>
  </si>
  <si>
    <r>
      <t>EF</t>
    </r>
    <r>
      <rPr>
        <b/>
        <vertAlign val="subscript"/>
        <sz val="10"/>
        <color rgb="FF183C1B"/>
        <rFont val="Arial"/>
        <family val="1"/>
      </rPr>
      <t>Trans,1,q,g=CH4</t>
    </r>
  </si>
  <si>
    <r>
      <t>EF</t>
    </r>
    <r>
      <rPr>
        <b/>
        <vertAlign val="subscript"/>
        <sz val="10"/>
        <color rgb="FF183C1B"/>
        <rFont val="Arial"/>
        <family val="1"/>
      </rPr>
      <t>Trans,1,q,g=N20</t>
    </r>
  </si>
  <si>
    <r>
      <t>EF</t>
    </r>
    <r>
      <rPr>
        <b/>
        <vertAlign val="subscript"/>
        <sz val="10"/>
        <color rgb="FF183C1B"/>
        <rFont val="Arial"/>
        <family val="1"/>
      </rPr>
      <t>Trans,3,q</t>
    </r>
  </si>
  <si>
    <r>
      <t>Q</t>
    </r>
    <r>
      <rPr>
        <b/>
        <vertAlign val="subscript"/>
        <sz val="10"/>
        <color rgb="FF533001"/>
        <rFont val="Arial"/>
        <family val="1"/>
      </rPr>
      <t>Trans,q</t>
    </r>
  </si>
  <si>
    <t>Q unit</t>
  </si>
  <si>
    <r>
      <t>E</t>
    </r>
    <r>
      <rPr>
        <b/>
        <vertAlign val="subscript"/>
        <sz val="10"/>
        <color rgb="FF183C1B"/>
        <rFont val="Arial"/>
        <family val="1"/>
      </rPr>
      <t>g=CO2</t>
    </r>
  </si>
  <si>
    <r>
      <t>E</t>
    </r>
    <r>
      <rPr>
        <b/>
        <vertAlign val="subscript"/>
        <sz val="10"/>
        <color rgb="FF183C1B"/>
        <rFont val="Arial"/>
        <family val="1"/>
      </rPr>
      <t>g=CH4</t>
    </r>
  </si>
  <si>
    <r>
      <t>E</t>
    </r>
    <r>
      <rPr>
        <b/>
        <vertAlign val="subscript"/>
        <sz val="10"/>
        <color rgb="FF183C1B"/>
        <rFont val="Arial"/>
        <family val="1"/>
      </rPr>
      <t>g=N20</t>
    </r>
  </si>
  <si>
    <r>
      <t>E</t>
    </r>
    <r>
      <rPr>
        <b/>
        <vertAlign val="subscript"/>
        <sz val="10"/>
        <color rgb="FF183C1B"/>
        <rFont val="Arial"/>
        <family val="1"/>
      </rPr>
      <t>3WTT,trans,q</t>
    </r>
  </si>
  <si>
    <t>CO2</t>
  </si>
  <si>
    <t>CH4</t>
  </si>
  <si>
    <t>N2O</t>
  </si>
  <si>
    <t>Total sope 1 - All transport fuel combustion</t>
  </si>
  <si>
    <t>8.2.1.1-2 Stationary fuel combustion</t>
  </si>
  <si>
    <t>Emissions for stationary fuel combustion</t>
  </si>
  <si>
    <r>
      <t>EC</t>
    </r>
    <r>
      <rPr>
        <b/>
        <vertAlign val="subscript"/>
        <sz val="10"/>
        <color rgb="FF183C1B"/>
        <rFont val="Arial"/>
        <family val="1"/>
      </rPr>
      <t>SC,q</t>
    </r>
  </si>
  <si>
    <r>
      <t>EF</t>
    </r>
    <r>
      <rPr>
        <b/>
        <vertAlign val="subscript"/>
        <sz val="10"/>
        <color rgb="FF183C1B"/>
        <rFont val="Arial"/>
        <family val="1"/>
      </rPr>
      <t>SC,1,q,g=CO2</t>
    </r>
  </si>
  <si>
    <r>
      <t>EF</t>
    </r>
    <r>
      <rPr>
        <b/>
        <vertAlign val="subscript"/>
        <sz val="10"/>
        <color rgb="FF183C1B"/>
        <rFont val="Arial"/>
        <family val="1"/>
      </rPr>
      <t>SC,1,q,g=CH4</t>
    </r>
  </si>
  <si>
    <r>
      <t>EF</t>
    </r>
    <r>
      <rPr>
        <b/>
        <vertAlign val="subscript"/>
        <sz val="10"/>
        <color rgb="FF183C1B"/>
        <rFont val="Arial"/>
        <family val="1"/>
      </rPr>
      <t>SC,1,q,g=N20</t>
    </r>
  </si>
  <si>
    <r>
      <t>EF</t>
    </r>
    <r>
      <rPr>
        <b/>
        <vertAlign val="subscript"/>
        <sz val="10"/>
        <color rgb="FF183C1B"/>
        <rFont val="Arial"/>
        <family val="1"/>
      </rPr>
      <t>SC,3,q</t>
    </r>
  </si>
  <si>
    <r>
      <t>Q</t>
    </r>
    <r>
      <rPr>
        <b/>
        <vertAlign val="subscript"/>
        <sz val="10"/>
        <color rgb="FF533001"/>
        <rFont val="Arial"/>
        <family val="1"/>
      </rPr>
      <t>SC,q</t>
    </r>
  </si>
  <si>
    <r>
      <t>E</t>
    </r>
    <r>
      <rPr>
        <b/>
        <vertAlign val="subscript"/>
        <sz val="10"/>
        <color rgb="FF183C1B"/>
        <rFont val="Arial"/>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</si>
  <si>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</si>
  <si>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</si>
  <si>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</si>
  <si>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</si>
  <si>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</si>
  <si>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</si>
  <si>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</si>
  <si>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</si>
  <si>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</si>
  <si>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</si>
  <si>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</si>
  <si>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</si>
  <si>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</si>
  <si>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</si>
  <si>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</si>
  <si>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</si>
  <si>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</si>
  <si>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</si>
  <si>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</si>
  <si>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</si>
  <si>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</si>
  <si>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</si>
  <si>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</si>
  <si>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</si>
  <si>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</si>
  <si>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</si>
  <si>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</si>
  <si>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</si>
  <si>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</si>
  <si>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</si>
  <si>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</si>
  <si>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</si>
  <si>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</si>
  <si>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</si>
  <si>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</si>
  <si>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</si>
  <si>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</si>
  <si>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</si>
  <si>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</si>
  <si>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</si>
  <si>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</si>
  <si>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</si>
  <si>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</si>
  <si>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</si>
  <si>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Input - Fertiliser Production System</t>
  </si>
  <si>
    <t>Crop type</t>
  </si>
  <si>
    <t>Maize</t>
  </si>
  <si>
    <t>Area under cropping</t>
  </si>
  <si>
    <t>hectares</t>
  </si>
  <si>
    <t>Input - Fertiliser</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</si>
  <si>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</si>
  <si>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</si>
  <si>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</si>
  <si>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</si>
  <si>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</si>
  <si>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0"/>
        <color theme="1"/>
        <rFont val="Arial"/>
        <family val="1"/>
      </rPr>
      <t>per hectare</t>
    </r>
  </si>
  <si>
    <t>Application unit</t>
  </si>
  <si>
    <t>Application area (ha)</t>
  </si>
  <si>
    <t>Density</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</si>
  <si>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</si>
  <si>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</si>
  <si>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</si>
  <si>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</si>
  <si>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</si>
  <si>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</si>
  <si>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</si>
  <si>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</si>
  <si>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</si>
  <si>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</si>
  <si>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</si>
  <si>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</si>
  <si>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</si>
  <si>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 N (Ingredients)</t>
  </si>
  <si>
    <t>% N (declared)</t>
  </si>
  <si>
    <t>N application rate (kg/ha)</t>
  </si>
  <si>
    <t>Urea source</t>
  </si>
  <si>
    <t>Ammonia source</t>
  </si>
  <si>
    <t>Urea</t>
  </si>
  <si>
    <t>Boost-It</t>
  </si>
  <si>
    <t>Cal-Gran 50/50</t>
  </si>
  <si>
    <t>Custom fertiliser blends</t>
  </si>
  <si>
    <t>Custom blend name</t>
  </si>
  <si>
    <r>
      <t xml:space="preserve">Amount applied </t>
    </r>
    <r>
      <rPr>
        <sz val="10"/>
        <color theme="1"/>
        <rFont val="Arial"/>
        <family val="1"/>
      </rPr>
      <t>(kg / ha)</t>
    </r>
  </si>
  <si>
    <t>Ingredient 1 (select)</t>
  </si>
  <si>
    <t>Urea source (Select)</t>
  </si>
  <si>
    <t>Ammonia source (select)</t>
  </si>
  <si>
    <t>My first custom blend</t>
  </si>
  <si>
    <t>Calcium nitrate</t>
  </si>
  <si>
    <t>Zinc - Generic</t>
  </si>
  <si>
    <t>Potassium - Generic</t>
  </si>
  <si>
    <t>Sulfur - Generic</t>
  </si>
  <si>
    <t>My second custom blend</t>
  </si>
  <si>
    <t>My third custom blend</t>
  </si>
  <si>
    <t>Ammonia</t>
  </si>
  <si>
    <t>Lime applications</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</si>
  <si>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</si>
  <si>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</si>
  <si>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</si>
  <si>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</si>
  <si>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0"/>
        <color rgb="FF533001"/>
        <rFont val="Arial"/>
        <family val="1"/>
      </rPr>
      <t>3</t>
    </r>
  </si>
  <si>
    <r>
      <t>Percent Dolomite CaMg(CO</t>
    </r>
    <r>
      <rPr>
        <b/>
        <vertAlign val="subscript"/>
        <sz val="10"/>
        <color rgb="FF533001"/>
        <rFont val="Arial"/>
        <family val="1"/>
      </rPr>
      <t>3</t>
    </r>
    <r>
      <rPr>
        <b/>
        <sz val="10"/>
        <color rgb="FF533001"/>
        <rFont val="Arial"/>
        <family val="1"/>
      </rPr>
      <t>)</t>
    </r>
    <r>
      <rPr>
        <b/>
        <vertAlign val="subscript"/>
        <sz val="10"/>
        <color rgb="FF533001"/>
        <rFont val="Arial"/>
        <family val="1"/>
      </rPr>
      <t>2</t>
    </r>
  </si>
  <si>
    <t>Percent Gypsum</t>
  </si>
  <si>
    <t>Lime product 1</t>
  </si>
  <si>
    <t>Lime product 2</t>
  </si>
  <si>
    <t>Lime product 3</t>
  </si>
  <si>
    <t>Organic fertiliser applications</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</si>
  <si>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</si>
  <si>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</si>
  <si>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</si>
  <si>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</si>
  <si>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</si>
  <si>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</si>
  <si>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</si>
  <si>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</si>
  <si>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</si>
  <si>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</si>
  <si>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r>
      <t>ALERT: For method 2 the application rate (N) and mass of nitrogen (MN) is calculated per</t>
    </r>
    <r>
      <rPr>
        <b/>
        <i/>
        <sz val="10"/>
        <color rgb="FFCC6600"/>
        <rFont val="Arial"/>
        <family val="1"/>
      </rPr>
      <t xml:space="preserve"> fertiliser application instance</t>
    </r>
    <r>
      <rPr>
        <b/>
        <sz val="10"/>
        <color rgb="FFCC6600"/>
        <rFont val="Arial"/>
        <family val="1"/>
      </rPr>
      <t>, not per fertiliser type.</t>
    </r>
  </si>
  <si>
    <t>Method 2 prioritises the 'Declared N' value for branded fertiliser products, meaning the amount of N delcared by the manufacturer is used instead of the product ingredients and estimated amount of N for each ingredient.</t>
  </si>
  <si>
    <t>M2_Table_FertApplications</t>
  </si>
  <si>
    <t>Fertiliser product applications (Method 2)</t>
  </si>
  <si>
    <t>kg / hectare</t>
  </si>
  <si>
    <t>kg</t>
  </si>
  <si>
    <t>Product applied</t>
  </si>
  <si>
    <t>N Application rate</t>
  </si>
  <si>
    <t>Application area</t>
  </si>
  <si>
    <t>MN</t>
  </si>
  <si>
    <t>Branded product</t>
  </si>
  <si>
    <t>Table_MN_j_f</t>
  </si>
  <si>
    <t>Mass of nitrogen applied</t>
  </si>
  <si>
    <t>Fertiliser type f</t>
  </si>
  <si>
    <r>
      <t>TM</t>
    </r>
    <r>
      <rPr>
        <b/>
        <vertAlign val="subscript"/>
        <sz val="10"/>
        <color rgb="FF533001"/>
        <rFont val="Arial"/>
        <family val="1"/>
      </rPr>
      <t>jf</t>
    </r>
  </si>
  <si>
    <r>
      <t>FN</t>
    </r>
    <r>
      <rPr>
        <b/>
        <vertAlign val="subscript"/>
        <sz val="10"/>
        <color rgb="FF183C1B"/>
        <rFont val="Arial"/>
        <family val="1"/>
      </rPr>
      <t>inorganic,f</t>
    </r>
  </si>
  <si>
    <r>
      <t>MN</t>
    </r>
    <r>
      <rPr>
        <b/>
        <vertAlign val="subscript"/>
        <sz val="10"/>
        <color rgb="FF533001"/>
        <rFont val="Arial"/>
        <family val="1"/>
      </rPr>
      <t>jf</t>
    </r>
  </si>
  <si>
    <t>Custom blend</t>
  </si>
  <si>
    <t>MN total</t>
  </si>
  <si>
    <t>Application area total</t>
  </si>
  <si>
    <t>N application rate</t>
  </si>
  <si>
    <t>Not used - application rate calculated per product blend application</t>
  </si>
  <si>
    <r>
      <t>EF</t>
    </r>
    <r>
      <rPr>
        <b/>
        <vertAlign val="subscript"/>
        <sz val="10"/>
        <color theme="1" tint="0.24994659260841701"/>
        <rFont val="Arial"/>
        <family val="1"/>
      </rPr>
      <t>fj=irrigatedmaizeN2O</t>
    </r>
  </si>
  <si>
    <t>M1_Table_E_N2O</t>
  </si>
  <si>
    <t>Nitrous oxide emissions from inorganic fertiliser application (Method 1)</t>
  </si>
  <si>
    <r>
      <t>E</t>
    </r>
    <r>
      <rPr>
        <b/>
        <vertAlign val="subscript"/>
        <sz val="10"/>
        <color rgb="FF183C1B"/>
        <rFont val="Arial"/>
        <family val="1"/>
      </rPr>
      <t>N2O</t>
    </r>
  </si>
  <si>
    <r>
      <t>EF</t>
    </r>
    <r>
      <rPr>
        <b/>
        <vertAlign val="subscript"/>
        <sz val="10"/>
        <color theme="1" tint="0.24994659260841701"/>
        <rFont val="Arial"/>
        <family val="1"/>
      </rPr>
      <t>jf=nonirrigatedgrainsN2O</t>
    </r>
  </si>
  <si>
    <t>Capped cotton applicationj rate to 300 based on VEERG "application rate of inorganic fertiliser type f in the cotton crop (kg N/ha). This is capped at a maximum of 0.0183 kg CO2e/kg N, equivalent to N application rates of 300 kg N/ha "</t>
  </si>
  <si>
    <r>
      <t>E</t>
    </r>
    <r>
      <rPr>
        <b/>
        <vertAlign val="subscript"/>
        <sz val="14"/>
        <color theme="1" tint="0.24994659260841701"/>
        <rFont val="Arial"/>
        <family val="1"/>
      </rPr>
      <t>N2O</t>
    </r>
  </si>
  <si>
    <t>Not used</t>
  </si>
  <si>
    <t>M2_Table_EF</t>
  </si>
  <si>
    <t>Emission factor for nitrous oxide for inorganic fertilisers (Method 2)</t>
  </si>
  <si>
    <t>Is used</t>
  </si>
  <si>
    <t>EF</t>
  </si>
  <si>
    <t>Irrigated maize</t>
  </si>
  <si>
    <t>Non-irrigated crop, high rainfall</t>
  </si>
  <si>
    <t>Cotton</t>
  </si>
  <si>
    <t>All other production systems</t>
  </si>
  <si>
    <t>5.1.1.3-4 Inorganic fertiliser application CO2 emissions</t>
  </si>
  <si>
    <t>Table_MU_j_f</t>
  </si>
  <si>
    <t>Mass of urea applied</t>
  </si>
  <si>
    <r>
      <t>FU</t>
    </r>
    <r>
      <rPr>
        <b/>
        <vertAlign val="subscript"/>
        <sz val="10"/>
        <color rgb="FF183C1B"/>
        <rFont val="Arial"/>
        <family val="1"/>
      </rPr>
      <t>f</t>
    </r>
  </si>
  <si>
    <r>
      <t>MU</t>
    </r>
    <r>
      <rPr>
        <b/>
        <vertAlign val="subscript"/>
        <sz val="10"/>
        <color rgb="FF533001"/>
        <rFont val="Arial"/>
        <family val="1"/>
      </rPr>
      <t>jf</t>
    </r>
  </si>
  <si>
    <t>M1_Table_E_CO2</t>
  </si>
  <si>
    <t>Carbon dioxide oxide emissions from inorganic fertiliser application (Method 1)</t>
  </si>
  <si>
    <r>
      <t>E</t>
    </r>
    <r>
      <rPr>
        <b/>
        <vertAlign val="subscript"/>
        <sz val="14"/>
        <color theme="1" tint="0.24994659260841701"/>
        <rFont val="Arial"/>
        <family val="1"/>
      </rPr>
      <t>CO2</t>
    </r>
  </si>
  <si>
    <t>5.2.1.1 1-2 Organic fertiliser application N2O emissions</t>
  </si>
  <si>
    <t>Table_MNSoil_j_f</t>
  </si>
  <si>
    <t>Mass of nitrogen in organic fertilisers</t>
  </si>
  <si>
    <t>Organic fertiliser type (f)</t>
  </si>
  <si>
    <t>Amount applied (kg/ha)</t>
  </si>
  <si>
    <r>
      <t>M</t>
    </r>
    <r>
      <rPr>
        <b/>
        <vertAlign val="subscript"/>
        <sz val="10"/>
        <color rgb="FF183C1B"/>
        <rFont val="Arial"/>
        <family val="1"/>
      </rPr>
      <t>organicjf</t>
    </r>
  </si>
  <si>
    <t>FNorganicf</t>
  </si>
  <si>
    <r>
      <t>MNSoil</t>
    </r>
    <r>
      <rPr>
        <b/>
        <vertAlign val="subscript"/>
        <sz val="10"/>
        <color rgb="FF183C1B"/>
        <rFont val="Arial"/>
        <family val="1"/>
      </rPr>
      <t>jf</t>
    </r>
  </si>
  <si>
    <r>
      <t>MNSoil</t>
    </r>
    <r>
      <rPr>
        <b/>
        <vertAlign val="subscript"/>
        <sz val="10"/>
        <color theme="1" tint="0.24994659260841701"/>
        <rFont val="Arial"/>
        <family val="1"/>
      </rPr>
      <t>jf</t>
    </r>
  </si>
  <si>
    <t>5.3.1.1 1-2 Lime application CO2</t>
  </si>
  <si>
    <t>Table_E_lime</t>
  </si>
  <si>
    <t>Element</t>
  </si>
  <si>
    <t>M</t>
  </si>
  <si>
    <t>FracLime</t>
  </si>
  <si>
    <t>FracDol</t>
  </si>
  <si>
    <t>Elime</t>
  </si>
  <si>
    <r>
      <t>E</t>
    </r>
    <r>
      <rPr>
        <b/>
        <vertAlign val="subscript"/>
        <sz val="14"/>
        <color theme="1" tint="0.24994659260841701"/>
        <rFont val="Arial"/>
        <family val="1"/>
      </rPr>
      <t>lime</t>
    </r>
  </si>
  <si>
    <t>5.4.1.1-4  Atmospheric deposition resulting from fertiliser application</t>
  </si>
  <si>
    <t>Table_M_vol_inorganic_j_f</t>
  </si>
  <si>
    <t>Mass of nitrogen volatilised from inorganic fertiliser application</t>
  </si>
  <si>
    <t>Chemical compound</t>
  </si>
  <si>
    <r>
      <t>MN</t>
    </r>
    <r>
      <rPr>
        <b/>
        <vertAlign val="subscript"/>
        <sz val="10"/>
        <color rgb="FF183C1B"/>
        <rFont val="Arial"/>
        <family val="1"/>
      </rPr>
      <t>jf</t>
    </r>
  </si>
  <si>
    <t>Basis</t>
  </si>
  <si>
    <r>
      <t>FracGASF</t>
    </r>
    <r>
      <rPr>
        <b/>
        <vertAlign val="subscript"/>
        <sz val="10"/>
        <color rgb="FF183C1B"/>
        <rFont val="Arial"/>
        <family val="1"/>
      </rPr>
      <t>f</t>
    </r>
  </si>
  <si>
    <r>
      <t>M</t>
    </r>
    <r>
      <rPr>
        <b/>
        <vertAlign val="subscript"/>
        <sz val="10"/>
        <color rgb="FF183C1B"/>
        <rFont val="Arial"/>
        <family val="1"/>
      </rPr>
      <t>volinorganicjf</t>
    </r>
  </si>
  <si>
    <t>Table_E_ad_inorganic</t>
  </si>
  <si>
    <t>Atmospheric deposition emissions from inorganic fertiliser</t>
  </si>
  <si>
    <r>
      <t>E</t>
    </r>
    <r>
      <rPr>
        <b/>
        <vertAlign val="subscript"/>
        <sz val="10"/>
        <color rgb="FF183C1B"/>
        <rFont val="Arial"/>
        <family val="1"/>
      </rPr>
      <t>ad,inorganic</t>
    </r>
  </si>
  <si>
    <r>
      <t>E</t>
    </r>
    <r>
      <rPr>
        <b/>
        <vertAlign val="subscript"/>
        <sz val="14"/>
        <color theme="1" tint="0.24994659260841701"/>
        <rFont val="Arial"/>
        <family val="1"/>
      </rPr>
      <t>ad,inorganic</t>
    </r>
  </si>
  <si>
    <t>Table_M_vol_organic_j_f</t>
  </si>
  <si>
    <t>Mass of nitrogen volatilised from organic fertiliser applied</t>
  </si>
  <si>
    <r>
      <t>M</t>
    </r>
    <r>
      <rPr>
        <b/>
        <vertAlign val="subscript"/>
        <sz val="10"/>
        <color rgb="FF183C1B"/>
        <rFont val="Arial"/>
        <family val="1"/>
      </rPr>
      <t>vol,organic,jf</t>
    </r>
  </si>
  <si>
    <t>Table_E_ad_organic</t>
  </si>
  <si>
    <t>Atmospheric deposition emissions from organic fertiliser</t>
  </si>
  <si>
    <r>
      <t>E</t>
    </r>
    <r>
      <rPr>
        <b/>
        <vertAlign val="subscript"/>
        <sz val="10"/>
        <color rgb="FF183C1B"/>
        <rFont val="Arial"/>
        <family val="1"/>
      </rPr>
      <t>ad,organic</t>
    </r>
  </si>
  <si>
    <r>
      <t>E</t>
    </r>
    <r>
      <rPr>
        <b/>
        <vertAlign val="subscript"/>
        <sz val="14"/>
        <color theme="1" tint="0.24994659260841701"/>
        <rFont val="Arial"/>
        <family val="1"/>
      </rPr>
      <t>ad,organic</t>
    </r>
  </si>
  <si>
    <t>5.5.1.1-2  Leaching and runoff</t>
  </si>
  <si>
    <t>Table_M_leach_inorganic_j</t>
  </si>
  <si>
    <t>Mass of nitrogen from inorganic fertiliser lost through leaching and runoff</t>
  </si>
  <si>
    <r>
      <t>M</t>
    </r>
    <r>
      <rPr>
        <b/>
        <vertAlign val="subscript"/>
        <sz val="10"/>
        <color rgb="FF183C1B"/>
        <rFont val="Arial"/>
        <family val="1"/>
      </rPr>
      <t>leach,inorganic,j</t>
    </r>
  </si>
  <si>
    <r>
      <t>M</t>
    </r>
    <r>
      <rPr>
        <b/>
        <vertAlign val="subscript"/>
        <sz val="10"/>
        <color theme="1" tint="0.24994659260841701"/>
        <rFont val="Arial"/>
        <family val="1"/>
      </rPr>
      <t>leach,inorganic,j</t>
    </r>
  </si>
  <si>
    <t>Table_M_leach_organic_j</t>
  </si>
  <si>
    <t>Mass of nitrogen from organic fertiliser lost through leaching and runoff</t>
  </si>
  <si>
    <r>
      <t>M</t>
    </r>
    <r>
      <rPr>
        <b/>
        <vertAlign val="subscript"/>
        <sz val="10"/>
        <color rgb="FF183C1B"/>
        <rFont val="Arial"/>
        <family val="1"/>
      </rPr>
      <t>leach,organic,j</t>
    </r>
  </si>
  <si>
    <r>
      <t>M</t>
    </r>
    <r>
      <rPr>
        <b/>
        <vertAlign val="subscript"/>
        <sz val="10"/>
        <color theme="1" tint="0.24994659260841701"/>
        <rFont val="Arial"/>
        <family val="1"/>
      </rPr>
      <t>leach,organic,j</t>
    </r>
  </si>
  <si>
    <r>
      <t>E</t>
    </r>
    <r>
      <rPr>
        <b/>
        <vertAlign val="subscript"/>
        <sz val="14"/>
        <color theme="1" tint="0.24994659260841701"/>
        <rFont val="Arial"/>
        <family val="1"/>
      </rPr>
      <t>fert,leach</t>
    </r>
  </si>
  <si>
    <t>Constants - Fertiliser</t>
  </si>
  <si>
    <t>FNinorganic f</t>
  </si>
  <si>
    <t>FU f</t>
  </si>
  <si>
    <t>Lifecycles Scope 3 definition</t>
  </si>
  <si>
    <t>Production systems</t>
  </si>
  <si>
    <t>Crop types</t>
  </si>
  <si>
    <t>Organic fertiliser types</t>
  </si>
  <si>
    <t>Organic fertiliser type</t>
  </si>
  <si>
    <t>Pasture</t>
  </si>
  <si>
    <t>Manure - Cattle</t>
  </si>
  <si>
    <t>Grains</t>
  </si>
  <si>
    <t>Manure - Swine</t>
  </si>
  <si>
    <t>FracGASF f</t>
  </si>
  <si>
    <t>P</t>
  </si>
  <si>
    <t>Fertiliser products</t>
  </si>
  <si>
    <t>Company</t>
  </si>
  <si>
    <t>Contains inhibitor</t>
  </si>
  <si>
    <t>N declared</t>
  </si>
  <si>
    <t>P declared</t>
  </si>
  <si>
    <t>K declared</t>
  </si>
  <si>
    <t>S declared</t>
  </si>
  <si>
    <t>Ingredient 7</t>
  </si>
  <si>
    <t>Ingredient 7 percent</t>
  </si>
  <si>
    <t>Ingredient 8</t>
  </si>
  <si>
    <t>Ingredient 8 percent</t>
  </si>
  <si>
    <t>Ingredient 9</t>
  </si>
  <si>
    <t>Ingredient 9 percent</t>
  </si>
  <si>
    <t>Ingredient 10</t>
  </si>
  <si>
    <t>Ingredient 10 percent</t>
  </si>
  <si>
    <t>Input - Solid waste</t>
  </si>
  <si>
    <t>Solid waste treatment</t>
  </si>
  <si>
    <t>Treatment type (select)</t>
  </si>
  <si>
    <t>Waste type (select)</t>
  </si>
  <si>
    <t>Treatment location (select)</t>
  </si>
  <si>
    <t>Amount</t>
  </si>
  <si>
    <t>Amount unit (select)</t>
  </si>
  <si>
    <t>Compost paper and cardboard on site (tonnes)</t>
  </si>
  <si>
    <t>Composting</t>
  </si>
  <si>
    <t>Paper and cardboard</t>
  </si>
  <si>
    <t>Removed and treated off-site</t>
  </si>
  <si>
    <t>Compost paper and cardboard on site (m3)</t>
  </si>
  <si>
    <t>Treated on-site</t>
  </si>
  <si>
    <t>cubic metres m3</t>
  </si>
  <si>
    <t>Compost food waste on site (tonnes)</t>
  </si>
  <si>
    <t>Food waste (including animal carcasses, spoiled animal feed or crop)</t>
  </si>
  <si>
    <t>Compost food waste on site (m3)</t>
  </si>
  <si>
    <t>Landfill food waste offsite (tonnes)</t>
  </si>
  <si>
    <t>Landfill</t>
  </si>
  <si>
    <t>Landfill food waste offsite (m3)</t>
  </si>
  <si>
    <t>Landfill food waste on site (tonnes)</t>
  </si>
  <si>
    <t>Landfill food waste on site (m3)</t>
  </si>
  <si>
    <t>Landfill Paper offsite (tonnes)</t>
  </si>
  <si>
    <t>Landfill Paper waste offsite (m3)</t>
  </si>
  <si>
    <t>Landfill Paper waste on site (tonnes)</t>
  </si>
  <si>
    <t>Landfill Paper on site (m3)</t>
  </si>
  <si>
    <t>Landfill Green waste offsite (tonnes)</t>
  </si>
  <si>
    <t>Green waste (including crop residues or prunings)</t>
  </si>
  <si>
    <t>Landfill Green waste offsite (m3)</t>
  </si>
  <si>
    <t>Landfill Green waste on site (tonnes)</t>
  </si>
  <si>
    <t>Landfill Green waste on site (m3)</t>
  </si>
  <si>
    <t>Incineration paper and cardboard on site (tonnes)</t>
  </si>
  <si>
    <t>Incineration</t>
  </si>
  <si>
    <t>Incineration paper and cardboard on site (m3)</t>
  </si>
  <si>
    <t>Incineration green waste on site (tonnes)</t>
  </si>
  <si>
    <t>Incineration green waste on site (m3)</t>
  </si>
  <si>
    <t>Incineration green waste offsite (tonnes)</t>
  </si>
  <si>
    <t>Incineration green waste offsite (m3)</t>
  </si>
  <si>
    <t>Table_V_w_t_onsite</t>
  </si>
  <si>
    <t>Volume of solid waste treated on-site (scope 1)</t>
  </si>
  <si>
    <t>Treatment</t>
  </si>
  <si>
    <t>Waste type</t>
  </si>
  <si>
    <t>Vwt</t>
  </si>
  <si>
    <r>
      <t>VTM</t>
    </r>
    <r>
      <rPr>
        <b/>
        <vertAlign val="subscript"/>
        <sz val="10"/>
        <color rgb="FF183C1B"/>
        <rFont val="Arial"/>
        <family val="1"/>
      </rPr>
      <t>w</t>
    </r>
  </si>
  <si>
    <r>
      <t>Q</t>
    </r>
    <r>
      <rPr>
        <b/>
        <vertAlign val="subscript"/>
        <sz val="10"/>
        <color rgb="FF183C1B"/>
        <rFont val="Arial"/>
        <family val="1"/>
      </rPr>
      <t>wt</t>
    </r>
  </si>
  <si>
    <t>Table_V_w_t_offsite</t>
  </si>
  <si>
    <t>Volume of solid waste sent offsite for treatment by third party (scope 3)</t>
  </si>
  <si>
    <t>Table_E_g_onsite</t>
  </si>
  <si>
    <t>Emissions from waste management of waste treated on-site (scope 1)</t>
  </si>
  <si>
    <r>
      <t>Q</t>
    </r>
    <r>
      <rPr>
        <b/>
        <vertAlign val="subscript"/>
        <sz val="10"/>
        <color rgb="FF533001"/>
        <rFont val="Arial"/>
        <family val="1"/>
      </rPr>
      <t>masswt</t>
    </r>
  </si>
  <si>
    <r>
      <t>Q</t>
    </r>
    <r>
      <rPr>
        <b/>
        <vertAlign val="subscript"/>
        <sz val="10"/>
        <color rgb="FF183C1B"/>
        <rFont val="Arial"/>
        <family val="1"/>
      </rPr>
      <t>volwt</t>
    </r>
  </si>
  <si>
    <r>
      <t>EF</t>
    </r>
    <r>
      <rPr>
        <b/>
        <vertAlign val="subscript"/>
        <sz val="10"/>
        <color rgb="FF183C1B"/>
        <rFont val="Arial"/>
        <family val="1"/>
      </rPr>
      <t>wtg</t>
    </r>
  </si>
  <si>
    <r>
      <t>E</t>
    </r>
    <r>
      <rPr>
        <b/>
        <vertAlign val="subscript"/>
        <sz val="10"/>
        <color rgb="FF183C1B"/>
        <rFont val="Arial"/>
        <family val="1"/>
      </rPr>
      <t>g</t>
    </r>
  </si>
  <si>
    <t>Summed above</t>
  </si>
  <si>
    <r>
      <rPr>
        <b/>
        <sz val="14"/>
        <color theme="1" tint="0.24994659260841701"/>
        <rFont val="Arial"/>
        <family val="1"/>
      </rPr>
      <t>E</t>
    </r>
    <r>
      <rPr>
        <b/>
        <vertAlign val="subscript"/>
        <sz val="14"/>
        <color theme="1" tint="0.24994659260841701"/>
        <rFont val="Arial"/>
        <family val="1"/>
      </rPr>
      <t>g</t>
    </r>
  </si>
  <si>
    <t>Table_E_g_offsite</t>
  </si>
  <si>
    <t>Emissions from waste management of waste taken off-site (scope 3)</t>
  </si>
  <si>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</si>
  <si>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</si>
  <si>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</si>
  <si>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</si>
  <si>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</si>
  <si>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</si>
  <si>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</si>
  <si>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</si>
  <si>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</si>
  <si>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</si>
  <si>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Input - Poultry Purchases</t>
  </si>
  <si>
    <t>⚠️ Livestock sales and purchases are not automatically reflected in the duration and head count tables - you will need to manually adjust head count, duration and average liveweight</t>
  </si>
  <si>
    <t>Quantity (head)</t>
  </si>
  <si>
    <t>Liveweight (kg/head) Method 1</t>
  </si>
  <si>
    <t>Liveweight (kg/head) Method 2</t>
  </si>
  <si>
    <t>Chooks from Carolyn</t>
  </si>
  <si>
    <t>Chicken</t>
  </si>
  <si>
    <t>Roosters from Raj</t>
  </si>
  <si>
    <t>Pullets</t>
  </si>
  <si>
    <t>Input - Common farm inputs</t>
  </si>
  <si>
    <t>Cleaning chemicals</t>
  </si>
  <si>
    <t>Product name</t>
  </si>
  <si>
    <t>Type (select)</t>
  </si>
  <si>
    <t>Quantity purchased (kg)</t>
  </si>
  <si>
    <t>Acid kleen</t>
  </si>
  <si>
    <t>Phosphoric acid</t>
  </si>
  <si>
    <t>Kleen alk</t>
  </si>
  <si>
    <t>Alkaline cleaner</t>
  </si>
  <si>
    <t>White king</t>
  </si>
  <si>
    <t>Bleach</t>
  </si>
  <si>
    <t>Services and contractors</t>
  </si>
  <si>
    <t>Service provider / contractor</t>
  </si>
  <si>
    <t>Activity</t>
  </si>
  <si>
    <t>Total amount</t>
  </si>
  <si>
    <t>Pete's Pickers</t>
  </si>
  <si>
    <t>Fruit picking</t>
  </si>
  <si>
    <t>Hour</t>
  </si>
  <si>
    <t>Harini's Harvesting Services Pty Ltd</t>
  </si>
  <si>
    <t>Wheat harvesting</t>
  </si>
  <si>
    <t>Hectare</t>
  </si>
  <si>
    <t>Uncategorised products</t>
  </si>
  <si>
    <t>Product / service name</t>
  </si>
  <si>
    <t>Something</t>
  </si>
  <si>
    <t>Input - Livestock farm inputs</t>
  </si>
  <si>
    <t>Feed</t>
  </si>
  <si>
    <t>Lick blocks</t>
  </si>
  <si>
    <t>Feed rations</t>
  </si>
  <si>
    <t>Purchased feed blends for livestock</t>
  </si>
  <si>
    <t>Feed blend name</t>
  </si>
  <si>
    <t>Amount fed (kg)</t>
  </si>
  <si>
    <t>Ingredient 1 source region</t>
  </si>
  <si>
    <t>Ingredient 2 (select)</t>
  </si>
  <si>
    <t>Ingredient 2 source region</t>
  </si>
  <si>
    <t>Ingredient 3 (select)</t>
  </si>
  <si>
    <t>Ingredient 3 source region</t>
  </si>
  <si>
    <t>Ingredient 4 (select)</t>
  </si>
  <si>
    <t>Ingredient 4 source region</t>
  </si>
  <si>
    <t>Cereal silage</t>
  </si>
  <si>
    <t>Cereal hay</t>
  </si>
  <si>
    <t>Canola oil</t>
  </si>
  <si>
    <t>Australia</t>
  </si>
  <si>
    <t>Molasses</t>
  </si>
  <si>
    <t>Lucerne hay</t>
  </si>
  <si>
    <t>Hay bales in paddock</t>
  </si>
  <si>
    <t>Wheat grain</t>
  </si>
  <si>
    <t>Soybean meal</t>
  </si>
  <si>
    <t>Brazil</t>
  </si>
  <si>
    <t>Pasture hay</t>
  </si>
  <si>
    <t>Livestock pharmacy chemicals</t>
  </si>
  <si>
    <t>Number of head treated</t>
  </si>
  <si>
    <t>Cow bug off</t>
  </si>
  <si>
    <t>Parasite control for cattle (external), dipping</t>
  </si>
  <si>
    <t>Cow worm-away</t>
  </si>
  <si>
    <t>Parasite control for cattle (internal)</t>
  </si>
  <si>
    <t>Sheep bug off</t>
  </si>
  <si>
    <t>Parasite control for sheep (external)</t>
  </si>
  <si>
    <t>Sheep worm-away</t>
  </si>
  <si>
    <t>Parasite control for sheep (internal)</t>
  </si>
  <si>
    <t>Miscellaneous inputs</t>
  </si>
  <si>
    <t>tags</t>
  </si>
  <si>
    <t>Input - Freight</t>
  </si>
  <si>
    <t>Incoming freight</t>
  </si>
  <si>
    <t>Route name</t>
  </si>
  <si>
    <t>Freight type (select)</t>
  </si>
  <si>
    <t>Route distance (km)</t>
  </si>
  <si>
    <t>Average weight of freight per trip (t)</t>
  </si>
  <si>
    <t>Number of trips taken</t>
  </si>
  <si>
    <t>Melbourne depot to farm depot weekly</t>
  </si>
  <si>
    <t>Transport in truck</t>
  </si>
  <si>
    <t>Fertiliser supplier to farm</t>
  </si>
  <si>
    <t>Rail</t>
  </si>
  <si>
    <t>Outgoing freight</t>
  </si>
  <si>
    <t>Farm to bulk handler</t>
  </si>
  <si>
    <t>Input - Manure sent off-site</t>
  </si>
  <si>
    <t>Manure sent off-site</t>
  </si>
  <si>
    <t>For each relevant livestock type:</t>
  </si>
  <si>
    <r>
      <t>Use the 'Mass of nitrogen applied to soil for scope 3 emissions (MNSoil</t>
    </r>
    <r>
      <rPr>
        <vertAlign val="subscript"/>
        <sz val="10"/>
        <color theme="1" tint="0.24994659260841701"/>
        <rFont val="Arial"/>
        <family val="1"/>
      </rPr>
      <t>scope3</t>
    </r>
    <r>
      <rPr>
        <sz val="10"/>
        <color theme="1" tint="0.24994659260841701"/>
        <rFont val="Arial"/>
        <family val="1"/>
      </rPr>
      <t>)' value calculated in the 'Manure applied to soils' equations (Chapter 4 of VEERG)</t>
    </r>
  </si>
  <si>
    <t>Mass of Nitrogen from manure sent offsite (MNSoil) - Method 1</t>
  </si>
  <si>
    <t>Mass of Nitrogen from manure sent offsite (MNSoil) - Method 2</t>
  </si>
  <si>
    <t>Production system where manure is anticipated to be deposited</t>
  </si>
  <si>
    <t>Irrigation method where manure is anticipated to be deposited</t>
  </si>
  <si>
    <t>15 Scope 3 emissions</t>
  </si>
  <si>
    <t>Scope 3 emissions are calculated on a maximum of 10 livestock purchases for each category</t>
  </si>
  <si>
    <t>Beef cattle</t>
  </si>
  <si>
    <t>Transaction description</t>
  </si>
  <si>
    <t>Livestock type c</t>
  </si>
  <si>
    <t>Origin o</t>
  </si>
  <si>
    <r>
      <t>N</t>
    </r>
    <r>
      <rPr>
        <b/>
        <vertAlign val="subscript"/>
        <sz val="10"/>
        <color theme="1"/>
        <rFont val="Arial"/>
        <family val="1"/>
      </rPr>
      <t>co</t>
    </r>
  </si>
  <si>
    <r>
      <t>W</t>
    </r>
    <r>
      <rPr>
        <b/>
        <vertAlign val="subscript"/>
        <sz val="10"/>
        <color theme="1"/>
        <rFont val="Arial"/>
        <family val="1"/>
      </rPr>
      <t>co</t>
    </r>
    <r>
      <rPr>
        <b/>
        <sz val="10"/>
        <color theme="1"/>
        <rFont val="Arial"/>
        <family val="2"/>
      </rPr>
      <t xml:space="preserve"> - Method 1 (kg/head)</t>
    </r>
  </si>
  <si>
    <r>
      <t>EF</t>
    </r>
    <r>
      <rPr>
        <b/>
        <vertAlign val="subscript"/>
        <sz val="10"/>
        <color rgb="FF183C1B"/>
        <rFont val="Arial"/>
        <family val="1"/>
      </rPr>
      <t>co</t>
    </r>
    <r>
      <rPr>
        <b/>
        <sz val="10"/>
        <color rgb="FF183C1B"/>
        <rFont val="Arial"/>
        <family val="1"/>
      </rPr>
      <t xml:space="preserve"> (Method 1)</t>
    </r>
  </si>
  <si>
    <t>E (Method 1)</t>
  </si>
  <si>
    <r>
      <t>W</t>
    </r>
    <r>
      <rPr>
        <b/>
        <vertAlign val="subscript"/>
        <sz val="10"/>
        <color theme="1"/>
        <rFont val="Arial"/>
        <family val="1"/>
      </rPr>
      <t>co</t>
    </r>
    <r>
      <rPr>
        <b/>
        <sz val="10"/>
        <color theme="1"/>
        <rFont val="Arial"/>
        <family val="2"/>
      </rPr>
      <t xml:space="preserve"> - Method 2 (kg/head)</t>
    </r>
  </si>
  <si>
    <r>
      <t>EF</t>
    </r>
    <r>
      <rPr>
        <b/>
        <vertAlign val="subscript"/>
        <sz val="10"/>
        <color rgb="FF533001"/>
        <rFont val="Arial"/>
        <family val="1"/>
      </rPr>
      <t>co</t>
    </r>
    <r>
      <rPr>
        <b/>
        <sz val="10"/>
        <color rgb="FF533001"/>
        <rFont val="Arial"/>
        <family val="1"/>
      </rPr>
      <t xml:space="preserve"> (Method 2)</t>
    </r>
  </si>
  <si>
    <t>E (Method 2)</t>
  </si>
  <si>
    <t>Method 2 EF source</t>
  </si>
  <si>
    <t>Method 2 EF source type (Select)</t>
  </si>
  <si>
    <t>Method 2 EF proof link</t>
  </si>
  <si>
    <t>Denise did a full LCA</t>
  </si>
  <si>
    <t>Verified credential matching ISO14067</t>
  </si>
  <si>
    <t>http://denisesdairy.com/LCA2024.pdf</t>
  </si>
  <si>
    <t>E - Beef cattle (Method 1)</t>
  </si>
  <si>
    <t>E - Beef cattle (Method 2)</t>
  </si>
  <si>
    <t>Dairy cattle</t>
  </si>
  <si>
    <r>
      <t>EF</t>
    </r>
    <r>
      <rPr>
        <vertAlign val="subscript"/>
        <sz val="9"/>
        <color theme="1" tint="0.34998626667073579"/>
        <rFont val="Arial"/>
        <family val="1"/>
      </rPr>
      <t>co</t>
    </r>
    <r>
      <rPr>
        <sz val="9"/>
        <color theme="1" tint="0.34998626667073579"/>
        <rFont val="Arial"/>
        <family val="1"/>
      </rPr>
      <t xml:space="preserve"> (Method 1)</t>
    </r>
  </si>
  <si>
    <t>E - Dairy cattle (Method 1)</t>
  </si>
  <si>
    <t>E - Dairy cattle (Method 2)</t>
  </si>
  <si>
    <t>Pigs</t>
  </si>
  <si>
    <t>E - Pigs (Method 1)</t>
  </si>
  <si>
    <t>E - Pigs (Method 2)</t>
  </si>
  <si>
    <t>Poultry</t>
  </si>
  <si>
    <t>E - Poultry (Method 1)</t>
  </si>
  <si>
    <t>E - Poultry (Method 2)</t>
  </si>
  <si>
    <t>Feed blends</t>
  </si>
  <si>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</si>
  <si>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</si>
  <si>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</si>
  <si>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t>Scope 3 emissions are calculated on a maximum of 10 feed blends</t>
  </si>
  <si>
    <t>Blend name</t>
  </si>
  <si>
    <r>
      <t>Q</t>
    </r>
    <r>
      <rPr>
        <b/>
        <vertAlign val="subscript"/>
        <sz val="10"/>
        <color rgb="FF533001"/>
        <rFont val="Arial"/>
        <family val="1"/>
      </rPr>
      <t>j</t>
    </r>
  </si>
  <si>
    <r>
      <t>EF</t>
    </r>
    <r>
      <rPr>
        <b/>
        <vertAlign val="subscript"/>
        <sz val="10"/>
        <color rgb="FF183C1B"/>
        <rFont val="Arial"/>
        <family val="1"/>
      </rPr>
      <t>j</t>
    </r>
    <r>
      <rPr>
        <b/>
        <sz val="10"/>
        <color rgb="FF183C1B"/>
        <rFont val="Arial"/>
        <family val="1"/>
      </rPr>
      <t xml:space="preserve"> (Method 1)</t>
    </r>
  </si>
  <si>
    <r>
      <t>EF</t>
    </r>
    <r>
      <rPr>
        <b/>
        <vertAlign val="subscript"/>
        <sz val="10"/>
        <color rgb="FF533001"/>
        <rFont val="Arial"/>
        <family val="1"/>
      </rPr>
      <t>j</t>
    </r>
    <r>
      <rPr>
        <b/>
        <sz val="10"/>
        <color rgb="FF533001"/>
        <rFont val="Arial"/>
        <family val="1"/>
      </rPr>
      <t xml:space="preserve"> (Method 2)</t>
    </r>
  </si>
  <si>
    <t>Ingredient 1 source</t>
  </si>
  <si>
    <t>Ingredient 1 EF</t>
  </si>
  <si>
    <t>Ingredient 2 source</t>
  </si>
  <si>
    <t>Ingredient 2 EF</t>
  </si>
  <si>
    <t>Ingredient 3 source</t>
  </si>
  <si>
    <t>Ingredient 3 EF</t>
  </si>
  <si>
    <t>Ingredient 4 source</t>
  </si>
  <si>
    <t>Ingredient 4 EF</t>
  </si>
  <si>
    <t>Aquaculture and wild catch fieshery feed and bait</t>
  </si>
  <si>
    <r>
      <t>Q</t>
    </r>
    <r>
      <rPr>
        <b/>
        <vertAlign val="subscript"/>
        <sz val="10"/>
        <color rgb="FF533001"/>
        <rFont val="Arial"/>
        <family val="1"/>
      </rPr>
      <t>m</t>
    </r>
  </si>
  <si>
    <r>
      <t>EF</t>
    </r>
    <r>
      <rPr>
        <b/>
        <vertAlign val="subscript"/>
        <sz val="10"/>
        <color rgb="FF183C1B"/>
        <rFont val="Arial"/>
        <family val="1"/>
      </rPr>
      <t>m</t>
    </r>
    <r>
      <rPr>
        <b/>
        <sz val="10"/>
        <color rgb="FF183C1B"/>
        <rFont val="Arial"/>
        <family val="1"/>
      </rPr>
      <t xml:space="preserve"> (Method 1)</t>
    </r>
  </si>
  <si>
    <r>
      <t>EF</t>
    </r>
    <r>
      <rPr>
        <b/>
        <vertAlign val="subscript"/>
        <sz val="10"/>
        <color rgb="FF533001"/>
        <rFont val="Arial"/>
        <family val="1"/>
      </rPr>
      <t>m</t>
    </r>
    <r>
      <rPr>
        <b/>
        <sz val="10"/>
        <color rgb="FF533001"/>
        <rFont val="Arial"/>
        <family val="1"/>
      </rPr>
      <t xml:space="preserve"> (Method 2)</t>
    </r>
  </si>
  <si>
    <t>Branded fertiliser product purchases</t>
  </si>
  <si>
    <t>Scope 3 emissions are calculated on a maximum of 20 branded fertiliser product purchases</t>
  </si>
  <si>
    <t>Total amount (kg)</t>
  </si>
  <si>
    <r>
      <t>EF</t>
    </r>
    <r>
      <rPr>
        <b/>
        <vertAlign val="subscript"/>
        <sz val="10"/>
        <color rgb="FF183C1B"/>
        <rFont val="Arial"/>
        <family val="1"/>
      </rPr>
      <t>f</t>
    </r>
    <r>
      <rPr>
        <b/>
        <sz val="10"/>
        <color rgb="FF183C1B"/>
        <rFont val="Arial"/>
        <family val="1"/>
      </rPr>
      <t xml:space="preserve"> (Method 1)</t>
    </r>
  </si>
  <si>
    <t>E- Product (Method 1)</t>
  </si>
  <si>
    <t>E - Fertiliser components (Method 1)</t>
  </si>
  <si>
    <r>
      <t>EF</t>
    </r>
    <r>
      <rPr>
        <b/>
        <vertAlign val="subscript"/>
        <sz val="10"/>
        <color rgb="FF533001"/>
        <rFont val="Arial"/>
        <family val="1"/>
      </rPr>
      <t>f</t>
    </r>
    <r>
      <rPr>
        <b/>
        <sz val="10"/>
        <color rgb="FF533001"/>
        <rFont val="Arial"/>
        <family val="1"/>
      </rPr>
      <t xml:space="preserve"> (Method 2)</t>
    </r>
  </si>
  <si>
    <t>E- Product (Method 2)</t>
  </si>
  <si>
    <t>E - Fertiliser components (Method 2)</t>
  </si>
  <si>
    <r>
      <t>EF</t>
    </r>
    <r>
      <rPr>
        <b/>
        <vertAlign val="subscript"/>
        <sz val="10"/>
        <color rgb="FF183C1B"/>
        <rFont val="Arial"/>
        <family val="1"/>
      </rPr>
      <t xml:space="preserve">c - </t>
    </r>
    <r>
      <rPr>
        <b/>
        <sz val="10"/>
        <color rgb="FF183C1B"/>
        <rFont val="Arial"/>
        <family val="1"/>
      </rPr>
      <t>Ingredient 1 (Method 1)</t>
    </r>
  </si>
  <si>
    <r>
      <t>EF</t>
    </r>
    <r>
      <rPr>
        <b/>
        <vertAlign val="subscript"/>
        <sz val="10"/>
        <color rgb="FF533001"/>
        <rFont val="Arial"/>
        <family val="1"/>
      </rPr>
      <t>c</t>
    </r>
    <r>
      <rPr>
        <b/>
        <sz val="10"/>
        <color rgb="FF533001"/>
        <rFont val="Arial"/>
        <family val="1"/>
      </rPr>
      <t xml:space="preserve"> - Ingredient 1 (Method 2)</t>
    </r>
  </si>
  <si>
    <r>
      <t>EF</t>
    </r>
    <r>
      <rPr>
        <b/>
        <vertAlign val="subscript"/>
        <sz val="10"/>
        <color rgb="FF183C1B"/>
        <rFont val="Arial"/>
        <family val="1"/>
      </rPr>
      <t xml:space="preserve">c - </t>
    </r>
    <r>
      <rPr>
        <b/>
        <sz val="10"/>
        <color rgb="FF183C1B"/>
        <rFont val="Arial"/>
        <family val="1"/>
      </rPr>
      <t>Ingredient 2 (Method 1)</t>
    </r>
  </si>
  <si>
    <r>
      <t>EF</t>
    </r>
    <r>
      <rPr>
        <b/>
        <vertAlign val="subscript"/>
        <sz val="10"/>
        <color rgb="FF533001"/>
        <rFont val="Arial"/>
        <family val="1"/>
      </rPr>
      <t>c</t>
    </r>
    <r>
      <rPr>
        <b/>
        <sz val="10"/>
        <color rgb="FF533001"/>
        <rFont val="Arial"/>
        <family val="1"/>
      </rPr>
      <t xml:space="preserve"> - Ingredient 2 (Method 2)</t>
    </r>
  </si>
  <si>
    <r>
      <t>EF</t>
    </r>
    <r>
      <rPr>
        <b/>
        <vertAlign val="subscript"/>
        <sz val="10"/>
        <color rgb="FF183C1B"/>
        <rFont val="Arial"/>
        <family val="1"/>
      </rPr>
      <t xml:space="preserve">c - </t>
    </r>
    <r>
      <rPr>
        <b/>
        <sz val="10"/>
        <color rgb="FF183C1B"/>
        <rFont val="Arial"/>
        <family val="1"/>
      </rPr>
      <t>Ingredient 3 (Method 1)</t>
    </r>
  </si>
  <si>
    <r>
      <t>EF</t>
    </r>
    <r>
      <rPr>
        <b/>
        <vertAlign val="subscript"/>
        <sz val="10"/>
        <color rgb="FF533001"/>
        <rFont val="Arial"/>
        <family val="1"/>
      </rPr>
      <t>c</t>
    </r>
    <r>
      <rPr>
        <b/>
        <sz val="10"/>
        <color rgb="FF533001"/>
        <rFont val="Arial"/>
        <family val="1"/>
      </rPr>
      <t xml:space="preserve"> - Ingredient 3 (Method 2)</t>
    </r>
  </si>
  <si>
    <r>
      <t>EF</t>
    </r>
    <r>
      <rPr>
        <b/>
        <vertAlign val="subscript"/>
        <sz val="10"/>
        <color rgb="FF183C1B"/>
        <rFont val="Arial"/>
        <family val="1"/>
      </rPr>
      <t xml:space="preserve">c - </t>
    </r>
    <r>
      <rPr>
        <b/>
        <sz val="10"/>
        <color rgb="FF183C1B"/>
        <rFont val="Arial"/>
        <family val="1"/>
      </rPr>
      <t>Ingredient 4 (Method 1)</t>
    </r>
  </si>
  <si>
    <r>
      <t>EF</t>
    </r>
    <r>
      <rPr>
        <b/>
        <vertAlign val="subscript"/>
        <sz val="10"/>
        <color rgb="FF533001"/>
        <rFont val="Arial"/>
        <family val="1"/>
      </rPr>
      <t>c</t>
    </r>
    <r>
      <rPr>
        <b/>
        <sz val="10"/>
        <color rgb="FF533001"/>
        <rFont val="Arial"/>
        <family val="1"/>
      </rPr>
      <t xml:space="preserve"> - Ingredient 4 (Method 2)</t>
    </r>
  </si>
  <si>
    <r>
      <t>EF</t>
    </r>
    <r>
      <rPr>
        <b/>
        <vertAlign val="subscript"/>
        <sz val="10"/>
        <color rgb="FF183C1B"/>
        <rFont val="Arial"/>
        <family val="1"/>
      </rPr>
      <t xml:space="preserve">c - </t>
    </r>
    <r>
      <rPr>
        <b/>
        <sz val="10"/>
        <color rgb="FF183C1B"/>
        <rFont val="Arial"/>
        <family val="1"/>
      </rPr>
      <t>Ingredient 5 (Method 1)</t>
    </r>
  </si>
  <si>
    <r>
      <t>EF</t>
    </r>
    <r>
      <rPr>
        <b/>
        <vertAlign val="subscript"/>
        <sz val="10"/>
        <color rgb="FF533001"/>
        <rFont val="Arial"/>
        <family val="1"/>
      </rPr>
      <t>c</t>
    </r>
    <r>
      <rPr>
        <b/>
        <sz val="10"/>
        <color rgb="FF533001"/>
        <rFont val="Arial"/>
        <family val="1"/>
      </rPr>
      <t xml:space="preserve"> - Ingredient 5 (Method 2)</t>
    </r>
  </si>
  <si>
    <r>
      <t>EF</t>
    </r>
    <r>
      <rPr>
        <b/>
        <vertAlign val="subscript"/>
        <sz val="10"/>
        <color rgb="FF183C1B"/>
        <rFont val="Arial"/>
        <family val="1"/>
      </rPr>
      <t xml:space="preserve">c - </t>
    </r>
    <r>
      <rPr>
        <b/>
        <sz val="10"/>
        <color rgb="FF183C1B"/>
        <rFont val="Arial"/>
        <family val="1"/>
      </rPr>
      <t>Ingredient 6 (Method 1)</t>
    </r>
  </si>
  <si>
    <r>
      <t>EF</t>
    </r>
    <r>
      <rPr>
        <b/>
        <vertAlign val="subscript"/>
        <sz val="10"/>
        <color rgb="FF533001"/>
        <rFont val="Arial"/>
        <family val="1"/>
      </rPr>
      <t>c</t>
    </r>
    <r>
      <rPr>
        <b/>
        <sz val="10"/>
        <color rgb="FF533001"/>
        <rFont val="Arial"/>
        <family val="1"/>
      </rPr>
      <t xml:space="preserve"> - Ingredient 6 (Method 2)</t>
    </r>
  </si>
  <si>
    <t>Fertiliser custom blends</t>
  </si>
  <si>
    <t>Scope 3 emissions are calculated on a maximum of 20 custom fertiliser blends</t>
  </si>
  <si>
    <t>E (Method 1) - Product EF</t>
  </si>
  <si>
    <t>E (Method 2) - Product EF</t>
  </si>
  <si>
    <t>E (Method 1) - Component EF</t>
  </si>
  <si>
    <t>E (Method 2) - Component EF</t>
  </si>
  <si>
    <t>Active ingredient type</t>
  </si>
  <si>
    <r>
      <t>EF</t>
    </r>
    <r>
      <rPr>
        <b/>
        <vertAlign val="subscript"/>
        <sz val="10"/>
        <color rgb="FF183C1B"/>
        <rFont val="Arial"/>
        <family val="1"/>
      </rPr>
      <t>h</t>
    </r>
    <r>
      <rPr>
        <b/>
        <sz val="10"/>
        <color rgb="FF183C1B"/>
        <rFont val="Arial"/>
        <family val="1"/>
      </rPr>
      <t xml:space="preserve"> (Method 1)</t>
    </r>
  </si>
  <si>
    <r>
      <t>EF</t>
    </r>
    <r>
      <rPr>
        <b/>
        <vertAlign val="subscript"/>
        <sz val="10"/>
        <color rgb="FF533001"/>
        <rFont val="Arial"/>
        <family val="1"/>
      </rPr>
      <t>h</t>
    </r>
    <r>
      <rPr>
        <b/>
        <sz val="10"/>
        <color rgb="FF533001"/>
        <rFont val="Arial"/>
        <family val="1"/>
      </rPr>
      <t xml:space="preserve"> (Method 2)</t>
    </r>
  </si>
  <si>
    <r>
      <t>EF</t>
    </r>
    <r>
      <rPr>
        <vertAlign val="subscript"/>
        <sz val="10"/>
        <color theme="1" tint="0.24994659260841701"/>
        <rFont val="Arial"/>
        <family val="1"/>
      </rPr>
      <t>l</t>
    </r>
    <r>
      <rPr>
        <sz val="10"/>
        <color theme="1" tint="0.24994659260841701"/>
        <rFont val="Arial"/>
        <family val="1"/>
      </rPr>
      <t xml:space="preserve"> - Lime</t>
    </r>
  </si>
  <si>
    <r>
      <t>EF</t>
    </r>
    <r>
      <rPr>
        <vertAlign val="subscript"/>
        <sz val="10"/>
        <color theme="1" tint="0.24994659260841701"/>
        <rFont val="Arial"/>
        <family val="1"/>
      </rPr>
      <t>l</t>
    </r>
    <r>
      <rPr>
        <sz val="10"/>
        <color theme="1" tint="0.24994659260841701"/>
        <rFont val="Arial"/>
        <family val="1"/>
      </rPr>
      <t xml:space="preserve"> - Dolomite</t>
    </r>
  </si>
  <si>
    <r>
      <t>EF</t>
    </r>
    <r>
      <rPr>
        <vertAlign val="subscript"/>
        <sz val="10"/>
        <color theme="1" tint="0.24994659260841701"/>
        <rFont val="Arial"/>
        <family val="1"/>
      </rPr>
      <t>l</t>
    </r>
    <r>
      <rPr>
        <sz val="10"/>
        <color theme="1" tint="0.24994659260841701"/>
        <rFont val="Arial"/>
        <family val="1"/>
      </rPr>
      <t xml:space="preserve"> - Gypsum</t>
    </r>
  </si>
  <si>
    <t>Total amount (t)</t>
  </si>
  <si>
    <r>
      <t>M</t>
    </r>
    <r>
      <rPr>
        <b/>
        <vertAlign val="subscript"/>
        <sz val="10"/>
        <color rgb="FF533001"/>
        <rFont val="Arial"/>
        <family val="1"/>
      </rPr>
      <t>lime</t>
    </r>
    <r>
      <rPr>
        <b/>
        <sz val="10"/>
        <color rgb="FF533001"/>
        <rFont val="Arial"/>
        <family val="1"/>
      </rPr>
      <t xml:space="preserve"> - Lime</t>
    </r>
  </si>
  <si>
    <r>
      <t>M</t>
    </r>
    <r>
      <rPr>
        <b/>
        <vertAlign val="subscript"/>
        <sz val="10"/>
        <color rgb="FF533001"/>
        <rFont val="Arial"/>
        <family val="1"/>
      </rPr>
      <t>lime</t>
    </r>
    <r>
      <rPr>
        <b/>
        <sz val="10"/>
        <color rgb="FF533001"/>
        <rFont val="Arial"/>
        <family val="1"/>
      </rPr>
      <t xml:space="preserve"> - Dolomite</t>
    </r>
  </si>
  <si>
    <r>
      <t>M</t>
    </r>
    <r>
      <rPr>
        <b/>
        <vertAlign val="subscript"/>
        <sz val="10"/>
        <color rgb="FF533001"/>
        <rFont val="Arial"/>
        <family val="1"/>
      </rPr>
      <t>lime</t>
    </r>
    <r>
      <rPr>
        <b/>
        <sz val="10"/>
        <color rgb="FF533001"/>
        <rFont val="Arial"/>
        <family val="1"/>
      </rPr>
      <t xml:space="preserve"> - Gypsum</t>
    </r>
  </si>
  <si>
    <t>E(Method 2)</t>
  </si>
  <si>
    <t>VEERG_15_7_1_1__1_EmissionsFromPurchasedServices_Result_Method1</t>
  </si>
  <si>
    <r>
      <t xml:space="preserve">⚠️ </t>
    </r>
    <r>
      <rPr>
        <b/>
        <sz val="10"/>
        <color rgb="FFC44340"/>
        <rFont val="Arial"/>
        <family val="1"/>
      </rPr>
      <t>ALERT:</t>
    </r>
    <r>
      <rPr>
        <sz val="10"/>
        <color rgb="FFC44340"/>
        <rFont val="Arial"/>
        <family val="1"/>
      </rPr>
      <t xml:space="preserve"> No Method 1 EF data for purchased services and contractor operations is in </t>
    </r>
    <r>
      <rPr>
        <i/>
        <sz val="10"/>
        <color rgb="FFC44340"/>
        <rFont val="Arial"/>
        <family val="1"/>
      </rPr>
      <t>Greenhouse Gas Emission Intensities for Material Inputs to Australian Agriculture, Fisheries and Forestry</t>
    </r>
    <r>
      <rPr>
        <sz val="10"/>
        <color rgb="FFC44340"/>
        <rFont val="Arial"/>
        <family val="1"/>
      </rPr>
      <t>. Use method 2 EF values from your chosen data source.</t>
    </r>
  </si>
  <si>
    <t>Product EF (Method 1)</t>
  </si>
  <si>
    <t>Scope 3 (Method 1)</t>
  </si>
  <si>
    <t>Product EF (Method 2)</t>
  </si>
  <si>
    <t>Scope 3 (Method 2)</t>
  </si>
  <si>
    <t>Scope 3 unit</t>
  </si>
  <si>
    <t>Primary material</t>
  </si>
  <si>
    <r>
      <t>Q</t>
    </r>
    <r>
      <rPr>
        <b/>
        <vertAlign val="subscript"/>
        <sz val="10"/>
        <color theme="1"/>
        <rFont val="Arial"/>
        <family val="1"/>
      </rPr>
      <t>p</t>
    </r>
    <r>
      <rPr>
        <b/>
        <sz val="10"/>
        <color theme="1"/>
        <rFont val="Arial"/>
        <family val="2"/>
      </rPr>
      <t xml:space="preserve"> (kg)</t>
    </r>
  </si>
  <si>
    <r>
      <t>EF</t>
    </r>
    <r>
      <rPr>
        <b/>
        <vertAlign val="subscript"/>
        <sz val="10"/>
        <color rgb="FF183C1B"/>
        <rFont val="Arial"/>
        <family val="1"/>
      </rPr>
      <t xml:space="preserve">p </t>
    </r>
    <r>
      <rPr>
        <b/>
        <sz val="10"/>
        <color rgb="FF183C1B"/>
        <rFont val="Arial"/>
        <family val="1"/>
      </rPr>
      <t>(Method 1)</t>
    </r>
  </si>
  <si>
    <r>
      <t>EF</t>
    </r>
    <r>
      <rPr>
        <b/>
        <vertAlign val="subscript"/>
        <sz val="10"/>
        <color rgb="FF533001"/>
        <rFont val="Arial"/>
        <family val="1"/>
      </rPr>
      <t>p</t>
    </r>
    <r>
      <rPr>
        <b/>
        <sz val="10"/>
        <color rgb="FF533001"/>
        <rFont val="Arial"/>
        <family val="1"/>
      </rPr>
      <t xml:space="preserve"> (Method 2)</t>
    </r>
  </si>
  <si>
    <t>Grow media type</t>
  </si>
  <si>
    <t>VARIATION ON SOURCE: In order for result to be in t CO2e, convert known EF kg values to tonnes by multiplying by 10^-3, and added a check for EF unit where EF is not constant.</t>
  </si>
  <si>
    <t>Cleaning chemical purchases</t>
  </si>
  <si>
    <t>Type</t>
  </si>
  <si>
    <t>Amount purcahsed (kg)</t>
  </si>
  <si>
    <t>Pharmacy chemical purchases</t>
  </si>
  <si>
    <t>EF (Method 1)</t>
  </si>
  <si>
    <t>EF (Method 2)</t>
  </si>
  <si>
    <t>Seed</t>
  </si>
  <si>
    <t>Amount (kg)</t>
  </si>
  <si>
    <t>Miscellaneous Inputs</t>
  </si>
  <si>
    <t>Uncategorised products with no Method 1 EF data</t>
  </si>
  <si>
    <t>EF (Method 2) Unit</t>
  </si>
  <si>
    <t>t / amount unit</t>
  </si>
  <si>
    <t>E</t>
  </si>
  <si>
    <r>
      <t>E</t>
    </r>
    <r>
      <rPr>
        <b/>
        <vertAlign val="subscript"/>
        <sz val="12"/>
        <color theme="1" tint="0.24994659260841701"/>
        <rFont val="Arial"/>
        <family val="1"/>
      </rPr>
      <t>3,elec</t>
    </r>
  </si>
  <si>
    <t>Route</t>
  </si>
  <si>
    <r>
      <t>W</t>
    </r>
    <r>
      <rPr>
        <b/>
        <vertAlign val="subscript"/>
        <sz val="10"/>
        <color rgb="FF533001"/>
        <rFont val="Arial"/>
        <family val="1"/>
      </rPr>
      <t>f</t>
    </r>
    <r>
      <rPr>
        <b/>
        <sz val="10"/>
        <color rgb="FF533001"/>
        <rFont val="Arial"/>
        <family val="1"/>
      </rPr>
      <t xml:space="preserve"> (t)</t>
    </r>
  </si>
  <si>
    <r>
      <t>D</t>
    </r>
    <r>
      <rPr>
        <b/>
        <vertAlign val="subscript"/>
        <sz val="10"/>
        <color rgb="FF533001"/>
        <rFont val="Arial"/>
        <family val="1"/>
      </rPr>
      <t>f</t>
    </r>
    <r>
      <rPr>
        <b/>
        <sz val="10"/>
        <color rgb="FF533001"/>
        <rFont val="Arial"/>
        <family val="1"/>
      </rPr>
      <t xml:space="preserve"> (km)</t>
    </r>
  </si>
  <si>
    <r>
      <t>EF</t>
    </r>
    <r>
      <rPr>
        <b/>
        <vertAlign val="superscript"/>
        <sz val="10"/>
        <color rgb="FF183C1B"/>
        <rFont val="Arial"/>
        <family val="1"/>
      </rPr>
      <t>f</t>
    </r>
    <r>
      <rPr>
        <b/>
        <sz val="10"/>
        <color rgb="FF183C1B"/>
        <rFont val="Arial"/>
        <family val="1"/>
      </rPr>
      <t xml:space="preserve"> (Method 1)</t>
    </r>
  </si>
  <si>
    <t>E - Incoming freight (Method 1)</t>
  </si>
  <si>
    <t>E - Incoming freight (Method 2)</t>
  </si>
  <si>
    <t>E - Outgoing freight (Method 1)</t>
  </si>
  <si>
    <t>E - Outgoing freight (Method 2)</t>
  </si>
  <si>
    <t>Calcs - Manure sent off-site</t>
  </si>
  <si>
    <r>
      <t>M</t>
    </r>
    <r>
      <rPr>
        <b/>
        <vertAlign val="subscript"/>
        <sz val="10"/>
        <color theme="1" tint="0.24994659260841701"/>
        <rFont val="Arial"/>
        <family val="1"/>
      </rPr>
      <t>vol,inorganic,jf</t>
    </r>
  </si>
  <si>
    <r>
      <t>M</t>
    </r>
    <r>
      <rPr>
        <b/>
        <vertAlign val="subscript"/>
        <sz val="10"/>
        <color theme="1" tint="0.24994659260841701"/>
        <rFont val="Arial"/>
        <family val="1"/>
      </rPr>
      <t>leach,inorganic,jf</t>
    </r>
  </si>
  <si>
    <t>Animals</t>
  </si>
  <si>
    <t>Table_ProductRegions_Beefcattle</t>
  </si>
  <si>
    <t>Category</t>
  </si>
  <si>
    <t>Region of origin</t>
  </si>
  <si>
    <t>Quantity Unit</t>
  </si>
  <si>
    <t>Emissions intensity</t>
  </si>
  <si>
    <t>System boundary</t>
  </si>
  <si>
    <t>Region</t>
  </si>
  <si>
    <t>Scope3 region</t>
  </si>
  <si>
    <t>GHGEI-MIAFF</t>
  </si>
  <si>
    <t>WA - South west</t>
  </si>
  <si>
    <t>WA - Pilbara</t>
  </si>
  <si>
    <t>WA - Kimberley</t>
  </si>
  <si>
    <t>NT - Alice Springs</t>
  </si>
  <si>
    <t>NT - Barkly</t>
  </si>
  <si>
    <t>NT - Northern</t>
  </si>
  <si>
    <t>QLD - High</t>
  </si>
  <si>
    <t>QLD - Moderate/High</t>
  </si>
  <si>
    <t>QLD - Moderate/Low</t>
  </si>
  <si>
    <t>QLD - Low</t>
  </si>
  <si>
    <t>Chemicals</t>
  </si>
  <si>
    <t>Inorganic fertilisers</t>
  </si>
  <si>
    <t>Quantity</t>
  </si>
  <si>
    <t>Other agricultural inputs</t>
  </si>
  <si>
    <t>Packaging</t>
  </si>
  <si>
    <t>Pesticides</t>
  </si>
  <si>
    <t>Soil ameliorants</t>
  </si>
  <si>
    <t>Fish feed and bait</t>
  </si>
  <si>
    <t>VEERG</t>
  </si>
  <si>
    <t>Constants - Livestock</t>
  </si>
  <si>
    <t>Symbol</t>
  </si>
  <si>
    <t>Manure management system</t>
  </si>
  <si>
    <t>Volatile solid production poultry classes</t>
  </si>
  <si>
    <t>VEERG 2026: 4.4.1.1, Equation (5)</t>
  </si>
  <si>
    <t>VS_jk</t>
  </si>
  <si>
    <t>kg VS/bird/day</t>
  </si>
  <si>
    <t>I_jk</t>
  </si>
  <si>
    <t>dry matter intake for each class and subclass</t>
  </si>
  <si>
    <t>DMD_jk</t>
  </si>
  <si>
    <t>dry matter digestibility for each class and subclass</t>
  </si>
  <si>
    <t>A_j</t>
  </si>
  <si>
    <t>ash content of manure for each class and subclass</t>
  </si>
  <si>
    <t>kg DM/bird/day</t>
  </si>
  <si>
    <t>Input</t>
  </si>
  <si>
    <t>Constant</t>
  </si>
  <si>
    <t>Production of methane in treatment stage 1 MMS</t>
  </si>
  <si>
    <t>VEERG 2026: 4.4.1.1, Equation (2)</t>
  </si>
  <si>
    <t>M_jkmT1</t>
  </si>
  <si>
    <t>kg CH4/bird/day</t>
  </si>
  <si>
    <t>volatile solid production poultry classes</t>
  </si>
  <si>
    <t>BO_j</t>
  </si>
  <si>
    <t>emissions potential per class</t>
  </si>
  <si>
    <t>MMS_jmT1</t>
  </si>
  <si>
    <t>fraction of manure in each primary system</t>
  </si>
  <si>
    <t>MCF_im</t>
  </si>
  <si>
    <t>methane conversion factor for temperature zone and MMS</t>
  </si>
  <si>
    <t>rho</t>
  </si>
  <si>
    <t>density of methane</t>
  </si>
  <si>
    <t>i</t>
  </si>
  <si>
    <t>state</t>
  </si>
  <si>
    <t>Calculated from 4.6.1.1 (5)</t>
  </si>
  <si>
    <t>m3 CH4/kg VS</t>
  </si>
  <si>
    <t>kg/m3</t>
  </si>
  <si>
    <t>mean annual temperature</t>
  </si>
  <si>
    <t>°C</t>
  </si>
  <si>
    <t>Volatile solids transferred to treatment stage 2 MMS</t>
  </si>
  <si>
    <t>VEERG 2026: 4.4.1.1, Equation (4)</t>
  </si>
  <si>
    <t>VST_jk</t>
  </si>
  <si>
    <t>VSL_mT1</t>
  </si>
  <si>
    <t>fraction of volatile solids lost during storage in the primary system</t>
  </si>
  <si>
    <t>Production of methane in treatment stage 2 MMS</t>
  </si>
  <si>
    <t>VEERG 2026: 4.4.1.1, Equation (3)</t>
  </si>
  <si>
    <t>VARIATION ON SOURCE: Used mean annual temperature instead of temperature zone to determine MCF as MCF values are specific to temperature</t>
  </si>
  <si>
    <t>M_jkmT2</t>
  </si>
  <si>
    <t>volatile solids transferred to treatment stage 2 MMS</t>
  </si>
  <si>
    <t>BO</t>
  </si>
  <si>
    <t>emissions potential</t>
  </si>
  <si>
    <t>MMS_jmT2</t>
  </si>
  <si>
    <t>fraction of manure in each secondary system</t>
  </si>
  <si>
    <t>Calculated from 4.6.1.1 (4)</t>
  </si>
  <si>
    <t>Total annual methane emissions from manure management</t>
  </si>
  <si>
    <t>VEERG 2026: 4.4.1.1, Equation (1)</t>
  </si>
  <si>
    <t>E_CH4</t>
  </si>
  <si>
    <t>D_jk</t>
  </si>
  <si>
    <t>duration of stay of each class and subclass of poultry</t>
  </si>
  <si>
    <t>M_jkmT</t>
  </si>
  <si>
    <t>methane production from manure per class, subclass, MMS, and treatment stage</t>
  </si>
  <si>
    <t>N_jk</t>
  </si>
  <si>
    <t>numbers of poultry in each class and subclass</t>
  </si>
  <si>
    <t>days</t>
  </si>
  <si>
    <t>Calculated from 4.6.1.1 (2)(3)</t>
  </si>
  <si>
    <t>birds</t>
  </si>
  <si>
    <t>Nitrogen intake of poultry</t>
  </si>
  <si>
    <t>VEERG 2026: 4.6.1.3, Equation (5)</t>
  </si>
  <si>
    <t>NI_jk</t>
  </si>
  <si>
    <t>kg N/bird/day</t>
  </si>
  <si>
    <t>CP_jk</t>
  </si>
  <si>
    <t>crude protein content of feed</t>
  </si>
  <si>
    <t>factor for converting crude protein into nitrogen</t>
  </si>
  <si>
    <t>ratio</t>
  </si>
  <si>
    <t>Nitrogen excretion per bird per day</t>
  </si>
  <si>
    <t>VEERG 2026: 4.6.1.3, Equation (4)</t>
  </si>
  <si>
    <t>NE_jk</t>
  </si>
  <si>
    <t>nitrogen intake</t>
  </si>
  <si>
    <t>NR_jk</t>
  </si>
  <si>
    <t>nitrogen retention expressed as a fraction of intake</t>
  </si>
  <si>
    <t>Calculated from 4.6.1.3 (5)</t>
  </si>
  <si>
    <t>Annual nitrogen excretion for each poultry class and subclass</t>
  </si>
  <si>
    <t>VEERG 2026: 4.6.1.3, Equation (3)</t>
  </si>
  <si>
    <t>AE_jk</t>
  </si>
  <si>
    <t>number of poultry in each class and subclass</t>
  </si>
  <si>
    <t>nitrogen excretion</t>
  </si>
  <si>
    <t>duration of stay of each class and subclass</t>
  </si>
  <si>
    <t>bird</t>
  </si>
  <si>
    <t>Calculated from 4.6.1.3 (4)</t>
  </si>
  <si>
    <t>Nitrogen in treatment stage 1 MMS</t>
  </si>
  <si>
    <t>VEERG 2026: 4.6.1.3, Equation (2)</t>
  </si>
  <si>
    <t>MN_jkmT1</t>
  </si>
  <si>
    <t>total nitrogen excreted by each poultry class and subclass</t>
  </si>
  <si>
    <t>Calculated from 4.6.1.3 (3)</t>
  </si>
  <si>
    <t>Nitrogen transferred to treatment stage 2 MMS</t>
  </si>
  <si>
    <t>VEERG 2026: 4.6.1.3, Equation (7)</t>
  </si>
  <si>
    <t>NT_jkmT2</t>
  </si>
  <si>
    <t>nitrogen in MMS treatment stage 1</t>
  </si>
  <si>
    <t>FracGASM_mT1</t>
  </si>
  <si>
    <t>fraction of N volatilised from MMS treatment at stage 1</t>
  </si>
  <si>
    <t>EF_mT1</t>
  </si>
  <si>
    <t>nitrous oxide emission factor for MMS treatment at stage 1</t>
  </si>
  <si>
    <t>Calculated from 4.6.1.3 (6)</t>
  </si>
  <si>
    <t>kg N2O-N/kg N</t>
  </si>
  <si>
    <t>Nitrogen in treatment stage 2 MMS</t>
  </si>
  <si>
    <t>VEERG 2026: 4.6.1.3, Equation (6)</t>
  </si>
  <si>
    <t>MN_jkmT2</t>
  </si>
  <si>
    <t>nitrogen transferred to secondary treatment MMS</t>
  </si>
  <si>
    <t>MMS_mT2</t>
  </si>
  <si>
    <t>Calculated from 4.6.1.3 (7)</t>
  </si>
  <si>
    <t>Total annual direct nitrous oxide emissions from manure management systems</t>
  </si>
  <si>
    <t>VEERG 2026: 4.6.1.3, Equation (1)</t>
  </si>
  <si>
    <t>E_N2Odir</t>
  </si>
  <si>
    <t>MN_jkmT</t>
  </si>
  <si>
    <t>nitrogen per poultry class, subclass, MMS and treatment stage</t>
  </si>
  <si>
    <t>EF_jm</t>
  </si>
  <si>
    <t>nitrous oxide emission factor for MMS</t>
  </si>
  <si>
    <t>C_N2O</t>
  </si>
  <si>
    <t>factor to convert elemental mass of nitrous oxide to molecular mass</t>
  </si>
  <si>
    <t>Calculated from 4.6.1.3 (2)(6)</t>
  </si>
  <si>
    <t>Total nitrogen volatilised from manure management systems</t>
  </si>
  <si>
    <t>VEERG 2026: 4.6.1.5, Equation (2)</t>
  </si>
  <si>
    <t>MMS_ATMOS</t>
  </si>
  <si>
    <t>nitrogen in each treatment stage MMS (excluding MN_jkm13T2)</t>
  </si>
  <si>
    <t>FracGASM_mT</t>
  </si>
  <si>
    <t>fraction of N volatilised in each MMS</t>
  </si>
  <si>
    <t>(kg NH3-N + NOx-N)/kg N</t>
  </si>
  <si>
    <t>Total annual atmospheric deposition emissions from manure management</t>
  </si>
  <si>
    <t>VEERG 2026: 4.6.1.5, Equation (1)</t>
  </si>
  <si>
    <t>E_N2Oad</t>
  </si>
  <si>
    <t>mass of N volatilised from MMS</t>
  </si>
  <si>
    <t>EF_N2O</t>
  </si>
  <si>
    <t>nitrous oxide emission factor for atmospheric deposition</t>
  </si>
  <si>
    <t>j</t>
  </si>
  <si>
    <t>production system</t>
  </si>
  <si>
    <t>ir</t>
  </si>
  <si>
    <t>irrigation method</t>
  </si>
  <si>
    <t>r</t>
  </si>
  <si>
    <t>rainfall region</t>
  </si>
  <si>
    <t>Calculated from 4.6.1.5 (2)</t>
  </si>
  <si>
    <t>Mass of nitrogen lost to leaching and runoff from solid storage systems</t>
  </si>
  <si>
    <t>VEERG 2026: 4.6.1.7, Equation (2)</t>
  </si>
  <si>
    <t>MNLeach_jkm4</t>
  </si>
  <si>
    <t>MN_jkm4T2</t>
  </si>
  <si>
    <t>nitrogen in solid storage MMS treatment stage 2</t>
  </si>
  <si>
    <t>fraction of N available for leaching and runoff</t>
  </si>
  <si>
    <t>FracLEACH_MS</t>
  </si>
  <si>
    <t>fraction of N lost through leaching and runoff</t>
  </si>
  <si>
    <t>z</t>
  </si>
  <si>
    <t>location in leaching zone</t>
  </si>
  <si>
    <t>Annual emissions from leaching and runoff from each MMS</t>
  </si>
  <si>
    <t>VEERG 2026: 4.6.1.7, Equation (1)</t>
  </si>
  <si>
    <t>E_N2Oleach</t>
  </si>
  <si>
    <t>mass of N lost through leaching and runoff from each MMS</t>
  </si>
  <si>
    <t>EF_leach</t>
  </si>
  <si>
    <t>emission factor for leaching and runoff</t>
  </si>
  <si>
    <t>factor to convert elemental mass of N2O to molecular mass</t>
  </si>
  <si>
    <t>Calculated from 4.6.1.7 (2)</t>
  </si>
  <si>
    <t>Mass of nitrogen applied to soils for scope 1 emissions</t>
  </si>
  <si>
    <t>VEERG 2026: 4.6.1.9, Equation (1)</t>
  </si>
  <si>
    <t>MNSoil_scope1</t>
  </si>
  <si>
    <t>MN_jmT2</t>
  </si>
  <si>
    <t>mass of N in secondary treatment stage as calculated for manure management</t>
  </si>
  <si>
    <t>EF_mT2</t>
  </si>
  <si>
    <t>nitrous oxide emission factor for each MMS</t>
  </si>
  <si>
    <t>FracGASM_mT2</t>
  </si>
  <si>
    <t>fraction of animal waste N volatilised in each MMS</t>
  </si>
  <si>
    <t>MNLeach_MMS</t>
  </si>
  <si>
    <t>mass of N lost through leaching and runoff from MMS</t>
  </si>
  <si>
    <t>fraction of manure applied to soil within the farm boundary</t>
  </si>
  <si>
    <t>Mass of nitrogen applied to soils for scope 3 emissions</t>
  </si>
  <si>
    <t>VEERG 2026: 4.6.1.9, Equation (2)</t>
  </si>
  <si>
    <t>MNSoil_scope3</t>
  </si>
  <si>
    <t>Direct nitrous oxide emissions from poultry manure on pasture</t>
  </si>
  <si>
    <t>VEERG 2026: 4.6.1.10, Equation (1)</t>
  </si>
  <si>
    <t>EM_N2OPRPdir</t>
  </si>
  <si>
    <t>MN_jkm14T1</t>
  </si>
  <si>
    <t>mass of nitrogen excreted directly on pasture by poultry class and subclass</t>
  </si>
  <si>
    <t>EF_PRP</t>
  </si>
  <si>
    <t>nitrous oxide emission factor for manure deposited on pasture</t>
  </si>
  <si>
    <t>Calculated from 4.6.1.3 (2)</t>
  </si>
  <si>
    <t>kg N2O-N/kg N deposited</t>
  </si>
  <si>
    <t>Mass of nitrogen volatilised from poultry manure deposited on pasture</t>
  </si>
  <si>
    <t>VEERG 2026: 4.6.1.12, Equation (2)</t>
  </si>
  <si>
    <t>M_vol_m14</t>
  </si>
  <si>
    <t>FracGASMsoil</t>
  </si>
  <si>
    <t>fraction of nitrogen volatilised from manure deposited on pasture</t>
  </si>
  <si>
    <t>Atmospheric deposition emissions from poultry manure deposited on pasture</t>
  </si>
  <si>
    <t>VEERG 2026: 4.6.1.12, Equation (1)</t>
  </si>
  <si>
    <t>mass of nitrogen volatilised from manure deposited on pasture</t>
  </si>
  <si>
    <t>emission factor for atmospheric deposition (kg N2O-N/kg N)</t>
  </si>
  <si>
    <t>Calculated from 4.6.1.12 (2)</t>
  </si>
  <si>
    <t>Mass of nitrogen lost to leaching and runoff from poultry manure deposited on pasture</t>
  </si>
  <si>
    <t>VEERG 2026: 4.6.1.14, Equation (2)</t>
  </si>
  <si>
    <t>M_leach_m14</t>
  </si>
  <si>
    <t>FracWet</t>
  </si>
  <si>
    <t>fraction of N that is lost through leaching and runoff</t>
  </si>
  <si>
    <t>Leaching and runoff emissions from poultry manure deposited on pasture</t>
  </si>
  <si>
    <t>VEERG 2026: 4.6.1.14, Equation (1)</t>
  </si>
  <si>
    <t>mass of nitrogen lost to leaching and runoff from poultry manure deposited on pasture</t>
  </si>
  <si>
    <t>emission factor for leaching and runoff (kg N2O-N/kg N)</t>
  </si>
  <si>
    <t>Calculated from 4.6.1.14 (2)</t>
  </si>
  <si>
    <t>Emissions for each GHG from the combustion of fuels for transport energy purposes</t>
  </si>
  <si>
    <t>VEERG 2026: 8.1.1.1, Equation (1)</t>
  </si>
  <si>
    <t>Upstream emissions from scope 1 fuel use for transport purposes</t>
  </si>
  <si>
    <t>VEERG 2026: 15.11.1.1, Equation (2)</t>
  </si>
  <si>
    <t>E_g</t>
  </si>
  <si>
    <t>E_WTTtransq</t>
  </si>
  <si>
    <t>Q_Transtq</t>
  </si>
  <si>
    <t>Amount of fuel type q combusted for transport energy purposes</t>
  </si>
  <si>
    <t>EC_Transq</t>
  </si>
  <si>
    <t>Energy content factor for transport energy purposes</t>
  </si>
  <si>
    <t>EF_Trans1tqg</t>
  </si>
  <si>
    <t>Scope 1 emission factor for transport energy purposes for each greenhouse gas</t>
  </si>
  <si>
    <t>q</t>
  </si>
  <si>
    <t>Trans</t>
  </si>
  <si>
    <t>Transport combustion</t>
  </si>
  <si>
    <t>g</t>
  </si>
  <si>
    <t>Greenhouse gas</t>
  </si>
  <si>
    <t>Varies based on fuel type: kL, m3, GJ</t>
  </si>
  <si>
    <t>GJ / unit of fuel</t>
  </si>
  <si>
    <t>kg CO2e / GJ</t>
  </si>
  <si>
    <t>Q_Transq</t>
  </si>
  <si>
    <t>amount of fuel q combusted for transport energy purposes</t>
  </si>
  <si>
    <t>energy content factor for transport energy purposes</t>
  </si>
  <si>
    <t>EF_Trans3q</t>
  </si>
  <si>
    <t>scope 3 emission factor for transport energy purposes</t>
  </si>
  <si>
    <t>GJ/kL or GJ/m3</t>
  </si>
  <si>
    <t>kg CO2e/GJ</t>
  </si>
  <si>
    <t>Emissions for each GHG from the stationary combustion of fuels</t>
  </si>
  <si>
    <t>VEERG 2026: 8.2.1.1, Equation (1)</t>
  </si>
  <si>
    <t>Upstream emissions from scope 1 stationary combustion fuel use</t>
  </si>
  <si>
    <t>VEERG 2026: 15.11.1.1, Equation (3)</t>
  </si>
  <si>
    <t>VARIATION ON SOURCE: Added 'state' and 'metro/non-metro' arguments as gaseous scope 3 EFs are state and metro/non-metro location-based.</t>
  </si>
  <si>
    <t>E_WTTSCq</t>
  </si>
  <si>
    <t>Q_SCq</t>
  </si>
  <si>
    <t>Amount of fuel type q used for stationary combustion operations</t>
  </si>
  <si>
    <t>EC_SCq</t>
  </si>
  <si>
    <t>Energy content factor for stationary combustion operations</t>
  </si>
  <si>
    <t>EF_SC1qg</t>
  </si>
  <si>
    <t>Scope 1 emission factor for stationary combustion for each greenhouse gas</t>
  </si>
  <si>
    <t>SC</t>
  </si>
  <si>
    <t>Stationary combustion</t>
  </si>
  <si>
    <t>amount of fuel q used for stationary combustion operations</t>
  </si>
  <si>
    <t>energy content factor for stationary combustion operations</t>
  </si>
  <si>
    <t>EF_SC3q</t>
  </si>
  <si>
    <t>scope 3 emission factor for stationary combustion operations</t>
  </si>
  <si>
    <t>m</t>
  </si>
  <si>
    <t>metropolitan/non-metropolitan location</t>
  </si>
  <si>
    <t>GJ/kL</t>
  </si>
  <si>
    <t>Mass of waste from waste volume</t>
  </si>
  <si>
    <t>VEERG 2026: 10.1.1.1, Equation (2)</t>
  </si>
  <si>
    <t>Q_wt</t>
  </si>
  <si>
    <t>t</t>
  </si>
  <si>
    <t>V_wt</t>
  </si>
  <si>
    <t>volume of solid waste type w being sent to treatment facility t</t>
  </si>
  <si>
    <t>VTM_w</t>
  </si>
  <si>
    <t>conversion factor of volume to mass for waste type w</t>
  </si>
  <si>
    <t>w</t>
  </si>
  <si>
    <t>waste type</t>
  </si>
  <si>
    <t>treatment facility</t>
  </si>
  <si>
    <t>m3</t>
  </si>
  <si>
    <t>t/m3</t>
  </si>
  <si>
    <t>Emissions from waste management by greenhouse gas</t>
  </si>
  <si>
    <t>VEERG 2026: 10.1.1.1, Equation (1)</t>
  </si>
  <si>
    <t>VARIATION ON SOURCE: Added Q_volwt and Q_masswt variables to clearly track input or calculated Q values</t>
  </si>
  <si>
    <t>quantity of solid waste of type w being sent to treatment facility t, on a wet weight basis</t>
  </si>
  <si>
    <t>EF_wtg</t>
  </si>
  <si>
    <t>emission factor for greenhouse gas g for the management of waste at treatment facility t</t>
  </si>
  <si>
    <t>greenhouse gas</t>
  </si>
  <si>
    <t>Q_volwt</t>
  </si>
  <si>
    <t>quantity of sold waste input as volume and converted to tonnes</t>
  </si>
  <si>
    <t>Q_masswt</t>
  </si>
  <si>
    <t>quantity of solid waste input as mass</t>
  </si>
  <si>
    <t>Sum of Q_volwt and Q_masswt</t>
  </si>
  <si>
    <t>t CO2e/t</t>
  </si>
  <si>
    <t>Calculated from 10.1.1.1 (2)</t>
  </si>
  <si>
    <t>Location-based Scope 2 emissions from purchased electricity</t>
  </si>
  <si>
    <t>VEERG 2026: 14.1.1, Equation (1)</t>
  </si>
  <si>
    <t>Added g variable to capture which grid electricity was purchased from</t>
  </si>
  <si>
    <t>E_2elec</t>
  </si>
  <si>
    <t>Q_elec</t>
  </si>
  <si>
    <t>amount of electricity purchased from the grid</t>
  </si>
  <si>
    <t>EF_2elec</t>
  </si>
  <si>
    <t>location-based Scope 2 emission factor for electricity</t>
  </si>
  <si>
    <t>Grid electricity was purchased from</t>
  </si>
  <si>
    <t>kg CO2e/kWh</t>
  </si>
  <si>
    <t>Market-based Scope 2 emissions from purchased electricity</t>
  </si>
  <si>
    <t>VEERG 2026: 14.1.2, Equation (1)</t>
  </si>
  <si>
    <t>VARIATION ON SOURCE: In order to convert megawatt hours to kilowatt hours, the REC_surrendered and REC_onsite variables are multiplied by 10^3 instead of 10^-3.</t>
  </si>
  <si>
    <t>RPP</t>
  </si>
  <si>
    <t>Renewable Power Percentage under the Large-scale Renewable Energy Target (LRET)</t>
  </si>
  <si>
    <t>JRPP</t>
  </si>
  <si>
    <t>jurisdictional renewable power percentage for the applicable period (ACT only)</t>
  </si>
  <si>
    <t>REC_surrendered</t>
  </si>
  <si>
    <t>Renewable Energy Certificates voluntarily surrendered in the reporting year</t>
  </si>
  <si>
    <t>REC_onsite</t>
  </si>
  <si>
    <t>Renewable Energy Certificates issued for electricity produced on-site during the year and consumed by the entity</t>
  </si>
  <si>
    <t>EF_RMF2elec</t>
  </si>
  <si>
    <t>Scope 2 residual mix emission factor for electricity</t>
  </si>
  <si>
    <t>per cent</t>
  </si>
  <si>
    <t>Total emissions from purchased livestock</t>
  </si>
  <si>
    <t>VEERG 2026: 15.1.1.1, Equation (1)</t>
  </si>
  <si>
    <t>N_co</t>
  </si>
  <si>
    <t>number of animals purchased in livestock type c from origin o</t>
  </si>
  <si>
    <t>W_co</t>
  </si>
  <si>
    <t>average liveweight of purchased livestock at point of purchase</t>
  </si>
  <si>
    <t>EF_co</t>
  </si>
  <si>
    <t>emission factor per livestock type and origin</t>
  </si>
  <si>
    <t>c</t>
  </si>
  <si>
    <t>livestock type</t>
  </si>
  <si>
    <t>o</t>
  </si>
  <si>
    <t>origin</t>
  </si>
  <si>
    <t>head</t>
  </si>
  <si>
    <t>kg/head</t>
  </si>
  <si>
    <t>kg CO2e/kg</t>
  </si>
  <si>
    <t>Emissions from purchased feed</t>
  </si>
  <si>
    <t>VEERG 2026: 15.2.1.1, Equation (1)</t>
  </si>
  <si>
    <t>VARIATION ON SOURCE: Input Q_j in kg instead of t to match EF units. Multiply by 10^-3 to convert kg CO2e to t CO2e.</t>
  </si>
  <si>
    <t>Q_j</t>
  </si>
  <si>
    <t>quantity of feed type j purchased</t>
  </si>
  <si>
    <t>EF_j</t>
  </si>
  <si>
    <t>emission factor of purchased feed</t>
  </si>
  <si>
    <t>feed type</t>
  </si>
  <si>
    <t>Total emissions from purchased mineral supplements</t>
  </si>
  <si>
    <t>VEERG 2026: 15.3.1.1, Equation (1)</t>
  </si>
  <si>
    <t>Q_m</t>
  </si>
  <si>
    <t>total quantity of mineral supplement type m used</t>
  </si>
  <si>
    <t>EF_m</t>
  </si>
  <si>
    <t>emission factor of purchased mineral supplement</t>
  </si>
  <si>
    <t>mineral supplement type</t>
  </si>
  <si>
    <t>Emission factor for fertiliser product derived from components</t>
  </si>
  <si>
    <t>GAF</t>
  </si>
  <si>
    <t>VARIATION ON SOURCE: This equation is added to calculate an EF value from fertiliser components that can be used in 15.4.1.1 (1)</t>
  </si>
  <si>
    <t>EF_f</t>
  </si>
  <si>
    <t>kg CO2e/kg fertiliser</t>
  </si>
  <si>
    <t>F_cf</t>
  </si>
  <si>
    <t>fraction of component c contained within the inorganic fertiliser f</t>
  </si>
  <si>
    <t>EF_c</t>
  </si>
  <si>
    <t>emission factor for the production of component c</t>
  </si>
  <si>
    <t>fertiliser component</t>
  </si>
  <si>
    <t>f</t>
  </si>
  <si>
    <t>inorganic fertiliser type</t>
  </si>
  <si>
    <t>wt%</t>
  </si>
  <si>
    <t>kg CO2e/kg component</t>
  </si>
  <si>
    <t>Emissions from purchased fertiliser</t>
  </si>
  <si>
    <t>VEERG 2026: 15.4.1.1, Equation (1)</t>
  </si>
  <si>
    <t>TM_jf</t>
  </si>
  <si>
    <t>quantity of inorganic fertiliser type f purchased and applied to production system j</t>
  </si>
  <si>
    <t>emission factor of purchased inorganic fertiliser</t>
  </si>
  <si>
    <t>Emissions from purchased fertiliser components</t>
  </si>
  <si>
    <t>VEERG 2026: 15.4.1.1, Equation (2)</t>
  </si>
  <si>
    <t>VARIATION ON SOURCE: removes division by 100 for F_cf, treating F_cf as fraction instead of percent because it is a fraction in scope 1 equations. Convert kg to tonnes by mutiplying by 10^-3.</t>
  </si>
  <si>
    <t>Total emissions from purchased agrichemicals</t>
  </si>
  <si>
    <t>VEERG 2026: 15.5.1.1, Equation (1)</t>
  </si>
  <si>
    <t>Q_h</t>
  </si>
  <si>
    <t>quantity of active ingredients in agrichemical type h purchased and applied to soils</t>
  </si>
  <si>
    <t>EF_h</t>
  </si>
  <si>
    <t>emission factor for purchased agrichemical active ingredient</t>
  </si>
  <si>
    <t>h</t>
  </si>
  <si>
    <t>agrichemical type</t>
  </si>
  <si>
    <t>kg ai</t>
  </si>
  <si>
    <t>kg CO2e/kg ai</t>
  </si>
  <si>
    <t>Embedded emissions for purchased lime</t>
  </si>
  <si>
    <t>VEERG 2026: 15.6.1.1, Equation (1)</t>
  </si>
  <si>
    <t>M_lime</t>
  </si>
  <si>
    <t>total quantity of lime applied to soils</t>
  </si>
  <si>
    <t>EF_l</t>
  </si>
  <si>
    <t>emission factor for purchased lime</t>
  </si>
  <si>
    <t>Emissions of purchased services and contractor operations</t>
  </si>
  <si>
    <t>VEERG 2026: 15.7.1.1, Equation (1)</t>
  </si>
  <si>
    <t>A_p</t>
  </si>
  <si>
    <t>activity data of the service that was purchased</t>
  </si>
  <si>
    <t>EF_p</t>
  </si>
  <si>
    <t>life cycle emission factor for the purchased service</t>
  </si>
  <si>
    <t>p</t>
  </si>
  <si>
    <t>service type</t>
  </si>
  <si>
    <t>ha or h</t>
  </si>
  <si>
    <t>kg CO2e/ha or kg CO2e/h</t>
  </si>
  <si>
    <t>Embedded emissions from use of packaging materials</t>
  </si>
  <si>
    <t>VEERG 2026: 15.8.1.1, Equation (1)</t>
  </si>
  <si>
    <t>VARIATION ON SOURCE: Changed unit of Q from 'units' to 'kg' as EF data is in kg.</t>
  </si>
  <si>
    <t>Q_p</t>
  </si>
  <si>
    <t>units of packaging type p</t>
  </si>
  <si>
    <t>emission factor for packaging type p</t>
  </si>
  <si>
    <t>packaging type</t>
  </si>
  <si>
    <t>units</t>
  </si>
  <si>
    <t>kg CO2e/unit</t>
  </si>
  <si>
    <t>Embedded emissions from use of grow media products</t>
  </si>
  <si>
    <t>VEERG 2026: 15.9.1.1, Equation (1)</t>
  </si>
  <si>
    <t>Q_g</t>
  </si>
  <si>
    <t>total quantity of grow media type g</t>
  </si>
  <si>
    <t>EF_g</t>
  </si>
  <si>
    <t>emission factor for grow media type g</t>
  </si>
  <si>
    <t>grow media type</t>
  </si>
  <si>
    <t>kg or m3</t>
  </si>
  <si>
    <t>kg CO2e/kg or kg CO2e/m3</t>
  </si>
  <si>
    <t>Other purchased goods and services generic estimate</t>
  </si>
  <si>
    <t>VEERG 2026: 15.10, generic placeholder equation</t>
  </si>
  <si>
    <t>emissions</t>
  </si>
  <si>
    <t>activity_data</t>
  </si>
  <si>
    <t>measured activity for the purchased good or service</t>
  </si>
  <si>
    <t>emission_factor</t>
  </si>
  <si>
    <t>lifecycle emissions per unit of activity</t>
  </si>
  <si>
    <t>varies</t>
  </si>
  <si>
    <t>Total upstream emissions from scope 1 fuel consumption</t>
  </si>
  <si>
    <t>VEERG 2026: 15.11.1.1, Equation (1)</t>
  </si>
  <si>
    <t>upstream emissions from scope 1 transport fuel use</t>
  </si>
  <si>
    <t>upstream emissions from scope 1 stationary combustion fuel use</t>
  </si>
  <si>
    <t>Calculated by 15.11.1.1 (2)</t>
  </si>
  <si>
    <t>Calculated by 15.11.1.1 (3)</t>
  </si>
  <si>
    <t>Scope 3 emissions from purchased electricity location based</t>
  </si>
  <si>
    <t>VEERG 2026: 15.12.1.1, Equation (1)</t>
  </si>
  <si>
    <t>E_3elec</t>
  </si>
  <si>
    <t>EF_3elec</t>
  </si>
  <si>
    <t>scope 3 emission factor for purchased electricity</t>
  </si>
  <si>
    <t>grid electricity was purchased from</t>
  </si>
  <si>
    <t>Scope 3 emissions from purchased electricity market based</t>
  </si>
  <si>
    <t>VEERG 2026: 15.12.1.2, Equation (1)</t>
  </si>
  <si>
    <t>renewable power percentage under LRET for the applicable period</t>
  </si>
  <si>
    <t>jurisdictional renewable power percentage for the applicable period</t>
  </si>
  <si>
    <t>eligible renewable energy certificates voluntarily surrendered</t>
  </si>
  <si>
    <t>eligible renewable energy certificates issued for onsite generated electricity</t>
  </si>
  <si>
    <t>EF_RMF3elec</t>
  </si>
  <si>
    <t>scope 3 residual mix emission factor for electricity</t>
  </si>
  <si>
    <t>Emissions from manure sent off site applied to soils in another farming system or enterprise</t>
  </si>
  <si>
    <t>VEERG 2026: 15.13.1.1, Equation (1)</t>
  </si>
  <si>
    <t>E_N2O</t>
  </si>
  <si>
    <t>direct nitrous oxide emissions from application of manure to soils outside of scope 1 boundary</t>
  </si>
  <si>
    <t>E_ad</t>
  </si>
  <si>
    <t>nitrous oxide emissions from atmospheric deposition of manure to soils</t>
  </si>
  <si>
    <t>E_leach</t>
  </si>
  <si>
    <t>nitrous oxide emissions from nitrogen leaching and runoff of manure to soils</t>
  </si>
  <si>
    <t>Calculated</t>
  </si>
  <si>
    <t>Emissions from solid waste sent to a treatment facility</t>
  </si>
  <si>
    <t>VEERG 2026: 15.13.1.3</t>
  </si>
  <si>
    <t>Embedded emissions from upstream freight</t>
  </si>
  <si>
    <t>VEERG 2026: 15.14.1.1, Equation (1)</t>
  </si>
  <si>
    <t>W_f</t>
  </si>
  <si>
    <t>total mass of goods transported per freight type f</t>
  </si>
  <si>
    <t>D_f</t>
  </si>
  <si>
    <t>total distance transported per freight type f</t>
  </si>
  <si>
    <t>emission factor for freight type f</t>
  </si>
  <si>
    <t>freight type</t>
  </si>
  <si>
    <t>km</t>
  </si>
  <si>
    <t>t CO2e/(t km)</t>
  </si>
  <si>
    <t>Nitrous oxide emissions from the application of all organic fertiliser types f to all production systems j</t>
  </si>
  <si>
    <t>VEERG 2026: 5.2.1.1, Equation (1)</t>
  </si>
  <si>
    <t>MNSoil_jf</t>
  </si>
  <si>
    <t>mass of nitrogen in organic fertiliser type f applied to production system j</t>
  </si>
  <si>
    <t>EF_N2Oi</t>
  </si>
  <si>
    <t>emission factor for direct nitrous oxide emissions from organic fertiliser applied to soils and aquatic systems in climate zone i</t>
  </si>
  <si>
    <t>Calculated from 5.2.1.1 (2)</t>
  </si>
  <si>
    <t>Lookup</t>
  </si>
  <si>
    <t>Mass of nitrogen volatilised from organic fertiliser applied to production system</t>
  </si>
  <si>
    <t>VEERG 2026: 5.4.1.3, Equation (2)</t>
  </si>
  <si>
    <t>M_volorganicjf</t>
  </si>
  <si>
    <t>FracGASM_soil</t>
  </si>
  <si>
    <t>fraction of organic fertiliser N that volatilises</t>
  </si>
  <si>
    <t>Nitrous oxide emissions from atmospheric deposition of all organic fertiliser types f and all production systems j</t>
  </si>
  <si>
    <t>VEERG 2026: 5.4.1.3, Equation (1)</t>
  </si>
  <si>
    <t>E_adorganic</t>
  </si>
  <si>
    <t>mass of nitrogen volatilised from organic fertiliser applied to production system</t>
  </si>
  <si>
    <t>EF_N2Oj</t>
  </si>
  <si>
    <t>emission factor for atmospheric deposition in production system j</t>
  </si>
  <si>
    <t>Calculated from 5.4.1.3 (2)</t>
  </si>
  <si>
    <t>Mass of nitrogen lost through leaching and runoff from organic fertiliser application in production system j</t>
  </si>
  <si>
    <t>VEERG 2026: 5.5, Equation (3)</t>
  </si>
  <si>
    <t>M_leachorganicj</t>
  </si>
  <si>
    <t>mass of nitrogen in organic fertiliser</t>
  </si>
  <si>
    <t>FracWETj</t>
  </si>
  <si>
    <t>FracLEACH</t>
  </si>
  <si>
    <t>Nitrous oxide emissions from nitrogen leaching and runoff from the application of all fertilisers across all production systems j</t>
  </si>
  <si>
    <t>VEERG 2026: 5.5, Equation (1)</t>
  </si>
  <si>
    <t>E_fertleach</t>
  </si>
  <si>
    <t>M_leachinorganicj</t>
  </si>
  <si>
    <t>mass of nitrogen lost through leaching and runoff from inorganic fertiliser application in production system j</t>
  </si>
  <si>
    <t>mass of nitrogen lost through leaching and runoff from organic fertiliser application</t>
  </si>
  <si>
    <t>emission factor for nitrogen leaching and runoff</t>
  </si>
  <si>
    <t>Calculated from 5.5.1.1 (2)</t>
  </si>
  <si>
    <t>Calculated from 5.5.1.1 (3)</t>
  </si>
  <si>
    <t>Poultry - Diet properties</t>
  </si>
  <si>
    <t>VEERG 2026: Table A.1.7.1: Poultry - Diet properties</t>
  </si>
  <si>
    <t>Dry matter intake (kg/head/day)</t>
  </si>
  <si>
    <t>Dry matter digestibility</t>
  </si>
  <si>
    <t>Crude protein</t>
  </si>
  <si>
    <t>Manure ash</t>
  </si>
  <si>
    <t>Poultry - Methane emissions potential per class</t>
  </si>
  <si>
    <t>VEERG 2026: 4.6.2.3 CONSTANT: Poultry - Methane emissions potential per class</t>
  </si>
  <si>
    <t>Meat chickens</t>
  </si>
  <si>
    <t>Free range</t>
  </si>
  <si>
    <t>Barn</t>
  </si>
  <si>
    <t>Poultry - MCFs</t>
  </si>
  <si>
    <t>VEERG 2026: Table A.1.7.4: Poultry - MCFs</t>
  </si>
  <si>
    <t>VARIATION ON SOURCE:</t>
  </si>
  <si>
    <t>Split NSW and ACT into separate states. Split QLD and NT into separate states.</t>
  </si>
  <si>
    <t>Included values for each state when 'All states' value is given.</t>
  </si>
  <si>
    <t>Added 'NIR definition' column with MMS names that match NIR definitions.</t>
  </si>
  <si>
    <t>Duplicated 'Poultry manure without litter' row for NIR MMS 'Belt manure removal' and 'Manure stored in house'</t>
  </si>
  <si>
    <t>Poultry manure with litter</t>
  </si>
  <si>
    <t>Poultry manure without litter</t>
  </si>
  <si>
    <t>n/a</t>
  </si>
  <si>
    <t>Anaerobic digester / Covered pond</t>
  </si>
  <si>
    <t>Poultry - Fraction of volatile solids lost in the primary MMS</t>
  </si>
  <si>
    <t>VEERG 2026: 4.6.2.3 CONSTANT</t>
  </si>
  <si>
    <t>VARIATION ON SOURCE: Table generated from line items. Added 'NIR definition column'.</t>
  </si>
  <si>
    <t>Poultry manure without litter - stored in house</t>
  </si>
  <si>
    <t>Poultry manure without litter - belt removal</t>
  </si>
  <si>
    <t>Poultry - Fraction of N volatilised by MMS ((kg NH3-N + NOx-N)/kgN) (FracGASMmT)</t>
  </si>
  <si>
    <t>VEERG 2026: Table A.1.7.2</t>
  </si>
  <si>
    <t>VARIATION ON SOURCE: Added 'NIR definition column'.</t>
  </si>
  <si>
    <t>Poultry manure with litter (housing)</t>
  </si>
  <si>
    <t>Poultry manure without litter (housing) Belt manure removal</t>
  </si>
  <si>
    <t>Poultry manure without litter (housing) Manure stored in house under cages or slat</t>
  </si>
  <si>
    <t>Solid storage (stockpile)</t>
  </si>
  <si>
    <t>Anaerobic digester / covered pond</t>
  </si>
  <si>
    <t>Poultry - Nitrous oxide EFs by MMS (kgN2O-N/kgN) (EFmT)</t>
  </si>
  <si>
    <t>VEERG 2026: Table A.1.7.3</t>
  </si>
  <si>
    <t>VARIATION ON SOURCE: Added 'NIR definition column'. Duplicated 'Poultry manure without litter' row for NIR MMS 'Belt manure removal' and 'Manure stored in house'.</t>
  </si>
  <si>
    <t>Poultry manure without litter (housing)</t>
  </si>
  <si>
    <t>Pasture range and paddock (free range)</t>
  </si>
  <si>
    <t>Fraction of N that is lost through leaching and runoff</t>
  </si>
  <si>
    <t>VEERG 2026: 4.6.2.3 CONSTANTS</t>
  </si>
  <si>
    <t>Frac_LEACH_MS</t>
  </si>
  <si>
    <t>Fraction of nitrogen volatilised from urine and faeces deposited on pasture</t>
  </si>
  <si>
    <t>VARIATION ON SOURCE: This constant is not documented in the draft, used the same value of 0.21 as all other livestock.</t>
  </si>
  <si>
    <t>Poultry - Liveweights (Wco) (kg)</t>
  </si>
  <si>
    <t>VEERG 2026: Table A.1.7.5</t>
  </si>
  <si>
    <t>Hen &gt;/=1 yr</t>
  </si>
  <si>
    <t>Broilers</t>
  </si>
  <si>
    <t>Table 5.12 Additional symbols used in algorithms for manure related emissions</t>
  </si>
  <si>
    <t>National Inventory Report 2023 Volume 1: Table 5.12</t>
  </si>
  <si>
    <t>Anaerobic lagoon (m=1)</t>
  </si>
  <si>
    <t>Liquid systems (m=2)</t>
  </si>
  <si>
    <t>Daily spread (m=3)</t>
  </si>
  <si>
    <t>3a</t>
  </si>
  <si>
    <t>Sump and dispersal system</t>
  </si>
  <si>
    <t>Sump and dispersal system (m=3a)</t>
  </si>
  <si>
    <t>3b</t>
  </si>
  <si>
    <t>Drains to paddock</t>
  </si>
  <si>
    <t>Drains to paddock (m=3b)</t>
  </si>
  <si>
    <t>Drylot (feed pad)</t>
  </si>
  <si>
    <t>Drylot (feed pad) (m=5)</t>
  </si>
  <si>
    <t>Deep litter (m=8)</t>
  </si>
  <si>
    <t>Pit storage (m=9)</t>
  </si>
  <si>
    <t>Poultry manure without bedding (m=11)</t>
  </si>
  <si>
    <t>11a</t>
  </si>
  <si>
    <t>11b</t>
  </si>
  <si>
    <t>Electricity scope 2 and scope 3 location-based emission factors</t>
  </si>
  <si>
    <t>Australian National Greenhouse Accounts Factors 2025 - Table 1</t>
  </si>
  <si>
    <t>New South Wales</t>
  </si>
  <si>
    <t>Victoria</t>
  </si>
  <si>
    <t>Queensland</t>
  </si>
  <si>
    <t>South Australia</t>
  </si>
  <si>
    <t>Western Australia - South West Interconnected System (SWIS)</t>
  </si>
  <si>
    <t>Tasmania</t>
  </si>
  <si>
    <t>Northern Territory - Darwin Katherine Interconnected System (DKIS)</t>
  </si>
  <si>
    <t>National</t>
  </si>
  <si>
    <t>Electricity scope 2 and scope 3 market-based emission factors</t>
  </si>
  <si>
    <t>Australian National Greenhouse Accounts Factors 2025 - Table 2a</t>
  </si>
  <si>
    <t>Common inorganic fertilisers</t>
  </si>
  <si>
    <t>Table A.2.2.3: Fraction of nitrogen in common inorganic fertilisers (kgN/kg) (FNorganic,f) AND Table A.2.2.4: Fraction of urea in common inorganic fertilisers (kg urea/kg) (FUf)</t>
  </si>
  <si>
    <t>VARIATION ON SOURCE</t>
  </si>
  <si>
    <t>Added 'Basis' column to allow cross-referencing with table Table A.2.2.6: Fraction of inorganic fertiliser f that volatilises as NH3 and NOx ((kg NH3-N + NOx-N)/kg N) (FracGASFf)</t>
  </si>
  <si>
    <t>Added extra fertiliser types and generic chemical compounds to allow for custom NPKS blends</t>
  </si>
  <si>
    <t>Added extra 'Scope 3 definition' column to allow mapping with scope 3 data</t>
  </si>
  <si>
    <t>Added 'Source' column</t>
  </si>
  <si>
    <t>Combined data from Table A.2.2.3 and Table A.2.2.4 into one table to aid lookup.</t>
  </si>
  <si>
    <t>Excluded 'References' column</t>
  </si>
  <si>
    <t>Excluded 'Ammonium sulfate' as it is a duplicate of 'Sulphate of ammonia (SOA)'</t>
  </si>
  <si>
    <t>Excluded 'Calcium nitrate' as no scope 3 value available.</t>
  </si>
  <si>
    <t>Set 'Nitrogen - Generic' basis as 'Urea-based fertilisers, as urea is the most commonly used form of nitrogen in Australian fertilisers</t>
  </si>
  <si>
    <t>Set 'Urea-ammonium nitrate' basis as 'Urea-based fertiliser'</t>
  </si>
  <si>
    <t>Ammonia has an FN value of 0.8235 based on (14/17)x100, where 14 is the mass of nitrogen in ammonia and 17 is the molar mass of ammonia.</t>
  </si>
  <si>
    <t>Fraction of nitrogen in common inorganic fertilisers (kgN/kg) (FNorganic,f)</t>
  </si>
  <si>
    <t>VEERG 2026: Table A.2.2.3</t>
  </si>
  <si>
    <t>Fraction of urea in common inorganic fertilisers (kg urea/kg) (FUf)</t>
  </si>
  <si>
    <t>VEERG 2026: Table A.2.2.4</t>
  </si>
  <si>
    <t>Source regions for urea and ammonia</t>
  </si>
  <si>
    <t>Lifecycles. (2026). Greenhouse Gas Emission Intensities for Material Inputs to Australian Agriculture, Fisheries and Forestry. Version 48. doi 10.5281/zenodo.19656580</t>
  </si>
  <si>
    <t>Monoammonium phosphate (MAP)</t>
  </si>
  <si>
    <t>Ammonium-based fertilisers</t>
  </si>
  <si>
    <t>Diammonium phosphate (DAP)</t>
  </si>
  <si>
    <t>Urea-based fertilisers</t>
  </si>
  <si>
    <t>Sulphate of ammonia (SOA)</t>
  </si>
  <si>
    <t>Urea-ammonium nitrate (UAN)</t>
  </si>
  <si>
    <t>Ammonium nitrate (AN)</t>
  </si>
  <si>
    <t>Ammonium-nitrate based fertilisers</t>
  </si>
  <si>
    <t>Calcium ammonium nitrate (CAN)</t>
  </si>
  <si>
    <t>Nitrogen - Ammoniacal</t>
  </si>
  <si>
    <t>LifeCycles</t>
  </si>
  <si>
    <t>Nitrogen - Nitrate</t>
  </si>
  <si>
    <t>Nitrate-based fertilisers</t>
  </si>
  <si>
    <t>Nitrogen from Nitrate</t>
  </si>
  <si>
    <t>Nitrogen - Generic</t>
  </si>
  <si>
    <t>Nitrogen from fertiliser</t>
  </si>
  <si>
    <t>Phosphorus - Generic</t>
  </si>
  <si>
    <t>Other fertilisers</t>
  </si>
  <si>
    <t>Phosphorus from fertiliser</t>
  </si>
  <si>
    <t>Potassium from fertiliser</t>
  </si>
  <si>
    <t>Sulfur from fertiliser</t>
  </si>
  <si>
    <t>Zinc from fertiliser</t>
  </si>
  <si>
    <t>Muriate of potash (MOP)</t>
  </si>
  <si>
    <t>Double superphosphate</t>
  </si>
  <si>
    <t>Single superphosphate (SSP)</t>
  </si>
  <si>
    <t>Ammonium Sulfate</t>
  </si>
  <si>
    <t>Calcium Nitrate</t>
  </si>
  <si>
    <t>Global</t>
  </si>
  <si>
    <t>Canada</t>
  </si>
  <si>
    <t>China</t>
  </si>
  <si>
    <t>Yemen</t>
  </si>
  <si>
    <t>Fraction of inorganic fertiliser that volatilises as NH3 and NOx</t>
  </si>
  <si>
    <t>Table A.2.2.6: Fraction of inorganic fertiliser f that volatilises as NH3 and NOx ((kg NH3-N + NOx-N)/kg N) (FracGASFf)</t>
  </si>
  <si>
    <t>Emission factor for carbon emissions from urea application</t>
  </si>
  <si>
    <t>VEERG 2026: 5.1.2.2 Constant Parameters</t>
  </si>
  <si>
    <t>EFureaCO2</t>
  </si>
  <si>
    <t>kg C/kg urea</t>
  </si>
  <si>
    <t>Constants for lime, dolomite and gypsum</t>
  </si>
  <si>
    <t>VEERG 2026: 5.3.2.3 Constant Parameters</t>
  </si>
  <si>
    <t>Lime (Calcium carbonate)</t>
  </si>
  <si>
    <t>Dolomite (Magnesium carbonate)</t>
  </si>
  <si>
    <t>Gypsum</t>
  </si>
  <si>
    <t>Fraction of organic fertiliser that volatilises as NH3 and NOx</t>
  </si>
  <si>
    <t>VEERG 2026: 5.4.2.3 Constant Parameters</t>
  </si>
  <si>
    <t>Fraction of nitrogen that is lost through leaching and runoff</t>
  </si>
  <si>
    <t>VEERG 2026: 5.5.2.3 Constant Parameters</t>
  </si>
  <si>
    <t>Emission factor for nitrogen leaching and runoff</t>
  </si>
  <si>
    <t>EFLeach</t>
  </si>
  <si>
    <t>kg N2O-N / kg N</t>
  </si>
  <si>
    <t>Campbells fertilisers Australia</t>
  </si>
  <si>
    <t>Aqua Finish</t>
  </si>
  <si>
    <t>Aqua Grow</t>
  </si>
  <si>
    <t>Aqua Nitro AN</t>
  </si>
  <si>
    <t>Aqua NitroCal</t>
  </si>
  <si>
    <t>Calcium</t>
  </si>
  <si>
    <t>Aqua NitroCal (VI)</t>
  </si>
  <si>
    <t>Aqua NitroCal Ultimate</t>
  </si>
  <si>
    <t>Aqua Start</t>
  </si>
  <si>
    <t>Aqua Thio-Complete</t>
  </si>
  <si>
    <t>Aqua Thio-Emerge</t>
  </si>
  <si>
    <t>Aqua Thio-Flourish</t>
  </si>
  <si>
    <t>Magnesium</t>
  </si>
  <si>
    <t>Zinc</t>
  </si>
  <si>
    <t>Manganese</t>
  </si>
  <si>
    <t>Iron</t>
  </si>
  <si>
    <t>Copper</t>
  </si>
  <si>
    <t>Boron</t>
  </si>
  <si>
    <t>Bronze</t>
  </si>
  <si>
    <t>Calbit C</t>
  </si>
  <si>
    <t>Compass</t>
  </si>
  <si>
    <t>CoRoN 12-0-10</t>
  </si>
  <si>
    <t>Maximum Quick-N</t>
  </si>
  <si>
    <t>SL Tec</t>
  </si>
  <si>
    <t>Crop Booster PLUS</t>
  </si>
  <si>
    <t>Risso-Chemical</t>
  </si>
  <si>
    <t>Ammonium Bicarbonate</t>
  </si>
  <si>
    <t>Ravensdown</t>
  </si>
  <si>
    <t>Ammonium Sulphate - Granular</t>
  </si>
  <si>
    <t>Impact Fertilisers</t>
  </si>
  <si>
    <t>Di-Ammonium Phosphate (DAP)</t>
  </si>
  <si>
    <t>Incitec Pivot Fertilisers</t>
  </si>
  <si>
    <t>Basalt BooSSta</t>
  </si>
  <si>
    <t>Fluoride</t>
  </si>
  <si>
    <t>Summit Fertilizers</t>
  </si>
  <si>
    <t>DAPSZC</t>
  </si>
  <si>
    <t>Easy N</t>
  </si>
  <si>
    <t>Biuret</t>
  </si>
  <si>
    <t>Calcium Ammonium nitrate</t>
  </si>
  <si>
    <t>CellCAL Plus</t>
  </si>
  <si>
    <t>CK55</t>
  </si>
  <si>
    <t>Switch Ag</t>
  </si>
  <si>
    <t>Crop K</t>
  </si>
  <si>
    <t>Crop Starter</t>
  </si>
  <si>
    <t>Gran-Am</t>
  </si>
  <si>
    <t>Encal</t>
  </si>
  <si>
    <t>Granulock SS</t>
  </si>
  <si>
    <t>Granulock Z</t>
  </si>
  <si>
    <t>Farm Ag Leichhardt</t>
  </si>
  <si>
    <t>Flexi-N NBPT</t>
  </si>
  <si>
    <t>Yes</t>
  </si>
  <si>
    <t>Gold Premium</t>
  </si>
  <si>
    <t>High NS</t>
  </si>
  <si>
    <t>Impact SSP</t>
  </si>
  <si>
    <t>In Crop</t>
  </si>
  <si>
    <t>K20</t>
  </si>
  <si>
    <t>Loveland Agriproducts</t>
  </si>
  <si>
    <t>Maximum N-Pact</t>
  </si>
  <si>
    <t>Nitro Combi TE</t>
  </si>
  <si>
    <t>Fulvic acid (organic)</t>
  </si>
  <si>
    <t>Molybdenum</t>
  </si>
  <si>
    <t>PastureMAXX</t>
  </si>
  <si>
    <t>Platinum Nergetic</t>
  </si>
  <si>
    <t>Potassium sulphate</t>
  </si>
  <si>
    <t>Glaze Extend G3 Flexi</t>
  </si>
  <si>
    <t>Mono-Ammonium Phosphate (MAP)</t>
  </si>
  <si>
    <t>Koch Fertiliser Australia</t>
  </si>
  <si>
    <t>Urea Ammonium nitrate (UAN 32-0-0)</t>
  </si>
  <si>
    <t>Polypeptide Urea</t>
  </si>
  <si>
    <t>Polypeptide (amino acids)</t>
  </si>
  <si>
    <t>Yara Australia</t>
  </si>
  <si>
    <t>YaraTera CALCINIT</t>
  </si>
  <si>
    <t>YaraLiva NITRABOR</t>
  </si>
  <si>
    <t>YaraMila COMPLEX</t>
  </si>
  <si>
    <t>YaraRega 9-0-30 (14)</t>
  </si>
  <si>
    <t>YaraRega 13-2-21</t>
  </si>
  <si>
    <t>YaraRega 15-7-13 (7S)</t>
  </si>
  <si>
    <t>YaraTera CALCINIT B</t>
  </si>
  <si>
    <t>YaraTera KRISTA MAP</t>
  </si>
  <si>
    <t>YaraTera KRISTALON RED</t>
  </si>
  <si>
    <t>YaraTera KRISTALON SPECIAL</t>
  </si>
  <si>
    <t>YaraMila 21-7-3(4)</t>
  </si>
  <si>
    <t>YaraTera KRISTALON SCARLET</t>
  </si>
  <si>
    <t>Solu-MAP</t>
  </si>
  <si>
    <t>Solu-Sam</t>
  </si>
  <si>
    <t>Rustica Plus</t>
  </si>
  <si>
    <t>Platinum Plus</t>
  </si>
  <si>
    <t>Tropika</t>
  </si>
  <si>
    <t>Rustica Nergetic</t>
  </si>
  <si>
    <t>Quick-N Nergetic</t>
  </si>
  <si>
    <t>FertPro Manufacturing Pty. Ltd.</t>
  </si>
  <si>
    <t>(SSP) Single Super Fertiliser</t>
  </si>
  <si>
    <t>ZincStar</t>
  </si>
  <si>
    <t>Baileys (Simplot) [listed as Impact]</t>
  </si>
  <si>
    <t>Apex GaIXe Low P 21-1-6</t>
  </si>
  <si>
    <t>SuPerfect</t>
  </si>
  <si>
    <t>Incitec Pivot Fertilisers [listed as Summit]</t>
  </si>
  <si>
    <t>Big N</t>
  </si>
  <si>
    <t>Entec Urea</t>
  </si>
  <si>
    <t>Incitec Pivot Fertilisers (or Ravensdown - see note)</t>
  </si>
  <si>
    <t>Flexi-N NI only</t>
  </si>
  <si>
    <t>Urease/nitrification inhibitor</t>
  </si>
  <si>
    <t>Nutri-Tech Solutions (NTS)</t>
  </si>
  <si>
    <t>Muriate Of Potash MOP</t>
  </si>
  <si>
    <t>Nuturf</t>
  </si>
  <si>
    <t>MAP NUTURF</t>
  </si>
  <si>
    <t>Quick-N</t>
  </si>
  <si>
    <t>SLTEC Fertilizers</t>
  </si>
  <si>
    <t>UAS</t>
  </si>
  <si>
    <t>Triazone Urea</t>
  </si>
  <si>
    <t>Marnco [listed as SLTEC]</t>
  </si>
  <si>
    <t>Ammo 36N</t>
  </si>
  <si>
    <t>Risso Liquid NPK (200-200-200)</t>
  </si>
  <si>
    <t>Turf Group Australia (Simplot)</t>
  </si>
  <si>
    <t>Super Cal 15-0-12</t>
  </si>
  <si>
    <t>CK 88</t>
  </si>
  <si>
    <t>CropLift 15</t>
  </si>
  <si>
    <t>NPKS 19-13-0-9</t>
  </si>
  <si>
    <t>PastureBoosta</t>
  </si>
  <si>
    <t>Greentop K</t>
  </si>
  <si>
    <t>HayBoosta</t>
  </si>
  <si>
    <t>Impact Super Potash 1&amp;1</t>
  </si>
  <si>
    <t>Impact Super Potash 2&amp;1</t>
  </si>
  <si>
    <t>Impact Super Potash 3&amp;1</t>
  </si>
  <si>
    <t>Impact Super Potash 4&amp;1</t>
  </si>
  <si>
    <t>Impact Super Potash 5&amp;1</t>
  </si>
  <si>
    <t>Pacific Fertiliser / Incitec Pivot Fertilisers</t>
  </si>
  <si>
    <t>Cal-Gran</t>
  </si>
  <si>
    <t>Cal-Gran 50/50 (S)</t>
  </si>
  <si>
    <t>Cal-Gran 130</t>
  </si>
  <si>
    <t>Cal-Gran 150</t>
  </si>
  <si>
    <t>Cal-Gran Extra K</t>
  </si>
  <si>
    <t>Dairy Pro</t>
  </si>
  <si>
    <t>YaraMila ACTYVA S</t>
  </si>
  <si>
    <t>CSBP</t>
  </si>
  <si>
    <t>Agflow Extra</t>
  </si>
  <si>
    <t>Super &amp; Potash 3:1</t>
  </si>
  <si>
    <t>Yara</t>
  </si>
  <si>
    <t>YaraBela CAN-27</t>
  </si>
  <si>
    <t>Cal-Gran Aftergraze</t>
  </si>
  <si>
    <t>Cal-Gran Prodress</t>
  </si>
  <si>
    <t>Wengfu Australia</t>
  </si>
  <si>
    <t>Wengfu PrimeZinc 10</t>
  </si>
  <si>
    <t>Wengfu Pasture King</t>
  </si>
  <si>
    <t>Wengfu SuStain</t>
  </si>
  <si>
    <t>Wengfu Slam</t>
  </si>
  <si>
    <t>Wengfu Prime MSZ</t>
  </si>
  <si>
    <t>Wengfu 9-20-0-10 MAP SuStain</t>
  </si>
  <si>
    <t>Wengfu 15-17-0-15 DAP SuStain</t>
  </si>
  <si>
    <t>Wengfu 16-18-0-10 DAP SuStain</t>
  </si>
  <si>
    <t>Wengfu 5-15-0-6 Fast Start Legume</t>
  </si>
  <si>
    <t>Wengfu 9-20-0-10 PrimeZinc</t>
  </si>
  <si>
    <t>Wengfu 12-18-0-6 PrimeZinc</t>
  </si>
  <si>
    <t>Wengfu 14-13-0-11 PrimeZinc</t>
  </si>
  <si>
    <t>Wengfu 19-13-0-7 PrimeZinc</t>
  </si>
  <si>
    <t>Wengfu Booster K</t>
  </si>
  <si>
    <t>Wengfu Booster Rich 1</t>
  </si>
  <si>
    <t>Wengfu Booster Grass DAP</t>
  </si>
  <si>
    <t>Wengfu Aftergraze</t>
  </si>
  <si>
    <t>Wengfu Sidedress</t>
  </si>
  <si>
    <t>Wengfu Pasture Booster</t>
  </si>
  <si>
    <t>Wengfu DAP Hay Booster</t>
  </si>
  <si>
    <t>Wengfu MAP Hay Booster</t>
  </si>
  <si>
    <t>Wengfu Fodder Booster</t>
  </si>
  <si>
    <t>K-Till Extra</t>
  </si>
  <si>
    <t>Agras Extra</t>
  </si>
  <si>
    <t>Cobalt</t>
  </si>
  <si>
    <t>Super Copper Zinc Moly</t>
  </si>
  <si>
    <t>Flexi-N</t>
  </si>
  <si>
    <t>Fuel scope 1 and 3 emission factors - Transport</t>
  </si>
  <si>
    <t>Direct (scope 1) and indirect (scope 3) emission factors for the consumption of transport fuels in different transport equipment</t>
  </si>
  <si>
    <t>Australian National Greenhouse Accounts Factors 2025 - Table 9</t>
  </si>
  <si>
    <t>Gasoline</t>
  </si>
  <si>
    <t>kl</t>
  </si>
  <si>
    <t>Diesel oil</t>
  </si>
  <si>
    <t>NE</t>
  </si>
  <si>
    <t>Light duty vehicles</t>
  </si>
  <si>
    <t>Compressed natural gas</t>
  </si>
  <si>
    <t>Liquefied natural gas</t>
  </si>
  <si>
    <t>Heavy duty vehicles</t>
  </si>
  <si>
    <t>Diesel oil - Euro iv or higher</t>
  </si>
  <si>
    <t>Diesel oil - Euro iii</t>
  </si>
  <si>
    <t>Diesel oil - Euro i</t>
  </si>
  <si>
    <t>Gasoline for use as fuel in an aircraft</t>
  </si>
  <si>
    <t>Kerosene for use as fuel in an aircraft</t>
  </si>
  <si>
    <t>Fuel Oil</t>
  </si>
  <si>
    <t>Fuel scope 1 and 3 emission factors - Off-road equipment and vessels</t>
  </si>
  <si>
    <t>VEERG 2026: Table A.4.2.1</t>
  </si>
  <si>
    <t>Vessel</t>
  </si>
  <si>
    <t>Fuel scope 1 and 3 emission factors - Stationary liquid fuels</t>
  </si>
  <si>
    <t>Direct (Scope 1) and indirect (scope 3) emission factors for the consumption of liquid fuels, including certain petroleum based products for stationary energy purposes.</t>
  </si>
  <si>
    <t>Australian National Greenhouse Accounts Factors 2025 - Table 8</t>
  </si>
  <si>
    <t>Petroleum based oils (other than petroleum based oil used as fuel), e.g. lubricants</t>
  </si>
  <si>
    <t>Petroleum based greases</t>
  </si>
  <si>
    <t>Crude oil including crude oil condensates</t>
  </si>
  <si>
    <t>Other natural gas liquids</t>
  </si>
  <si>
    <t>Automotive gasoline / petrol (other than for use as fuel in an aircraft)</t>
  </si>
  <si>
    <t>Aviation gasoline</t>
  </si>
  <si>
    <t>Kerosene (other than for use as fuel in an aircraft)</t>
  </si>
  <si>
    <t>Aviation turbine fuel / kerosene</t>
  </si>
  <si>
    <t>Heating oil</t>
  </si>
  <si>
    <t>Liquefied aromatic hydrocarbons</t>
  </si>
  <si>
    <t>Solvents: mineral turpentine or white spirits</t>
  </si>
  <si>
    <t>Naphtha</t>
  </si>
  <si>
    <t>Petroleum coke</t>
  </si>
  <si>
    <t>Refinery gas and liquids</t>
  </si>
  <si>
    <t>Refinery coke</t>
  </si>
  <si>
    <t>Petroleum based products other than mentioned in the items above</t>
  </si>
  <si>
    <t>Ethanol for use as a fuel in an internal combustion engine</t>
  </si>
  <si>
    <t>Biofuels other than those mentioned in the items above and below</t>
  </si>
  <si>
    <t>Fuel scope 1 emission factors - Stationary gaseous fuels</t>
  </si>
  <si>
    <t xml:space="preserve">Direct (Scope 1) emission factors for the consumption of gaseous fuels including liquefied natural gas  </t>
  </si>
  <si>
    <t>Australian National Greenhouse Accounts Factors 2025 - Table 5</t>
  </si>
  <si>
    <t>Natural gas distributed in a pipeline</t>
  </si>
  <si>
    <t>Coal seam methane that is captured for combustion</t>
  </si>
  <si>
    <t>Coal mine waste gas that is captured for combustion</t>
  </si>
  <si>
    <t>Compressed natural gas(reverting to standard conditions)</t>
  </si>
  <si>
    <t>Unprocessed natural gas</t>
  </si>
  <si>
    <t>Ethane</t>
  </si>
  <si>
    <t>Coke oven gas</t>
  </si>
  <si>
    <t>Blast furnace gas</t>
  </si>
  <si>
    <t>Town gas</t>
  </si>
  <si>
    <t>Gaseous fossil fuels other than those mentioned in the items above</t>
  </si>
  <si>
    <t>Landfill biogas that is captured for combustion (methane only)</t>
  </si>
  <si>
    <t>Sludge biogas that is captured for combustion (methane only)</t>
  </si>
  <si>
    <t>A biogas that is captured for combustion, other than those mentioned in the items above</t>
  </si>
  <si>
    <t>Biomethane</t>
  </si>
  <si>
    <t>Hydrogen</t>
  </si>
  <si>
    <t>Natural gas distributed in a pipeline - Gigajoules</t>
  </si>
  <si>
    <t>Town gas - Gigajoules</t>
  </si>
  <si>
    <t>Fuel scope 3 emission factors - Stationary gaseous fuels</t>
  </si>
  <si>
    <t>Indirect (Scope 3) emission factors for the consumption of natural gas.</t>
  </si>
  <si>
    <t>Australian National Greenhouse Accounts Factors 2025 - Table 6</t>
  </si>
  <si>
    <t>-</t>
  </si>
  <si>
    <t>Column1</t>
  </si>
  <si>
    <t>As Scope 3 factors are calculated at the point where natural gas is delivered to end users, it is necessary to calculate consumption at each of the load centres.</t>
  </si>
  <si>
    <t>Gas reaches end users either from the metro distribution networks or direct from the high - pressure distribution pipelines.</t>
  </si>
  <si>
    <t>Households and commercial users tend to be served by the former, and electricity generators and large industrial plants from the latter.</t>
  </si>
  <si>
    <t>Metro is defined as located on or east of the dividing range in NSW, including Canberra and Queanbeyan, Melbourne, Brisbane, Adelaide or Perth.</t>
  </si>
  <si>
    <t>Otherwise, the non - metro factor should be used.</t>
  </si>
  <si>
    <t>Factors are calculated for all natural gas distributed in a pipeline which may include coal seam methane.</t>
  </si>
  <si>
    <t>Table 6 is not applicable to ethane. See Table 7 Indirect (Scope 3) emissions from the consumption of ethane.</t>
  </si>
  <si>
    <t>C = Confidential. Scope 3 emission factors for Tasmania and the Northern Territory are not available due to confidentiality constraints that arise</t>
  </si>
  <si>
    <t>from the use of a limited number of NGER data inputs. It is suggested that for Tasmania the use of the Victorian emission factors is appropriate,</t>
  </si>
  <si>
    <t>while for Northern Territory the use of the Western Australian emission factors is appropriate.</t>
  </si>
  <si>
    <t>Scope 3 emission factors do not include fugitive emission leakage from low pressure natural gas distribution pipeline networks while those from high pressure</t>
  </si>
  <si>
    <t>gas networks are considered negligible.</t>
  </si>
  <si>
    <t>Northern Territory</t>
  </si>
  <si>
    <t>Cattle, for manufacturing beef</t>
  </si>
  <si>
    <t>kg liveweight</t>
  </si>
  <si>
    <t>at market</t>
  </si>
  <si>
    <t>Cattle, for prime beef</t>
  </si>
  <si>
    <t>Cattle, weaners</t>
  </si>
  <si>
    <t>Chickens</t>
  </si>
  <si>
    <t>Dairy cows</t>
  </si>
  <si>
    <t>Sheep</t>
  </si>
  <si>
    <t>Sheep, for mutton</t>
  </si>
  <si>
    <t>Sheep, for prime lamb</t>
  </si>
  <si>
    <t>at manufacturer</t>
  </si>
  <si>
    <t>Pharmacy chemicals</t>
  </si>
  <si>
    <t>p (head)</t>
  </si>
  <si>
    <t>Grain</t>
  </si>
  <si>
    <t>Barley grain</t>
  </si>
  <si>
    <t>Maize grain</t>
  </si>
  <si>
    <t>Sorghum grain</t>
  </si>
  <si>
    <t>Hay</t>
  </si>
  <si>
    <t>Maize silage</t>
  </si>
  <si>
    <t>Oaten hay</t>
  </si>
  <si>
    <t>Meal</t>
  </si>
  <si>
    <t>Canola meal</t>
  </si>
  <si>
    <t>Meat meal</t>
  </si>
  <si>
    <t>Wheat bran</t>
  </si>
  <si>
    <t>Bentonite</t>
  </si>
  <si>
    <t>Cotton seed</t>
  </si>
  <si>
    <t>Mixed rations</t>
  </si>
  <si>
    <t>Feed for chickens</t>
  </si>
  <si>
    <t>Feed for dairy calves</t>
  </si>
  <si>
    <t>Feed for dairy cows</t>
  </si>
  <si>
    <t>Feed for pigs</t>
  </si>
  <si>
    <t>Lick block, dry season mix</t>
  </si>
  <si>
    <t>Lick block, mineral</t>
  </si>
  <si>
    <t>Lick block, weaner</t>
  </si>
  <si>
    <t>Ammonia, AU market mix</t>
  </si>
  <si>
    <t>Ammonia, Canada</t>
  </si>
  <si>
    <t>Ammonia, China</t>
  </si>
  <si>
    <t>Ammonia, Yemen</t>
  </si>
  <si>
    <t>Ammonium nitrate, AU market mix</t>
  </si>
  <si>
    <t>Calcium ammonium nitrate, AU market mix</t>
  </si>
  <si>
    <t>Diammonium phosphate, AU market mix</t>
  </si>
  <si>
    <t>Double superphosphate, AU market mix</t>
  </si>
  <si>
    <t>Monoammonium phosphate, AU market mix</t>
  </si>
  <si>
    <t>Muriate of potash, AU market mix</t>
  </si>
  <si>
    <t>Nitrogen from ammonia, AU market mix</t>
  </si>
  <si>
    <t>Nitrogen from fertilizer, AU market mix</t>
  </si>
  <si>
    <t>Nitrogen from nitrate fertilizer, AU market mix</t>
  </si>
  <si>
    <t>Phosphorus from fertilizer, AU market mix</t>
  </si>
  <si>
    <t>Potassium from fertilizer, AU market mix</t>
  </si>
  <si>
    <t>Single superphosphate, AU market mix</t>
  </si>
  <si>
    <t>Sulfur from fertilizer, AU market mix</t>
  </si>
  <si>
    <t>Ammonium sulphate, AU market mix</t>
  </si>
  <si>
    <t>Urea ammonium nitrate, AU market mix</t>
  </si>
  <si>
    <t>kg P</t>
  </si>
  <si>
    <t>kg K</t>
  </si>
  <si>
    <t>kg S</t>
  </si>
  <si>
    <t>kg Zn</t>
  </si>
  <si>
    <t>Urea, AU market mix</t>
  </si>
  <si>
    <t>Urea, Canada</t>
  </si>
  <si>
    <t>Urea, China</t>
  </si>
  <si>
    <t>Urea, Yemen</t>
  </si>
  <si>
    <t>Zinc from fertilizer</t>
  </si>
  <si>
    <t>Animal ear tags (large)</t>
  </si>
  <si>
    <t>Animal ear tags (small)</t>
  </si>
  <si>
    <t>Barley grain (for seed)</t>
  </si>
  <si>
    <t>Maize grain (for seed)</t>
  </si>
  <si>
    <t>Nylon netting</t>
  </si>
  <si>
    <t>Oat grain (for seed)</t>
  </si>
  <si>
    <t>Sorghum grain (for seed)</t>
  </si>
  <si>
    <t>Wheat grain (for seed)</t>
  </si>
  <si>
    <t>Corrugated board</t>
  </si>
  <si>
    <t>Plastic crate polypropylene</t>
  </si>
  <si>
    <t>Plastic film LDPE</t>
  </si>
  <si>
    <t>Plastic sheet HDPE</t>
  </si>
  <si>
    <t>2,4-D</t>
  </si>
  <si>
    <t>kg AI</t>
  </si>
  <si>
    <t>Atrazine</t>
  </si>
  <si>
    <t>Diuron</t>
  </si>
  <si>
    <t>Glyphosate</t>
  </si>
  <si>
    <t>Mancozeb</t>
  </si>
  <si>
    <t>MCPA</t>
  </si>
  <si>
    <t>Metolachlor</t>
  </si>
  <si>
    <t>Metsulfuron-methyl</t>
  </si>
  <si>
    <t>Pesticides (generic)</t>
  </si>
  <si>
    <t>Tri-allate</t>
  </si>
  <si>
    <t>Tribenuron methyl</t>
  </si>
  <si>
    <t>Trifluralin</t>
  </si>
  <si>
    <t>Dolomite</t>
  </si>
  <si>
    <t>Limestone (crushed)</t>
  </si>
  <si>
    <t>Aquaculture feed</t>
  </si>
  <si>
    <t>Sardines (whole)</t>
  </si>
  <si>
    <t>Not specified</t>
  </si>
  <si>
    <t>Low Animal Protein Formulated Feed</t>
  </si>
  <si>
    <t>Squid</t>
  </si>
  <si>
    <t>Whole fish</t>
  </si>
  <si>
    <t>Custom Bait</t>
  </si>
  <si>
    <t>Emission factors for wastes disposed of at different treatment facilities</t>
  </si>
  <si>
    <t>VEERG 2026: Table A.4.1.1</t>
  </si>
  <si>
    <t>Fixed typo 'paper and carboard' to 'paper and cardboard'</t>
  </si>
  <si>
    <t>Fixed typo 'prunnings' to 'prunings'</t>
  </si>
  <si>
    <t>Added EF source column with specific references</t>
  </si>
  <si>
    <t>Added sub-categories for 'Incineration: Food waste, green waste, wood, sludge' in order to use volume to mass conversion factor values</t>
  </si>
  <si>
    <t>Added sub-categories for 'Composting: All organic waste' in order to use volume to mass conversion factor values</t>
  </si>
  <si>
    <t>Added sub-categories for 'Anaerobic digestion: All organic waste' in order to use volume to mass conversion factor values</t>
  </si>
  <si>
    <t>t CO2e / t</t>
  </si>
  <si>
    <t>NGAF 2025 table 15</t>
  </si>
  <si>
    <t>Wood</t>
  </si>
  <si>
    <t>Textiles</t>
  </si>
  <si>
    <t>Sludge</t>
  </si>
  <si>
    <t>Rubber and leather</t>
  </si>
  <si>
    <t>Inert waste (including concrete, metal, plastic or glass)</t>
  </si>
  <si>
    <t>Municipal solid waste</t>
  </si>
  <si>
    <t>Commercial and industrial waste</t>
  </si>
  <si>
    <t>Construction and demolition waste</t>
  </si>
  <si>
    <t>Food waste, green waste, wood, sludge</t>
  </si>
  <si>
    <t>NGAF 2025 Table 18</t>
  </si>
  <si>
    <t>All organic waste</t>
  </si>
  <si>
    <t>NGAF 2025 Table 19</t>
  </si>
  <si>
    <t>Anaerobic digestion</t>
  </si>
  <si>
    <t>Volume to mass conversion factor for various waste types</t>
  </si>
  <si>
    <t>VEERG 2026: Table A.4.1.2</t>
  </si>
  <si>
    <t>VARIATION OF SOURCE: Changed column header CFw to VTMw to match title variable.</t>
  </si>
  <si>
    <t>Australian states and territories</t>
  </si>
  <si>
    <t>Australian Capital Territory</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</si>
  <si>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</si>
  <si>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</si>
  <si>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</si>
  <si>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</si>
  <si>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</si>
  <si>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</si>
  <si>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</si>
  <si>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</si>
  <si>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</si>
  <si>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</si>
  <si>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</si>
  <si>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Global warming potential for greenhouse gases</t>
  </si>
  <si>
    <t>XXXXXXX</t>
  </si>
  <si>
    <t>CF4</t>
  </si>
  <si>
    <t>C2F6</t>
  </si>
  <si>
    <t>SF6</t>
  </si>
  <si>
    <t>NF3</t>
  </si>
  <si>
    <t>Factor to convert elemental mass of gas to molecular mass</t>
  </si>
  <si>
    <t>44/12</t>
  </si>
  <si>
    <t>16/12</t>
  </si>
  <si>
    <t>44/28</t>
  </si>
  <si>
    <t>Nox</t>
  </si>
  <si>
    <t>46/14</t>
  </si>
  <si>
    <t>CO</t>
  </si>
  <si>
    <t>28/12</t>
  </si>
  <si>
    <t>CO2 Lime</t>
  </si>
  <si>
    <t>NMVOC</t>
  </si>
  <si>
    <t>14/12</t>
  </si>
  <si>
    <t>VEERG Australian wet and dry zones</t>
  </si>
  <si>
    <t>VEERG 2026: Table 1.2: Translating climate zones to wet and dry zones</t>
  </si>
  <si>
    <t>Tropical montane</t>
  </si>
  <si>
    <t>Wet climate zone</t>
  </si>
  <si>
    <t>Tropical wet</t>
  </si>
  <si>
    <t>Tropical moist</t>
  </si>
  <si>
    <t>Tropical dry</t>
  </si>
  <si>
    <t>Dry climate zone</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</si>
  <si>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</si>
  <si>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</si>
  <si>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</si>
  <si>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</si>
  <si>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</si>
  <si>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</si>
  <si>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</si>
  <si>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</si>
  <si>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</si>
  <si>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</si>
  <si>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</si>
  <si>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</si>
  <si>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</si>
  <si>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</si>
  <si>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</si>
  <si>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</si>
  <si>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</si>
  <si>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</si>
  <si>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</si>
  <si>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</si>
  <si>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</si>
  <si>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</si>
  <si>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</si>
  <si>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</si>
  <si>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</si>
  <si>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</si>
  <si>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</si>
  <si>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</si>
  <si>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</si>
  <si>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</si>
  <si>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</si>
  <si>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</si>
  <si>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</si>
  <si>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</si>
  <si>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</si>
  <si>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</si>
  <si>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</si>
  <si>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</si>
  <si>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</si>
  <si>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</si>
  <si>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</si>
  <si>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</si>
  <si>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</si>
  <si>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</si>
  <si>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</si>
  <si>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</si>
  <si>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</si>
  <si>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</si>
  <si>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</si>
  <si>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</si>
  <si>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</si>
  <si>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</si>
  <si>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Australian data scores for scope 3</t>
  </si>
  <si>
    <t>VEERG 2026: XXXXXXXX</t>
  </si>
  <si>
    <t>International scope 3 database</t>
  </si>
  <si>
    <t>Australian scope 3 database</t>
  </si>
  <si>
    <t>State or regional scope 3 database</t>
  </si>
  <si>
    <t>Emissions intensity calculated from approved method</t>
  </si>
  <si>
    <t>National Inventory Report Volume 1: Leaching and runoff (3.D.b.2)</t>
  </si>
  <si>
    <t>National Inventory Report Volume 1: Equation 3.D.B_10</t>
  </si>
  <si>
    <t>EFleach</t>
  </si>
  <si>
    <t>p = density of methane</t>
  </si>
  <si>
    <t>National Inventory Report 2023 Volume 1: Equations 3.B.1a_2, 3.B.1c_2, 3.B.3_1, 3.B.4g_2</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</si>
  <si>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</si>
  <si>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</si>
  <si>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</si>
  <si>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</si>
  <si>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</si>
  <si>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</si>
  <si>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</si>
  <si>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</si>
  <si>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</si>
  <si>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Irrigated crop</t>
  </si>
  <si>
    <t>Non-irrigated pasture</t>
  </si>
  <si>
    <t>Non-irrigated crop (low rainfall)</t>
  </si>
  <si>
    <t>Non-irrigated crop (high rainfall)</t>
  </si>
  <si>
    <t>Sugar</t>
  </si>
  <si>
    <t>Horticultural crops</t>
  </si>
  <si>
    <t>Rice (continuous flooding)</t>
  </si>
  <si>
    <t>Rice</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</si>
  <si>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</si>
  <si>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</si>
  <si>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</si>
  <si>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</si>
  <si>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</si>
  <si>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</si>
  <si>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</si>
  <si>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</si>
  <si>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</si>
  <si>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</si>
  <si>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</si>
  <si>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Summer</t>
  </si>
  <si>
    <t>February</t>
  </si>
  <si>
    <t>March</t>
  </si>
  <si>
    <t>Autumn</t>
  </si>
  <si>
    <t>April</t>
  </si>
  <si>
    <t>May</t>
  </si>
  <si>
    <t>June</t>
  </si>
  <si>
    <t>Winter</t>
  </si>
  <si>
    <t>July</t>
  </si>
  <si>
    <t>August</t>
  </si>
  <si>
    <t>September</t>
  </si>
  <si>
    <t>Spring</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</si>
  <si>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</si>
  <si>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</si>
  <si>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</si>
  <si>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</si>
  <si>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</si>
  <si>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</si>
  <si>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</si>
  <si>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</si>
  <si>
    <t>Emission factor for organic fertiliser and crop residues returned to the soil</t>
  </si>
  <si>
    <t>VEERG 2026: Table A.2.1.4</t>
  </si>
  <si>
    <t>Mass of nitrogen in inorganic fertiliser applied to production system</t>
  </si>
  <si>
    <t>VEERG 2026: 5.1.1.1, Equation (2)</t>
  </si>
  <si>
    <t>MN_jf</t>
  </si>
  <si>
    <t>total mass of inorganic fertiliser type f applied to production system j</t>
  </si>
  <si>
    <t>FN_inorganicf</t>
  </si>
  <si>
    <t xml:space="preserve">fraction of nitrogen in inorganic fertiliser type f </t>
  </si>
  <si>
    <t>kg N/kg</t>
  </si>
  <si>
    <t>Emission factor for nitrous oxide for irrigated maize</t>
  </si>
  <si>
    <t>VEERG 2026: 5.1.1.2, Equation (1)</t>
  </si>
  <si>
    <t>Nitrous oxide emissions from the application of all inorganic fertiliser types f to all production systems j</t>
  </si>
  <si>
    <t>VEERG 2026: 5.1.1.1, Equation (1)</t>
  </si>
  <si>
    <t>EF_fjIrrigatedMaizeN2O</t>
  </si>
  <si>
    <t>kg N2O-N/kg N applied</t>
  </si>
  <si>
    <t>N_fjIrrigatedMaize</t>
  </si>
  <si>
    <t>application rate of inorganic fertiliser type f in the irrigated maize crop</t>
  </si>
  <si>
    <t>Inorganic fertiliser type</t>
  </si>
  <si>
    <t>kg N/ha</t>
  </si>
  <si>
    <t>mass of nitrogen in inorganic fertiliser type f applied to production system j</t>
  </si>
  <si>
    <t>EF_jN2O</t>
  </si>
  <si>
    <t>emission factor for nitrous oxide for inorganic fertilisers</t>
  </si>
  <si>
    <t>rainfall zone</t>
  </si>
  <si>
    <t>Calculated from 5.1.1.1 (2)</t>
  </si>
  <si>
    <t>Emission factor for nitrous oxide for non-irrigated grains in high rainfall zone</t>
  </si>
  <si>
    <t>VEERG 2026: 5.1.1.2, Equation (2)</t>
  </si>
  <si>
    <t>EF_fjNonIrrigatedGrainsN2O</t>
  </si>
  <si>
    <t>N_fjNonIrrigatedGrains</t>
  </si>
  <si>
    <t>application rate of inorganic fertiliser type f in the grains crop</t>
  </si>
  <si>
    <t>Emission factor for nitrous oxide for cotton</t>
  </si>
  <si>
    <t>VEERG 2026: 5.1.1.2, Equation (3)</t>
  </si>
  <si>
    <t>EF_fjCottonN2O</t>
  </si>
  <si>
    <t>N_fjCotton</t>
  </si>
  <si>
    <t>application rate of inorganic fertiliser type f in the cotton crop</t>
  </si>
  <si>
    <t>Calculated from 5.1.1.2 (1)(2)(3)</t>
  </si>
  <si>
    <t>Mass of urea applied to production system</t>
  </si>
  <si>
    <t>VEERG 2026: 5.1.1.3, Equation (2)</t>
  </si>
  <si>
    <t>MU_jf</t>
  </si>
  <si>
    <t>kg urea</t>
  </si>
  <si>
    <t>FU_f</t>
  </si>
  <si>
    <t>fraction of urea in fertiliser type f</t>
  </si>
  <si>
    <t>kg urea/kg</t>
  </si>
  <si>
    <t>Carbon dioxide emissions resulting from the use of all inorganic, urea-based fertilisers</t>
  </si>
  <si>
    <t>VEERG 2026: 5.1.1.3, Equation (1)</t>
  </si>
  <si>
    <t>E_CO2</t>
  </si>
  <si>
    <t>mass of urea of inorganic fertiliser type f applied to production system j</t>
  </si>
  <si>
    <t>EF_ureaCO2</t>
  </si>
  <si>
    <t>emission factor for carbon emissions from urea-based fertilisers</t>
  </si>
  <si>
    <t>C_CO2</t>
  </si>
  <si>
    <t>factor to convert elemental mass of carbon to molecular mass of carbon dioxide</t>
  </si>
  <si>
    <t>Mass of nitrogen in purchased organic fertilisers applied to production system</t>
  </si>
  <si>
    <t>VEERG 2026: 5.2.1.1, Equation (2)</t>
  </si>
  <si>
    <t>M_organicjf</t>
  </si>
  <si>
    <t>mass of organic fertiliser type f applied to production system j</t>
  </si>
  <si>
    <t>FN_organicf</t>
  </si>
  <si>
    <t>nitrogen fraction of organic fertiliser type f</t>
  </si>
  <si>
    <t>Emissions from the application of lime and dolomite to production systems</t>
  </si>
  <si>
    <t>VEERG 2026: 5.3.1.1, Equation (1)</t>
  </si>
  <si>
    <t>E_lime</t>
  </si>
  <si>
    <t>total mass of lime applied to production system</t>
  </si>
  <si>
    <t>fraction of lime as limestone (CaCO3)</t>
  </si>
  <si>
    <t>P_lime</t>
  </si>
  <si>
    <t>fractional purity of limestone</t>
  </si>
  <si>
    <t>EF_lime</t>
  </si>
  <si>
    <t>emission factor for limestone fraction of lime</t>
  </si>
  <si>
    <t>fraction of lime as dolomite</t>
  </si>
  <si>
    <t>P_dol</t>
  </si>
  <si>
    <t>fractional purity of dolomite</t>
  </si>
  <si>
    <t>EF_dol</t>
  </si>
  <si>
    <t>emission factor for dolomite fraction of lime</t>
  </si>
  <si>
    <t>factor to convert elemental mass of carbon dioxide to molecular mass</t>
  </si>
  <si>
    <t>kg C/kg</t>
  </si>
  <si>
    <t>Mass of nitrogen volatilised from inorganic fertiliser applied to production system</t>
  </si>
  <si>
    <t>VEERG 2026: 5.4.1.1, Equation (2)</t>
  </si>
  <si>
    <t>M_volinorganicjf</t>
  </si>
  <si>
    <t>mass of nitrogen in inorganic fertiliser applied</t>
  </si>
  <si>
    <t>FracGASF_f</t>
  </si>
  <si>
    <t>fraction of inorganic fertiliser that volatilises</t>
  </si>
  <si>
    <t>Nitrous oxide emissions from atmospheric deposition from all inorganic fertiliser types f and all production systems j</t>
  </si>
  <si>
    <t>VEERG 2026: 5.4.1.1, Equation (1)</t>
  </si>
  <si>
    <t>E_adinorganic</t>
  </si>
  <si>
    <t>mass of nitrogen volatilised from inorganic fertiliser applied to production system</t>
  </si>
  <si>
    <t>emission factor for atmospheric deposition</t>
  </si>
  <si>
    <t>Calculated from 5.4.1.1 (2)</t>
  </si>
  <si>
    <t>Mass of nitrogen lost through leaching and runoff from inorganic fertiliser application in production system j</t>
  </si>
  <si>
    <t>VEERG 2026: 5.5, Equation (2)</t>
  </si>
  <si>
    <t>mass of nitrogen in inorganic fertiliser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</si>
</sst>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0.00000000000"/>
    <numFmt numFmtId="171" formatCode="[$-F800]dddd\,\ mmmm\ dd\,\ yyyy"/>
    <numFmt numFmtId="172" formatCode="[$-C09]d\ mmmm\ yyyy;@"/>
    <numFmt numFmtId="173" formatCode="0.00000"/>
    <numFmt numFmtId="174" formatCode="0.000000E+00"/>
  </numFmts>
  <fonts count="83" x14ac:knownFonts="1">
    <font>
      <sz val="10"/>
      <color theme="1"/>
      <name val="Arial"/>
      <family val="2"/>
    </font>
    <font>
      <i/>
      <sz val="10"/>
      <color theme="1" tint="0.499984740745262"/>
      <name val="Arial"/>
      <family val="1"/>
    </font>
    <font>
      <sz val="10"/>
      <color theme="1" tint="0.14999847407452621"/>
      <name val="Arial"/>
      <family val="1"/>
    </font>
    <font>
      <b/>
      <sz val="10"/>
      <color theme="1" tint="0.14999847407452621"/>
      <name val="Arial"/>
      <family val="1"/>
    </font>
    <font>
      <b/>
      <sz val="18"/>
      <color rgb="FF183C1B"/>
      <name val="Arial"/>
      <family val="1"/>
    </font>
    <font>
      <b/>
      <sz val="10"/>
      <color rgb="FF183C1B"/>
      <name val="Arial"/>
      <family val="1"/>
    </font>
    <font>
      <i/>
      <sz val="10"/>
      <color theme="1" tint="0.34998626667073579"/>
      <name val="Arial"/>
      <family val="1"/>
    </font>
    <font>
      <sz val="10"/>
      <color theme="1" tint="0.34998626667073579"/>
      <name val="Arial"/>
      <family val="1"/>
    </font>
    <font>
      <sz val="10"/>
      <color theme="1" tint="0.14996795556505021"/>
      <name val="Arial"/>
      <family val="1"/>
    </font>
    <font>
      <sz val="10"/>
      <color theme="1"/>
      <name val="Arial"/>
      <family val="2"/>
    </font>
    <font>
      <b/>
      <sz val="18"/>
      <color rgb="FFCC6600"/>
      <name val="Arial"/>
      <family val="1"/>
    </font>
    <font>
      <i/>
      <sz val="10"/>
      <color rgb="FFCC6600"/>
      <name val="Arial"/>
      <family val="1"/>
    </font>
    <font>
      <b/>
      <sz val="10"/>
      <color rgb="FF533001"/>
      <name val="Arial"/>
      <family val="1"/>
    </font>
    <font>
      <i/>
      <strike/>
      <sz val="10"/>
      <color theme="1" tint="0.499984740745262"/>
      <name val="Arial"/>
      <family val="1"/>
    </font>
    <font>
      <b/>
      <i/>
      <strike/>
      <sz val="10"/>
      <color theme="1" tint="0.499984740745262"/>
      <name val="Arial"/>
      <family val="1"/>
    </font>
    <font>
      <sz val="9"/>
      <color theme="1" tint="0.499984740745262"/>
      <name val="Courier New"/>
      <family val="3"/>
    </font>
    <font>
      <b/>
      <sz val="14"/>
      <color theme="0"/>
      <name val="Arial"/>
      <family val="1"/>
    </font>
    <font>
      <sz val="9"/>
      <color theme="1" tint="0.249977111117893"/>
      <name val="Arial"/>
      <family val="1"/>
    </font>
    <font>
      <sz val="9"/>
      <color rgb="FF008000"/>
      <name val="Arial"/>
      <family val="1"/>
    </font>
    <font>
      <sz val="9"/>
      <color rgb="FFCC6600"/>
      <name val="Arial"/>
      <family val="1"/>
    </font>
    <font>
      <sz val="10"/>
      <color theme="0"/>
      <name val="Arial"/>
      <family val="1"/>
    </font>
    <font>
      <sz val="10"/>
      <color theme="1" tint="0.499984740745262"/>
      <name val="Arial"/>
      <family val="1"/>
    </font>
    <font>
      <sz val="10"/>
      <color theme="0" tint="-4.9989318521683403E-2"/>
      <name val="Arial"/>
      <family val="1"/>
    </font>
    <font>
      <sz val="9"/>
      <color theme="1" tint="0.34998626667073579"/>
      <name val="Arial"/>
      <family val="1"/>
    </font>
    <font>
      <sz val="9"/>
      <name val="Arial"/>
      <family val="2"/>
    </font>
    <font>
      <sz val="16"/>
      <color theme="1" tint="0.14996795556505021"/>
      <name val="Arial"/>
      <family val="1"/>
    </font>
    <font>
      <sz val="9"/>
      <color theme="1" tint="0.34998626667073579"/>
      <name val="Arial"/>
      <family val="2"/>
    </font>
    <font>
      <sz val="10"/>
      <color theme="1" tint="0.24994659260841701"/>
      <name val="Arial"/>
      <family val="1"/>
    </font>
    <font>
      <sz val="10"/>
      <color rgb="FFC44340"/>
      <name val="Arial"/>
      <family val="1"/>
    </font>
    <font>
      <sz val="10"/>
      <color rgb="FF008000"/>
      <name val="Arial"/>
      <family val="1"/>
    </font>
    <font>
      <sz val="10"/>
      <color rgb="FF0070C0"/>
      <name val="Arial"/>
      <family val="1"/>
    </font>
    <font>
      <b/>
      <sz val="10"/>
      <color theme="0"/>
      <name val="Arial"/>
      <family val="1"/>
    </font>
    <font>
      <b/>
      <sz val="10"/>
      <color theme="0" tint="-0.499984740745262"/>
      <name val="Arial"/>
      <family val="1"/>
    </font>
    <font>
      <sz val="9"/>
      <color theme="0" tint="-0.499984740745262"/>
      <name val="Arial"/>
      <family val="1"/>
    </font>
    <font>
      <sz val="12"/>
      <color theme="1" tint="0.34998626667073579"/>
      <name val="Arial"/>
      <family val="1"/>
    </font>
    <font>
      <b/>
      <sz val="10"/>
      <color rgb="FFCC6600"/>
      <name val="Arial"/>
      <family val="1"/>
    </font>
    <font>
      <u/>
      <sz val="9"/>
      <color theme="1" tint="0.34998626667073579"/>
      <name val="Arial"/>
      <family val="1"/>
    </font>
    <font>
      <i/>
      <sz val="9"/>
      <color theme="6" tint="-0.499984740745262"/>
      <name val="Arial"/>
      <family val="1"/>
    </font>
    <font>
      <i/>
      <sz val="9"/>
      <color theme="5" tint="-0.499984740745262"/>
      <name val="Arial"/>
      <family val="1"/>
    </font>
    <font>
      <u/>
      <sz val="10"/>
      <color theme="10"/>
      <name val="Arial"/>
      <family val="2"/>
    </font>
    <font>
      <b/>
      <sz val="10"/>
      <color theme="1" tint="0.24994659260841701"/>
      <name val="Arial"/>
      <family val="1"/>
    </font>
    <font>
      <i/>
      <sz val="9"/>
      <color theme="1" tint="0.34998626667073579"/>
      <name val="Arial"/>
      <family val="1"/>
    </font>
    <font>
      <b/>
      <sz val="10"/>
      <color rgb="FF0070C0"/>
      <name val="Arial"/>
      <family val="1"/>
    </font>
    <font>
      <sz val="10"/>
      <color theme="1"/>
      <name val="Arial"/>
      <family val="1"/>
    </font>
    <font>
      <sz val="10"/>
      <color theme="1"/>
      <name val="Arial"/>
      <family val="1"/>
    </font>
    <font>
      <b/>
      <sz val="10"/>
      <color theme="1"/>
      <name val="Arial"/>
      <family val="1"/>
    </font>
    <font>
      <b/>
      <sz val="10"/>
      <color theme="1" tint="0.249977111117893"/>
      <name val="Arial"/>
      <family val="1"/>
    </font>
    <font>
      <sz val="10"/>
      <color theme="1" tint="0.249977111117893"/>
      <name val="Arial"/>
      <family val="1"/>
    </font>
    <font>
      <b/>
      <sz val="10"/>
      <color theme="1" tint="0.249977111117893"/>
      <name val="Arial"/>
      <family val="1"/>
    </font>
    <font>
      <sz val="10"/>
      <color rgb="FF242424"/>
      <name val="Consolas"/>
      <family val="3"/>
    </font>
    <font>
      <sz val="9"/>
      <color rgb="FF404040"/>
      <name val="Arial"/>
      <family val="1"/>
    </font>
    <font>
      <b/>
      <sz val="14"/>
      <color theme="1" tint="0.24994659260841701"/>
      <name val="Arial"/>
      <family val="1"/>
    </font>
    <font>
      <sz val="14"/>
      <color theme="1" tint="0.24994659260841701"/>
      <name val="Arial"/>
      <family val="1"/>
    </font>
    <font>
      <b/>
      <sz val="18"/>
      <color rgb="FF0C769E"/>
      <name val="Arial"/>
      <family val="1"/>
    </font>
    <font>
      <i/>
      <sz val="14"/>
      <color theme="1" tint="0.34998626667073579"/>
      <name val="Arial"/>
      <family val="1"/>
    </font>
    <font>
      <b/>
      <sz val="10"/>
      <color theme="5" tint="-0.499984740745262"/>
      <name val="Arial"/>
      <family val="1"/>
    </font>
    <font>
      <b/>
      <sz val="20"/>
      <color theme="5" tint="-0.499984740745262"/>
      <name val="Arial"/>
      <family val="1"/>
    </font>
    <font>
      <b/>
      <sz val="10"/>
      <color theme="1" tint="0.499984740745262"/>
      <name val="Arial"/>
      <family val="1"/>
    </font>
    <font>
      <sz val="9"/>
      <color theme="1" tint="0.499984740745262"/>
      <name val="Arial"/>
      <family val="1"/>
    </font>
    <font>
      <b/>
      <vertAlign val="subscript"/>
      <sz val="10"/>
      <color rgb="FF183C1B"/>
      <name val="Arial"/>
      <family val="1"/>
    </font>
    <font>
      <b/>
      <vertAlign val="subscript"/>
      <sz val="14"/>
      <color theme="1" tint="0.24994659260841701"/>
      <name val="Arial"/>
      <family val="1"/>
    </font>
    <font>
      <vertAlign val="subscript"/>
      <sz val="10"/>
      <color theme="1" tint="0.24994659260841701"/>
      <name val="Arial"/>
      <family val="1"/>
    </font>
    <font>
      <i/>
      <sz val="10"/>
      <color rgb="FF0070C0"/>
      <name val="Arial"/>
      <family val="1"/>
    </font>
    <font>
      <b/>
      <vertAlign val="subscript"/>
      <sz val="10"/>
      <color theme="1" tint="0.24994659260841701"/>
      <name val="Arial"/>
      <family val="1"/>
    </font>
    <font>
      <b/>
      <sz val="10"/>
      <color theme="1"/>
      <name val="Arial"/>
      <family val="2"/>
    </font>
    <font>
      <sz val="9"/>
      <color theme="1"/>
      <name val="Arial"/>
      <family val="2"/>
    </font>
    <font>
      <sz val="9"/>
      <name val="Arial"/>
      <family val="1"/>
    </font>
    <font>
      <b/>
      <vertAlign val="subscript"/>
      <sz val="10"/>
      <color rgb="FF533001"/>
      <name val="Arial"/>
      <family val="1"/>
    </font>
    <font>
      <b/>
      <sz val="9"/>
      <color theme="1" tint="0.34998626667073579"/>
      <name val="Arial"/>
      <family val="1"/>
    </font>
    <font>
      <sz val="14"/>
      <name val="Arial"/>
      <family val="1"/>
    </font>
    <font>
      <b/>
      <sz val="9"/>
      <name val="Arial"/>
      <family val="1"/>
    </font>
    <font>
      <sz val="10"/>
      <name val="Arial"/>
      <family val="1"/>
    </font>
    <font>
      <b/>
      <sz val="9"/>
      <color theme="1" tint="0.14999847407452621"/>
      <name val="Arial"/>
      <family val="1"/>
    </font>
    <font>
      <b/>
      <i/>
      <sz val="10"/>
      <color rgb="FFCC6600"/>
      <name val="Arial"/>
      <family val="1"/>
    </font>
    <font>
      <sz val="10"/>
      <color theme="1"/>
      <name val="Arial"/>
      <family val="2"/>
      <scheme val="minor"/>
    </font>
    <font>
      <sz val="12"/>
      <color theme="5"/>
      <name val="Arial"/>
      <family val="1"/>
    </font>
    <font>
      <b/>
      <vertAlign val="subscript"/>
      <sz val="10"/>
      <color theme="1"/>
      <name val="Arial"/>
      <family val="1"/>
    </font>
    <font>
      <vertAlign val="subscript"/>
      <sz val="9"/>
      <color theme="1" tint="0.34998626667073579"/>
      <name val="Arial"/>
      <family val="1"/>
    </font>
    <font>
      <b/>
      <sz val="12"/>
      <color theme="1" tint="0.24994659260841701"/>
      <name val="Arial"/>
      <family val="1"/>
    </font>
    <font>
      <b/>
      <sz val="10"/>
      <color rgb="FFC44340"/>
      <name val="Arial"/>
      <family val="1"/>
    </font>
    <font>
      <i/>
      <sz val="10"/>
      <color rgb="FFC44340"/>
      <name val="Arial"/>
      <family val="1"/>
    </font>
    <font>
      <b/>
      <vertAlign val="subscript"/>
      <sz val="12"/>
      <color theme="1" tint="0.24994659260841701"/>
      <name val="Arial"/>
      <family val="1"/>
    </font>
    <font>
      <b/>
      <vertAlign val="superscript"/>
      <sz val="10"/>
      <color rgb="FF183C1B"/>
      <name val="Arial"/>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
      <patternFill patternType="solid">
        <fgColor rgb="FFFFEBC1"/>
        <bgColor indexed="64"/>
      </patternFill>
    </fill>
  </fills>
  <borders count="29">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
      <left/>
      <right/>
      <top/>
      <bottom style="thin">
        <color indexed="64"/>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theme="3" tint="0.749961851863155"/>
      </left>
      <right/>
      <top/>
      <bottom/>
      <diagonal/>
    </border>
    <border>
      <left/>
      <right style="thin">
        <color theme="3" tint="0.749961851863155"/>
      </right>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style="thin">
        <color theme="0" tint="-0.34998626667073579"/>
      </right>
      <top/>
      <bottom/>
      <diagonal/>
    </border>
    <border>
      <left/>
      <right/>
      <top style="thin">
        <color theme="0" tint="-0.499984740745262"/>
      </top>
      <bottom/>
      <diagonal/>
    </border>
  </borders>
  <cellStyleXfs count="72">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5" fillId="4" borderId="0">
      <alignment horizontal="left" vertical="center"/>
    </xf>
    <xf numFmtId="0" fontId="29" fillId="4" borderId="0">
      <alignment vertical="center"/>
    </xf>
    <xf numFmtId="0" fontId="3" fillId="4" borderId="0">
      <alignment horizontal="left" vertical="center"/>
    </xf>
    <xf numFmtId="0" fontId="27"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0" fillId="13" borderId="5">
      <alignment horizontal="left" vertical="center"/>
    </xf>
    <xf numFmtId="3" fontId="23" fillId="4" borderId="2">
      <alignment horizontal="center" vertical="center"/>
    </xf>
    <xf numFmtId="167" fontId="2" fillId="0" borderId="2">
      <alignment horizontal="center" vertical="center"/>
    </xf>
    <xf numFmtId="0" fontId="24" fillId="0" borderId="0"/>
    <xf numFmtId="0" fontId="9" fillId="0" borderId="0"/>
    <xf numFmtId="0" fontId="24" fillId="0" borderId="0"/>
    <xf numFmtId="166" fontId="23" fillId="4" borderId="2">
      <alignment horizontal="center" vertical="center"/>
    </xf>
    <xf numFmtId="4" fontId="23" fillId="4" borderId="2">
      <alignment horizontal="center" vertical="center"/>
    </xf>
    <xf numFmtId="0" fontId="34" fillId="4" borderId="0">
      <alignment horizontal="left" vertical="center"/>
    </xf>
    <xf numFmtId="0" fontId="26" fillId="4" borderId="0" applyNumberFormat="0">
      <alignment horizontal="center" vertical="center"/>
    </xf>
    <xf numFmtId="165" fontId="23" fillId="4" borderId="2">
      <alignment horizontal="center" vertical="center"/>
    </xf>
    <xf numFmtId="0" fontId="22" fillId="4" borderId="0">
      <alignment horizontal="left" vertical="center"/>
    </xf>
    <xf numFmtId="168" fontId="23" fillId="4" borderId="2">
      <alignment horizontal="center" vertical="center"/>
    </xf>
    <xf numFmtId="0" fontId="23" fillId="4" borderId="2">
      <alignment horizontal="center" vertical="center"/>
    </xf>
    <xf numFmtId="0" fontId="6" fillId="4" borderId="0">
      <alignment horizontal="left" vertical="center"/>
    </xf>
    <xf numFmtId="0" fontId="28" fillId="4" borderId="0">
      <alignment horizontal="left" vertical="center"/>
    </xf>
    <xf numFmtId="0" fontId="9" fillId="0" borderId="0"/>
    <xf numFmtId="0" fontId="2" fillId="0" borderId="2">
      <alignment horizontal="center" vertical="center"/>
    </xf>
    <xf numFmtId="0" fontId="32" fillId="4" borderId="0">
      <alignment horizontal="left" vertical="center"/>
    </xf>
    <xf numFmtId="0" fontId="33" fillId="4" borderId="0">
      <alignment horizontal="left" vertical="center"/>
    </xf>
    <xf numFmtId="0" fontId="35" fillId="4" borderId="0">
      <alignment horizontal="left" vertical="center"/>
    </xf>
    <xf numFmtId="0" fontId="31" fillId="11" borderId="0">
      <alignment horizontal="center" vertical="center"/>
    </xf>
    <xf numFmtId="0" fontId="20" fillId="11" borderId="0">
      <alignment horizontal="left" vertical="center" indent="1"/>
    </xf>
    <xf numFmtId="0" fontId="36" fillId="4" borderId="2">
      <alignment horizontal="left" vertical="center"/>
    </xf>
    <xf numFmtId="0" fontId="23" fillId="4" borderId="2">
      <alignment horizontal="left" vertical="center"/>
    </xf>
    <xf numFmtId="0" fontId="37" fillId="14" borderId="2">
      <alignment horizontal="center" vertical="center"/>
    </xf>
    <xf numFmtId="0" fontId="38" fillId="15" borderId="2">
      <alignment horizontal="center" vertical="center"/>
    </xf>
    <xf numFmtId="0" fontId="3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74" fillId="0" borderId="0"/>
    <xf numFmtId="0" fontId="75" fillId="4" borderId="0">
      <alignment horizontal="left" vertical="center"/>
    </xf>
    <xf numFmtId="0" fontId="38" fillId="16" borderId="2">
      <alignment horizontal="center" vertical="center"/>
    </xf>
  </cellStyleXfs>
  <cellXfs count="257">
    <xf numFmtId="0" fontId="0" fillId="0" borderId="0" xfId="0"/>
    <xf numFmtId="0" fontId="27" fillId="4" borderId="0" xfId="8">
      <alignment horizontal="left" vertical="center"/>
    </xf>
    <xf numFmtId="0" fontId="25"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0" fontId="6" fillId="4" borderId="0" xfId="53">
      <alignment horizontal="left" vertical="center"/>
    </xf>
    <xf numFmtId="0" fontId="10" fillId="0" borderId="0" xfId="32"/>
    <xf numFmtId="0" fontId="31" fillId="11" borderId="0" xfId="60">
      <alignment horizontal="center" vertical="center"/>
    </xf>
    <xf numFmtId="0" fontId="2" fillId="4" borderId="0" xfId="7" applyFont="1">
      <alignment horizontal="left" vertical="center"/>
    </xf>
    <xf numFmtId="0" fontId="3" fillId="12" borderId="2" xfId="15">
      <alignment horizontal="center" vertical="center"/>
    </xf>
    <xf numFmtId="167" fontId="2" fillId="0" borderId="2" xfId="41">
      <alignment horizontal="center" vertical="center"/>
    </xf>
    <xf numFmtId="0" fontId="23" fillId="4" borderId="2" xfId="52">
      <alignment horizontal="center" vertical="center"/>
    </xf>
    <xf numFmtId="0" fontId="6" fillId="4" borderId="0" xfId="12">
      <alignment horizontal="left" vertical="center" indent="1"/>
    </xf>
    <xf numFmtId="0" fontId="29" fillId="4" borderId="0" xfId="6">
      <alignment vertical="center"/>
    </xf>
    <xf numFmtId="9" fontId="2" fillId="0" borderId="2" xfId="16">
      <alignment horizontal="center" vertical="center"/>
    </xf>
    <xf numFmtId="0" fontId="0" fillId="0" borderId="0" xfId="8" applyFont="1" applyFill="1">
      <alignment horizontal="left" vertical="center"/>
    </xf>
    <xf numFmtId="0" fontId="4" fillId="0" borderId="0" xfId="2"/>
    <xf numFmtId="0" fontId="3" fillId="0" borderId="0" xfId="7" applyFill="1">
      <alignment horizontal="left" vertical="center"/>
    </xf>
    <xf numFmtId="0" fontId="16" fillId="3" borderId="0" xfId="4">
      <alignment vertical="center"/>
    </xf>
    <xf numFmtId="0" fontId="16" fillId="0" borderId="0" xfId="4" applyFill="1">
      <alignment vertical="center"/>
    </xf>
    <xf numFmtId="0" fontId="3" fillId="4" borderId="0" xfId="7">
      <alignment horizontal="left" vertical="center"/>
    </xf>
    <xf numFmtId="0" fontId="28" fillId="4" borderId="0" xfId="54">
      <alignment horizontal="left" vertical="center"/>
    </xf>
    <xf numFmtId="0" fontId="0" fillId="0" borderId="0" xfId="7" applyFont="1" applyFill="1">
      <alignment horizontal="left" vertical="center"/>
    </xf>
    <xf numFmtId="0" fontId="10" fillId="0" borderId="0" xfId="2" applyFont="1"/>
    <xf numFmtId="0" fontId="16" fillId="7" borderId="0" xfId="31">
      <alignment vertical="center"/>
    </xf>
    <xf numFmtId="0" fontId="3" fillId="4" borderId="6" xfId="7" applyBorder="1">
      <alignment horizontal="left" vertical="center"/>
    </xf>
    <xf numFmtId="0" fontId="25" fillId="0" borderId="0" xfId="5" applyFill="1">
      <alignment horizontal="left" vertical="center"/>
    </xf>
    <xf numFmtId="0" fontId="11" fillId="4" borderId="0" xfId="30">
      <alignment vertical="center"/>
    </xf>
    <xf numFmtId="0" fontId="29" fillId="0" borderId="0" xfId="6" applyFill="1">
      <alignment vertical="center"/>
    </xf>
    <xf numFmtId="0" fontId="2" fillId="0" borderId="2" xfId="14">
      <alignment horizontal="center" vertical="center"/>
    </xf>
    <xf numFmtId="0" fontId="27" fillId="0" borderId="0" xfId="8" applyFill="1">
      <alignment horizontal="left" vertical="center"/>
    </xf>
    <xf numFmtId="0" fontId="30" fillId="13" borderId="7" xfId="39" applyBorder="1">
      <alignment horizontal="left" vertical="center"/>
    </xf>
    <xf numFmtId="0" fontId="30" fillId="13" borderId="8" xfId="39" applyBorder="1">
      <alignment horizontal="left" vertical="center"/>
    </xf>
    <xf numFmtId="0" fontId="30" fillId="13" borderId="9" xfId="39" applyBorder="1">
      <alignment horizontal="left" vertical="center"/>
    </xf>
    <xf numFmtId="0" fontId="30" fillId="13" borderId="10" xfId="39" applyBorder="1">
      <alignment horizontal="left" vertical="center"/>
    </xf>
    <xf numFmtId="0" fontId="41" fillId="0" borderId="0" xfId="12" applyFont="1" applyFill="1" applyAlignment="1">
      <alignment horizontal="left" vertical="center"/>
    </xf>
    <xf numFmtId="166" fontId="23" fillId="4" borderId="2" xfId="40" applyNumberFormat="1">
      <alignment horizontal="center" vertical="center"/>
    </xf>
    <xf numFmtId="0" fontId="2" fillId="0" borderId="0" xfId="7" applyFont="1" applyFill="1">
      <alignment horizontal="left" vertical="center"/>
    </xf>
    <xf numFmtId="0" fontId="42" fillId="13" borderId="11" xfId="39" applyFont="1" applyBorder="1">
      <alignment horizontal="left" vertical="center"/>
    </xf>
    <xf numFmtId="0" fontId="30" fillId="13" borderId="12" xfId="39" applyBorder="1">
      <alignment horizontal="left" vertical="center"/>
    </xf>
    <xf numFmtId="0" fontId="30" fillId="13" borderId="13" xfId="39" applyBorder="1">
      <alignment horizontal="left" vertical="center"/>
    </xf>
    <xf numFmtId="0" fontId="30" fillId="13" borderId="14" xfId="39" applyBorder="1">
      <alignment horizontal="left" vertical="center"/>
    </xf>
    <xf numFmtId="0" fontId="30" fillId="13" borderId="15" xfId="39" applyBorder="1">
      <alignment horizontal="left" vertical="center"/>
    </xf>
    <xf numFmtId="0" fontId="30" fillId="13" borderId="16" xfId="39"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3" fillId="0" borderId="0" xfId="0" applyFont="1" applyAlignment="1" applyProtection="1">
      <alignment horizontal="center" vertical="center"/>
      <protection locked="0"/>
    </xf>
    <xf numFmtId="4" fontId="44" fillId="0" borderId="0" xfId="17" applyFont="1" applyBorder="1">
      <alignment horizontal="center" vertical="center"/>
    </xf>
    <xf numFmtId="164" fontId="8" fillId="4" borderId="0" xfId="26" applyBorder="1">
      <alignment horizontal="center" vertical="center"/>
    </xf>
    <xf numFmtId="4" fontId="44" fillId="4" borderId="0" xfId="17" applyFont="1" applyFill="1" applyBorder="1">
      <alignment horizontal="center" vertical="center"/>
    </xf>
    <xf numFmtId="0" fontId="44" fillId="4" borderId="0" xfId="12" applyFont="1" applyAlignment="1">
      <alignment horizontal="center" vertical="center"/>
    </xf>
    <xf numFmtId="0" fontId="44" fillId="4" borderId="0" xfId="8" applyFont="1" applyAlignment="1">
      <alignment horizontal="center" vertical="center"/>
    </xf>
    <xf numFmtId="166" fontId="44" fillId="4" borderId="0" xfId="8" applyNumberFormat="1" applyFont="1" applyAlignment="1">
      <alignment horizontal="center" vertical="center"/>
    </xf>
    <xf numFmtId="9" fontId="44" fillId="4" borderId="0" xfId="68" applyFont="1" applyFill="1" applyBorder="1" applyAlignment="1">
      <alignment horizontal="center" vertical="center"/>
    </xf>
    <xf numFmtId="0" fontId="45" fillId="4" borderId="0" xfId="0" applyFont="1" applyFill="1" applyAlignment="1">
      <alignment horizontal="center" vertical="center"/>
    </xf>
    <xf numFmtId="0" fontId="45" fillId="4" borderId="0" xfId="0" applyFont="1" applyFill="1"/>
    <xf numFmtId="0" fontId="44" fillId="4" borderId="0" xfId="0" applyFont="1" applyFill="1"/>
    <xf numFmtId="0" fontId="44" fillId="0" borderId="0" xfId="0" applyFont="1"/>
    <xf numFmtId="0" fontId="46" fillId="4" borderId="0" xfId="7" applyFont="1" applyAlignment="1">
      <alignment horizontal="center" vertical="center"/>
    </xf>
    <xf numFmtId="0" fontId="47" fillId="4" borderId="0" xfId="7" applyFont="1" applyAlignment="1">
      <alignment horizontal="center" vertical="center"/>
    </xf>
    <xf numFmtId="166" fontId="47" fillId="4" borderId="0" xfId="7" applyNumberFormat="1" applyFont="1" applyAlignment="1">
      <alignment horizontal="center" vertical="center"/>
    </xf>
    <xf numFmtId="0" fontId="47" fillId="4" borderId="0" xfId="0" applyFont="1" applyFill="1" applyAlignment="1">
      <alignment horizontal="center" vertical="center"/>
    </xf>
    <xf numFmtId="0" fontId="48" fillId="4" borderId="0" xfId="0" applyFont="1" applyFill="1" applyAlignment="1">
      <alignment horizontal="center" vertical="center"/>
    </xf>
    <xf numFmtId="0" fontId="48" fillId="4" borderId="0" xfId="0" applyFont="1" applyFill="1" applyAlignment="1">
      <alignment horizontal="left" vertical="center"/>
    </xf>
    <xf numFmtId="14" fontId="3" fillId="4" borderId="0" xfId="7" applyNumberFormat="1">
      <alignment horizontal="left" vertical="center"/>
    </xf>
    <xf numFmtId="0" fontId="39" fillId="4" borderId="0" xfId="66" applyFill="1" applyBorder="1"/>
    <xf numFmtId="166" fontId="2" fillId="4" borderId="0" xfId="18" applyNumberFormat="1" applyFill="1" applyBorder="1">
      <alignment horizontal="center" vertical="center"/>
    </xf>
    <xf numFmtId="169" fontId="3" fillId="4" borderId="0" xfId="67" applyNumberFormat="1" applyFont="1" applyFill="1" applyBorder="1" applyAlignment="1">
      <alignment horizontal="center" vertical="center"/>
    </xf>
    <xf numFmtId="0" fontId="0" fillId="4" borderId="0" xfId="7" applyFont="1">
      <alignment horizontal="left" vertical="center"/>
    </xf>
    <xf numFmtId="0" fontId="49" fillId="4" borderId="0" xfId="0" applyFont="1" applyFill="1"/>
    <xf numFmtId="0" fontId="2" fillId="0" borderId="2" xfId="56">
      <alignment horizontal="center" vertical="center"/>
    </xf>
    <xf numFmtId="0" fontId="40" fillId="4" borderId="0" xfId="8" applyFont="1">
      <alignment horizontal="left" vertical="center"/>
    </xf>
    <xf numFmtId="0" fontId="23" fillId="4" borderId="2" xfId="52" quotePrefix="1">
      <alignment horizontal="center" vertical="center"/>
    </xf>
    <xf numFmtId="0" fontId="34" fillId="4" borderId="0" xfId="47">
      <alignment horizontal="left" vertical="center"/>
    </xf>
    <xf numFmtId="0" fontId="12" fillId="6" borderId="0" xfId="29">
      <alignment horizontal="center" vertical="center"/>
      <protection locked="0"/>
    </xf>
    <xf numFmtId="0" fontId="39" fillId="0" borderId="0" xfId="66"/>
    <xf numFmtId="0" fontId="50" fillId="9" borderId="4" xfId="34" applyFont="1">
      <alignment horizontal="left" vertical="center" indent="1"/>
    </xf>
    <xf numFmtId="0" fontId="20" fillId="10" borderId="0" xfId="35">
      <alignment horizontal="left" vertical="center" indent="1"/>
    </xf>
    <xf numFmtId="49" fontId="0" fillId="0" borderId="0" xfId="14" applyNumberFormat="1" applyFont="1" applyBorder="1">
      <alignment horizontal="center" vertical="center"/>
    </xf>
    <xf numFmtId="0" fontId="27" fillId="4" borderId="1" xfId="8" applyBorder="1">
      <alignment horizontal="left" vertical="center"/>
    </xf>
    <xf numFmtId="0" fontId="3" fillId="12" borderId="17" xfId="15" applyBorder="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35" fillId="4" borderId="0" xfId="59">
      <alignment horizontal="left" vertical="center"/>
    </xf>
    <xf numFmtId="0" fontId="40" fillId="4" borderId="1" xfId="8" applyFont="1" applyBorder="1">
      <alignment horizontal="left" vertical="center"/>
    </xf>
    <xf numFmtId="0" fontId="6" fillId="4" borderId="1" xfId="53" applyBorder="1">
      <alignment horizontal="left" vertical="center"/>
    </xf>
    <xf numFmtId="0" fontId="53" fillId="0" borderId="0" xfId="32" applyFont="1"/>
    <xf numFmtId="0" fontId="27" fillId="11" borderId="0" xfId="8" applyFill="1">
      <alignment horizontal="left" vertical="center"/>
    </xf>
    <xf numFmtId="0" fontId="52" fillId="4" borderId="0" xfId="8" applyFont="1">
      <alignment horizontal="left" vertical="center"/>
    </xf>
    <xf numFmtId="0" fontId="54" fillId="4" borderId="0" xfId="53" applyFont="1">
      <alignment horizontal="left" vertical="center"/>
    </xf>
    <xf numFmtId="0" fontId="51" fillId="4" borderId="0" xfId="8" applyFont="1">
      <alignment horizontal="left" vertical="center"/>
    </xf>
    <xf numFmtId="0" fontId="54" fillId="4" borderId="1" xfId="53" applyFont="1" applyBorder="1">
      <alignment horizontal="left" vertical="center"/>
    </xf>
    <xf numFmtId="170" fontId="27" fillId="4" borderId="0" xfId="8" applyNumberFormat="1">
      <alignment horizontal="left" vertical="center"/>
    </xf>
    <xf numFmtId="171" fontId="0" fillId="0" borderId="0" xfId="8" applyNumberFormat="1" applyFont="1" applyFill="1">
      <alignment horizontal="left" vertical="center"/>
    </xf>
    <xf numFmtId="0" fontId="9" fillId="0" borderId="0" xfId="55"/>
    <xf numFmtId="0" fontId="55" fillId="6" borderId="0" xfId="29" applyFont="1" applyProtection="1">
      <alignment horizontal="center" vertical="center"/>
    </xf>
    <xf numFmtId="0" fontId="20" fillId="5" borderId="0" xfId="36">
      <alignment horizontal="left" vertical="center" indent="1"/>
    </xf>
    <xf numFmtId="0" fontId="12" fillId="6" borderId="0" xfId="28">
      <alignment horizontal="left" vertical="center" indent="1"/>
    </xf>
    <xf numFmtId="0" fontId="40" fillId="4" borderId="0" xfId="8" applyFont="1" applyAlignment="1">
      <alignment horizontal="left" vertical="center" indent="3"/>
    </xf>
    <xf numFmtId="0" fontId="27" fillId="4" borderId="0" xfId="8" applyAlignment="1">
      <alignment horizontal="left" vertical="center" indent="3"/>
    </xf>
    <xf numFmtId="9" fontId="23" fillId="4" borderId="2" xfId="68" applyFont="1" applyFill="1" applyBorder="1" applyAlignment="1">
      <alignment horizontal="center" vertical="center"/>
    </xf>
    <xf numFmtId="0" fontId="56" fillId="4" borderId="0" xfId="59" applyFont="1" applyAlignment="1">
      <alignment horizontal="left" vertical="center" indent="6"/>
    </xf>
    <xf numFmtId="0" fontId="12" fillId="6" borderId="0" xfId="28" applyAlignment="1">
      <alignment horizontal="left" vertical="center" indent="6"/>
    </xf>
    <xf numFmtId="0" fontId="56" fillId="4" borderId="0" xfId="59" applyFont="1">
      <alignment horizontal="left" vertical="center"/>
    </xf>
    <xf numFmtId="0" fontId="40" fillId="4" borderId="0" xfId="8" applyFont="1" applyAlignment="1">
      <alignment horizontal="left" vertical="center" indent="9"/>
    </xf>
    <xf numFmtId="0" fontId="27" fillId="4" borderId="0" xfId="8" applyAlignment="1">
      <alignment horizontal="center" vertical="center"/>
    </xf>
    <xf numFmtId="0" fontId="27" fillId="4" borderId="0" xfId="8" applyAlignment="1">
      <alignment horizontal="left" vertical="center" indent="9"/>
    </xf>
    <xf numFmtId="0" fontId="27" fillId="4" borderId="0" xfId="8" applyAlignment="1">
      <alignment horizontal="left" vertical="center" indent="6"/>
    </xf>
    <xf numFmtId="0" fontId="15" fillId="4" borderId="0" xfId="24">
      <alignment horizontal="left" vertical="center"/>
    </xf>
    <xf numFmtId="0" fontId="23" fillId="4" borderId="2" xfId="63">
      <alignment horizontal="left" vertical="center"/>
    </xf>
    <xf numFmtId="0" fontId="38" fillId="15" borderId="2" xfId="65">
      <alignment horizontal="center" vertical="center"/>
    </xf>
    <xf numFmtId="0" fontId="37" fillId="14" borderId="2" xfId="64">
      <alignment horizontal="center" vertical="center"/>
    </xf>
    <xf numFmtId="0" fontId="36" fillId="4" borderId="2" xfId="62">
      <alignment horizontal="left" vertical="center"/>
    </xf>
    <xf numFmtId="0" fontId="20" fillId="8" borderId="0" xfId="37">
      <alignment horizontal="left" vertical="center" indent="1"/>
    </xf>
    <xf numFmtId="0" fontId="32" fillId="4" borderId="0" xfId="57">
      <alignment horizontal="left" vertical="center"/>
    </xf>
    <xf numFmtId="0" fontId="33" fillId="4" borderId="0" xfId="58">
      <alignment horizontal="left" vertical="center"/>
    </xf>
    <xf numFmtId="0" fontId="5" fillId="2" borderId="0" xfId="9">
      <alignment horizontal="center" vertical="center"/>
    </xf>
    <xf numFmtId="0" fontId="27" fillId="4" borderId="18" xfId="8" applyBorder="1">
      <alignment horizontal="left" vertical="center"/>
    </xf>
    <xf numFmtId="0" fontId="23" fillId="4" borderId="19" xfId="63" applyBorder="1">
      <alignment horizontal="left" vertical="center"/>
    </xf>
    <xf numFmtId="0" fontId="23" fillId="4" borderId="20" xfId="63" applyBorder="1">
      <alignment horizontal="left" vertical="center"/>
    </xf>
    <xf numFmtId="0" fontId="57" fillId="4" borderId="0" xfId="8" applyFont="1">
      <alignment horizontal="left" vertical="center"/>
    </xf>
    <xf numFmtId="0" fontId="58" fillId="4" borderId="0" xfId="8" applyFont="1">
      <alignment horizontal="left" vertical="center"/>
    </xf>
    <xf numFmtId="0" fontId="23" fillId="4" borderId="2" xfId="52" applyAlignment="1">
      <alignment horizontal="left" vertical="center"/>
    </xf>
    <xf numFmtId="0" fontId="32" fillId="4" borderId="0" xfId="8" applyFont="1">
      <alignment horizontal="left" vertical="center"/>
    </xf>
    <xf numFmtId="0" fontId="33" fillId="4" borderId="0" xfId="8" applyFont="1">
      <alignment horizontal="left" vertical="center"/>
    </xf>
    <xf numFmtId="0" fontId="23" fillId="4" borderId="19" xfId="52" applyBorder="1" applyAlignment="1">
      <alignment horizontal="left" vertical="center"/>
    </xf>
    <xf numFmtId="0" fontId="23" fillId="4" borderId="21" xfId="52" applyBorder="1">
      <alignment horizontal="center" vertical="center"/>
    </xf>
    <xf numFmtId="0" fontId="30" fillId="13" borderId="11" xfId="39" applyBorder="1">
      <alignment horizontal="left" vertical="center"/>
    </xf>
    <xf numFmtId="0" fontId="30" fillId="13" borderId="22" xfId="39" applyBorder="1">
      <alignment horizontal="left" vertical="center"/>
    </xf>
    <xf numFmtId="0" fontId="30" fillId="13" borderId="0" xfId="39" applyBorder="1">
      <alignment horizontal="left" vertical="center"/>
    </xf>
    <xf numFmtId="0" fontId="30" fillId="13" borderId="23" xfId="39" applyBorder="1">
      <alignment horizontal="left" vertical="center"/>
    </xf>
    <xf numFmtId="0" fontId="0" fillId="0" borderId="1" xfId="0" applyBorder="1"/>
    <xf numFmtId="0" fontId="23" fillId="4" borderId="21" xfId="63" applyBorder="1">
      <alignment horizontal="left" vertical="center"/>
    </xf>
    <xf numFmtId="0" fontId="0" fillId="0" borderId="0" xfId="1" applyFont="1" applyFill="1">
      <alignment horizontal="left" vertical="center" indent="1"/>
      <protection locked="0"/>
    </xf>
    <xf numFmtId="4" fontId="2" fillId="0" borderId="2" xfId="17">
      <alignment horizontal="center" vertical="center"/>
    </xf>
    <xf numFmtId="166" fontId="23" fillId="4" borderId="2" xfId="45">
      <alignment horizontal="center" vertical="center"/>
    </xf>
    <xf numFmtId="0" fontId="0" fillId="0" borderId="0" xfId="0" applyAlignment="1">
      <alignment wrapText="1"/>
    </xf>
    <xf numFmtId="172" fontId="0" fillId="0" borderId="0" xfId="8" applyNumberFormat="1" applyFont="1" applyFill="1">
      <alignment horizontal="left" vertical="center"/>
    </xf>
    <xf numFmtId="0" fontId="27" fillId="4" borderId="0" xfId="8" applyAlignment="1">
      <alignment horizontal="left" vertical="center" wrapText="1"/>
    </xf>
    <xf numFmtId="0" fontId="26" fillId="4" borderId="0" xfId="48">
      <alignment horizontal="center" vertical="center"/>
    </xf>
    <xf numFmtId="17" fontId="0" fillId="0" borderId="0" xfId="8" applyNumberFormat="1" applyFont="1" applyFill="1">
      <alignment horizontal="left" vertical="center"/>
    </xf>
    <xf numFmtId="43" fontId="27" fillId="4" borderId="0" xfId="8" applyNumberFormat="1">
      <alignment horizontal="left" vertical="center"/>
    </xf>
    <xf numFmtId="9" fontId="23" fillId="4" borderId="2" xfId="63" applyNumberFormat="1">
      <alignment horizontal="left" vertical="center"/>
    </xf>
    <xf numFmtId="0" fontId="65" fillId="0" borderId="0" xfId="0" applyFont="1" applyAlignment="1">
      <alignment vertical="center"/>
    </xf>
    <xf numFmtId="0" fontId="0" fillId="0" borderId="0" xfId="0" applyAlignment="1">
      <alignment vertical="center"/>
    </xf>
    <xf numFmtId="0" fontId="0" fillId="0" borderId="0" xfId="7" applyFont="1" applyFill="1" applyAlignment="1">
      <alignment horizontal="center" vertical="center"/>
    </xf>
    <xf numFmtId="9" fontId="0" fillId="0" borderId="0" xfId="16" applyFont="1" applyBorder="1">
      <alignment horizontal="center" vertical="center"/>
    </xf>
    <xf numFmtId="9" fontId="0" fillId="0" borderId="2" xfId="16" applyFont="1">
      <alignment horizontal="center" vertical="center"/>
    </xf>
    <xf numFmtId="0" fontId="23" fillId="4" borderId="17" xfId="52" applyBorder="1">
      <alignment horizontal="center" vertical="center"/>
    </xf>
    <xf numFmtId="9" fontId="0" fillId="0" borderId="17" xfId="16" applyFont="1" applyBorder="1">
      <alignment horizontal="center" vertical="center"/>
    </xf>
    <xf numFmtId="0" fontId="66" fillId="4" borderId="0" xfId="0" applyFont="1" applyFill="1"/>
    <xf numFmtId="0" fontId="26" fillId="4" borderId="0" xfId="48" applyAlignment="1">
      <alignment horizontal="left" vertical="center"/>
    </xf>
    <xf numFmtId="4" fontId="23" fillId="4" borderId="2" xfId="46">
      <alignment horizontal="center" vertical="center"/>
    </xf>
    <xf numFmtId="173" fontId="68" fillId="4" borderId="2" xfId="52" applyNumberFormat="1" applyFont="1">
      <alignment horizontal="center" vertical="center"/>
    </xf>
    <xf numFmtId="0" fontId="22" fillId="4" borderId="0" xfId="50">
      <alignment horizontal="left" vertical="center"/>
    </xf>
    <xf numFmtId="4" fontId="23" fillId="4" borderId="17" xfId="46" applyBorder="1">
      <alignment horizontal="center" vertical="center"/>
    </xf>
    <xf numFmtId="173" fontId="68" fillId="4" borderId="17" xfId="52" applyNumberFormat="1" applyFont="1" applyBorder="1">
      <alignment horizontal="center" vertical="center"/>
    </xf>
    <xf numFmtId="0" fontId="3" fillId="4" borderId="1" xfId="7" applyBorder="1">
      <alignment horizontal="left" vertical="center"/>
    </xf>
    <xf numFmtId="0" fontId="26" fillId="4" borderId="1" xfId="48" applyBorder="1" applyAlignment="1">
      <alignment horizontal="left" vertical="center"/>
    </xf>
    <xf numFmtId="0" fontId="23" fillId="4" borderId="24" xfId="52" applyBorder="1">
      <alignment horizontal="center" vertical="center"/>
    </xf>
    <xf numFmtId="0" fontId="23" fillId="4" borderId="25" xfId="52" applyBorder="1">
      <alignment horizontal="center" vertical="center"/>
    </xf>
    <xf numFmtId="4" fontId="23" fillId="4" borderId="24" xfId="46" applyBorder="1">
      <alignment horizontal="center" vertical="center"/>
    </xf>
    <xf numFmtId="4" fontId="23" fillId="4" borderId="26" xfId="46" applyBorder="1">
      <alignment horizontal="center" vertical="center"/>
    </xf>
    <xf numFmtId="173" fontId="68" fillId="4" borderId="26" xfId="52" applyNumberFormat="1" applyFont="1" applyBorder="1">
      <alignment horizontal="center" vertical="center"/>
    </xf>
    <xf numFmtId="173" fontId="68" fillId="4" borderId="24" xfId="52" applyNumberFormat="1" applyFont="1" applyBorder="1">
      <alignment horizontal="center" vertical="center"/>
    </xf>
    <xf numFmtId="0" fontId="23" fillId="4" borderId="26" xfId="52" applyBorder="1">
      <alignment horizontal="center" vertical="center"/>
    </xf>
    <xf numFmtId="0" fontId="68" fillId="4" borderId="26" xfId="52" applyFont="1" applyBorder="1">
      <alignment horizontal="center" vertical="center"/>
    </xf>
    <xf numFmtId="0" fontId="3" fillId="4" borderId="18" xfId="7" applyBorder="1">
      <alignment horizontal="left" vertical="center"/>
    </xf>
    <xf numFmtId="165" fontId="66" fillId="4" borderId="18" xfId="0" applyNumberFormat="1" applyFont="1" applyFill="1" applyBorder="1"/>
    <xf numFmtId="0" fontId="6" fillId="4" borderId="18" xfId="12" applyBorder="1">
      <alignment horizontal="left" vertical="center" indent="1"/>
    </xf>
    <xf numFmtId="168" fontId="66" fillId="4" borderId="0" xfId="0" applyNumberFormat="1" applyFont="1" applyFill="1" applyAlignment="1">
      <alignment vertical="center"/>
    </xf>
    <xf numFmtId="165" fontId="66" fillId="4" borderId="18" xfId="0" applyNumberFormat="1" applyFont="1" applyFill="1" applyBorder="1" applyAlignment="1">
      <alignment vertical="center"/>
    </xf>
    <xf numFmtId="0" fontId="66" fillId="4" borderId="0" xfId="0" applyFont="1" applyFill="1" applyAlignment="1">
      <alignment vertical="center"/>
    </xf>
    <xf numFmtId="165" fontId="69" fillId="4" borderId="18" xfId="0" applyNumberFormat="1" applyFont="1" applyFill="1" applyBorder="1" applyAlignment="1">
      <alignment vertical="center"/>
    </xf>
    <xf numFmtId="168" fontId="68" fillId="4" borderId="2" xfId="46" applyNumberFormat="1" applyFont="1">
      <alignment horizontal="center" vertical="center"/>
    </xf>
    <xf numFmtId="168" fontId="68" fillId="4" borderId="17" xfId="46" applyNumberFormat="1" applyFont="1" applyBorder="1">
      <alignment horizontal="center" vertical="center"/>
    </xf>
    <xf numFmtId="168" fontId="68" fillId="4" borderId="26" xfId="46" applyNumberFormat="1" applyFont="1" applyBorder="1">
      <alignment horizontal="center" vertical="center"/>
    </xf>
    <xf numFmtId="0" fontId="65" fillId="0" borderId="0" xfId="0" applyFont="1" applyAlignment="1">
      <alignment vertical="center" wrapText="1"/>
    </xf>
    <xf numFmtId="0" fontId="65" fillId="0" borderId="0" xfId="0" applyFont="1" applyAlignment="1">
      <alignment horizontal="left" vertical="center"/>
    </xf>
    <xf numFmtId="0" fontId="65" fillId="0" borderId="0" xfId="8" applyFont="1" applyFill="1">
      <alignment horizontal="left" vertical="center"/>
    </xf>
    <xf numFmtId="0" fontId="0" fillId="0" borderId="0" xfId="0" applyAlignment="1">
      <alignment horizontal="left" vertical="center"/>
    </xf>
    <xf numFmtId="0" fontId="27" fillId="4" borderId="0" xfId="8" applyAlignment="1">
      <alignment horizontal="right" vertical="center"/>
    </xf>
    <xf numFmtId="0" fontId="65" fillId="4" borderId="0" xfId="0" applyFont="1" applyFill="1" applyAlignment="1">
      <alignment horizontal="left" vertical="center"/>
    </xf>
    <xf numFmtId="0" fontId="40" fillId="4" borderId="0" xfId="8" applyFont="1" applyAlignment="1">
      <alignment horizontal="right" vertical="center"/>
    </xf>
    <xf numFmtId="0" fontId="70" fillId="4" borderId="0" xfId="0" applyFont="1" applyFill="1"/>
    <xf numFmtId="0" fontId="65" fillId="0" borderId="0" xfId="0" applyFont="1"/>
    <xf numFmtId="0" fontId="65" fillId="0" borderId="0" xfId="7" applyFont="1" applyFill="1">
      <alignment horizontal="left" vertical="center"/>
    </xf>
    <xf numFmtId="0" fontId="65" fillId="4" borderId="0" xfId="0" applyFont="1" applyFill="1"/>
    <xf numFmtId="0" fontId="65" fillId="4" borderId="0" xfId="7" applyFont="1">
      <alignment horizontal="left" vertical="center"/>
    </xf>
    <xf numFmtId="0" fontId="71" fillId="4" borderId="0" xfId="0" applyFont="1" applyFill="1" applyAlignment="1">
      <alignment horizontal="center" vertical="center"/>
    </xf>
    <xf numFmtId="0" fontId="71"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9" fillId="0" borderId="0" xfId="55" applyAlignment="1">
      <alignment horizontal="center" vertical="center" wrapText="1"/>
    </xf>
    <xf numFmtId="0" fontId="3" fillId="12" borderId="2" xfId="15" applyAlignment="1">
      <alignment horizontal="center" vertical="center" wrapText="1"/>
    </xf>
    <xf numFmtId="4" fontId="0" fillId="0" borderId="0" xfId="17" applyFont="1" applyBorder="1" applyAlignment="1">
      <alignment horizontal="center" vertical="center" wrapText="1"/>
    </xf>
    <xf numFmtId="0" fontId="0" fillId="4" borderId="2" xfId="52" applyFont="1" applyAlignment="1">
      <alignment horizontal="center" vertical="center" wrapText="1"/>
    </xf>
    <xf numFmtId="0" fontId="23" fillId="4" borderId="2" xfId="52" applyAlignment="1">
      <alignment horizontal="center" vertical="center" wrapText="1"/>
    </xf>
    <xf numFmtId="0" fontId="27" fillId="4" borderId="0" xfId="8" applyAlignment="1">
      <alignment horizontal="center" vertical="center" wrapText="1"/>
    </xf>
    <xf numFmtId="0" fontId="43" fillId="4" borderId="0" xfId="43" applyFont="1" applyFill="1" applyAlignment="1">
      <alignment horizontal="left" vertical="center" wrapText="1"/>
    </xf>
    <xf numFmtId="2" fontId="71" fillId="4" borderId="0" xfId="67" applyNumberFormat="1" applyFont="1" applyFill="1" applyBorder="1" applyAlignment="1" applyProtection="1">
      <alignment horizontal="center" wrapText="1"/>
      <protection locked="0"/>
    </xf>
    <xf numFmtId="1" fontId="71" fillId="4" borderId="0" xfId="67" applyNumberFormat="1" applyFont="1" applyFill="1" applyBorder="1" applyAlignment="1" applyProtection="1">
      <alignment horizontal="center" wrapText="1"/>
      <protection locked="0"/>
    </xf>
    <xf numFmtId="0" fontId="71" fillId="4" borderId="0" xfId="0" applyFont="1" applyFill="1" applyAlignment="1">
      <alignment horizontal="left" wrapText="1"/>
    </xf>
    <xf numFmtId="0" fontId="71" fillId="4" borderId="0" xfId="0" applyFont="1" applyFill="1" applyAlignment="1">
      <alignment wrapText="1"/>
    </xf>
    <xf numFmtId="0" fontId="34" fillId="4" borderId="0" xfId="47" applyAlignment="1">
      <alignment horizontal="left" vertical="center" wrapText="1"/>
    </xf>
    <xf numFmtId="0" fontId="0" fillId="4" borderId="0" xfId="0" applyFill="1" applyAlignment="1">
      <alignment wrapText="1"/>
    </xf>
    <xf numFmtId="0" fontId="9" fillId="0" borderId="0" xfId="55" applyAlignment="1" applyProtection="1">
      <alignment horizontal="center" vertical="center" wrapText="1"/>
      <protection locked="0"/>
    </xf>
    <xf numFmtId="0" fontId="72" fillId="12" borderId="2" xfId="15" applyFont="1" applyAlignment="1">
      <alignment horizontal="center" vertical="center" wrapText="1"/>
    </xf>
    <xf numFmtId="9" fontId="0" fillId="0" borderId="0" xfId="68" applyFont="1" applyFill="1" applyBorder="1" applyAlignment="1">
      <alignment horizontal="center" vertical="center" wrapText="1"/>
    </xf>
    <xf numFmtId="0" fontId="72" fillId="12" borderId="2" xfId="15" applyFont="1">
      <alignment horizontal="center" vertical="center"/>
    </xf>
    <xf numFmtId="9" fontId="0" fillId="0" borderId="27" xfId="68" applyFont="1" applyFill="1" applyBorder="1" applyAlignment="1">
      <alignment horizontal="center" vertical="center" wrapText="1"/>
    </xf>
    <xf numFmtId="4" fontId="9" fillId="0" borderId="2" xfId="17" applyFont="1" applyAlignment="1">
      <alignment horizontal="center" vertical="center" wrapText="1"/>
    </xf>
    <xf numFmtId="0" fontId="12" fillId="6" borderId="0" xfId="29" applyAlignment="1">
      <alignment horizontal="center" vertical="center" wrapText="1"/>
      <protection locked="0"/>
    </xf>
    <xf numFmtId="0" fontId="0" fillId="0" borderId="0" xfId="14" applyFont="1" applyBorder="1" applyAlignment="1">
      <alignment horizontal="center" vertical="center" wrapText="1"/>
    </xf>
    <xf numFmtId="9" fontId="0" fillId="0" borderId="0" xfId="16" applyFont="1" applyBorder="1" applyAlignment="1">
      <alignment horizontal="center" vertical="center" wrapText="1"/>
    </xf>
    <xf numFmtId="9" fontId="3" fillId="4" borderId="0" xfId="68" applyFont="1" applyFill="1" applyAlignment="1">
      <alignment horizontal="center" vertical="center" wrapText="1"/>
    </xf>
    <xf numFmtId="9" fontId="0" fillId="4" borderId="0" xfId="0" applyNumberFormat="1" applyFill="1"/>
    <xf numFmtId="0" fontId="30" fillId="13" borderId="5" xfId="39">
      <alignment horizontal="left" vertical="center"/>
    </xf>
    <xf numFmtId="0" fontId="6" fillId="4" borderId="0" xfId="12" applyAlignment="1">
      <alignment horizontal="center" vertical="center"/>
    </xf>
    <xf numFmtId="0" fontId="23" fillId="4" borderId="20" xfId="52" applyBorder="1" applyAlignment="1">
      <alignment horizontal="left" vertical="center"/>
    </xf>
    <xf numFmtId="0" fontId="23" fillId="4" borderId="21" xfId="52" applyBorder="1" applyAlignment="1">
      <alignment horizontal="left" vertical="center"/>
    </xf>
    <xf numFmtId="0" fontId="23" fillId="4" borderId="20" xfId="52" applyBorder="1">
      <alignment horizontal="center" vertical="center"/>
    </xf>
    <xf numFmtId="174" fontId="23" fillId="4" borderId="2" xfId="52" applyNumberFormat="1">
      <alignment horizontal="center" vertical="center"/>
    </xf>
    <xf numFmtId="0" fontId="5" fillId="2" borderId="0" xfId="1">
      <alignment horizontal="left" vertical="center" indent="1"/>
      <protection locked="0"/>
    </xf>
    <xf numFmtId="4" fontId="23" fillId="4" borderId="2" xfId="52" applyNumberFormat="1">
      <alignment horizontal="center" vertical="center"/>
    </xf>
    <xf numFmtId="9" fontId="23" fillId="4" borderId="2" xfId="52" applyNumberFormat="1">
      <alignment horizontal="center" vertical="center"/>
    </xf>
    <xf numFmtId="0" fontId="6" fillId="4" borderId="1" xfId="12" applyBorder="1">
      <alignment horizontal="left" vertical="center" indent="1"/>
    </xf>
    <xf numFmtId="0" fontId="27" fillId="4" borderId="28" xfId="8" applyBorder="1">
      <alignment horizontal="left" vertical="center"/>
    </xf>
    <xf numFmtId="3" fontId="23" fillId="4" borderId="2" xfId="52" applyNumberFormat="1">
      <alignment horizontal="center" vertical="center"/>
    </xf>
    <xf numFmtId="0" fontId="54" fillId="4" borderId="1" xfId="12" applyFont="1" applyBorder="1">
      <alignment horizontal="left" vertical="center" indent="1"/>
    </xf>
    <xf numFmtId="0" fontId="5" fillId="2" borderId="0" xfId="9" applyAlignment="1">
      <alignment horizontal="center" vertical="center" wrapText="1"/>
    </xf>
    <xf numFmtId="0" fontId="5" fillId="2" borderId="0" xfId="1" applyAlignment="1">
      <alignment horizontal="center" vertical="center"/>
      <protection locked="0"/>
    </xf>
    <xf numFmtId="0" fontId="0" fillId="0" borderId="0" xfId="0" applyAlignment="1">
      <alignment vertical="center" wrapText="1"/>
    </xf>
    <xf numFmtId="0" fontId="64" fillId="2" borderId="0" xfId="8" applyFont="1" applyFill="1">
      <alignment horizontal="left" vertical="center"/>
    </xf>
    <xf numFmtId="0" fontId="64" fillId="0" borderId="0" xfId="8" applyFont="1" applyFill="1">
      <alignment horizontal="left" vertical="center"/>
    </xf>
    <xf numFmtId="0" fontId="74" fillId="4" borderId="0" xfId="69" applyFill="1"/>
    <xf numFmtId="0" fontId="0" fillId="0" borderId="0" xfId="8" applyFont="1" applyFill="1" applyAlignment="1">
      <alignment horizontal="left" vertical="center" wrapText="1"/>
    </xf>
    <xf numFmtId="0" fontId="74" fillId="0" borderId="0" xfId="69"/>
    <xf numFmtId="0" fontId="2" fillId="0" borderId="17" xfId="56" applyBorder="1">
      <alignment horizontal="center" vertical="center"/>
    </xf>
    <xf numFmtId="0" fontId="0" fillId="0" borderId="0" xfId="29" applyFont="1" applyFill="1" applyProtection="1">
      <alignment horizontal="center" vertical="center"/>
    </xf>
    <xf numFmtId="0" fontId="75" fillId="4" borderId="0" xfId="70">
      <alignment horizontal="left" vertical="center"/>
    </xf>
    <xf numFmtId="0" fontId="71" fillId="4" borderId="0" xfId="69" applyFont="1" applyFill="1" applyAlignment="1" applyProtection="1">
      <alignment horizontal="center"/>
      <protection locked="0"/>
    </xf>
    <xf numFmtId="0" fontId="71" fillId="4" borderId="0" xfId="69" applyFont="1" applyFill="1" applyAlignment="1">
      <alignment horizontal="center" vertical="center"/>
    </xf>
    <xf numFmtId="0" fontId="0" fillId="0" borderId="0" xfId="17" applyNumberFormat="1" applyFont="1" applyBorder="1">
      <alignment horizontal="center" vertical="center"/>
    </xf>
    <xf numFmtId="0" fontId="3" fillId="12" borderId="17" xfId="15" applyBorder="1" applyAlignment="1">
      <alignment horizontal="center" vertical="center" wrapText="1"/>
    </xf>
    <xf numFmtId="0" fontId="38" fillId="16" borderId="2" xfId="71">
      <alignment horizontal="center" vertical="center"/>
    </xf>
    <xf numFmtId="0" fontId="64" fillId="6" borderId="0" xfId="8" applyFont="1" applyFill="1">
      <alignment horizontal="left" vertical="center"/>
    </xf>
    <xf numFmtId="0" fontId="68" fillId="4" borderId="2" xfId="52" applyFont="1">
      <alignment horizontal="center" vertical="center"/>
    </xf>
    <xf numFmtId="49" fontId="23" fillId="4" borderId="2" xfId="52" applyNumberFormat="1">
      <alignment horizontal="center" vertical="center"/>
    </xf>
    <xf numFmtId="0" fontId="78" fillId="4" borderId="1" xfId="8" applyFont="1" applyBorder="1">
      <alignment horizontal="left" vertical="center"/>
    </xf>
    <xf numFmtId="4" fontId="23" fillId="4" borderId="2" xfId="63" applyNumberFormat="1">
      <alignment horizontal="left" vertical="center"/>
    </xf>
    <xf numFmtId="0" fontId="20" fillId="11" borderId="0" xfId="61">
      <alignment horizontal="left" vertical="center" indent="1"/>
    </xf>
    <xf numFmtId="11" fontId="0" fillId="0" borderId="0" xfId="0" applyNumberFormat="1" applyAlignment="1">
      <alignment vertical="center"/>
    </xf>
  </cellXfs>
  <cellStyles count="72">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Block subheading 2" xfId="70" xr:uid="{D280069D-B687-4142-BD17-FAAE786A0152}"/>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2 3" xfId="69" xr:uid="{3393E595-172F-4F48-90F2-ED492355A46D}"/>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input 2" xfId="71" xr:uid="{C4D972F8-2805-4771-8791-00B84FBA06D3}"/>
    <cellStyle name="Variable type other" xfId="64" xr:uid="{105BD9DE-B567-4DA0-87E6-C60A0ECC1C65}"/>
  </cellStyles>
  <dxfs count="453">
    <dxf>
      <alignment horizontal="right" vertical="center" textRotation="0" wrapText="0" indent="0" justifyLastLine="0" shrinkToFit="0" readingOrder="0"/>
    </dxf>
    <dxf>
      <fill>
        <patternFill>
          <fgColor indexed="64"/>
          <bgColor theme="0" tint="-4.9989318521683403E-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alignment textRotation="0" wrapText="1" indent="0" justifyLastLine="0" shrinkToFit="0" readingOrder="0"/>
    </dxf>
    <dxf>
      <alignment textRotation="0" wrapText="1" indent="0" justifyLastLine="0" shrinkToFit="0" readingOrder="0"/>
    </dxf>
    <dxf>
      <font>
        <sz val="10"/>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9"/>
        <color theme="1" tint="0.14999847407452621"/>
        <name val="Arial"/>
        <family val="1"/>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tint="0.24994659260841701"/>
        <name val="Arial"/>
        <family val="1"/>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tint="0.24994659260841701"/>
        <name val="Arial"/>
        <family val="1"/>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sz val="10"/>
        <color theme="1"/>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Arial"/>
        <family val="1"/>
      </font>
    </dxf>
    <dxf>
      <fill>
        <patternFill>
          <fgColor indexed="64"/>
          <bgColor theme="0" tint="-4.9989318521683403E-2"/>
        </patternFill>
      </fill>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b val="0"/>
        <i val="0"/>
        <strike val="0"/>
        <condense val="0"/>
        <extend val="0"/>
        <outline val="0"/>
        <shadow val="0"/>
        <u val="none"/>
        <vertAlign val="baseline"/>
        <sz val="9"/>
        <color theme="1"/>
        <name val="Arial"/>
        <family val="2"/>
      </font>
      <fill>
        <patternFill patternType="none">
          <fgColor indexed="64"/>
          <bgColor indexed="65"/>
        </patternFill>
      </fill>
    </dxf>
    <dxf>
      <font>
        <b val="0"/>
        <i val="0"/>
        <strike val="0"/>
        <condense val="0"/>
        <extend val="0"/>
        <outline val="0"/>
        <shadow val="0"/>
        <u val="none"/>
        <vertAlign val="baseline"/>
        <sz val="9"/>
        <color theme="1"/>
        <name val="Arial"/>
        <family val="2"/>
      </font>
      <fill>
        <patternFill patternType="none">
          <fgColor indexed="64"/>
          <bgColor indexed="65"/>
        </patternFill>
      </fill>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theme="1"/>
        <name val="Arial"/>
        <family val="2"/>
      </font>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border outline="0">
        <left style="thin">
          <color theme="0" tint="-0.34998626667073579"/>
        </left>
      </border>
    </dxf>
    <dxf>
      <alignment horizontal="center" vertical="center" textRotation="0" wrapText="1" indent="0" justifyLastLine="0" shrinkToFit="0" readingOrder="0"/>
    </dxf>
    <dxf>
      <numFmt numFmtId="172" formatCode="[$-C09]d\ mmmm\ yyyy;@"/>
    </dxf>
    <dxf>
      <numFmt numFmtId="172" formatCode="[$-C09]d\ mmmm\ yyyy;@"/>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0"/>
        <color theme="1" tint="0.249977111117893"/>
        <name val="Arial"/>
        <family val="1"/>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0"/>
        <color theme="1" tint="0.14999847407452621"/>
        <name val="Arial"/>
        <family val="1"/>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border diagonalUp="0" diagonalDown="0">
        <left style="thin">
          <color theme="0" tint="-0.34998626667073579"/>
        </left>
        <right style="thin">
          <color theme="0" tint="-0.34998626667073579"/>
        </right>
        <top style="thin">
          <color theme="0" tint="-0.34998626667073579"/>
        </top>
        <bottom/>
        <vertical/>
        <horizontal/>
      </border>
    </dxf>
    <dxf>
      <numFmt numFmtId="171" formatCode="[$-F800]dddd\,\ mmmm\ dd\,\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452"/>
      <tableStyleElement type="headerRow" dxfId="451"/>
      <tableStyleElement type="totalRow" dxfId="450"/>
      <tableStyleElement type="firstColumn" dxfId="449"/>
      <tableStyleElement type="firstRowStripe" dxfId="448"/>
      <tableStyleElement type="secondRowStripe" dxfId="447"/>
    </tableStyle>
    <tableStyle name="Equation table" pivot="0" count="6" xr9:uid="{B247698E-E41D-4CCD-AA0A-C14817E9DE65}">
      <tableStyleElement type="wholeTable" dxfId="446"/>
      <tableStyleElement type="headerRow" dxfId="445"/>
      <tableStyleElement type="totalRow" dxfId="444"/>
      <tableStyleElement type="firstColumn" dxfId="443"/>
      <tableStyleElement type="firstRowStripe" dxfId="442"/>
      <tableStyleElement type="secondRowStripe" dxfId="441"/>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sheetMetadata" Target="metadata.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microsoft.com/office/2017/06/relationships/rdRichValueStructure" Target="richData/rdrichvaluestructure.xml"/><Relationship Id="rId58" Type="http://schemas.openxmlformats.org/officeDocument/2006/relationships/customXml" Target="../customXml/item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56" Type="http://schemas.openxmlformats.org/officeDocument/2006/relationships/customXml" Target="../customXml/item1.xml"/><Relationship Id="rId8" Type="http://schemas.openxmlformats.org/officeDocument/2006/relationships/worksheet" Target="worksheets/sheet8.xml"/><Relationship Id="rId51" Type="http://schemas.microsoft.com/office/2022/10/relationships/richValueRel" Target="richData/richValueRel.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microsoft.com/office/2017/06/relationships/rdRichValue" Target="richData/rdrichvalue.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1 sources CO2-e: Method 2</a:t>
            </a:r>
          </a:p>
        </c:rich>
      </c:tx>
      <c:overlay val="0"/>
      <c:spPr>
        <a:noFill/>
        <a:ln>
          <a:noFill/>
        </a:ln>
        <a:effectLst/>
      </c:spPr>
    </c:title>
    <c:autoTitleDeleted val="0"/>
    <c:plotArea>
      <c:layout/>
      <c:ofPieChart>
        <c:ofPieType val="bar"/>
        <c:varyColors val="1"/>
        <c:ser>
          <c:idx val="1"/>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0-64C2-43EC-A71A-E7C288A256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4C2-43EC-A71A-E7C288A256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64C2-43EC-A71A-E7C288A256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64C2-43EC-A71A-E7C288A256B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64C2-43EC-A71A-E7C288A256B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64C2-43EC-A71A-E7C288A256B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8-64C2-43EC-A71A-E7C288A256B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64C2-43EC-A71A-E7C288A256B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A-64C2-43EC-A71A-E7C288A256B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64C2-43EC-A71A-E7C288A256B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5-CF9E-45FD-98BF-ACD51C794B3C}"/>
              </c:ext>
            </c:extLst>
          </c:dPt>
          <c:cat>
            <c:strRef>
              <c:f>'Results - Activity period'!$D$9:$D$22</c:f>
              <c:strCache>
                <c:ptCount val="14"/>
                <c:pt idx="0">
                  <c:v>4.6.1.1-2 Manure Methane </c:v>
                </c:pt>
                <c:pt idx="1">
                  <c:v>4.6.1.3-4 Manure Direct N20 </c:v>
                </c:pt>
                <c:pt idx="2">
                  <c:v>4.6.1.5-6 Manure Atmospheric Deposition</c:v>
                </c:pt>
                <c:pt idx="3">
                  <c:v>4.6.1.7-8 Manure Leaching and runoff</c:v>
                </c:pt>
                <c:pt idx="4">
                  <c:v>4.6.1.10-11 Soil direct N2O</c:v>
                </c:pt>
                <c:pt idx="5">
                  <c:v>4.6.1.12-13 Soil atmos dep</c:v>
                </c:pt>
                <c:pt idx="6">
                  <c:v>4.6.1.14-15 Soil leach runoff</c:v>
                </c:pt>
                <c:pt idx="7">
                  <c:v>8.1.1.1-2 Transport fuel CO2</c:v>
                </c:pt>
                <c:pt idx="8">
                  <c:v>8.1.1.1-2 Transport fuel CH4</c:v>
                </c:pt>
                <c:pt idx="9">
                  <c:v>8.1.1.1-2 Transport fuel N2O</c:v>
                </c:pt>
                <c:pt idx="10">
                  <c:v>8.2.1.1-2 Stationary fuel CO2</c:v>
                </c:pt>
                <c:pt idx="11">
                  <c:v>8.2.1.1-2 Stationary fuel CH4</c:v>
                </c:pt>
                <c:pt idx="12">
                  <c:v>8.2.1.1-2 Stationary fuel N2O</c:v>
                </c:pt>
                <c:pt idx="13">
                  <c:v>10.1.1-2 Solid waste treatment</c:v>
                </c:pt>
              </c:strCache>
            </c:strRef>
          </c:cat>
          <c:val>
            <c:numRef>
              <c:f>'Results - Activity period'!$I$9:$I$22</c:f>
              <c:numCache>
                <c:formatCode>General</c:formatCode>
                <c:ptCount val="14"/>
                <c:pt idx="0">
                  <c:v>0.53888417959369728</c:v>
                </c:pt>
                <c:pt idx="1">
                  <c:v>0.15283863010491425</c:v>
                </c:pt>
                <c:pt idx="2">
                  <c:v>6.0625482787584034E-2</c:v>
                </c:pt>
                <c:pt idx="3">
                  <c:v>9.2096274188159999E-4</c:v>
                </c:pt>
                <c:pt idx="4">
                  <c:v>6.2100493714285721E-2</c:v>
                </c:pt>
                <c:pt idx="5">
                  <c:v>4.5643862879999999E-3</c:v>
                </c:pt>
                <c:pt idx="6">
                  <c:v>6.8310543085714286E-4</c:v>
                </c:pt>
                <c:pt idx="7">
                  <c:v>0.19906000000000001</c:v>
                </c:pt>
                <c:pt idx="8">
                  <c:v>16.366</c:v>
                </c:pt>
                <c:pt idx="9">
                  <c:v>7703.7620000000006</c:v>
                </c:pt>
                <c:pt idx="10">
                  <c:v>7.2400000000000006E-2</c:v>
                </c:pt>
                <c:pt idx="11">
                  <c:v>1.9992000000000001</c:v>
                </c:pt>
                <c:pt idx="12">
                  <c:v>116289.43325</c:v>
                </c:pt>
                <c:pt idx="13">
                  <c:v>438.82805000000002</c:v>
                </c:pt>
              </c:numCache>
            </c:numRef>
          </c:val>
          <c:extLst>
            <c:ext xmlns:c16="http://schemas.microsoft.com/office/drawing/2014/chart" uri="{C3380CC4-5D6E-409C-BE32-E72D297353CC}">
              <c16:uniqueId val="{00000013-64C2-43EC-A71A-E7C288A256BA}"/>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3 sources CO2-e: Method 2</a:t>
            </a:r>
          </a:p>
        </c:rich>
      </c:tx>
      <c:overlay val="0"/>
      <c:spPr>
        <a:noFill/>
        <a:ln>
          <a:noFill/>
        </a:ln>
        <a:effectLst/>
      </c:spPr>
    </c:title>
    <c:autoTitleDeleted val="0"/>
    <c:plotArea>
      <c:layout/>
      <c:ofPieChart>
        <c:ofPieType val="bar"/>
        <c:varyColors val="1"/>
        <c:ser>
          <c:idx val="1"/>
          <c:order val="0"/>
          <c:cat>
            <c:strRef>
              <c:f>'Results - Activity period'!$D$36:$D$46</c:f>
              <c:strCache>
                <c:ptCount val="11"/>
                <c:pt idx="0">
                  <c:v>15.1.1.1 Total emissions from purchased livestock - Pigs</c:v>
                </c:pt>
                <c:pt idx="1">
                  <c:v>15.2.1.1 Emissions from purchased feed</c:v>
                </c:pt>
                <c:pt idx="2">
                  <c:v>15.7.1.1 Services and contractor operations</c:v>
                </c:pt>
                <c:pt idx="3">
                  <c:v>15.10.1.1 Other: Cleaning chemicals</c:v>
                </c:pt>
                <c:pt idx="4">
                  <c:v>15.10.1.1 Other: Pharmacy chemicals</c:v>
                </c:pt>
                <c:pt idx="5">
                  <c:v>15.10.1.1 Other: Uncategorised</c:v>
                </c:pt>
                <c:pt idx="6">
                  <c:v>15.11.1.1 Fuel</c:v>
                </c:pt>
                <c:pt idx="7">
                  <c:v>15.12.1.1 Purchased electricity (Location-based)</c:v>
                </c:pt>
                <c:pt idx="8">
                  <c:v>15.13.1.1 Waste sent to treatment facility</c:v>
                </c:pt>
                <c:pt idx="9">
                  <c:v>15.14.1.1 Incoming freight</c:v>
                </c:pt>
                <c:pt idx="10">
                  <c:v>15.14.1.1 Outgoing freight</c:v>
                </c:pt>
              </c:strCache>
            </c:strRef>
          </c:cat>
          <c:val>
            <c:numRef>
              <c:f>'Results - Activity period'!$I$36:$I$46</c:f>
              <c:numCache>
                <c:formatCode>General</c:formatCode>
                <c:ptCount val="11"/>
                <c:pt idx="0">
                  <c:v>0</c:v>
                </c:pt>
                <c:pt idx="1">
                  <c:v>0.78505200000000008</c:v>
                </c:pt>
                <c:pt idx="2">
                  <c:v>42</c:v>
                </c:pt>
                <c:pt idx="3">
                  <c:v>2.73</c:v>
                </c:pt>
                <c:pt idx="4">
                  <c:v>1.5636000000000001E-2</c:v>
                </c:pt>
                <c:pt idx="5">
                  <c:v>4000</c:v>
                </c:pt>
                <c:pt idx="6">
                  <c:v>26.794</c:v>
                </c:pt>
                <c:pt idx="7">
                  <c:v>2.7</c:v>
                </c:pt>
                <c:pt idx="8">
                  <c:v>441.15000000000003</c:v>
                </c:pt>
                <c:pt idx="9">
                  <c:v>5146700</c:v>
                </c:pt>
                <c:pt idx="10">
                  <c:v>432640</c:v>
                </c:pt>
              </c:numCache>
            </c:numRef>
          </c:val>
          <c:extLst>
            <c:ext xmlns:c16="http://schemas.microsoft.com/office/drawing/2014/chart" uri="{C3380CC4-5D6E-409C-BE32-E72D297353CC}">
              <c16:uniqueId val="{00000000-62DD-44E7-A95F-7E5222B2A855}"/>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chart" Target="../charts/chart3.xml"/><Relationship Id="rId5" Type="http://schemas.openxmlformats.org/officeDocument/2006/relationships/image" Target="../media/image4.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247650</xdr:colOff>
      <xdr:row>5</xdr:row>
      <xdr:rowOff>114300</xdr:rowOff>
    </xdr:from>
    <xdr:to>
      <xdr:col>16</xdr:col>
      <xdr:colOff>1276351</xdr:colOff>
      <xdr:row>27</xdr:row>
      <xdr:rowOff>104775</xdr:rowOff>
    </xdr:to>
    <xdr:graphicFrame macro="">
      <xdr:nvGraphicFramePr>
        <xdr:cNvPr id="2" name="Chart 1">
          <a:extLst>
            <a:ext uri="{FF2B5EF4-FFF2-40B4-BE49-F238E27FC236}">
              <a16:creationId xmlns:a16="http://schemas.microsoft.com/office/drawing/2014/main" id="{3A344E95-6082-45A2-A851-64587AA66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76200</xdr:colOff>
      <xdr:row>36</xdr:row>
      <xdr:rowOff>161925</xdr:rowOff>
    </xdr:from>
    <xdr:to>
      <xdr:col>16</xdr:col>
      <xdr:colOff>1104901</xdr:colOff>
      <xdr:row>58</xdr:row>
      <xdr:rowOff>152400</xdr:rowOff>
    </xdr:to>
    <xdr:graphicFrame macro="">
      <xdr:nvGraphicFramePr>
        <xdr:cNvPr id="3" name="Chart 2">
          <a:extLst>
            <a:ext uri="{FF2B5EF4-FFF2-40B4-BE49-F238E27FC236}">
              <a16:creationId xmlns:a16="http://schemas.microsoft.com/office/drawing/2014/main" id="{4C21FA99-C640-465F-AAB2-47EB9C587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46</xdr:row>
      <xdr:rowOff>200025</xdr:rowOff>
    </xdr:from>
    <xdr:to>
      <xdr:col>9</xdr:col>
      <xdr:colOff>1443037</xdr:colOff>
      <xdr:row>58</xdr:row>
      <xdr:rowOff>85725</xdr:rowOff>
    </xdr:to>
    <xdr:graphicFrame macro="">
      <xdr:nvGraphicFramePr>
        <xdr:cNvPr id="2" name="Chart 1">
          <a:extLst>
            <a:ext uri="{FF2B5EF4-FFF2-40B4-BE49-F238E27FC236}">
              <a16:creationId xmlns:a16="http://schemas.microsoft.com/office/drawing/2014/main" id="{561CA646-3BD8-4FFD-B6ED-B2FA1E51F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14</xdr:row>
      <xdr:rowOff>71157</xdr:rowOff>
    </xdr:from>
    <xdr:to>
      <xdr:col>3</xdr:col>
      <xdr:colOff>1875865</xdr:colOff>
      <xdr:row>16</xdr:row>
      <xdr:rowOff>144555</xdr:rowOff>
    </xdr:to>
    <xdr:sp macro="" textlink="$H$44">
      <xdr:nvSpPr>
        <xdr:cNvPr id="3" name="TextBox 2">
          <a:extLst>
            <a:ext uri="{FF2B5EF4-FFF2-40B4-BE49-F238E27FC236}">
              <a16:creationId xmlns:a16="http://schemas.microsoft.com/office/drawing/2014/main" id="{DF048040-93E8-4701-94EF-7D2C2408321B}"/>
            </a:ext>
          </a:extLst>
        </xdr:cNvPr>
        <xdr:cNvSpPr txBox="1"/>
      </xdr:nvSpPr>
      <xdr:spPr>
        <a:xfrm>
          <a:off x="2686050" y="2995332"/>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6496CA75-FED4-4E21-A81D-BDC20736B7B5}" type="TxLink">
            <a:rPr lang="en-US" sz="2600" b="1" i="0" u="none" strike="noStrike">
              <a:solidFill>
                <a:srgbClr val="0C769E"/>
              </a:solidFill>
              <a:latin typeface="Arial"/>
              <a:ea typeface="+mn-ea"/>
              <a:cs typeface="Arial"/>
            </a:rPr>
            <a:pPr marL="0" indent="0"/>
            <a:t>244.5014706</a:t>
          </a:fld>
          <a:endParaRPr lang="en-AU" sz="2600" b="1" i="0" u="none" strike="noStrike">
            <a:solidFill>
              <a:srgbClr val="0C769E"/>
            </a:solidFill>
            <a:latin typeface="Arial"/>
            <a:ea typeface="+mn-ea"/>
            <a:cs typeface="Arial"/>
          </a:endParaRPr>
        </a:p>
      </xdr:txBody>
    </xdr:sp>
    <xdr:clientData/>
  </xdr:twoCellAnchor>
  <xdr:twoCellAnchor>
    <xdr:from>
      <xdr:col>5</xdr:col>
      <xdr:colOff>180414</xdr:colOff>
      <xdr:row>14</xdr:row>
      <xdr:rowOff>42582</xdr:rowOff>
    </xdr:from>
    <xdr:to>
      <xdr:col>6</xdr:col>
      <xdr:colOff>43141</xdr:colOff>
      <xdr:row>16</xdr:row>
      <xdr:rowOff>144555</xdr:rowOff>
    </xdr:to>
    <xdr:sp macro="" textlink="$I$44">
      <xdr:nvSpPr>
        <xdr:cNvPr id="4" name="TextBox 3">
          <a:extLst>
            <a:ext uri="{FF2B5EF4-FFF2-40B4-BE49-F238E27FC236}">
              <a16:creationId xmlns:a16="http://schemas.microsoft.com/office/drawing/2014/main" id="{C836697B-E43A-434C-8C38-CED18E17F96C}"/>
            </a:ext>
          </a:extLst>
        </xdr:cNvPr>
        <xdr:cNvSpPr txBox="1"/>
      </xdr:nvSpPr>
      <xdr:spPr>
        <a:xfrm>
          <a:off x="8352864"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A778010-8EF6-4986-9F7A-ED1F5F66D6A5}" type="TxLink">
            <a:rPr lang="en-US" sz="2600" b="1" i="0" u="none" strike="noStrike">
              <a:solidFill>
                <a:srgbClr val="0C769E"/>
              </a:solidFill>
              <a:latin typeface="Arial"/>
              <a:ea typeface="+mn-ea"/>
              <a:cs typeface="Arial"/>
            </a:rPr>
            <a:pPr marL="0" indent="0"/>
            <a:t>11170.88934</a:t>
          </a:fld>
          <a:endParaRPr lang="en-AU" sz="2600" b="1" i="0" u="none" strike="noStrike">
            <a:solidFill>
              <a:srgbClr val="0C769E"/>
            </a:solidFill>
            <a:latin typeface="Arial"/>
            <a:ea typeface="+mn-ea"/>
            <a:cs typeface="Arial"/>
          </a:endParaRPr>
        </a:p>
      </xdr:txBody>
    </xdr:sp>
    <xdr:clientData/>
  </xdr:twoCellAnchor>
  <xdr:twoCellAnchor>
    <xdr:from>
      <xdr:col>3</xdr:col>
      <xdr:colOff>9525</xdr:colOff>
      <xdr:row>25</xdr:row>
      <xdr:rowOff>155762</xdr:rowOff>
    </xdr:from>
    <xdr:to>
      <xdr:col>3</xdr:col>
      <xdr:colOff>1961590</xdr:colOff>
      <xdr:row>28</xdr:row>
      <xdr:rowOff>108696</xdr:rowOff>
    </xdr:to>
    <xdr:sp macro="" textlink="$H$54">
      <xdr:nvSpPr>
        <xdr:cNvPr id="5" name="TextBox 4">
          <a:extLst>
            <a:ext uri="{FF2B5EF4-FFF2-40B4-BE49-F238E27FC236}">
              <a16:creationId xmlns:a16="http://schemas.microsoft.com/office/drawing/2014/main" id="{FEFD1952-3C55-4816-8FE4-E7EF34F67CC4}"/>
            </a:ext>
          </a:extLst>
        </xdr:cNvPr>
        <xdr:cNvSpPr txBox="1"/>
      </xdr:nvSpPr>
      <xdr:spPr>
        <a:xfrm>
          <a:off x="2686050" y="5280212"/>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DC837A9-60D0-4FEE-9D60-F5F33C8747DB}" type="TxLink">
            <a:rPr lang="en-US" sz="2600" b="1" i="0" u="none" strike="noStrike">
              <a:solidFill>
                <a:srgbClr val="4F4789"/>
              </a:solidFill>
              <a:latin typeface="Arial"/>
              <a:ea typeface="+mn-ea"/>
              <a:cs typeface="Arial"/>
            </a:rPr>
            <a:pPr marL="0" indent="0"/>
            <a:t>199.9044023</a:t>
          </a:fld>
          <a:endParaRPr lang="en-AU" sz="2600" b="1" i="0" u="none" strike="noStrike">
            <a:solidFill>
              <a:srgbClr val="4F4789"/>
            </a:solidFill>
            <a:latin typeface="Arial"/>
            <a:ea typeface="+mn-ea"/>
            <a:cs typeface="Arial"/>
          </a:endParaRPr>
        </a:p>
      </xdr:txBody>
    </xdr:sp>
    <xdr:clientData/>
  </xdr:twoCellAnchor>
  <xdr:twoCellAnchor>
    <xdr:from>
      <xdr:col>5</xdr:col>
      <xdr:colOff>180414</xdr:colOff>
      <xdr:row>25</xdr:row>
      <xdr:rowOff>184337</xdr:rowOff>
    </xdr:from>
    <xdr:to>
      <xdr:col>6</xdr:col>
      <xdr:colOff>109816</xdr:colOff>
      <xdr:row>28</xdr:row>
      <xdr:rowOff>89646</xdr:rowOff>
    </xdr:to>
    <xdr:sp macro="" textlink="$I$54">
      <xdr:nvSpPr>
        <xdr:cNvPr id="6" name="TextBox 5">
          <a:extLst>
            <a:ext uri="{FF2B5EF4-FFF2-40B4-BE49-F238E27FC236}">
              <a16:creationId xmlns:a16="http://schemas.microsoft.com/office/drawing/2014/main" id="{E52E2C5E-EBB6-4960-8003-36766B1393A3}"/>
            </a:ext>
          </a:extLst>
        </xdr:cNvPr>
        <xdr:cNvSpPr txBox="1"/>
      </xdr:nvSpPr>
      <xdr:spPr>
        <a:xfrm>
          <a:off x="8352864"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C4261C-1106-48B4-9C10-E82D60412011}" type="TxLink">
            <a:rPr lang="en-US" sz="2600" b="1" i="0" u="none" strike="noStrike">
              <a:solidFill>
                <a:srgbClr val="4F4789"/>
              </a:solidFill>
              <a:latin typeface="Arial"/>
              <a:ea typeface="+mn-ea"/>
              <a:cs typeface="Arial"/>
            </a:rPr>
            <a:pPr marL="0" indent="0"/>
            <a:t>9133.319128</a:t>
          </a:fld>
          <a:endParaRPr lang="en-AU" sz="2600" b="1" i="0" u="none" strike="noStrike">
            <a:solidFill>
              <a:srgbClr val="4F4789"/>
            </a:solidFill>
            <a:latin typeface="Arial"/>
            <a:ea typeface="+mn-ea"/>
            <a:cs typeface="Arial"/>
          </a:endParaRPr>
        </a:p>
      </xdr:txBody>
    </xdr:sp>
    <xdr:clientData/>
  </xdr:twoCellAnchor>
  <xdr:twoCellAnchor>
    <xdr:from>
      <xdr:col>3</xdr:col>
      <xdr:colOff>2333065</xdr:colOff>
      <xdr:row>14</xdr:row>
      <xdr:rowOff>33057</xdr:rowOff>
    </xdr:from>
    <xdr:to>
      <xdr:col>4</xdr:col>
      <xdr:colOff>1237690</xdr:colOff>
      <xdr:row>16</xdr:row>
      <xdr:rowOff>144555</xdr:rowOff>
    </xdr:to>
    <xdr:sp macro="" textlink="$H$45">
      <xdr:nvSpPr>
        <xdr:cNvPr id="7" name="TextBox 6">
          <a:extLst>
            <a:ext uri="{FF2B5EF4-FFF2-40B4-BE49-F238E27FC236}">
              <a16:creationId xmlns:a16="http://schemas.microsoft.com/office/drawing/2014/main" id="{833A8974-87C9-4E79-B489-9A38725AA61E}"/>
            </a:ext>
          </a:extLst>
        </xdr:cNvPr>
        <xdr:cNvSpPr txBox="1"/>
      </xdr:nvSpPr>
      <xdr:spPr>
        <a:xfrm>
          <a:off x="5009590" y="2957232"/>
          <a:ext cx="2352675"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E965B10-5BD0-44CC-8118-41596A6F15E2}" type="TxLink">
            <a:rPr lang="en-US" sz="2600" b="1" i="0" u="none" strike="noStrike">
              <a:solidFill>
                <a:srgbClr val="0C769E"/>
              </a:solidFill>
              <a:latin typeface="Arial"/>
              <a:ea typeface="+mn-ea"/>
              <a:cs typeface="Arial"/>
            </a:rPr>
            <a:pPr marL="0" indent="0"/>
            <a:t>244.5014706</a:t>
          </a:fld>
          <a:endParaRPr lang="en-AU" sz="2600" b="1" i="0" u="none" strike="noStrike">
            <a:solidFill>
              <a:srgbClr val="0C769E"/>
            </a:solidFill>
            <a:latin typeface="Arial"/>
            <a:ea typeface="+mn-ea"/>
            <a:cs typeface="Arial"/>
          </a:endParaRPr>
        </a:p>
      </xdr:txBody>
    </xdr:sp>
    <xdr:clientData/>
  </xdr:twoCellAnchor>
  <xdr:twoCellAnchor>
    <xdr:from>
      <xdr:col>6</xdr:col>
      <xdr:colOff>617444</xdr:colOff>
      <xdr:row>14</xdr:row>
      <xdr:rowOff>61632</xdr:rowOff>
    </xdr:from>
    <xdr:to>
      <xdr:col>7</xdr:col>
      <xdr:colOff>477371</xdr:colOff>
      <xdr:row>16</xdr:row>
      <xdr:rowOff>144555</xdr:rowOff>
    </xdr:to>
    <xdr:sp macro="" textlink="$I$45">
      <xdr:nvSpPr>
        <xdr:cNvPr id="8" name="TextBox 7">
          <a:extLst>
            <a:ext uri="{FF2B5EF4-FFF2-40B4-BE49-F238E27FC236}">
              <a16:creationId xmlns:a16="http://schemas.microsoft.com/office/drawing/2014/main" id="{ECDA9550-94C9-4119-822D-DA304443D385}"/>
            </a:ext>
          </a:extLst>
        </xdr:cNvPr>
        <xdr:cNvSpPr txBox="1"/>
      </xdr:nvSpPr>
      <xdr:spPr>
        <a:xfrm>
          <a:off x="10837769" y="2985807"/>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04D704D-8D75-4B25-B661-1CD4BF80A14D}" type="TxLink">
            <a:rPr lang="en-US" sz="2600" b="1" i="0" u="none" strike="noStrike">
              <a:solidFill>
                <a:srgbClr val="0C769E"/>
              </a:solidFill>
              <a:latin typeface="Arial"/>
              <a:ea typeface="+mn-ea"/>
              <a:cs typeface="Arial"/>
            </a:rPr>
            <a:pPr marL="0" indent="0"/>
            <a:t>11170.88934</a:t>
          </a:fld>
          <a:endParaRPr lang="en-AU" sz="2600" b="1" i="0" u="none" strike="noStrike">
            <a:solidFill>
              <a:srgbClr val="0C769E"/>
            </a:solidFill>
            <a:latin typeface="Arial"/>
            <a:ea typeface="+mn-ea"/>
            <a:cs typeface="Arial"/>
          </a:endParaRPr>
        </a:p>
      </xdr:txBody>
    </xdr:sp>
    <xdr:clientData/>
  </xdr:twoCellAnchor>
  <xdr:twoCellAnchor>
    <xdr:from>
      <xdr:col>3</xdr:col>
      <xdr:colOff>9525</xdr:colOff>
      <xdr:row>12</xdr:row>
      <xdr:rowOff>150158</xdr:rowOff>
    </xdr:from>
    <xdr:to>
      <xdr:col>3</xdr:col>
      <xdr:colOff>1542490</xdr:colOff>
      <xdr:row>14</xdr:row>
      <xdr:rowOff>33056</xdr:rowOff>
    </xdr:to>
    <xdr:sp macro="" textlink="$J$44">
      <xdr:nvSpPr>
        <xdr:cNvPr id="9" name="TextBox 8">
          <a:extLst>
            <a:ext uri="{FF2B5EF4-FFF2-40B4-BE49-F238E27FC236}">
              <a16:creationId xmlns:a16="http://schemas.microsoft.com/office/drawing/2014/main" id="{49493AFD-208A-4EC9-A8A6-48B189A9D3F6}"/>
            </a:ext>
          </a:extLst>
        </xdr:cNvPr>
        <xdr:cNvSpPr txBox="1"/>
      </xdr:nvSpPr>
      <xdr:spPr>
        <a:xfrm>
          <a:off x="2686050" y="2674283"/>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3</xdr:col>
      <xdr:colOff>2333065</xdr:colOff>
      <xdr:row>12</xdr:row>
      <xdr:rowOff>150158</xdr:rowOff>
    </xdr:from>
    <xdr:to>
      <xdr:col>4</xdr:col>
      <xdr:colOff>1457243</xdr:colOff>
      <xdr:row>14</xdr:row>
      <xdr:rowOff>33056</xdr:rowOff>
    </xdr:to>
    <xdr:sp macro="" textlink="$J$44">
      <xdr:nvSpPr>
        <xdr:cNvPr id="10" name="TextBox 9">
          <a:extLst>
            <a:ext uri="{FF2B5EF4-FFF2-40B4-BE49-F238E27FC236}">
              <a16:creationId xmlns:a16="http://schemas.microsoft.com/office/drawing/2014/main" id="{E12C55C2-9F89-43C5-95FD-8B0BFFCD3F34}"/>
            </a:ext>
          </a:extLst>
        </xdr:cNvPr>
        <xdr:cNvSpPr txBox="1"/>
      </xdr:nvSpPr>
      <xdr:spPr>
        <a:xfrm>
          <a:off x="5009590" y="2674283"/>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3</xdr:col>
      <xdr:colOff>9525</xdr:colOff>
      <xdr:row>10</xdr:row>
      <xdr:rowOff>172010</xdr:rowOff>
    </xdr:from>
    <xdr:to>
      <xdr:col>3</xdr:col>
      <xdr:colOff>1542490</xdr:colOff>
      <xdr:row>12</xdr:row>
      <xdr:rowOff>54907</xdr:rowOff>
    </xdr:to>
    <xdr:sp macro="" textlink="$J$44">
      <xdr:nvSpPr>
        <xdr:cNvPr id="11" name="TextBox 10">
          <a:extLst>
            <a:ext uri="{FF2B5EF4-FFF2-40B4-BE49-F238E27FC236}">
              <a16:creationId xmlns:a16="http://schemas.microsoft.com/office/drawing/2014/main" id="{6D9E463A-9248-4B95-B024-5BE675F6304B}"/>
            </a:ext>
          </a:extLst>
        </xdr:cNvPr>
        <xdr:cNvSpPr txBox="1"/>
      </xdr:nvSpPr>
      <xdr:spPr>
        <a:xfrm>
          <a:off x="2686050" y="2296085"/>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3</xdr:col>
      <xdr:colOff>47625</xdr:colOff>
      <xdr:row>8</xdr:row>
      <xdr:rowOff>174812</xdr:rowOff>
    </xdr:from>
    <xdr:to>
      <xdr:col>3</xdr:col>
      <xdr:colOff>2228290</xdr:colOff>
      <xdr:row>10</xdr:row>
      <xdr:rowOff>143435</xdr:rowOff>
    </xdr:to>
    <xdr:sp macro="" textlink="">
      <xdr:nvSpPr>
        <xdr:cNvPr id="12" name="TextBox 11">
          <a:extLst>
            <a:ext uri="{FF2B5EF4-FFF2-40B4-BE49-F238E27FC236}">
              <a16:creationId xmlns:a16="http://schemas.microsoft.com/office/drawing/2014/main" id="{172AB12A-BA93-494F-BD3D-E035C621A112}"/>
            </a:ext>
          </a:extLst>
        </xdr:cNvPr>
        <xdr:cNvSpPr txBox="1"/>
      </xdr:nvSpPr>
      <xdr:spPr>
        <a:xfrm>
          <a:off x="2724150" y="1898837"/>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3</xdr:col>
      <xdr:colOff>57150</xdr:colOff>
      <xdr:row>10</xdr:row>
      <xdr:rowOff>147552</xdr:rowOff>
    </xdr:from>
    <xdr:to>
      <xdr:col>7</xdr:col>
      <xdr:colOff>949698</xdr:colOff>
      <xdr:row>10</xdr:row>
      <xdr:rowOff>162485</xdr:rowOff>
    </xdr:to>
    <xdr:cxnSp macro="">
      <xdr:nvCxnSpPr>
        <xdr:cNvPr id="13" name="Straight Connector 12">
          <a:extLst>
            <a:ext uri="{FF2B5EF4-FFF2-40B4-BE49-F238E27FC236}">
              <a16:creationId xmlns:a16="http://schemas.microsoft.com/office/drawing/2014/main" id="{B2AF611D-5085-403C-AA6F-35B20216E8C4}"/>
            </a:ext>
          </a:extLst>
        </xdr:cNvPr>
        <xdr:cNvCxnSpPr/>
      </xdr:nvCxnSpPr>
      <xdr:spPr>
        <a:xfrm flipV="1">
          <a:off x="2733675" y="2271627"/>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150158</xdr:rowOff>
    </xdr:from>
    <xdr:to>
      <xdr:col>5</xdr:col>
      <xdr:colOff>1719541</xdr:colOff>
      <xdr:row>14</xdr:row>
      <xdr:rowOff>33056</xdr:rowOff>
    </xdr:to>
    <xdr:sp macro="" textlink="$J$44">
      <xdr:nvSpPr>
        <xdr:cNvPr id="14" name="TextBox 13">
          <a:extLst>
            <a:ext uri="{FF2B5EF4-FFF2-40B4-BE49-F238E27FC236}">
              <a16:creationId xmlns:a16="http://schemas.microsoft.com/office/drawing/2014/main" id="{68408881-CC17-4AA4-956F-95D498006F3D}"/>
            </a:ext>
          </a:extLst>
        </xdr:cNvPr>
        <xdr:cNvSpPr txBox="1"/>
      </xdr:nvSpPr>
      <xdr:spPr>
        <a:xfrm>
          <a:off x="8352864"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6</xdr:col>
      <xdr:colOff>617444</xdr:colOff>
      <xdr:row>12</xdr:row>
      <xdr:rowOff>150158</xdr:rowOff>
    </xdr:from>
    <xdr:to>
      <xdr:col>7</xdr:col>
      <xdr:colOff>1150201</xdr:colOff>
      <xdr:row>14</xdr:row>
      <xdr:rowOff>33056</xdr:rowOff>
    </xdr:to>
    <xdr:sp macro="" textlink="$J$44">
      <xdr:nvSpPr>
        <xdr:cNvPr id="15" name="TextBox 14">
          <a:extLst>
            <a:ext uri="{FF2B5EF4-FFF2-40B4-BE49-F238E27FC236}">
              <a16:creationId xmlns:a16="http://schemas.microsoft.com/office/drawing/2014/main" id="{6DAF84BF-9C77-403A-891B-9FFD0620D06E}"/>
            </a:ext>
          </a:extLst>
        </xdr:cNvPr>
        <xdr:cNvSpPr txBox="1"/>
      </xdr:nvSpPr>
      <xdr:spPr>
        <a:xfrm>
          <a:off x="10837769" y="2674283"/>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5</xdr:col>
      <xdr:colOff>180414</xdr:colOff>
      <xdr:row>10</xdr:row>
      <xdr:rowOff>172010</xdr:rowOff>
    </xdr:from>
    <xdr:to>
      <xdr:col>5</xdr:col>
      <xdr:colOff>1719541</xdr:colOff>
      <xdr:row>12</xdr:row>
      <xdr:rowOff>54907</xdr:rowOff>
    </xdr:to>
    <xdr:sp macro="" textlink="$J$44">
      <xdr:nvSpPr>
        <xdr:cNvPr id="16" name="TextBox 15">
          <a:extLst>
            <a:ext uri="{FF2B5EF4-FFF2-40B4-BE49-F238E27FC236}">
              <a16:creationId xmlns:a16="http://schemas.microsoft.com/office/drawing/2014/main" id="{9DDCEEE4-6758-43CA-9A4F-4BD8CC49FEC8}"/>
            </a:ext>
          </a:extLst>
        </xdr:cNvPr>
        <xdr:cNvSpPr txBox="1"/>
      </xdr:nvSpPr>
      <xdr:spPr>
        <a:xfrm>
          <a:off x="8352864"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9525</xdr:colOff>
      <xdr:row>12</xdr:row>
      <xdr:rowOff>73958</xdr:rowOff>
    </xdr:from>
    <xdr:to>
      <xdr:col>4</xdr:col>
      <xdr:colOff>1428190</xdr:colOff>
      <xdr:row>12</xdr:row>
      <xdr:rowOff>73958</xdr:rowOff>
    </xdr:to>
    <xdr:cxnSp macro="">
      <xdr:nvCxnSpPr>
        <xdr:cNvPr id="17" name="Straight Connector 16">
          <a:extLst>
            <a:ext uri="{FF2B5EF4-FFF2-40B4-BE49-F238E27FC236}">
              <a16:creationId xmlns:a16="http://schemas.microsoft.com/office/drawing/2014/main" id="{7F0ABF75-DFA4-476D-9D6C-89195BE39EB1}"/>
            </a:ext>
          </a:extLst>
        </xdr:cNvPr>
        <xdr:cNvCxnSpPr/>
      </xdr:nvCxnSpPr>
      <xdr:spPr>
        <a:xfrm>
          <a:off x="2686050" y="2598083"/>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73958</xdr:rowOff>
    </xdr:from>
    <xdr:to>
      <xdr:col>7</xdr:col>
      <xdr:colOff>968747</xdr:colOff>
      <xdr:row>12</xdr:row>
      <xdr:rowOff>73958</xdr:rowOff>
    </xdr:to>
    <xdr:cxnSp macro="">
      <xdr:nvCxnSpPr>
        <xdr:cNvPr id="18" name="Straight Connector 17">
          <a:extLst>
            <a:ext uri="{FF2B5EF4-FFF2-40B4-BE49-F238E27FC236}">
              <a16:creationId xmlns:a16="http://schemas.microsoft.com/office/drawing/2014/main" id="{C539287F-B096-47C2-8B87-ED06E2DE07A8}"/>
            </a:ext>
          </a:extLst>
        </xdr:cNvPr>
        <xdr:cNvCxnSpPr/>
      </xdr:nvCxnSpPr>
      <xdr:spPr>
        <a:xfrm>
          <a:off x="8352864" y="2598083"/>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xdr:colOff>
      <xdr:row>24</xdr:row>
      <xdr:rowOff>45944</xdr:rowOff>
    </xdr:from>
    <xdr:to>
      <xdr:col>3</xdr:col>
      <xdr:colOff>1542490</xdr:colOff>
      <xdr:row>25</xdr:row>
      <xdr:rowOff>127186</xdr:rowOff>
    </xdr:to>
    <xdr:sp macro="" textlink="$J$44">
      <xdr:nvSpPr>
        <xdr:cNvPr id="19" name="TextBox 18">
          <a:extLst>
            <a:ext uri="{FF2B5EF4-FFF2-40B4-BE49-F238E27FC236}">
              <a16:creationId xmlns:a16="http://schemas.microsoft.com/office/drawing/2014/main" id="{422FBF15-927C-4FC5-B0BC-0619A4E29552}"/>
            </a:ext>
          </a:extLst>
        </xdr:cNvPr>
        <xdr:cNvSpPr txBox="1"/>
      </xdr:nvSpPr>
      <xdr:spPr>
        <a:xfrm>
          <a:off x="2686050" y="4970369"/>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3</xdr:col>
      <xdr:colOff>2418312</xdr:colOff>
      <xdr:row>24</xdr:row>
      <xdr:rowOff>45944</xdr:rowOff>
    </xdr:from>
    <xdr:to>
      <xdr:col>4</xdr:col>
      <xdr:colOff>1542490</xdr:colOff>
      <xdr:row>25</xdr:row>
      <xdr:rowOff>127186</xdr:rowOff>
    </xdr:to>
    <xdr:sp macro="" textlink="$J$44">
      <xdr:nvSpPr>
        <xdr:cNvPr id="20" name="TextBox 19">
          <a:extLst>
            <a:ext uri="{FF2B5EF4-FFF2-40B4-BE49-F238E27FC236}">
              <a16:creationId xmlns:a16="http://schemas.microsoft.com/office/drawing/2014/main" id="{D2235FE1-4986-4236-ADD8-EF7B510C5416}"/>
            </a:ext>
          </a:extLst>
        </xdr:cNvPr>
        <xdr:cNvSpPr txBox="1"/>
      </xdr:nvSpPr>
      <xdr:spPr>
        <a:xfrm>
          <a:off x="5094837" y="4970369"/>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3</xdr:col>
      <xdr:colOff>9525</xdr:colOff>
      <xdr:row>22</xdr:row>
      <xdr:rowOff>69476</xdr:rowOff>
    </xdr:from>
    <xdr:to>
      <xdr:col>3</xdr:col>
      <xdr:colOff>1542490</xdr:colOff>
      <xdr:row>23</xdr:row>
      <xdr:rowOff>149037</xdr:rowOff>
    </xdr:to>
    <xdr:sp macro="" textlink="$J$44">
      <xdr:nvSpPr>
        <xdr:cNvPr id="21" name="TextBox 20">
          <a:extLst>
            <a:ext uri="{FF2B5EF4-FFF2-40B4-BE49-F238E27FC236}">
              <a16:creationId xmlns:a16="http://schemas.microsoft.com/office/drawing/2014/main" id="{261BE4D0-7E72-4230-8ACA-47762C0C5920}"/>
            </a:ext>
          </a:extLst>
        </xdr:cNvPr>
        <xdr:cNvSpPr txBox="1"/>
      </xdr:nvSpPr>
      <xdr:spPr>
        <a:xfrm>
          <a:off x="2686050" y="4593851"/>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3</xdr:col>
      <xdr:colOff>9525</xdr:colOff>
      <xdr:row>16</xdr:row>
      <xdr:rowOff>49306</xdr:rowOff>
    </xdr:from>
    <xdr:ext cx="1689180" cy="254493"/>
    <xdr:sp macro="" textlink="">
      <xdr:nvSpPr>
        <xdr:cNvPr id="22" name="TextBox 21">
          <a:extLst>
            <a:ext uri="{FF2B5EF4-FFF2-40B4-BE49-F238E27FC236}">
              <a16:creationId xmlns:a16="http://schemas.microsoft.com/office/drawing/2014/main" id="{9CB97F30-4735-49D1-B115-4E8269067E54}"/>
            </a:ext>
          </a:extLst>
        </xdr:cNvPr>
        <xdr:cNvSpPr txBox="1"/>
      </xdr:nvSpPr>
      <xdr:spPr>
        <a:xfrm>
          <a:off x="2686050" y="3373531"/>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3</xdr:col>
      <xdr:colOff>47625</xdr:colOff>
      <xdr:row>20</xdr:row>
      <xdr:rowOff>72277</xdr:rowOff>
    </xdr:from>
    <xdr:to>
      <xdr:col>3</xdr:col>
      <xdr:colOff>2228290</xdr:colOff>
      <xdr:row>22</xdr:row>
      <xdr:rowOff>39220</xdr:rowOff>
    </xdr:to>
    <xdr:sp macro="" textlink="">
      <xdr:nvSpPr>
        <xdr:cNvPr id="23" name="TextBox 22">
          <a:extLst>
            <a:ext uri="{FF2B5EF4-FFF2-40B4-BE49-F238E27FC236}">
              <a16:creationId xmlns:a16="http://schemas.microsoft.com/office/drawing/2014/main" id="{1C166702-1A1A-4563-8684-ED77B3E358C0}"/>
            </a:ext>
          </a:extLst>
        </xdr:cNvPr>
        <xdr:cNvSpPr txBox="1"/>
      </xdr:nvSpPr>
      <xdr:spPr>
        <a:xfrm>
          <a:off x="2724150" y="4196602"/>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3</xdr:col>
      <xdr:colOff>57150</xdr:colOff>
      <xdr:row>22</xdr:row>
      <xdr:rowOff>43269</xdr:rowOff>
    </xdr:from>
    <xdr:to>
      <xdr:col>7</xdr:col>
      <xdr:colOff>997323</xdr:colOff>
      <xdr:row>22</xdr:row>
      <xdr:rowOff>59951</xdr:rowOff>
    </xdr:to>
    <xdr:cxnSp macro="">
      <xdr:nvCxnSpPr>
        <xdr:cNvPr id="24" name="Straight Connector 23">
          <a:extLst>
            <a:ext uri="{FF2B5EF4-FFF2-40B4-BE49-F238E27FC236}">
              <a16:creationId xmlns:a16="http://schemas.microsoft.com/office/drawing/2014/main" id="{97784785-181F-46AC-B3C4-55A3A46C6717}"/>
            </a:ext>
          </a:extLst>
        </xdr:cNvPr>
        <xdr:cNvCxnSpPr/>
      </xdr:nvCxnSpPr>
      <xdr:spPr>
        <a:xfrm flipV="1">
          <a:off x="2733675" y="4567644"/>
          <a:ext cx="1053184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24</xdr:row>
      <xdr:rowOff>45944</xdr:rowOff>
    </xdr:from>
    <xdr:to>
      <xdr:col>5</xdr:col>
      <xdr:colOff>1719541</xdr:colOff>
      <xdr:row>25</xdr:row>
      <xdr:rowOff>127186</xdr:rowOff>
    </xdr:to>
    <xdr:sp macro="" textlink="$J$44">
      <xdr:nvSpPr>
        <xdr:cNvPr id="25" name="TextBox 24">
          <a:extLst>
            <a:ext uri="{FF2B5EF4-FFF2-40B4-BE49-F238E27FC236}">
              <a16:creationId xmlns:a16="http://schemas.microsoft.com/office/drawing/2014/main" id="{F718A17E-5AAC-4CD8-8846-2676F26CC911}"/>
            </a:ext>
          </a:extLst>
        </xdr:cNvPr>
        <xdr:cNvSpPr txBox="1"/>
      </xdr:nvSpPr>
      <xdr:spPr>
        <a:xfrm>
          <a:off x="8352864"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6</xdr:col>
      <xdr:colOff>617444</xdr:colOff>
      <xdr:row>24</xdr:row>
      <xdr:rowOff>45944</xdr:rowOff>
    </xdr:from>
    <xdr:to>
      <xdr:col>7</xdr:col>
      <xdr:colOff>1150201</xdr:colOff>
      <xdr:row>25</xdr:row>
      <xdr:rowOff>127186</xdr:rowOff>
    </xdr:to>
    <xdr:sp macro="" textlink="$J$44">
      <xdr:nvSpPr>
        <xdr:cNvPr id="26" name="TextBox 25">
          <a:extLst>
            <a:ext uri="{FF2B5EF4-FFF2-40B4-BE49-F238E27FC236}">
              <a16:creationId xmlns:a16="http://schemas.microsoft.com/office/drawing/2014/main" id="{1391BBC0-89E5-4868-81CD-5472A82492D9}"/>
            </a:ext>
          </a:extLst>
        </xdr:cNvPr>
        <xdr:cNvSpPr txBox="1"/>
      </xdr:nvSpPr>
      <xdr:spPr>
        <a:xfrm>
          <a:off x="10837769" y="4970369"/>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5</xdr:col>
      <xdr:colOff>180414</xdr:colOff>
      <xdr:row>22</xdr:row>
      <xdr:rowOff>69476</xdr:rowOff>
    </xdr:from>
    <xdr:to>
      <xdr:col>5</xdr:col>
      <xdr:colOff>1719541</xdr:colOff>
      <xdr:row>23</xdr:row>
      <xdr:rowOff>149037</xdr:rowOff>
    </xdr:to>
    <xdr:sp macro="" textlink="$J$44">
      <xdr:nvSpPr>
        <xdr:cNvPr id="27" name="TextBox 26">
          <a:extLst>
            <a:ext uri="{FF2B5EF4-FFF2-40B4-BE49-F238E27FC236}">
              <a16:creationId xmlns:a16="http://schemas.microsoft.com/office/drawing/2014/main" id="{D5FE9366-3BFE-4C05-867A-F75650982CA9}"/>
            </a:ext>
          </a:extLst>
        </xdr:cNvPr>
        <xdr:cNvSpPr txBox="1"/>
      </xdr:nvSpPr>
      <xdr:spPr>
        <a:xfrm>
          <a:off x="8352864"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9525</xdr:colOff>
      <xdr:row>23</xdr:row>
      <xdr:rowOff>168088</xdr:rowOff>
    </xdr:from>
    <xdr:to>
      <xdr:col>4</xdr:col>
      <xdr:colOff>1456765</xdr:colOff>
      <xdr:row>23</xdr:row>
      <xdr:rowOff>168088</xdr:rowOff>
    </xdr:to>
    <xdr:cxnSp macro="">
      <xdr:nvCxnSpPr>
        <xdr:cNvPr id="28" name="Straight Connector 27">
          <a:extLst>
            <a:ext uri="{FF2B5EF4-FFF2-40B4-BE49-F238E27FC236}">
              <a16:creationId xmlns:a16="http://schemas.microsoft.com/office/drawing/2014/main" id="{38B64D30-6D2F-48C3-9B60-4390BE526625}"/>
            </a:ext>
          </a:extLst>
        </xdr:cNvPr>
        <xdr:cNvCxnSpPr/>
      </xdr:nvCxnSpPr>
      <xdr:spPr>
        <a:xfrm>
          <a:off x="2686050" y="4892488"/>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23</xdr:row>
      <xdr:rowOff>168088</xdr:rowOff>
    </xdr:from>
    <xdr:to>
      <xdr:col>7</xdr:col>
      <xdr:colOff>1006847</xdr:colOff>
      <xdr:row>23</xdr:row>
      <xdr:rowOff>168088</xdr:rowOff>
    </xdr:to>
    <xdr:cxnSp macro="">
      <xdr:nvCxnSpPr>
        <xdr:cNvPr id="29" name="Straight Connector 28">
          <a:extLst>
            <a:ext uri="{FF2B5EF4-FFF2-40B4-BE49-F238E27FC236}">
              <a16:creationId xmlns:a16="http://schemas.microsoft.com/office/drawing/2014/main" id="{BFBEA725-F1E3-47A3-9D66-D708641C5522}"/>
            </a:ext>
          </a:extLst>
        </xdr:cNvPr>
        <xdr:cNvCxnSpPr/>
      </xdr:nvCxnSpPr>
      <xdr:spPr>
        <a:xfrm>
          <a:off x="8352864" y="4892488"/>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2333065</xdr:colOff>
      <xdr:row>16</xdr:row>
      <xdr:rowOff>49306</xdr:rowOff>
    </xdr:from>
    <xdr:ext cx="1689180" cy="254493"/>
    <xdr:sp macro="" textlink="">
      <xdr:nvSpPr>
        <xdr:cNvPr id="30" name="TextBox 29">
          <a:extLst>
            <a:ext uri="{FF2B5EF4-FFF2-40B4-BE49-F238E27FC236}">
              <a16:creationId xmlns:a16="http://schemas.microsoft.com/office/drawing/2014/main" id="{1B353C3F-EEA7-4767-9132-E360261D937D}"/>
            </a:ext>
          </a:extLst>
        </xdr:cNvPr>
        <xdr:cNvSpPr txBox="1"/>
      </xdr:nvSpPr>
      <xdr:spPr>
        <a:xfrm>
          <a:off x="5009590" y="3373531"/>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5</xdr:col>
      <xdr:colOff>180414</xdr:colOff>
      <xdr:row>16</xdr:row>
      <xdr:rowOff>49306</xdr:rowOff>
    </xdr:from>
    <xdr:ext cx="1689180" cy="254493"/>
    <xdr:sp macro="" textlink="">
      <xdr:nvSpPr>
        <xdr:cNvPr id="31" name="TextBox 30">
          <a:extLst>
            <a:ext uri="{FF2B5EF4-FFF2-40B4-BE49-F238E27FC236}">
              <a16:creationId xmlns:a16="http://schemas.microsoft.com/office/drawing/2014/main" id="{87762194-2B12-44BC-B816-301BBCFA2F7E}"/>
            </a:ext>
          </a:extLst>
        </xdr:cNvPr>
        <xdr:cNvSpPr txBox="1"/>
      </xdr:nvSpPr>
      <xdr:spPr>
        <a:xfrm>
          <a:off x="8352864" y="3373531"/>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6</xdr:col>
      <xdr:colOff>617444</xdr:colOff>
      <xdr:row>16</xdr:row>
      <xdr:rowOff>49306</xdr:rowOff>
    </xdr:from>
    <xdr:ext cx="1689180" cy="254493"/>
    <xdr:sp macro="" textlink="">
      <xdr:nvSpPr>
        <xdr:cNvPr id="32" name="TextBox 31">
          <a:extLst>
            <a:ext uri="{FF2B5EF4-FFF2-40B4-BE49-F238E27FC236}">
              <a16:creationId xmlns:a16="http://schemas.microsoft.com/office/drawing/2014/main" id="{AAED1EC9-FDD9-4C3D-A636-5F245C7CA707}"/>
            </a:ext>
          </a:extLst>
        </xdr:cNvPr>
        <xdr:cNvSpPr txBox="1"/>
      </xdr:nvSpPr>
      <xdr:spPr>
        <a:xfrm>
          <a:off x="10837769" y="3373531"/>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3</xdr:col>
      <xdr:colOff>9525</xdr:colOff>
      <xdr:row>28</xdr:row>
      <xdr:rowOff>38660</xdr:rowOff>
    </xdr:from>
    <xdr:ext cx="1689180" cy="254493"/>
    <xdr:sp macro="" textlink="">
      <xdr:nvSpPr>
        <xdr:cNvPr id="33" name="TextBox 32">
          <a:extLst>
            <a:ext uri="{FF2B5EF4-FFF2-40B4-BE49-F238E27FC236}">
              <a16:creationId xmlns:a16="http://schemas.microsoft.com/office/drawing/2014/main" id="{014A040B-C88A-4270-8C26-7CA744A8C27B}"/>
            </a:ext>
          </a:extLst>
        </xdr:cNvPr>
        <xdr:cNvSpPr txBox="1"/>
      </xdr:nvSpPr>
      <xdr:spPr>
        <a:xfrm>
          <a:off x="2686050" y="5763185"/>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3</xdr:col>
      <xdr:colOff>2342590</xdr:colOff>
      <xdr:row>28</xdr:row>
      <xdr:rowOff>38660</xdr:rowOff>
    </xdr:from>
    <xdr:ext cx="1689180" cy="254493"/>
    <xdr:sp macro="" textlink="">
      <xdr:nvSpPr>
        <xdr:cNvPr id="34" name="TextBox 33">
          <a:extLst>
            <a:ext uri="{FF2B5EF4-FFF2-40B4-BE49-F238E27FC236}">
              <a16:creationId xmlns:a16="http://schemas.microsoft.com/office/drawing/2014/main" id="{9BD31057-8DED-461A-B7E7-EF42381BCD2B}"/>
            </a:ext>
          </a:extLst>
        </xdr:cNvPr>
        <xdr:cNvSpPr txBox="1"/>
      </xdr:nvSpPr>
      <xdr:spPr>
        <a:xfrm>
          <a:off x="5019115" y="5763185"/>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5</xdr:col>
      <xdr:colOff>180414</xdr:colOff>
      <xdr:row>28</xdr:row>
      <xdr:rowOff>38660</xdr:rowOff>
    </xdr:from>
    <xdr:ext cx="1689180" cy="254493"/>
    <xdr:sp macro="" textlink="">
      <xdr:nvSpPr>
        <xdr:cNvPr id="35" name="TextBox 34">
          <a:extLst>
            <a:ext uri="{FF2B5EF4-FFF2-40B4-BE49-F238E27FC236}">
              <a16:creationId xmlns:a16="http://schemas.microsoft.com/office/drawing/2014/main" id="{BDD590EC-73F4-4720-A28D-3D3C84B2383C}"/>
            </a:ext>
          </a:extLst>
        </xdr:cNvPr>
        <xdr:cNvSpPr txBox="1"/>
      </xdr:nvSpPr>
      <xdr:spPr>
        <a:xfrm>
          <a:off x="8352864" y="5763185"/>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6</xdr:col>
      <xdr:colOff>617444</xdr:colOff>
      <xdr:row>28</xdr:row>
      <xdr:rowOff>38660</xdr:rowOff>
    </xdr:from>
    <xdr:ext cx="1689180" cy="254493"/>
    <xdr:sp macro="" textlink="">
      <xdr:nvSpPr>
        <xdr:cNvPr id="36" name="TextBox 35">
          <a:extLst>
            <a:ext uri="{FF2B5EF4-FFF2-40B4-BE49-F238E27FC236}">
              <a16:creationId xmlns:a16="http://schemas.microsoft.com/office/drawing/2014/main" id="{A8DA6287-B255-4E1B-BFDE-A3ABED31B70B}"/>
            </a:ext>
          </a:extLst>
        </xdr:cNvPr>
        <xdr:cNvSpPr txBox="1"/>
      </xdr:nvSpPr>
      <xdr:spPr>
        <a:xfrm>
          <a:off x="10837769" y="5763185"/>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3</xdr:col>
      <xdr:colOff>2371165</xdr:colOff>
      <xdr:row>25</xdr:row>
      <xdr:rowOff>155762</xdr:rowOff>
    </xdr:from>
    <xdr:to>
      <xdr:col>4</xdr:col>
      <xdr:colOff>875740</xdr:colOff>
      <xdr:row>28</xdr:row>
      <xdr:rowOff>108696</xdr:rowOff>
    </xdr:to>
    <xdr:sp macro="" textlink="$H$55">
      <xdr:nvSpPr>
        <xdr:cNvPr id="37" name="TextBox 36">
          <a:extLst>
            <a:ext uri="{FF2B5EF4-FFF2-40B4-BE49-F238E27FC236}">
              <a16:creationId xmlns:a16="http://schemas.microsoft.com/office/drawing/2014/main" id="{48B67803-470A-4840-A0B6-AA7EBEFF89C4}"/>
            </a:ext>
          </a:extLst>
        </xdr:cNvPr>
        <xdr:cNvSpPr txBox="1"/>
      </xdr:nvSpPr>
      <xdr:spPr>
        <a:xfrm>
          <a:off x="5047690" y="5280212"/>
          <a:ext cx="195262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25659CC-BF18-4027-9C39-6B59F0E2F578}" type="TxLink">
            <a:rPr lang="en-US" sz="2600" b="1" i="0" u="none" strike="noStrike">
              <a:solidFill>
                <a:srgbClr val="4F4789"/>
              </a:solidFill>
              <a:latin typeface="Arial"/>
              <a:ea typeface="+mn-ea"/>
              <a:cs typeface="Arial"/>
            </a:rPr>
            <a:pPr marL="0" indent="0"/>
            <a:t>199.9044023</a:t>
          </a:fld>
          <a:endParaRPr lang="en-AU" sz="2600" b="1" i="0" u="none" strike="noStrike">
            <a:solidFill>
              <a:srgbClr val="4F4789"/>
            </a:solidFill>
            <a:latin typeface="Arial"/>
            <a:ea typeface="+mn-ea"/>
            <a:cs typeface="Arial"/>
          </a:endParaRPr>
        </a:p>
      </xdr:txBody>
    </xdr:sp>
    <xdr:clientData/>
  </xdr:twoCellAnchor>
  <xdr:twoCellAnchor>
    <xdr:from>
      <xdr:col>6</xdr:col>
      <xdr:colOff>500341</xdr:colOff>
      <xdr:row>25</xdr:row>
      <xdr:rowOff>184337</xdr:rowOff>
    </xdr:from>
    <xdr:to>
      <xdr:col>7</xdr:col>
      <xdr:colOff>429745</xdr:colOff>
      <xdr:row>28</xdr:row>
      <xdr:rowOff>89646</xdr:rowOff>
    </xdr:to>
    <xdr:sp macro="" textlink="$I$55">
      <xdr:nvSpPr>
        <xdr:cNvPr id="38" name="TextBox 37">
          <a:extLst>
            <a:ext uri="{FF2B5EF4-FFF2-40B4-BE49-F238E27FC236}">
              <a16:creationId xmlns:a16="http://schemas.microsoft.com/office/drawing/2014/main" id="{3CEEF3AD-22FC-4524-8AAC-CB6290746354}"/>
            </a:ext>
          </a:extLst>
        </xdr:cNvPr>
        <xdr:cNvSpPr txBox="1"/>
      </xdr:nvSpPr>
      <xdr:spPr>
        <a:xfrm>
          <a:off x="10720666" y="5308787"/>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9E71E38-28CF-40B4-A787-CD2A933BF092}" type="TxLink">
            <a:rPr lang="en-US" sz="2600" b="1" i="0" u="none" strike="noStrike">
              <a:solidFill>
                <a:srgbClr val="4F4789"/>
              </a:solidFill>
              <a:latin typeface="Arial"/>
              <a:ea typeface="+mn-ea"/>
              <a:cs typeface="Arial"/>
            </a:rPr>
            <a:pPr marL="0" indent="0"/>
            <a:t>9133.319128</a:t>
          </a:fld>
          <a:endParaRPr lang="en-AU" sz="2600" b="1" i="0" u="none" strike="noStrike">
            <a:solidFill>
              <a:srgbClr val="4F4789"/>
            </a:solidFill>
            <a:latin typeface="Arial"/>
            <a:ea typeface="+mn-ea"/>
            <a:cs typeface="Arial"/>
          </a:endParaRPr>
        </a:p>
      </xdr:txBody>
    </xdr:sp>
    <xdr:clientData/>
  </xdr:twoCellAnchor>
  <xdr:twoCellAnchor>
    <xdr:from>
      <xdr:col>8</xdr:col>
      <xdr:colOff>619125</xdr:colOff>
      <xdr:row>14</xdr:row>
      <xdr:rowOff>71157</xdr:rowOff>
    </xdr:from>
    <xdr:to>
      <xdr:col>9</xdr:col>
      <xdr:colOff>440952</xdr:colOff>
      <xdr:row>16</xdr:row>
      <xdr:rowOff>144555</xdr:rowOff>
    </xdr:to>
    <xdr:sp macro="" textlink="$H$46">
      <xdr:nvSpPr>
        <xdr:cNvPr id="39" name="TextBox 38">
          <a:extLst>
            <a:ext uri="{FF2B5EF4-FFF2-40B4-BE49-F238E27FC236}">
              <a16:creationId xmlns:a16="http://schemas.microsoft.com/office/drawing/2014/main" id="{06A79968-A343-47E9-957F-999EDB875007}"/>
            </a:ext>
          </a:extLst>
        </xdr:cNvPr>
        <xdr:cNvSpPr txBox="1"/>
      </xdr:nvSpPr>
      <xdr:spPr>
        <a:xfrm>
          <a:off x="14935200" y="2995332"/>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1851327-1FB9-4A63-8F10-A94CCCBA0067}" type="TxLink">
            <a:rPr lang="en-US" sz="2600" b="1" i="0" u="none" strike="noStrike">
              <a:solidFill>
                <a:srgbClr val="0C769E"/>
              </a:solidFill>
              <a:latin typeface="Arial"/>
              <a:ea typeface="+mn-ea"/>
              <a:cs typeface="Arial"/>
            </a:rPr>
            <a:pPr marL="0" indent="0"/>
            <a:t>244.5014706</a:t>
          </a:fld>
          <a:endParaRPr lang="en-AU" sz="2600" b="1" i="0" u="none" strike="noStrike">
            <a:solidFill>
              <a:srgbClr val="0C769E"/>
            </a:solidFill>
            <a:latin typeface="Arial"/>
            <a:ea typeface="+mn-ea"/>
            <a:cs typeface="Arial"/>
          </a:endParaRPr>
        </a:p>
      </xdr:txBody>
    </xdr:sp>
    <xdr:clientData/>
  </xdr:twoCellAnchor>
  <xdr:twoCellAnchor>
    <xdr:from>
      <xdr:col>11</xdr:col>
      <xdr:colOff>156882</xdr:colOff>
      <xdr:row>14</xdr:row>
      <xdr:rowOff>42582</xdr:rowOff>
    </xdr:from>
    <xdr:to>
      <xdr:col>12</xdr:col>
      <xdr:colOff>19609</xdr:colOff>
      <xdr:row>16</xdr:row>
      <xdr:rowOff>144555</xdr:rowOff>
    </xdr:to>
    <xdr:sp macro="" textlink="$I$46">
      <xdr:nvSpPr>
        <xdr:cNvPr id="40" name="TextBox 39">
          <a:extLst>
            <a:ext uri="{FF2B5EF4-FFF2-40B4-BE49-F238E27FC236}">
              <a16:creationId xmlns:a16="http://schemas.microsoft.com/office/drawing/2014/main" id="{87FEF128-5F76-4826-ACB9-2CD12AF6BDF3}"/>
            </a:ext>
          </a:extLst>
        </xdr:cNvPr>
        <xdr:cNvSpPr txBox="1"/>
      </xdr:nvSpPr>
      <xdr:spPr>
        <a:xfrm>
          <a:off x="20616582"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03962E4-A836-4FA9-BB10-880CFFC16D77}" type="TxLink">
            <a:rPr lang="en-US" sz="2600" b="1" i="0" u="none" strike="noStrike">
              <a:solidFill>
                <a:srgbClr val="0C769E"/>
              </a:solidFill>
              <a:latin typeface="Arial"/>
              <a:ea typeface="+mn-ea"/>
              <a:cs typeface="Arial"/>
            </a:rPr>
            <a:pPr marL="0" indent="0"/>
            <a:t>11170.88934</a:t>
          </a:fld>
          <a:endParaRPr lang="en-AU" sz="2600" b="1" i="0" u="none" strike="noStrike">
            <a:solidFill>
              <a:srgbClr val="0C769E"/>
            </a:solidFill>
            <a:latin typeface="Arial"/>
            <a:ea typeface="+mn-ea"/>
            <a:cs typeface="Arial"/>
          </a:endParaRPr>
        </a:p>
      </xdr:txBody>
    </xdr:sp>
    <xdr:clientData/>
  </xdr:twoCellAnchor>
  <xdr:twoCellAnchor>
    <xdr:from>
      <xdr:col>8</xdr:col>
      <xdr:colOff>619125</xdr:colOff>
      <xdr:row>25</xdr:row>
      <xdr:rowOff>155762</xdr:rowOff>
    </xdr:from>
    <xdr:to>
      <xdr:col>9</xdr:col>
      <xdr:colOff>526677</xdr:colOff>
      <xdr:row>28</xdr:row>
      <xdr:rowOff>108696</xdr:rowOff>
    </xdr:to>
    <xdr:sp macro="" textlink="$H$56">
      <xdr:nvSpPr>
        <xdr:cNvPr id="41" name="TextBox 40">
          <a:extLst>
            <a:ext uri="{FF2B5EF4-FFF2-40B4-BE49-F238E27FC236}">
              <a16:creationId xmlns:a16="http://schemas.microsoft.com/office/drawing/2014/main" id="{E9FA52E2-575B-4C56-ADCB-73565977DD51}"/>
            </a:ext>
          </a:extLst>
        </xdr:cNvPr>
        <xdr:cNvSpPr txBox="1"/>
      </xdr:nvSpPr>
      <xdr:spPr>
        <a:xfrm>
          <a:off x="14935200" y="5280212"/>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5956E299-F16B-458E-B683-AA1917292255}" type="TxLink">
            <a:rPr lang="en-US" sz="2600" b="1" i="0" u="none" strike="noStrike">
              <a:solidFill>
                <a:srgbClr val="4F4789"/>
              </a:solidFill>
              <a:latin typeface="Arial"/>
              <a:ea typeface="+mn-ea"/>
              <a:cs typeface="Arial"/>
            </a:rPr>
            <a:pPr marL="0" indent="0"/>
            <a:t>9995.220117</a:t>
          </a:fld>
          <a:endParaRPr lang="en-AU" sz="2600" b="1" i="0" u="none" strike="noStrike">
            <a:solidFill>
              <a:srgbClr val="4F4789"/>
            </a:solidFill>
            <a:latin typeface="Arial"/>
            <a:ea typeface="+mn-ea"/>
            <a:cs typeface="Arial"/>
          </a:endParaRPr>
        </a:p>
      </xdr:txBody>
    </xdr:sp>
    <xdr:clientData/>
  </xdr:twoCellAnchor>
  <xdr:twoCellAnchor>
    <xdr:from>
      <xdr:col>11</xdr:col>
      <xdr:colOff>156882</xdr:colOff>
      <xdr:row>25</xdr:row>
      <xdr:rowOff>184337</xdr:rowOff>
    </xdr:from>
    <xdr:to>
      <xdr:col>12</xdr:col>
      <xdr:colOff>86284</xdr:colOff>
      <xdr:row>28</xdr:row>
      <xdr:rowOff>89646</xdr:rowOff>
    </xdr:to>
    <xdr:sp macro="" textlink="$I$56">
      <xdr:nvSpPr>
        <xdr:cNvPr id="42" name="TextBox 41">
          <a:extLst>
            <a:ext uri="{FF2B5EF4-FFF2-40B4-BE49-F238E27FC236}">
              <a16:creationId xmlns:a16="http://schemas.microsoft.com/office/drawing/2014/main" id="{A85AC178-A8FE-436B-A923-A0DF381EC5F3}"/>
            </a:ext>
          </a:extLst>
        </xdr:cNvPr>
        <xdr:cNvSpPr txBox="1"/>
      </xdr:nvSpPr>
      <xdr:spPr>
        <a:xfrm>
          <a:off x="20616582"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2C43DCE5-DF98-499D-979B-E75843FD1E2F}" type="TxLink">
            <a:rPr lang="en-US" sz="2600" b="1" i="0" u="none" strike="noStrike">
              <a:solidFill>
                <a:srgbClr val="4F4789"/>
              </a:solidFill>
              <a:latin typeface="Arial"/>
              <a:ea typeface="+mn-ea"/>
              <a:cs typeface="Arial"/>
            </a:rPr>
            <a:pPr marL="0" indent="0"/>
            <a:t>456665.9564</a:t>
          </a:fld>
          <a:endParaRPr lang="en-AU" sz="2600" b="1" i="0" u="none" strike="noStrike">
            <a:solidFill>
              <a:srgbClr val="4F4789"/>
            </a:solidFill>
            <a:latin typeface="Arial"/>
            <a:ea typeface="+mn-ea"/>
            <a:cs typeface="Arial"/>
          </a:endParaRPr>
        </a:p>
      </xdr:txBody>
    </xdr:sp>
    <xdr:clientData/>
  </xdr:twoCellAnchor>
  <xdr:twoCellAnchor>
    <xdr:from>
      <xdr:col>9</xdr:col>
      <xdr:colOff>903754</xdr:colOff>
      <xdr:row>14</xdr:row>
      <xdr:rowOff>33057</xdr:rowOff>
    </xdr:from>
    <xdr:to>
      <xdr:col>10</xdr:col>
      <xdr:colOff>1214158</xdr:colOff>
      <xdr:row>16</xdr:row>
      <xdr:rowOff>144555</xdr:rowOff>
    </xdr:to>
    <xdr:sp macro="" textlink="$H$47">
      <xdr:nvSpPr>
        <xdr:cNvPr id="43" name="TextBox 42">
          <a:extLst>
            <a:ext uri="{FF2B5EF4-FFF2-40B4-BE49-F238E27FC236}">
              <a16:creationId xmlns:a16="http://schemas.microsoft.com/office/drawing/2014/main" id="{F03DF4FC-B0C4-4C3C-ABF8-C9A9263AB614}"/>
            </a:ext>
          </a:extLst>
        </xdr:cNvPr>
        <xdr:cNvSpPr txBox="1"/>
      </xdr:nvSpPr>
      <xdr:spPr>
        <a:xfrm>
          <a:off x="17267704" y="2957232"/>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60ABB662-5EEC-40EE-9C89-5AE4A9E7D29C}" type="TxLink">
            <a:rPr lang="en-US" sz="2600" b="1" i="0" u="none" strike="noStrike">
              <a:solidFill>
                <a:srgbClr val="0C769E"/>
              </a:solidFill>
              <a:latin typeface="Arial"/>
              <a:ea typeface="+mn-ea"/>
              <a:cs typeface="Arial"/>
            </a:rPr>
            <a:pPr marL="0" indent="0"/>
            <a:t>244.5014706</a:t>
          </a:fld>
          <a:endParaRPr lang="en-AU" sz="2600" b="1" i="0" u="none" strike="noStrike">
            <a:solidFill>
              <a:srgbClr val="0C769E"/>
            </a:solidFill>
            <a:latin typeface="Arial"/>
            <a:ea typeface="+mn-ea"/>
            <a:cs typeface="Arial"/>
          </a:endParaRPr>
        </a:p>
      </xdr:txBody>
    </xdr:sp>
    <xdr:clientData/>
  </xdr:twoCellAnchor>
  <xdr:twoCellAnchor>
    <xdr:from>
      <xdr:col>12</xdr:col>
      <xdr:colOff>593912</xdr:colOff>
      <xdr:row>14</xdr:row>
      <xdr:rowOff>61632</xdr:rowOff>
    </xdr:from>
    <xdr:to>
      <xdr:col>13</xdr:col>
      <xdr:colOff>434789</xdr:colOff>
      <xdr:row>16</xdr:row>
      <xdr:rowOff>144555</xdr:rowOff>
    </xdr:to>
    <xdr:sp macro="" textlink="$I$47">
      <xdr:nvSpPr>
        <xdr:cNvPr id="44" name="TextBox 43">
          <a:extLst>
            <a:ext uri="{FF2B5EF4-FFF2-40B4-BE49-F238E27FC236}">
              <a16:creationId xmlns:a16="http://schemas.microsoft.com/office/drawing/2014/main" id="{B9BC03BE-C840-4A9F-BF3C-E56EF4AE3520}"/>
            </a:ext>
          </a:extLst>
        </xdr:cNvPr>
        <xdr:cNvSpPr txBox="1"/>
      </xdr:nvSpPr>
      <xdr:spPr>
        <a:xfrm>
          <a:off x="23101487" y="2985807"/>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8238A81-1112-4210-9014-FD7E952D0919}" type="TxLink">
            <a:rPr lang="en-US" sz="2600" b="1" i="0" u="none" strike="noStrike">
              <a:solidFill>
                <a:srgbClr val="0C769E"/>
              </a:solidFill>
              <a:latin typeface="Arial"/>
              <a:ea typeface="+mn-ea"/>
              <a:cs typeface="Arial"/>
            </a:rPr>
            <a:pPr marL="0" indent="0"/>
            <a:t>11170.88934</a:t>
          </a:fld>
          <a:endParaRPr lang="en-AU" sz="2600" b="1" i="0" u="none" strike="noStrike">
            <a:solidFill>
              <a:srgbClr val="0C769E"/>
            </a:solidFill>
            <a:latin typeface="Arial"/>
            <a:ea typeface="+mn-ea"/>
            <a:cs typeface="Arial"/>
          </a:endParaRPr>
        </a:p>
      </xdr:txBody>
    </xdr:sp>
    <xdr:clientData/>
  </xdr:twoCellAnchor>
  <xdr:twoCellAnchor>
    <xdr:from>
      <xdr:col>8</xdr:col>
      <xdr:colOff>619125</xdr:colOff>
      <xdr:row>12</xdr:row>
      <xdr:rowOff>150158</xdr:rowOff>
    </xdr:from>
    <xdr:to>
      <xdr:col>9</xdr:col>
      <xdr:colOff>107577</xdr:colOff>
      <xdr:row>14</xdr:row>
      <xdr:rowOff>33056</xdr:rowOff>
    </xdr:to>
    <xdr:sp macro="" textlink="$J$44">
      <xdr:nvSpPr>
        <xdr:cNvPr id="45" name="TextBox 44">
          <a:extLst>
            <a:ext uri="{FF2B5EF4-FFF2-40B4-BE49-F238E27FC236}">
              <a16:creationId xmlns:a16="http://schemas.microsoft.com/office/drawing/2014/main" id="{0E20E1D2-2B5C-4DB2-8518-71C3789EC7E5}"/>
            </a:ext>
          </a:extLst>
        </xdr:cNvPr>
        <xdr:cNvSpPr txBox="1"/>
      </xdr:nvSpPr>
      <xdr:spPr>
        <a:xfrm>
          <a:off x="14935200" y="2674283"/>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9</xdr:col>
      <xdr:colOff>903754</xdr:colOff>
      <xdr:row>12</xdr:row>
      <xdr:rowOff>150158</xdr:rowOff>
    </xdr:from>
    <xdr:to>
      <xdr:col>10</xdr:col>
      <xdr:colOff>1433711</xdr:colOff>
      <xdr:row>14</xdr:row>
      <xdr:rowOff>33056</xdr:rowOff>
    </xdr:to>
    <xdr:sp macro="" textlink="$J$44">
      <xdr:nvSpPr>
        <xdr:cNvPr id="46" name="TextBox 45">
          <a:extLst>
            <a:ext uri="{FF2B5EF4-FFF2-40B4-BE49-F238E27FC236}">
              <a16:creationId xmlns:a16="http://schemas.microsoft.com/office/drawing/2014/main" id="{4E5FDF6B-386F-464F-89BA-ADBFDA2C3E39}"/>
            </a:ext>
          </a:extLst>
        </xdr:cNvPr>
        <xdr:cNvSpPr txBox="1"/>
      </xdr:nvSpPr>
      <xdr:spPr>
        <a:xfrm>
          <a:off x="17267704" y="2674283"/>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8</xdr:col>
      <xdr:colOff>619125</xdr:colOff>
      <xdr:row>10</xdr:row>
      <xdr:rowOff>172010</xdr:rowOff>
    </xdr:from>
    <xdr:to>
      <xdr:col>9</xdr:col>
      <xdr:colOff>107577</xdr:colOff>
      <xdr:row>12</xdr:row>
      <xdr:rowOff>54907</xdr:rowOff>
    </xdr:to>
    <xdr:sp macro="" textlink="$J$44">
      <xdr:nvSpPr>
        <xdr:cNvPr id="47" name="TextBox 46">
          <a:extLst>
            <a:ext uri="{FF2B5EF4-FFF2-40B4-BE49-F238E27FC236}">
              <a16:creationId xmlns:a16="http://schemas.microsoft.com/office/drawing/2014/main" id="{30A6A9A1-0600-4C2A-BEF9-25BCF7D053B0}"/>
            </a:ext>
          </a:extLst>
        </xdr:cNvPr>
        <xdr:cNvSpPr txBox="1"/>
      </xdr:nvSpPr>
      <xdr:spPr>
        <a:xfrm>
          <a:off x="14935200" y="2296085"/>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8</xdr:col>
      <xdr:colOff>657225</xdr:colOff>
      <xdr:row>8</xdr:row>
      <xdr:rowOff>174812</xdr:rowOff>
    </xdr:from>
    <xdr:to>
      <xdr:col>9</xdr:col>
      <xdr:colOff>798979</xdr:colOff>
      <xdr:row>10</xdr:row>
      <xdr:rowOff>143435</xdr:rowOff>
    </xdr:to>
    <xdr:sp macro="" textlink="">
      <xdr:nvSpPr>
        <xdr:cNvPr id="48" name="TextBox 47">
          <a:extLst>
            <a:ext uri="{FF2B5EF4-FFF2-40B4-BE49-F238E27FC236}">
              <a16:creationId xmlns:a16="http://schemas.microsoft.com/office/drawing/2014/main" id="{E0BFA7CF-30B9-49C5-94B8-46066A33642A}"/>
            </a:ext>
          </a:extLst>
        </xdr:cNvPr>
        <xdr:cNvSpPr txBox="1"/>
      </xdr:nvSpPr>
      <xdr:spPr>
        <a:xfrm>
          <a:off x="14973300" y="1898837"/>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8</xdr:col>
      <xdr:colOff>666750</xdr:colOff>
      <xdr:row>10</xdr:row>
      <xdr:rowOff>148900</xdr:rowOff>
    </xdr:from>
    <xdr:to>
      <xdr:col>14</xdr:col>
      <xdr:colOff>447675</xdr:colOff>
      <xdr:row>10</xdr:row>
      <xdr:rowOff>162485</xdr:rowOff>
    </xdr:to>
    <xdr:cxnSp macro="">
      <xdr:nvCxnSpPr>
        <xdr:cNvPr id="49" name="Straight Connector 48">
          <a:extLst>
            <a:ext uri="{FF2B5EF4-FFF2-40B4-BE49-F238E27FC236}">
              <a16:creationId xmlns:a16="http://schemas.microsoft.com/office/drawing/2014/main" id="{FC6F194F-AD0D-42E3-9F8A-F06B07808247}"/>
            </a:ext>
          </a:extLst>
        </xdr:cNvPr>
        <xdr:cNvCxnSpPr/>
      </xdr:nvCxnSpPr>
      <xdr:spPr>
        <a:xfrm flipV="1">
          <a:off x="14982825" y="2272975"/>
          <a:ext cx="10629900" cy="1358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150158</xdr:rowOff>
    </xdr:from>
    <xdr:to>
      <xdr:col>11</xdr:col>
      <xdr:colOff>1696009</xdr:colOff>
      <xdr:row>14</xdr:row>
      <xdr:rowOff>33056</xdr:rowOff>
    </xdr:to>
    <xdr:sp macro="" textlink="$J$44">
      <xdr:nvSpPr>
        <xdr:cNvPr id="50" name="TextBox 49">
          <a:extLst>
            <a:ext uri="{FF2B5EF4-FFF2-40B4-BE49-F238E27FC236}">
              <a16:creationId xmlns:a16="http://schemas.microsoft.com/office/drawing/2014/main" id="{CAA51722-00E3-4D47-B270-7E9443D62D10}"/>
            </a:ext>
          </a:extLst>
        </xdr:cNvPr>
        <xdr:cNvSpPr txBox="1"/>
      </xdr:nvSpPr>
      <xdr:spPr>
        <a:xfrm>
          <a:off x="20616582"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12</xdr:col>
      <xdr:colOff>593912</xdr:colOff>
      <xdr:row>12</xdr:row>
      <xdr:rowOff>150158</xdr:rowOff>
    </xdr:from>
    <xdr:to>
      <xdr:col>16</xdr:col>
      <xdr:colOff>483451</xdr:colOff>
      <xdr:row>14</xdr:row>
      <xdr:rowOff>33056</xdr:rowOff>
    </xdr:to>
    <xdr:sp macro="" textlink="$J$44">
      <xdr:nvSpPr>
        <xdr:cNvPr id="51" name="TextBox 50">
          <a:extLst>
            <a:ext uri="{FF2B5EF4-FFF2-40B4-BE49-F238E27FC236}">
              <a16:creationId xmlns:a16="http://schemas.microsoft.com/office/drawing/2014/main" id="{9A4D89AA-4DAE-42E0-9BBE-15B4511A8DB3}"/>
            </a:ext>
          </a:extLst>
        </xdr:cNvPr>
        <xdr:cNvSpPr txBox="1"/>
      </xdr:nvSpPr>
      <xdr:spPr>
        <a:xfrm>
          <a:off x="23101487" y="2674283"/>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11</xdr:col>
      <xdr:colOff>156882</xdr:colOff>
      <xdr:row>10</xdr:row>
      <xdr:rowOff>172010</xdr:rowOff>
    </xdr:from>
    <xdr:to>
      <xdr:col>11</xdr:col>
      <xdr:colOff>1696009</xdr:colOff>
      <xdr:row>12</xdr:row>
      <xdr:rowOff>54907</xdr:rowOff>
    </xdr:to>
    <xdr:sp macro="" textlink="$J$44">
      <xdr:nvSpPr>
        <xdr:cNvPr id="52" name="TextBox 51">
          <a:extLst>
            <a:ext uri="{FF2B5EF4-FFF2-40B4-BE49-F238E27FC236}">
              <a16:creationId xmlns:a16="http://schemas.microsoft.com/office/drawing/2014/main" id="{2291CF9D-F346-4E41-9B29-0357F54411D4}"/>
            </a:ext>
          </a:extLst>
        </xdr:cNvPr>
        <xdr:cNvSpPr txBox="1"/>
      </xdr:nvSpPr>
      <xdr:spPr>
        <a:xfrm>
          <a:off x="20616582"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619125</xdr:colOff>
      <xdr:row>12</xdr:row>
      <xdr:rowOff>73958</xdr:rowOff>
    </xdr:from>
    <xdr:to>
      <xdr:col>10</xdr:col>
      <xdr:colOff>1404658</xdr:colOff>
      <xdr:row>12</xdr:row>
      <xdr:rowOff>73958</xdr:rowOff>
    </xdr:to>
    <xdr:cxnSp macro="">
      <xdr:nvCxnSpPr>
        <xdr:cNvPr id="53" name="Straight Connector 52">
          <a:extLst>
            <a:ext uri="{FF2B5EF4-FFF2-40B4-BE49-F238E27FC236}">
              <a16:creationId xmlns:a16="http://schemas.microsoft.com/office/drawing/2014/main" id="{27F6FC0D-7975-4848-94A7-5DA27AAA09B4}"/>
            </a:ext>
          </a:extLst>
        </xdr:cNvPr>
        <xdr:cNvCxnSpPr/>
      </xdr:nvCxnSpPr>
      <xdr:spPr>
        <a:xfrm>
          <a:off x="14935200" y="2598083"/>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73958</xdr:rowOff>
    </xdr:from>
    <xdr:to>
      <xdr:col>14</xdr:col>
      <xdr:colOff>457200</xdr:colOff>
      <xdr:row>12</xdr:row>
      <xdr:rowOff>73958</xdr:rowOff>
    </xdr:to>
    <xdr:cxnSp macro="">
      <xdr:nvCxnSpPr>
        <xdr:cNvPr id="54" name="Straight Connector 53">
          <a:extLst>
            <a:ext uri="{FF2B5EF4-FFF2-40B4-BE49-F238E27FC236}">
              <a16:creationId xmlns:a16="http://schemas.microsoft.com/office/drawing/2014/main" id="{E47C32BA-7C0F-4B0B-8CB8-BCD57BF802FD}"/>
            </a:ext>
          </a:extLst>
        </xdr:cNvPr>
        <xdr:cNvCxnSpPr/>
      </xdr:nvCxnSpPr>
      <xdr:spPr>
        <a:xfrm>
          <a:off x="20616582" y="2598083"/>
          <a:ext cx="5005668"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619125</xdr:colOff>
      <xdr:row>24</xdr:row>
      <xdr:rowOff>45944</xdr:rowOff>
    </xdr:from>
    <xdr:to>
      <xdr:col>9</xdr:col>
      <xdr:colOff>107577</xdr:colOff>
      <xdr:row>25</xdr:row>
      <xdr:rowOff>127186</xdr:rowOff>
    </xdr:to>
    <xdr:sp macro="" textlink="$J$44">
      <xdr:nvSpPr>
        <xdr:cNvPr id="55" name="TextBox 54">
          <a:extLst>
            <a:ext uri="{FF2B5EF4-FFF2-40B4-BE49-F238E27FC236}">
              <a16:creationId xmlns:a16="http://schemas.microsoft.com/office/drawing/2014/main" id="{C2457FCE-1335-464A-888C-6A753098490A}"/>
            </a:ext>
          </a:extLst>
        </xdr:cNvPr>
        <xdr:cNvSpPr txBox="1"/>
      </xdr:nvSpPr>
      <xdr:spPr>
        <a:xfrm>
          <a:off x="14935200" y="4970369"/>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9</xdr:col>
      <xdr:colOff>989001</xdr:colOff>
      <xdr:row>24</xdr:row>
      <xdr:rowOff>45944</xdr:rowOff>
    </xdr:from>
    <xdr:to>
      <xdr:col>10</xdr:col>
      <xdr:colOff>1518958</xdr:colOff>
      <xdr:row>25</xdr:row>
      <xdr:rowOff>127186</xdr:rowOff>
    </xdr:to>
    <xdr:sp macro="" textlink="$J$44">
      <xdr:nvSpPr>
        <xdr:cNvPr id="56" name="TextBox 55">
          <a:extLst>
            <a:ext uri="{FF2B5EF4-FFF2-40B4-BE49-F238E27FC236}">
              <a16:creationId xmlns:a16="http://schemas.microsoft.com/office/drawing/2014/main" id="{B1549C1D-0B81-4337-863B-59058DBE5144}"/>
            </a:ext>
          </a:extLst>
        </xdr:cNvPr>
        <xdr:cNvSpPr txBox="1"/>
      </xdr:nvSpPr>
      <xdr:spPr>
        <a:xfrm>
          <a:off x="17352951" y="4970369"/>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8</xdr:col>
      <xdr:colOff>619125</xdr:colOff>
      <xdr:row>22</xdr:row>
      <xdr:rowOff>69476</xdr:rowOff>
    </xdr:from>
    <xdr:to>
      <xdr:col>9</xdr:col>
      <xdr:colOff>107577</xdr:colOff>
      <xdr:row>23</xdr:row>
      <xdr:rowOff>149037</xdr:rowOff>
    </xdr:to>
    <xdr:sp macro="" textlink="$J$44">
      <xdr:nvSpPr>
        <xdr:cNvPr id="57" name="TextBox 56">
          <a:extLst>
            <a:ext uri="{FF2B5EF4-FFF2-40B4-BE49-F238E27FC236}">
              <a16:creationId xmlns:a16="http://schemas.microsoft.com/office/drawing/2014/main" id="{FE957AF1-3E34-49B8-8284-5F241DD6754F}"/>
            </a:ext>
          </a:extLst>
        </xdr:cNvPr>
        <xdr:cNvSpPr txBox="1"/>
      </xdr:nvSpPr>
      <xdr:spPr>
        <a:xfrm>
          <a:off x="14935200" y="4593851"/>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8</xdr:col>
      <xdr:colOff>619125</xdr:colOff>
      <xdr:row>16</xdr:row>
      <xdr:rowOff>49306</xdr:rowOff>
    </xdr:from>
    <xdr:ext cx="1657698" cy="254493"/>
    <xdr:sp macro="" textlink="">
      <xdr:nvSpPr>
        <xdr:cNvPr id="58" name="TextBox 57">
          <a:extLst>
            <a:ext uri="{FF2B5EF4-FFF2-40B4-BE49-F238E27FC236}">
              <a16:creationId xmlns:a16="http://schemas.microsoft.com/office/drawing/2014/main" id="{8018A076-4230-44F6-AC4D-B2C611A5CCC6}"/>
            </a:ext>
          </a:extLst>
        </xdr:cNvPr>
        <xdr:cNvSpPr txBox="1"/>
      </xdr:nvSpPr>
      <xdr:spPr>
        <a:xfrm>
          <a:off x="14935200" y="3373531"/>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eggs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8</xdr:col>
      <xdr:colOff>657225</xdr:colOff>
      <xdr:row>20</xdr:row>
      <xdr:rowOff>72277</xdr:rowOff>
    </xdr:from>
    <xdr:to>
      <xdr:col>9</xdr:col>
      <xdr:colOff>798979</xdr:colOff>
      <xdr:row>22</xdr:row>
      <xdr:rowOff>39220</xdr:rowOff>
    </xdr:to>
    <xdr:sp macro="" textlink="">
      <xdr:nvSpPr>
        <xdr:cNvPr id="59" name="TextBox 58">
          <a:extLst>
            <a:ext uri="{FF2B5EF4-FFF2-40B4-BE49-F238E27FC236}">
              <a16:creationId xmlns:a16="http://schemas.microsoft.com/office/drawing/2014/main" id="{B5895CE6-9EFB-401A-84F5-D1D08E220504}"/>
            </a:ext>
          </a:extLst>
        </xdr:cNvPr>
        <xdr:cNvSpPr txBox="1"/>
      </xdr:nvSpPr>
      <xdr:spPr>
        <a:xfrm>
          <a:off x="14973300" y="4196602"/>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8</xdr:col>
      <xdr:colOff>666750</xdr:colOff>
      <xdr:row>22</xdr:row>
      <xdr:rowOff>44768</xdr:rowOff>
    </xdr:from>
    <xdr:to>
      <xdr:col>14</xdr:col>
      <xdr:colOff>495300</xdr:colOff>
      <xdr:row>22</xdr:row>
      <xdr:rowOff>59951</xdr:rowOff>
    </xdr:to>
    <xdr:cxnSp macro="">
      <xdr:nvCxnSpPr>
        <xdr:cNvPr id="60" name="Straight Connector 59">
          <a:extLst>
            <a:ext uri="{FF2B5EF4-FFF2-40B4-BE49-F238E27FC236}">
              <a16:creationId xmlns:a16="http://schemas.microsoft.com/office/drawing/2014/main" id="{31AB1B0E-DA92-4A29-8138-18836AFC625B}"/>
            </a:ext>
          </a:extLst>
        </xdr:cNvPr>
        <xdr:cNvCxnSpPr/>
      </xdr:nvCxnSpPr>
      <xdr:spPr>
        <a:xfrm flipV="1">
          <a:off x="14982825" y="4569143"/>
          <a:ext cx="10677525" cy="15183"/>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24</xdr:row>
      <xdr:rowOff>45944</xdr:rowOff>
    </xdr:from>
    <xdr:to>
      <xdr:col>11</xdr:col>
      <xdr:colOff>1696009</xdr:colOff>
      <xdr:row>25</xdr:row>
      <xdr:rowOff>127186</xdr:rowOff>
    </xdr:to>
    <xdr:sp macro="" textlink="$J$44">
      <xdr:nvSpPr>
        <xdr:cNvPr id="61" name="TextBox 60">
          <a:extLst>
            <a:ext uri="{FF2B5EF4-FFF2-40B4-BE49-F238E27FC236}">
              <a16:creationId xmlns:a16="http://schemas.microsoft.com/office/drawing/2014/main" id="{052C57AD-F5BE-4024-8EFD-5794965A3B59}"/>
            </a:ext>
          </a:extLst>
        </xdr:cNvPr>
        <xdr:cNvSpPr txBox="1"/>
      </xdr:nvSpPr>
      <xdr:spPr>
        <a:xfrm>
          <a:off x="20616582"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11</xdr:col>
      <xdr:colOff>156882</xdr:colOff>
      <xdr:row>22</xdr:row>
      <xdr:rowOff>69476</xdr:rowOff>
    </xdr:from>
    <xdr:to>
      <xdr:col>11</xdr:col>
      <xdr:colOff>1696009</xdr:colOff>
      <xdr:row>23</xdr:row>
      <xdr:rowOff>149037</xdr:rowOff>
    </xdr:to>
    <xdr:sp macro="" textlink="$J$44">
      <xdr:nvSpPr>
        <xdr:cNvPr id="62" name="TextBox 61">
          <a:extLst>
            <a:ext uri="{FF2B5EF4-FFF2-40B4-BE49-F238E27FC236}">
              <a16:creationId xmlns:a16="http://schemas.microsoft.com/office/drawing/2014/main" id="{73118114-86B4-4819-B5D7-9A7877CB1111}"/>
            </a:ext>
          </a:extLst>
        </xdr:cNvPr>
        <xdr:cNvSpPr txBox="1"/>
      </xdr:nvSpPr>
      <xdr:spPr>
        <a:xfrm>
          <a:off x="20616582"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619125</xdr:colOff>
      <xdr:row>23</xdr:row>
      <xdr:rowOff>168088</xdr:rowOff>
    </xdr:from>
    <xdr:to>
      <xdr:col>10</xdr:col>
      <xdr:colOff>1433233</xdr:colOff>
      <xdr:row>23</xdr:row>
      <xdr:rowOff>168088</xdr:rowOff>
    </xdr:to>
    <xdr:cxnSp macro="">
      <xdr:nvCxnSpPr>
        <xdr:cNvPr id="63" name="Straight Connector 62">
          <a:extLst>
            <a:ext uri="{FF2B5EF4-FFF2-40B4-BE49-F238E27FC236}">
              <a16:creationId xmlns:a16="http://schemas.microsoft.com/office/drawing/2014/main" id="{9362D316-208B-47AC-8180-818BAB6A9FF0}"/>
            </a:ext>
          </a:extLst>
        </xdr:cNvPr>
        <xdr:cNvCxnSpPr/>
      </xdr:nvCxnSpPr>
      <xdr:spPr>
        <a:xfrm>
          <a:off x="14935200" y="4892488"/>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23</xdr:row>
      <xdr:rowOff>168088</xdr:rowOff>
    </xdr:from>
    <xdr:to>
      <xdr:col>14</xdr:col>
      <xdr:colOff>514350</xdr:colOff>
      <xdr:row>23</xdr:row>
      <xdr:rowOff>168088</xdr:rowOff>
    </xdr:to>
    <xdr:cxnSp macro="">
      <xdr:nvCxnSpPr>
        <xdr:cNvPr id="64" name="Straight Connector 63">
          <a:extLst>
            <a:ext uri="{FF2B5EF4-FFF2-40B4-BE49-F238E27FC236}">
              <a16:creationId xmlns:a16="http://schemas.microsoft.com/office/drawing/2014/main" id="{410F0CE1-6870-4E52-B057-FDCE7B54B6C7}"/>
            </a:ext>
          </a:extLst>
        </xdr:cNvPr>
        <xdr:cNvCxnSpPr/>
      </xdr:nvCxnSpPr>
      <xdr:spPr>
        <a:xfrm>
          <a:off x="20616582" y="4892488"/>
          <a:ext cx="506281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903754</xdr:colOff>
      <xdr:row>16</xdr:row>
      <xdr:rowOff>49306</xdr:rowOff>
    </xdr:from>
    <xdr:ext cx="1657698" cy="254493"/>
    <xdr:sp macro="" textlink="">
      <xdr:nvSpPr>
        <xdr:cNvPr id="65" name="TextBox 64">
          <a:extLst>
            <a:ext uri="{FF2B5EF4-FFF2-40B4-BE49-F238E27FC236}">
              <a16:creationId xmlns:a16="http://schemas.microsoft.com/office/drawing/2014/main" id="{07851F2D-4B2D-4D89-9AB3-9F6916A260EA}"/>
            </a:ext>
          </a:extLst>
        </xdr:cNvPr>
        <xdr:cNvSpPr txBox="1"/>
      </xdr:nvSpPr>
      <xdr:spPr>
        <a:xfrm>
          <a:off x="17267704" y="3373531"/>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eggs sold </a:t>
          </a:r>
        </a:p>
      </xdr:txBody>
    </xdr:sp>
    <xdr:clientData/>
  </xdr:oneCellAnchor>
  <xdr:oneCellAnchor>
    <xdr:from>
      <xdr:col>11</xdr:col>
      <xdr:colOff>156882</xdr:colOff>
      <xdr:row>16</xdr:row>
      <xdr:rowOff>49306</xdr:rowOff>
    </xdr:from>
    <xdr:ext cx="1657698" cy="254493"/>
    <xdr:sp macro="" textlink="">
      <xdr:nvSpPr>
        <xdr:cNvPr id="66" name="TextBox 65">
          <a:extLst>
            <a:ext uri="{FF2B5EF4-FFF2-40B4-BE49-F238E27FC236}">
              <a16:creationId xmlns:a16="http://schemas.microsoft.com/office/drawing/2014/main" id="{52CEC779-E6E8-4985-B92E-43B55A7D33A1}"/>
            </a:ext>
          </a:extLst>
        </xdr:cNvPr>
        <xdr:cNvSpPr txBox="1"/>
      </xdr:nvSpPr>
      <xdr:spPr>
        <a:xfrm>
          <a:off x="20616582" y="3373531"/>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eggs sold </a:t>
          </a:r>
        </a:p>
      </xdr:txBody>
    </xdr:sp>
    <xdr:clientData/>
  </xdr:oneCellAnchor>
  <xdr:oneCellAnchor>
    <xdr:from>
      <xdr:col>12</xdr:col>
      <xdr:colOff>593912</xdr:colOff>
      <xdr:row>16</xdr:row>
      <xdr:rowOff>49306</xdr:rowOff>
    </xdr:from>
    <xdr:ext cx="1657698" cy="254493"/>
    <xdr:sp macro="" textlink="">
      <xdr:nvSpPr>
        <xdr:cNvPr id="67" name="TextBox 66">
          <a:extLst>
            <a:ext uri="{FF2B5EF4-FFF2-40B4-BE49-F238E27FC236}">
              <a16:creationId xmlns:a16="http://schemas.microsoft.com/office/drawing/2014/main" id="{FAD87E48-EA22-47A6-99BB-D8C013B5CFC9}"/>
            </a:ext>
          </a:extLst>
        </xdr:cNvPr>
        <xdr:cNvSpPr txBox="1"/>
      </xdr:nvSpPr>
      <xdr:spPr>
        <a:xfrm>
          <a:off x="23101487" y="3373531"/>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eggs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8</xdr:col>
      <xdr:colOff>619125</xdr:colOff>
      <xdr:row>28</xdr:row>
      <xdr:rowOff>38660</xdr:rowOff>
    </xdr:from>
    <xdr:ext cx="1657698" cy="254493"/>
    <xdr:sp macro="" textlink="">
      <xdr:nvSpPr>
        <xdr:cNvPr id="68" name="TextBox 67">
          <a:extLst>
            <a:ext uri="{FF2B5EF4-FFF2-40B4-BE49-F238E27FC236}">
              <a16:creationId xmlns:a16="http://schemas.microsoft.com/office/drawing/2014/main" id="{2EAA6F5C-6F7B-40F9-811A-D6E1888403C8}"/>
            </a:ext>
          </a:extLst>
        </xdr:cNvPr>
        <xdr:cNvSpPr txBox="1"/>
      </xdr:nvSpPr>
      <xdr:spPr>
        <a:xfrm>
          <a:off x="14935200" y="5763185"/>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eggs sold </a:t>
          </a:r>
        </a:p>
      </xdr:txBody>
    </xdr:sp>
    <xdr:clientData/>
  </xdr:oneCellAnchor>
  <xdr:oneCellAnchor>
    <xdr:from>
      <xdr:col>9</xdr:col>
      <xdr:colOff>913279</xdr:colOff>
      <xdr:row>28</xdr:row>
      <xdr:rowOff>38660</xdr:rowOff>
    </xdr:from>
    <xdr:ext cx="1657698" cy="254493"/>
    <xdr:sp macro="" textlink="">
      <xdr:nvSpPr>
        <xdr:cNvPr id="69" name="TextBox 68">
          <a:extLst>
            <a:ext uri="{FF2B5EF4-FFF2-40B4-BE49-F238E27FC236}">
              <a16:creationId xmlns:a16="http://schemas.microsoft.com/office/drawing/2014/main" id="{F9068E14-ACE0-4CAD-AECE-0BFE16200958}"/>
            </a:ext>
          </a:extLst>
        </xdr:cNvPr>
        <xdr:cNvSpPr txBox="1"/>
      </xdr:nvSpPr>
      <xdr:spPr>
        <a:xfrm>
          <a:off x="17277229" y="5763185"/>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eggs sold </a:t>
          </a:r>
        </a:p>
      </xdr:txBody>
    </xdr:sp>
    <xdr:clientData/>
  </xdr:oneCellAnchor>
  <xdr:oneCellAnchor>
    <xdr:from>
      <xdr:col>11</xdr:col>
      <xdr:colOff>156882</xdr:colOff>
      <xdr:row>28</xdr:row>
      <xdr:rowOff>38660</xdr:rowOff>
    </xdr:from>
    <xdr:ext cx="1657698" cy="254493"/>
    <xdr:sp macro="" textlink="">
      <xdr:nvSpPr>
        <xdr:cNvPr id="70" name="TextBox 69">
          <a:extLst>
            <a:ext uri="{FF2B5EF4-FFF2-40B4-BE49-F238E27FC236}">
              <a16:creationId xmlns:a16="http://schemas.microsoft.com/office/drawing/2014/main" id="{E7C7D547-8ECA-4F8C-8903-C11288BE087A}"/>
            </a:ext>
          </a:extLst>
        </xdr:cNvPr>
        <xdr:cNvSpPr txBox="1"/>
      </xdr:nvSpPr>
      <xdr:spPr>
        <a:xfrm>
          <a:off x="20616582" y="5763185"/>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eggs</a:t>
          </a:r>
          <a:r>
            <a:rPr lang="en-AU" sz="1000" b="0" i="1" u="none" strike="noStrike" baseline="0">
              <a:solidFill>
                <a:schemeClr val="bg2">
                  <a:lumMod val="50000"/>
                </a:schemeClr>
              </a:solidFill>
              <a:effectLst/>
              <a:latin typeface="+mn-lt"/>
              <a:ea typeface="+mn-ea"/>
              <a:cs typeface="+mn-cs"/>
            </a:rPr>
            <a:t> </a:t>
          </a:r>
          <a:r>
            <a:rPr lang="en-AU" sz="1000" b="0" i="1" u="none" strike="noStrike">
              <a:solidFill>
                <a:schemeClr val="bg2">
                  <a:lumMod val="50000"/>
                </a:schemeClr>
              </a:solidFill>
              <a:effectLst/>
              <a:latin typeface="+mn-lt"/>
              <a:ea typeface="+mn-ea"/>
              <a:cs typeface="+mn-cs"/>
            </a:rPr>
            <a:t>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12</xdr:col>
      <xdr:colOff>660587</xdr:colOff>
      <xdr:row>28</xdr:row>
      <xdr:rowOff>29135</xdr:rowOff>
    </xdr:from>
    <xdr:ext cx="1657698" cy="254493"/>
    <xdr:sp macro="" textlink="">
      <xdr:nvSpPr>
        <xdr:cNvPr id="71" name="TextBox 70">
          <a:extLst>
            <a:ext uri="{FF2B5EF4-FFF2-40B4-BE49-F238E27FC236}">
              <a16:creationId xmlns:a16="http://schemas.microsoft.com/office/drawing/2014/main" id="{D0CF1DF7-7292-4165-8711-509C773EDAE4}"/>
            </a:ext>
          </a:extLst>
        </xdr:cNvPr>
        <xdr:cNvSpPr txBox="1"/>
      </xdr:nvSpPr>
      <xdr:spPr>
        <a:xfrm>
          <a:off x="23168162" y="5753660"/>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eggs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9</xdr:col>
      <xdr:colOff>941854</xdr:colOff>
      <xdr:row>25</xdr:row>
      <xdr:rowOff>155762</xdr:rowOff>
    </xdr:from>
    <xdr:to>
      <xdr:col>10</xdr:col>
      <xdr:colOff>852208</xdr:colOff>
      <xdr:row>28</xdr:row>
      <xdr:rowOff>108696</xdr:rowOff>
    </xdr:to>
    <xdr:sp macro="" textlink="$H$57">
      <xdr:nvSpPr>
        <xdr:cNvPr id="72" name="TextBox 71">
          <a:extLst>
            <a:ext uri="{FF2B5EF4-FFF2-40B4-BE49-F238E27FC236}">
              <a16:creationId xmlns:a16="http://schemas.microsoft.com/office/drawing/2014/main" id="{BE557F85-4062-4FB4-81F7-E131505EA05A}"/>
            </a:ext>
          </a:extLst>
        </xdr:cNvPr>
        <xdr:cNvSpPr txBox="1"/>
      </xdr:nvSpPr>
      <xdr:spPr>
        <a:xfrm>
          <a:off x="17305804" y="5280212"/>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5CA4F8D1-429B-4188-AF17-C4AD268BD823}" type="TxLink">
            <a:rPr lang="en-US" sz="2600" b="1" i="0" u="none" strike="noStrike">
              <a:solidFill>
                <a:srgbClr val="4F4789"/>
              </a:solidFill>
              <a:latin typeface="Arial"/>
              <a:ea typeface="+mn-ea"/>
              <a:cs typeface="Arial"/>
            </a:rPr>
            <a:pPr marL="0" indent="0"/>
            <a:t>9995.220117</a:t>
          </a:fld>
          <a:endParaRPr lang="en-AU" sz="2600" b="1" i="0" u="none" strike="noStrike">
            <a:solidFill>
              <a:srgbClr val="4F4789"/>
            </a:solidFill>
            <a:latin typeface="Arial"/>
            <a:ea typeface="+mn-ea"/>
            <a:cs typeface="Arial"/>
          </a:endParaRPr>
        </a:p>
      </xdr:txBody>
    </xdr:sp>
    <xdr:clientData/>
  </xdr:twoCellAnchor>
  <xdr:twoCellAnchor>
    <xdr:from>
      <xdr:col>12</xdr:col>
      <xdr:colOff>651061</xdr:colOff>
      <xdr:row>25</xdr:row>
      <xdr:rowOff>174812</xdr:rowOff>
    </xdr:from>
    <xdr:to>
      <xdr:col>13</xdr:col>
      <xdr:colOff>558613</xdr:colOff>
      <xdr:row>28</xdr:row>
      <xdr:rowOff>80121</xdr:rowOff>
    </xdr:to>
    <xdr:sp macro="" textlink="$I$57">
      <xdr:nvSpPr>
        <xdr:cNvPr id="73" name="TextBox 72">
          <a:extLst>
            <a:ext uri="{FF2B5EF4-FFF2-40B4-BE49-F238E27FC236}">
              <a16:creationId xmlns:a16="http://schemas.microsoft.com/office/drawing/2014/main" id="{5340FD41-98CA-4985-962A-5C20A0709F81}"/>
            </a:ext>
          </a:extLst>
        </xdr:cNvPr>
        <xdr:cNvSpPr txBox="1"/>
      </xdr:nvSpPr>
      <xdr:spPr>
        <a:xfrm>
          <a:off x="23158636" y="5299262"/>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2ED81DA0-9416-474F-AB3E-B51EE35B43F3}" type="TxLink">
            <a:rPr lang="en-US" sz="2600" b="1" i="0" u="none" strike="noStrike">
              <a:solidFill>
                <a:srgbClr val="4F4789"/>
              </a:solidFill>
              <a:latin typeface="Arial"/>
              <a:ea typeface="+mn-ea"/>
              <a:cs typeface="Arial"/>
            </a:rPr>
            <a:pPr marL="0" indent="0"/>
            <a:t>456665.9564</a:t>
          </a:fld>
          <a:endParaRPr lang="en-AU" sz="2600" b="1" i="0" u="none" strike="noStrike">
            <a:solidFill>
              <a:srgbClr val="4F4789"/>
            </a:solidFill>
            <a:latin typeface="Arial"/>
            <a:ea typeface="+mn-ea"/>
            <a:cs typeface="Arial"/>
          </a:endParaRPr>
        </a:p>
      </xdr:txBody>
    </xdr:sp>
    <xdr:clientData/>
  </xdr:twoCellAnchor>
  <xdr:twoCellAnchor>
    <xdr:from>
      <xdr:col>3</xdr:col>
      <xdr:colOff>1066240</xdr:colOff>
      <xdr:row>5</xdr:row>
      <xdr:rowOff>60512</xdr:rowOff>
    </xdr:from>
    <xdr:to>
      <xdr:col>4</xdr:col>
      <xdr:colOff>1113865</xdr:colOff>
      <xdr:row>7</xdr:row>
      <xdr:rowOff>42583</xdr:rowOff>
    </xdr:to>
    <xdr:sp macro="" textlink="">
      <xdr:nvSpPr>
        <xdr:cNvPr id="74" name="TextBox 73">
          <a:extLst>
            <a:ext uri="{FF2B5EF4-FFF2-40B4-BE49-F238E27FC236}">
              <a16:creationId xmlns:a16="http://schemas.microsoft.com/office/drawing/2014/main" id="{6BD0EE42-F585-4C13-AAF7-12318C248B76}"/>
            </a:ext>
          </a:extLst>
        </xdr:cNvPr>
        <xdr:cNvSpPr txBox="1"/>
      </xdr:nvSpPr>
      <xdr:spPr>
        <a:xfrm>
          <a:off x="3742765" y="1184462"/>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Birds sold</a:t>
          </a:r>
        </a:p>
      </xdr:txBody>
    </xdr:sp>
    <xdr:clientData/>
  </xdr:twoCellAnchor>
  <xdr:twoCellAnchor editAs="oneCell">
    <xdr:from>
      <xdr:col>3</xdr:col>
      <xdr:colOff>113741</xdr:colOff>
      <xdr:row>4</xdr:row>
      <xdr:rowOff>38099</xdr:rowOff>
    </xdr:from>
    <xdr:to>
      <xdr:col>3</xdr:col>
      <xdr:colOff>954995</xdr:colOff>
      <xdr:row>8</xdr:row>
      <xdr:rowOff>31938</xdr:rowOff>
    </xdr:to>
    <xdr:pic>
      <xdr:nvPicPr>
        <xdr:cNvPr id="75" name="Picture 74">
          <a:extLst>
            <a:ext uri="{FF2B5EF4-FFF2-40B4-BE49-F238E27FC236}">
              <a16:creationId xmlns:a16="http://schemas.microsoft.com/office/drawing/2014/main" id="{41686E1C-36A9-46FC-8A08-B5825785946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t="6669" b="6669"/>
        <a:stretch/>
      </xdr:blipFill>
      <xdr:spPr>
        <a:xfrm>
          <a:off x="2790266" y="962024"/>
          <a:ext cx="841254" cy="793939"/>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1669677</xdr:colOff>
      <xdr:row>5</xdr:row>
      <xdr:rowOff>41462</xdr:rowOff>
    </xdr:from>
    <xdr:to>
      <xdr:col>10</xdr:col>
      <xdr:colOff>1080808</xdr:colOff>
      <xdr:row>7</xdr:row>
      <xdr:rowOff>23533</xdr:rowOff>
    </xdr:to>
    <xdr:sp macro="" textlink="">
      <xdr:nvSpPr>
        <xdr:cNvPr id="76" name="TextBox 75">
          <a:extLst>
            <a:ext uri="{FF2B5EF4-FFF2-40B4-BE49-F238E27FC236}">
              <a16:creationId xmlns:a16="http://schemas.microsoft.com/office/drawing/2014/main" id="{73E500E2-B4D1-4864-A07B-FBF77636D6FB}"/>
            </a:ext>
          </a:extLst>
        </xdr:cNvPr>
        <xdr:cNvSpPr txBox="1"/>
      </xdr:nvSpPr>
      <xdr:spPr>
        <a:xfrm>
          <a:off x="15985752" y="1165412"/>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Eggs sold</a:t>
          </a:r>
        </a:p>
      </xdr:txBody>
    </xdr:sp>
    <xdr:clientData/>
  </xdr:twoCellAnchor>
  <xdr:twoCellAnchor editAs="oneCell">
    <xdr:from>
      <xdr:col>8</xdr:col>
      <xdr:colOff>660061</xdr:colOff>
      <xdr:row>4</xdr:row>
      <xdr:rowOff>0</xdr:rowOff>
    </xdr:from>
    <xdr:to>
      <xdr:col>8</xdr:col>
      <xdr:colOff>1587703</xdr:colOff>
      <xdr:row>8</xdr:row>
      <xdr:rowOff>79562</xdr:rowOff>
    </xdr:to>
    <xdr:pic>
      <xdr:nvPicPr>
        <xdr:cNvPr id="77" name="Picture 76">
          <a:extLst>
            <a:ext uri="{FF2B5EF4-FFF2-40B4-BE49-F238E27FC236}">
              <a16:creationId xmlns:a16="http://schemas.microsoft.com/office/drawing/2014/main" id="{6343A88A-2BC3-499D-9EA4-DBB1221D278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5615" r="5615"/>
        <a:stretch/>
      </xdr:blipFill>
      <xdr:spPr>
        <a:xfrm flipH="1">
          <a:off x="14976136" y="923925"/>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938212</xdr:colOff>
      <xdr:row>46</xdr:row>
      <xdr:rowOff>200025</xdr:rowOff>
    </xdr:from>
    <xdr:to>
      <xdr:col>9</xdr:col>
      <xdr:colOff>1443037</xdr:colOff>
      <xdr:row>58</xdr:row>
      <xdr:rowOff>85725</xdr:rowOff>
    </xdr:to>
    <xdr:graphicFrame macro="">
      <xdr:nvGraphicFramePr>
        <xdr:cNvPr id="78" name="Chart 77">
          <a:extLst>
            <a:ext uri="{FF2B5EF4-FFF2-40B4-BE49-F238E27FC236}">
              <a16:creationId xmlns:a16="http://schemas.microsoft.com/office/drawing/2014/main" id="{B75969F5-751C-42DC-8FFF-18B00DECC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133350</xdr:colOff>
      <xdr:row>14</xdr:row>
      <xdr:rowOff>61632</xdr:rowOff>
    </xdr:from>
    <xdr:to>
      <xdr:col>20</xdr:col>
      <xdr:colOff>174252</xdr:colOff>
      <xdr:row>16</xdr:row>
      <xdr:rowOff>135030</xdr:rowOff>
    </xdr:to>
    <xdr:sp macro="" textlink="$H$48">
      <xdr:nvSpPr>
        <xdr:cNvPr id="79" name="TextBox 78">
          <a:extLst>
            <a:ext uri="{FF2B5EF4-FFF2-40B4-BE49-F238E27FC236}">
              <a16:creationId xmlns:a16="http://schemas.microsoft.com/office/drawing/2014/main" id="{855629CC-AB7A-4126-BACA-EC62583055F4}"/>
            </a:ext>
          </a:extLst>
        </xdr:cNvPr>
        <xdr:cNvSpPr txBox="1"/>
      </xdr:nvSpPr>
      <xdr:spPr>
        <a:xfrm>
          <a:off x="27127200" y="2985807"/>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BAAA7CE-3F73-42A7-B887-E644937F7159}" type="TxLink">
            <a:rPr lang="en-US" sz="2600" b="1" i="0" u="none" strike="noStrike">
              <a:solidFill>
                <a:srgbClr val="0C769E"/>
              </a:solidFill>
              <a:latin typeface="Arial"/>
              <a:ea typeface="+mn-ea"/>
              <a:cs typeface="Arial"/>
            </a:rPr>
            <a:pPr marL="0" indent="0"/>
            <a:t>244.5014706</a:t>
          </a:fld>
          <a:endParaRPr lang="en-AU" sz="2600" b="1" i="0" u="none" strike="noStrike">
            <a:solidFill>
              <a:srgbClr val="0C769E"/>
            </a:solidFill>
            <a:latin typeface="Arial"/>
            <a:ea typeface="+mn-ea"/>
            <a:cs typeface="Arial"/>
          </a:endParaRPr>
        </a:p>
      </xdr:txBody>
    </xdr:sp>
    <xdr:clientData/>
  </xdr:twoCellAnchor>
  <xdr:twoCellAnchor>
    <xdr:from>
      <xdr:col>26</xdr:col>
      <xdr:colOff>328332</xdr:colOff>
      <xdr:row>14</xdr:row>
      <xdr:rowOff>33057</xdr:rowOff>
    </xdr:from>
    <xdr:to>
      <xdr:col>29</xdr:col>
      <xdr:colOff>410134</xdr:colOff>
      <xdr:row>16</xdr:row>
      <xdr:rowOff>135030</xdr:rowOff>
    </xdr:to>
    <xdr:sp macro="" textlink="$I$48">
      <xdr:nvSpPr>
        <xdr:cNvPr id="80" name="TextBox 79">
          <a:extLst>
            <a:ext uri="{FF2B5EF4-FFF2-40B4-BE49-F238E27FC236}">
              <a16:creationId xmlns:a16="http://schemas.microsoft.com/office/drawing/2014/main" id="{DC24B842-A820-437C-BC5B-F1C0DB7F632C}"/>
            </a:ext>
          </a:extLst>
        </xdr:cNvPr>
        <xdr:cNvSpPr txBox="1"/>
      </xdr:nvSpPr>
      <xdr:spPr>
        <a:xfrm>
          <a:off x="32808582" y="2957232"/>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266E2BA-6A96-4903-9E52-5C6BCFEF9FF1}" type="TxLink">
            <a:rPr lang="en-US" sz="2600" b="1" i="0" u="none" strike="noStrike">
              <a:solidFill>
                <a:srgbClr val="0C769E"/>
              </a:solidFill>
              <a:latin typeface="Arial"/>
              <a:ea typeface="+mn-ea"/>
              <a:cs typeface="Arial"/>
            </a:rPr>
            <a:pPr marL="0" indent="0"/>
            <a:t>11170.88934</a:t>
          </a:fld>
          <a:endParaRPr lang="en-AU" sz="2600" b="1" i="0" u="none" strike="noStrike">
            <a:solidFill>
              <a:srgbClr val="0C769E"/>
            </a:solidFill>
            <a:latin typeface="Arial"/>
            <a:ea typeface="+mn-ea"/>
            <a:cs typeface="Arial"/>
          </a:endParaRPr>
        </a:p>
      </xdr:txBody>
    </xdr:sp>
    <xdr:clientData/>
  </xdr:twoCellAnchor>
  <xdr:twoCellAnchor>
    <xdr:from>
      <xdr:col>17</xdr:col>
      <xdr:colOff>133350</xdr:colOff>
      <xdr:row>25</xdr:row>
      <xdr:rowOff>146237</xdr:rowOff>
    </xdr:from>
    <xdr:to>
      <xdr:col>20</xdr:col>
      <xdr:colOff>259977</xdr:colOff>
      <xdr:row>28</xdr:row>
      <xdr:rowOff>99171</xdr:rowOff>
    </xdr:to>
    <xdr:sp macro="" textlink="$H$58">
      <xdr:nvSpPr>
        <xdr:cNvPr id="81" name="TextBox 80">
          <a:extLst>
            <a:ext uri="{FF2B5EF4-FFF2-40B4-BE49-F238E27FC236}">
              <a16:creationId xmlns:a16="http://schemas.microsoft.com/office/drawing/2014/main" id="{ED00C6D0-C1F9-45F6-BEEC-C01B4023386E}"/>
            </a:ext>
          </a:extLst>
        </xdr:cNvPr>
        <xdr:cNvSpPr txBox="1"/>
      </xdr:nvSpPr>
      <xdr:spPr>
        <a:xfrm>
          <a:off x="27127200" y="5270687"/>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8F36783-2D83-448C-9BE3-D1653ADA37CE}" type="TxLink">
            <a:rPr lang="en-US" sz="2600" b="1" i="0" u="none" strike="noStrike">
              <a:solidFill>
                <a:srgbClr val="4F4789"/>
              </a:solidFill>
              <a:latin typeface="Arial"/>
              <a:ea typeface="+mn-ea"/>
              <a:cs typeface="Arial"/>
            </a:rPr>
            <a:pPr marL="0" indent="0"/>
            <a:t>24988.05029</a:t>
          </a:fld>
          <a:endParaRPr lang="en-AU" sz="2600" b="1" i="0" u="none" strike="noStrike">
            <a:solidFill>
              <a:srgbClr val="4F4789"/>
            </a:solidFill>
            <a:latin typeface="Arial"/>
            <a:ea typeface="+mn-ea"/>
            <a:cs typeface="Arial"/>
          </a:endParaRPr>
        </a:p>
      </xdr:txBody>
    </xdr:sp>
    <xdr:clientData/>
  </xdr:twoCellAnchor>
  <xdr:twoCellAnchor>
    <xdr:from>
      <xdr:col>26</xdr:col>
      <xdr:colOff>328332</xdr:colOff>
      <xdr:row>25</xdr:row>
      <xdr:rowOff>174812</xdr:rowOff>
    </xdr:from>
    <xdr:to>
      <xdr:col>29</xdr:col>
      <xdr:colOff>476809</xdr:colOff>
      <xdr:row>28</xdr:row>
      <xdr:rowOff>80121</xdr:rowOff>
    </xdr:to>
    <xdr:sp macro="" textlink="$I$58">
      <xdr:nvSpPr>
        <xdr:cNvPr id="82" name="TextBox 81">
          <a:extLst>
            <a:ext uri="{FF2B5EF4-FFF2-40B4-BE49-F238E27FC236}">
              <a16:creationId xmlns:a16="http://schemas.microsoft.com/office/drawing/2014/main" id="{D8B78F67-BCD5-4DF9-84F1-8FDDEE8D333F}"/>
            </a:ext>
          </a:extLst>
        </xdr:cNvPr>
        <xdr:cNvSpPr txBox="1"/>
      </xdr:nvSpPr>
      <xdr:spPr>
        <a:xfrm>
          <a:off x="32808582" y="5299262"/>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792A2EE-0599-40C6-BEC6-FB928C51F2CA}" type="TxLink">
            <a:rPr lang="en-US" sz="2600" b="1" i="0" u="none" strike="noStrike">
              <a:solidFill>
                <a:srgbClr val="4F4789"/>
              </a:solidFill>
              <a:latin typeface="Arial"/>
              <a:ea typeface="+mn-ea"/>
              <a:cs typeface="Arial"/>
            </a:rPr>
            <a:pPr marL="0" indent="0"/>
            <a:t>1141664.891</a:t>
          </a:fld>
          <a:endParaRPr lang="en-AU" sz="2600" b="1" i="0" u="none" strike="noStrike">
            <a:solidFill>
              <a:srgbClr val="4F4789"/>
            </a:solidFill>
            <a:latin typeface="Arial"/>
            <a:ea typeface="+mn-ea"/>
            <a:cs typeface="Arial"/>
          </a:endParaRPr>
        </a:p>
      </xdr:txBody>
    </xdr:sp>
    <xdr:clientData/>
  </xdr:twoCellAnchor>
  <xdr:twoCellAnchor>
    <xdr:from>
      <xdr:col>21</xdr:col>
      <xdr:colOff>27454</xdr:colOff>
      <xdr:row>14</xdr:row>
      <xdr:rowOff>23532</xdr:rowOff>
    </xdr:from>
    <xdr:to>
      <xdr:col>24</xdr:col>
      <xdr:colOff>556933</xdr:colOff>
      <xdr:row>16</xdr:row>
      <xdr:rowOff>135030</xdr:rowOff>
    </xdr:to>
    <xdr:sp macro="" textlink="$H$49">
      <xdr:nvSpPr>
        <xdr:cNvPr id="83" name="TextBox 82">
          <a:extLst>
            <a:ext uri="{FF2B5EF4-FFF2-40B4-BE49-F238E27FC236}">
              <a16:creationId xmlns:a16="http://schemas.microsoft.com/office/drawing/2014/main" id="{FC5AF483-D75F-4D8E-B128-F8247216901F}"/>
            </a:ext>
          </a:extLst>
        </xdr:cNvPr>
        <xdr:cNvSpPr txBox="1"/>
      </xdr:nvSpPr>
      <xdr:spPr>
        <a:xfrm>
          <a:off x="29459704" y="2947707"/>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FBD39D1-A40C-4D41-815F-1614BABEEB25}" type="TxLink">
            <a:rPr lang="en-US" sz="2600" b="1" i="0" u="none" strike="noStrike">
              <a:solidFill>
                <a:srgbClr val="0C769E"/>
              </a:solidFill>
              <a:latin typeface="Arial"/>
              <a:ea typeface="+mn-ea"/>
              <a:cs typeface="Arial"/>
            </a:rPr>
            <a:pPr marL="0" indent="0"/>
            <a:t>244.50147057153</a:t>
          </a:fld>
          <a:endParaRPr lang="en-AU" sz="2600" b="1" i="0" u="none" strike="noStrike">
            <a:solidFill>
              <a:srgbClr val="0C769E"/>
            </a:solidFill>
            <a:latin typeface="Arial"/>
            <a:ea typeface="+mn-ea"/>
            <a:cs typeface="Arial"/>
          </a:endParaRPr>
        </a:p>
      </xdr:txBody>
    </xdr:sp>
    <xdr:clientData/>
  </xdr:twoCellAnchor>
  <xdr:twoCellAnchor>
    <xdr:from>
      <xdr:col>30</xdr:col>
      <xdr:colOff>374837</xdr:colOff>
      <xdr:row>14</xdr:row>
      <xdr:rowOff>52107</xdr:rowOff>
    </xdr:from>
    <xdr:to>
      <xdr:col>33</xdr:col>
      <xdr:colOff>434789</xdr:colOff>
      <xdr:row>16</xdr:row>
      <xdr:rowOff>135030</xdr:rowOff>
    </xdr:to>
    <xdr:sp macro="" textlink="$I$49">
      <xdr:nvSpPr>
        <xdr:cNvPr id="84" name="TextBox 83">
          <a:extLst>
            <a:ext uri="{FF2B5EF4-FFF2-40B4-BE49-F238E27FC236}">
              <a16:creationId xmlns:a16="http://schemas.microsoft.com/office/drawing/2014/main" id="{D0334C0D-09CF-4F36-8922-7C899B6F43D0}"/>
            </a:ext>
          </a:extLst>
        </xdr:cNvPr>
        <xdr:cNvSpPr txBox="1"/>
      </xdr:nvSpPr>
      <xdr:spPr>
        <a:xfrm>
          <a:off x="35293487" y="2976282"/>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8E1D669-5050-474F-B029-B219812AC417}" type="TxLink">
            <a:rPr lang="en-US" sz="2600" b="1" i="0" u="none" strike="noStrike">
              <a:solidFill>
                <a:srgbClr val="0C769E"/>
              </a:solidFill>
              <a:latin typeface="Arial"/>
              <a:ea typeface="+mn-ea"/>
              <a:cs typeface="Arial"/>
            </a:rPr>
            <a:pPr marL="0" indent="0"/>
            <a:t>11170.88934494180</a:t>
          </a:fld>
          <a:endParaRPr lang="en-AU" sz="2600" b="1" i="0" u="none" strike="noStrike">
            <a:solidFill>
              <a:srgbClr val="0C769E"/>
            </a:solidFill>
            <a:latin typeface="Arial"/>
            <a:ea typeface="+mn-ea"/>
            <a:cs typeface="Arial"/>
          </a:endParaRPr>
        </a:p>
      </xdr:txBody>
    </xdr:sp>
    <xdr:clientData/>
  </xdr:twoCellAnchor>
  <xdr:twoCellAnchor>
    <xdr:from>
      <xdr:col>17</xdr:col>
      <xdr:colOff>133350</xdr:colOff>
      <xdr:row>12</xdr:row>
      <xdr:rowOff>140633</xdr:rowOff>
    </xdr:from>
    <xdr:to>
      <xdr:col>19</xdr:col>
      <xdr:colOff>450477</xdr:colOff>
      <xdr:row>14</xdr:row>
      <xdr:rowOff>23531</xdr:rowOff>
    </xdr:to>
    <xdr:sp macro="" textlink="$J$44">
      <xdr:nvSpPr>
        <xdr:cNvPr id="85" name="TextBox 84">
          <a:extLst>
            <a:ext uri="{FF2B5EF4-FFF2-40B4-BE49-F238E27FC236}">
              <a16:creationId xmlns:a16="http://schemas.microsoft.com/office/drawing/2014/main" id="{E0E48C79-E6C9-4C13-B1F3-7AB95D6C8A6A}"/>
            </a:ext>
          </a:extLst>
        </xdr:cNvPr>
        <xdr:cNvSpPr txBox="1"/>
      </xdr:nvSpPr>
      <xdr:spPr>
        <a:xfrm>
          <a:off x="27127200" y="2664758"/>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21</xdr:col>
      <xdr:colOff>27454</xdr:colOff>
      <xdr:row>12</xdr:row>
      <xdr:rowOff>140633</xdr:rowOff>
    </xdr:from>
    <xdr:to>
      <xdr:col>25</xdr:col>
      <xdr:colOff>166886</xdr:colOff>
      <xdr:row>14</xdr:row>
      <xdr:rowOff>23531</xdr:rowOff>
    </xdr:to>
    <xdr:sp macro="" textlink="$J$44">
      <xdr:nvSpPr>
        <xdr:cNvPr id="86" name="TextBox 85">
          <a:extLst>
            <a:ext uri="{FF2B5EF4-FFF2-40B4-BE49-F238E27FC236}">
              <a16:creationId xmlns:a16="http://schemas.microsoft.com/office/drawing/2014/main" id="{D554859E-4871-46C5-8B3B-3EDC73AEA0DB}"/>
            </a:ext>
          </a:extLst>
        </xdr:cNvPr>
        <xdr:cNvSpPr txBox="1"/>
      </xdr:nvSpPr>
      <xdr:spPr>
        <a:xfrm>
          <a:off x="29459704" y="2664758"/>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17</xdr:col>
      <xdr:colOff>133350</xdr:colOff>
      <xdr:row>10</xdr:row>
      <xdr:rowOff>162485</xdr:rowOff>
    </xdr:from>
    <xdr:to>
      <xdr:col>19</xdr:col>
      <xdr:colOff>450477</xdr:colOff>
      <xdr:row>12</xdr:row>
      <xdr:rowOff>45382</xdr:rowOff>
    </xdr:to>
    <xdr:sp macro="" textlink="$J$44">
      <xdr:nvSpPr>
        <xdr:cNvPr id="87" name="TextBox 86">
          <a:extLst>
            <a:ext uri="{FF2B5EF4-FFF2-40B4-BE49-F238E27FC236}">
              <a16:creationId xmlns:a16="http://schemas.microsoft.com/office/drawing/2014/main" id="{CACF04F8-2715-4DF5-BBB0-426CF670A88C}"/>
            </a:ext>
          </a:extLst>
        </xdr:cNvPr>
        <xdr:cNvSpPr txBox="1"/>
      </xdr:nvSpPr>
      <xdr:spPr>
        <a:xfrm>
          <a:off x="27127200" y="2286560"/>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17</xdr:col>
      <xdr:colOff>171450</xdr:colOff>
      <xdr:row>8</xdr:row>
      <xdr:rowOff>165287</xdr:rowOff>
    </xdr:from>
    <xdr:to>
      <xdr:col>20</xdr:col>
      <xdr:colOff>532279</xdr:colOff>
      <xdr:row>10</xdr:row>
      <xdr:rowOff>133910</xdr:rowOff>
    </xdr:to>
    <xdr:sp macro="" textlink="">
      <xdr:nvSpPr>
        <xdr:cNvPr id="88" name="TextBox 87">
          <a:extLst>
            <a:ext uri="{FF2B5EF4-FFF2-40B4-BE49-F238E27FC236}">
              <a16:creationId xmlns:a16="http://schemas.microsoft.com/office/drawing/2014/main" id="{FAEE522E-1CD8-4A51-907D-C7A69DF07D11}"/>
            </a:ext>
          </a:extLst>
        </xdr:cNvPr>
        <xdr:cNvSpPr txBox="1"/>
      </xdr:nvSpPr>
      <xdr:spPr>
        <a:xfrm>
          <a:off x="27165300" y="1889312"/>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17</xdr:col>
      <xdr:colOff>180975</xdr:colOff>
      <xdr:row>10</xdr:row>
      <xdr:rowOff>139375</xdr:rowOff>
    </xdr:from>
    <xdr:to>
      <xdr:col>34</xdr:col>
      <xdr:colOff>447675</xdr:colOff>
      <xdr:row>10</xdr:row>
      <xdr:rowOff>152960</xdr:rowOff>
    </xdr:to>
    <xdr:cxnSp macro="">
      <xdr:nvCxnSpPr>
        <xdr:cNvPr id="89" name="Straight Connector 88">
          <a:extLst>
            <a:ext uri="{FF2B5EF4-FFF2-40B4-BE49-F238E27FC236}">
              <a16:creationId xmlns:a16="http://schemas.microsoft.com/office/drawing/2014/main" id="{A038FE9A-0252-41BC-BD2D-A795440FEFCD}"/>
            </a:ext>
          </a:extLst>
        </xdr:cNvPr>
        <xdr:cNvCxnSpPr/>
      </xdr:nvCxnSpPr>
      <xdr:spPr>
        <a:xfrm flipV="1">
          <a:off x="27174825" y="2263450"/>
          <a:ext cx="10629900" cy="1358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328332</xdr:colOff>
      <xdr:row>12</xdr:row>
      <xdr:rowOff>140633</xdr:rowOff>
    </xdr:from>
    <xdr:to>
      <xdr:col>29</xdr:col>
      <xdr:colOff>38659</xdr:colOff>
      <xdr:row>14</xdr:row>
      <xdr:rowOff>23531</xdr:rowOff>
    </xdr:to>
    <xdr:sp macro="" textlink="$J$44">
      <xdr:nvSpPr>
        <xdr:cNvPr id="90" name="TextBox 89">
          <a:extLst>
            <a:ext uri="{FF2B5EF4-FFF2-40B4-BE49-F238E27FC236}">
              <a16:creationId xmlns:a16="http://schemas.microsoft.com/office/drawing/2014/main" id="{73ADD220-9404-4873-91D2-981E349EE581}"/>
            </a:ext>
          </a:extLst>
        </xdr:cNvPr>
        <xdr:cNvSpPr txBox="1"/>
      </xdr:nvSpPr>
      <xdr:spPr>
        <a:xfrm>
          <a:off x="32808582" y="2664758"/>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26</xdr:col>
      <xdr:colOff>328332</xdr:colOff>
      <xdr:row>10</xdr:row>
      <xdr:rowOff>162485</xdr:rowOff>
    </xdr:from>
    <xdr:to>
      <xdr:col>29</xdr:col>
      <xdr:colOff>38659</xdr:colOff>
      <xdr:row>12</xdr:row>
      <xdr:rowOff>45382</xdr:rowOff>
    </xdr:to>
    <xdr:sp macro="" textlink="$J$44">
      <xdr:nvSpPr>
        <xdr:cNvPr id="91" name="TextBox 90">
          <a:extLst>
            <a:ext uri="{FF2B5EF4-FFF2-40B4-BE49-F238E27FC236}">
              <a16:creationId xmlns:a16="http://schemas.microsoft.com/office/drawing/2014/main" id="{79DFA243-78FF-4220-8C93-6B97C7A32B97}"/>
            </a:ext>
          </a:extLst>
        </xdr:cNvPr>
        <xdr:cNvSpPr txBox="1"/>
      </xdr:nvSpPr>
      <xdr:spPr>
        <a:xfrm>
          <a:off x="32808582" y="2286560"/>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17</xdr:col>
      <xdr:colOff>133350</xdr:colOff>
      <xdr:row>12</xdr:row>
      <xdr:rowOff>64433</xdr:rowOff>
    </xdr:from>
    <xdr:to>
      <xdr:col>25</xdr:col>
      <xdr:colOff>137833</xdr:colOff>
      <xdr:row>12</xdr:row>
      <xdr:rowOff>64433</xdr:rowOff>
    </xdr:to>
    <xdr:cxnSp macro="">
      <xdr:nvCxnSpPr>
        <xdr:cNvPr id="92" name="Straight Connector 91">
          <a:extLst>
            <a:ext uri="{FF2B5EF4-FFF2-40B4-BE49-F238E27FC236}">
              <a16:creationId xmlns:a16="http://schemas.microsoft.com/office/drawing/2014/main" id="{8CA9A504-1EED-4D22-9ED5-BF3394DFE770}"/>
            </a:ext>
          </a:extLst>
        </xdr:cNvPr>
        <xdr:cNvCxnSpPr/>
      </xdr:nvCxnSpPr>
      <xdr:spPr>
        <a:xfrm>
          <a:off x="27127200" y="2588558"/>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328332</xdr:colOff>
      <xdr:row>12</xdr:row>
      <xdr:rowOff>64433</xdr:rowOff>
    </xdr:from>
    <xdr:to>
      <xdr:col>34</xdr:col>
      <xdr:colOff>457200</xdr:colOff>
      <xdr:row>12</xdr:row>
      <xdr:rowOff>64433</xdr:rowOff>
    </xdr:to>
    <xdr:cxnSp macro="">
      <xdr:nvCxnSpPr>
        <xdr:cNvPr id="93" name="Straight Connector 92">
          <a:extLst>
            <a:ext uri="{FF2B5EF4-FFF2-40B4-BE49-F238E27FC236}">
              <a16:creationId xmlns:a16="http://schemas.microsoft.com/office/drawing/2014/main" id="{7B7F5424-2E41-4EFD-A531-17051716C79C}"/>
            </a:ext>
          </a:extLst>
        </xdr:cNvPr>
        <xdr:cNvCxnSpPr/>
      </xdr:nvCxnSpPr>
      <xdr:spPr>
        <a:xfrm>
          <a:off x="32808582" y="2588558"/>
          <a:ext cx="5005668"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133350</xdr:colOff>
      <xdr:row>24</xdr:row>
      <xdr:rowOff>36419</xdr:rowOff>
    </xdr:from>
    <xdr:to>
      <xdr:col>19</xdr:col>
      <xdr:colOff>450477</xdr:colOff>
      <xdr:row>25</xdr:row>
      <xdr:rowOff>117661</xdr:rowOff>
    </xdr:to>
    <xdr:sp macro="" textlink="$J$44">
      <xdr:nvSpPr>
        <xdr:cNvPr id="94" name="TextBox 93">
          <a:extLst>
            <a:ext uri="{FF2B5EF4-FFF2-40B4-BE49-F238E27FC236}">
              <a16:creationId xmlns:a16="http://schemas.microsoft.com/office/drawing/2014/main" id="{A06714D0-BBB7-4BE2-B2D2-44709C6CD61D}"/>
            </a:ext>
          </a:extLst>
        </xdr:cNvPr>
        <xdr:cNvSpPr txBox="1"/>
      </xdr:nvSpPr>
      <xdr:spPr>
        <a:xfrm>
          <a:off x="27127200" y="4960844"/>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21</xdr:col>
      <xdr:colOff>112701</xdr:colOff>
      <xdr:row>24</xdr:row>
      <xdr:rowOff>36419</xdr:rowOff>
    </xdr:from>
    <xdr:to>
      <xdr:col>25</xdr:col>
      <xdr:colOff>252133</xdr:colOff>
      <xdr:row>25</xdr:row>
      <xdr:rowOff>117661</xdr:rowOff>
    </xdr:to>
    <xdr:sp macro="" textlink="$J$44">
      <xdr:nvSpPr>
        <xdr:cNvPr id="95" name="TextBox 94">
          <a:extLst>
            <a:ext uri="{FF2B5EF4-FFF2-40B4-BE49-F238E27FC236}">
              <a16:creationId xmlns:a16="http://schemas.microsoft.com/office/drawing/2014/main" id="{6D3DA5BF-02E7-44AA-8F2B-6762CD6CAC7B}"/>
            </a:ext>
          </a:extLst>
        </xdr:cNvPr>
        <xdr:cNvSpPr txBox="1"/>
      </xdr:nvSpPr>
      <xdr:spPr>
        <a:xfrm>
          <a:off x="29544951" y="4960844"/>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17</xdr:col>
      <xdr:colOff>133350</xdr:colOff>
      <xdr:row>22</xdr:row>
      <xdr:rowOff>59951</xdr:rowOff>
    </xdr:from>
    <xdr:to>
      <xdr:col>19</xdr:col>
      <xdr:colOff>450477</xdr:colOff>
      <xdr:row>23</xdr:row>
      <xdr:rowOff>139512</xdr:rowOff>
    </xdr:to>
    <xdr:sp macro="" textlink="$J$44">
      <xdr:nvSpPr>
        <xdr:cNvPr id="96" name="TextBox 95">
          <a:extLst>
            <a:ext uri="{FF2B5EF4-FFF2-40B4-BE49-F238E27FC236}">
              <a16:creationId xmlns:a16="http://schemas.microsoft.com/office/drawing/2014/main" id="{0C4B6353-0CF4-4FCC-BE7E-AB545026DC3F}"/>
            </a:ext>
          </a:extLst>
        </xdr:cNvPr>
        <xdr:cNvSpPr txBox="1"/>
      </xdr:nvSpPr>
      <xdr:spPr>
        <a:xfrm>
          <a:off x="27127200" y="4584326"/>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17</xdr:col>
      <xdr:colOff>133350</xdr:colOff>
      <xdr:row>16</xdr:row>
      <xdr:rowOff>39781</xdr:rowOff>
    </xdr:from>
    <xdr:ext cx="1830116" cy="254493"/>
    <xdr:sp macro="" textlink="">
      <xdr:nvSpPr>
        <xdr:cNvPr id="97" name="TextBox 96">
          <a:extLst>
            <a:ext uri="{FF2B5EF4-FFF2-40B4-BE49-F238E27FC236}">
              <a16:creationId xmlns:a16="http://schemas.microsoft.com/office/drawing/2014/main" id="{B4723D13-4C58-4CB3-9AE4-455255F55F45}"/>
            </a:ext>
          </a:extLst>
        </xdr:cNvPr>
        <xdr:cNvSpPr txBox="1"/>
      </xdr:nvSpPr>
      <xdr:spPr>
        <a:xfrm>
          <a:off x="27127200" y="3364006"/>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17</xdr:col>
      <xdr:colOff>171450</xdr:colOff>
      <xdr:row>20</xdr:row>
      <xdr:rowOff>62752</xdr:rowOff>
    </xdr:from>
    <xdr:to>
      <xdr:col>20</xdr:col>
      <xdr:colOff>532279</xdr:colOff>
      <xdr:row>22</xdr:row>
      <xdr:rowOff>29695</xdr:rowOff>
    </xdr:to>
    <xdr:sp macro="" textlink="">
      <xdr:nvSpPr>
        <xdr:cNvPr id="98" name="TextBox 97">
          <a:extLst>
            <a:ext uri="{FF2B5EF4-FFF2-40B4-BE49-F238E27FC236}">
              <a16:creationId xmlns:a16="http://schemas.microsoft.com/office/drawing/2014/main" id="{033AADE7-B3D6-48B8-A99A-46C1AF2F9C6F}"/>
            </a:ext>
          </a:extLst>
        </xdr:cNvPr>
        <xdr:cNvSpPr txBox="1"/>
      </xdr:nvSpPr>
      <xdr:spPr>
        <a:xfrm>
          <a:off x="27165300" y="4187077"/>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17</xdr:col>
      <xdr:colOff>180975</xdr:colOff>
      <xdr:row>22</xdr:row>
      <xdr:rowOff>35243</xdr:rowOff>
    </xdr:from>
    <xdr:to>
      <xdr:col>34</xdr:col>
      <xdr:colOff>495300</xdr:colOff>
      <xdr:row>22</xdr:row>
      <xdr:rowOff>50426</xdr:rowOff>
    </xdr:to>
    <xdr:cxnSp macro="">
      <xdr:nvCxnSpPr>
        <xdr:cNvPr id="99" name="Straight Connector 98">
          <a:extLst>
            <a:ext uri="{FF2B5EF4-FFF2-40B4-BE49-F238E27FC236}">
              <a16:creationId xmlns:a16="http://schemas.microsoft.com/office/drawing/2014/main" id="{4E323620-102F-417B-99C3-DAE0A5190682}"/>
            </a:ext>
          </a:extLst>
        </xdr:cNvPr>
        <xdr:cNvCxnSpPr/>
      </xdr:nvCxnSpPr>
      <xdr:spPr>
        <a:xfrm flipV="1">
          <a:off x="27174825" y="4559618"/>
          <a:ext cx="10677525" cy="15183"/>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328332</xdr:colOff>
      <xdr:row>24</xdr:row>
      <xdr:rowOff>36419</xdr:rowOff>
    </xdr:from>
    <xdr:to>
      <xdr:col>29</xdr:col>
      <xdr:colOff>38659</xdr:colOff>
      <xdr:row>25</xdr:row>
      <xdr:rowOff>117661</xdr:rowOff>
    </xdr:to>
    <xdr:sp macro="" textlink="$J$44">
      <xdr:nvSpPr>
        <xdr:cNvPr id="100" name="TextBox 99">
          <a:extLst>
            <a:ext uri="{FF2B5EF4-FFF2-40B4-BE49-F238E27FC236}">
              <a16:creationId xmlns:a16="http://schemas.microsoft.com/office/drawing/2014/main" id="{9A97F318-624A-4671-A99C-8E5FF1C7B63D}"/>
            </a:ext>
          </a:extLst>
        </xdr:cNvPr>
        <xdr:cNvSpPr txBox="1"/>
      </xdr:nvSpPr>
      <xdr:spPr>
        <a:xfrm>
          <a:off x="32808582" y="4960844"/>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26</xdr:col>
      <xdr:colOff>328332</xdr:colOff>
      <xdr:row>22</xdr:row>
      <xdr:rowOff>59951</xdr:rowOff>
    </xdr:from>
    <xdr:to>
      <xdr:col>29</xdr:col>
      <xdr:colOff>38659</xdr:colOff>
      <xdr:row>23</xdr:row>
      <xdr:rowOff>139512</xdr:rowOff>
    </xdr:to>
    <xdr:sp macro="" textlink="$J$44">
      <xdr:nvSpPr>
        <xdr:cNvPr id="101" name="TextBox 100">
          <a:extLst>
            <a:ext uri="{FF2B5EF4-FFF2-40B4-BE49-F238E27FC236}">
              <a16:creationId xmlns:a16="http://schemas.microsoft.com/office/drawing/2014/main" id="{6FA79D7D-83B4-4867-9624-5081298C2E00}"/>
            </a:ext>
          </a:extLst>
        </xdr:cNvPr>
        <xdr:cNvSpPr txBox="1"/>
      </xdr:nvSpPr>
      <xdr:spPr>
        <a:xfrm>
          <a:off x="32808582" y="4584326"/>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17</xdr:col>
      <xdr:colOff>133350</xdr:colOff>
      <xdr:row>23</xdr:row>
      <xdr:rowOff>158563</xdr:rowOff>
    </xdr:from>
    <xdr:to>
      <xdr:col>25</xdr:col>
      <xdr:colOff>166408</xdr:colOff>
      <xdr:row>23</xdr:row>
      <xdr:rowOff>158563</xdr:rowOff>
    </xdr:to>
    <xdr:cxnSp macro="">
      <xdr:nvCxnSpPr>
        <xdr:cNvPr id="102" name="Straight Connector 101">
          <a:extLst>
            <a:ext uri="{FF2B5EF4-FFF2-40B4-BE49-F238E27FC236}">
              <a16:creationId xmlns:a16="http://schemas.microsoft.com/office/drawing/2014/main" id="{8940BF8F-EF91-4E95-ADC1-DC0753C8AB25}"/>
            </a:ext>
          </a:extLst>
        </xdr:cNvPr>
        <xdr:cNvCxnSpPr/>
      </xdr:nvCxnSpPr>
      <xdr:spPr>
        <a:xfrm>
          <a:off x="27127200" y="4882963"/>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328332</xdr:colOff>
      <xdr:row>23</xdr:row>
      <xdr:rowOff>158563</xdr:rowOff>
    </xdr:from>
    <xdr:to>
      <xdr:col>34</xdr:col>
      <xdr:colOff>514350</xdr:colOff>
      <xdr:row>23</xdr:row>
      <xdr:rowOff>158563</xdr:rowOff>
    </xdr:to>
    <xdr:cxnSp macro="">
      <xdr:nvCxnSpPr>
        <xdr:cNvPr id="103" name="Straight Connector 102">
          <a:extLst>
            <a:ext uri="{FF2B5EF4-FFF2-40B4-BE49-F238E27FC236}">
              <a16:creationId xmlns:a16="http://schemas.microsoft.com/office/drawing/2014/main" id="{EA41BE58-9981-4BD2-BC88-4A5F65E36D24}"/>
            </a:ext>
          </a:extLst>
        </xdr:cNvPr>
        <xdr:cNvCxnSpPr/>
      </xdr:nvCxnSpPr>
      <xdr:spPr>
        <a:xfrm>
          <a:off x="32808582" y="4882963"/>
          <a:ext cx="506281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21</xdr:col>
      <xdr:colOff>27454</xdr:colOff>
      <xdr:row>16</xdr:row>
      <xdr:rowOff>39781</xdr:rowOff>
    </xdr:from>
    <xdr:ext cx="1830116" cy="254493"/>
    <xdr:sp macro="" textlink="">
      <xdr:nvSpPr>
        <xdr:cNvPr id="104" name="TextBox 103">
          <a:extLst>
            <a:ext uri="{FF2B5EF4-FFF2-40B4-BE49-F238E27FC236}">
              <a16:creationId xmlns:a16="http://schemas.microsoft.com/office/drawing/2014/main" id="{1F00E05B-D1AC-46EA-88D3-8F656FD5F546}"/>
            </a:ext>
          </a:extLst>
        </xdr:cNvPr>
        <xdr:cNvSpPr txBox="1"/>
      </xdr:nvSpPr>
      <xdr:spPr>
        <a:xfrm>
          <a:off x="29459704" y="3364006"/>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26</xdr:col>
      <xdr:colOff>328332</xdr:colOff>
      <xdr:row>16</xdr:row>
      <xdr:rowOff>39781</xdr:rowOff>
    </xdr:from>
    <xdr:ext cx="1830116" cy="254493"/>
    <xdr:sp macro="" textlink="">
      <xdr:nvSpPr>
        <xdr:cNvPr id="105" name="TextBox 104">
          <a:extLst>
            <a:ext uri="{FF2B5EF4-FFF2-40B4-BE49-F238E27FC236}">
              <a16:creationId xmlns:a16="http://schemas.microsoft.com/office/drawing/2014/main" id="{A06EAEAA-2DAF-4102-8838-C5870253A7F8}"/>
            </a:ext>
          </a:extLst>
        </xdr:cNvPr>
        <xdr:cNvSpPr txBox="1"/>
      </xdr:nvSpPr>
      <xdr:spPr>
        <a:xfrm>
          <a:off x="32808582" y="3364006"/>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30</xdr:col>
      <xdr:colOff>374837</xdr:colOff>
      <xdr:row>16</xdr:row>
      <xdr:rowOff>39781</xdr:rowOff>
    </xdr:from>
    <xdr:ext cx="1830116" cy="254493"/>
    <xdr:sp macro="" textlink="">
      <xdr:nvSpPr>
        <xdr:cNvPr id="106" name="TextBox 105">
          <a:extLst>
            <a:ext uri="{FF2B5EF4-FFF2-40B4-BE49-F238E27FC236}">
              <a16:creationId xmlns:a16="http://schemas.microsoft.com/office/drawing/2014/main" id="{A0F66C15-F36A-492E-BB1B-9F3D493B98B9}"/>
            </a:ext>
          </a:extLst>
        </xdr:cNvPr>
        <xdr:cNvSpPr txBox="1"/>
      </xdr:nvSpPr>
      <xdr:spPr>
        <a:xfrm>
          <a:off x="35293487" y="3364006"/>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17</xdr:col>
      <xdr:colOff>133350</xdr:colOff>
      <xdr:row>28</xdr:row>
      <xdr:rowOff>29135</xdr:rowOff>
    </xdr:from>
    <xdr:ext cx="1830116" cy="254493"/>
    <xdr:sp macro="" textlink="">
      <xdr:nvSpPr>
        <xdr:cNvPr id="107" name="TextBox 106">
          <a:extLst>
            <a:ext uri="{FF2B5EF4-FFF2-40B4-BE49-F238E27FC236}">
              <a16:creationId xmlns:a16="http://schemas.microsoft.com/office/drawing/2014/main" id="{D5EFED6F-51D7-456F-8BDB-E6AE63DBED6E}"/>
            </a:ext>
          </a:extLst>
        </xdr:cNvPr>
        <xdr:cNvSpPr txBox="1"/>
      </xdr:nvSpPr>
      <xdr:spPr>
        <a:xfrm>
          <a:off x="27127200" y="5753660"/>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21</xdr:col>
      <xdr:colOff>36979</xdr:colOff>
      <xdr:row>28</xdr:row>
      <xdr:rowOff>29135</xdr:rowOff>
    </xdr:from>
    <xdr:ext cx="1830116" cy="254493"/>
    <xdr:sp macro="" textlink="">
      <xdr:nvSpPr>
        <xdr:cNvPr id="108" name="TextBox 107">
          <a:extLst>
            <a:ext uri="{FF2B5EF4-FFF2-40B4-BE49-F238E27FC236}">
              <a16:creationId xmlns:a16="http://schemas.microsoft.com/office/drawing/2014/main" id="{8BC081B4-F564-4CFA-AACD-90F7A3418417}"/>
            </a:ext>
          </a:extLst>
        </xdr:cNvPr>
        <xdr:cNvSpPr txBox="1"/>
      </xdr:nvSpPr>
      <xdr:spPr>
        <a:xfrm>
          <a:off x="29469229" y="5753660"/>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26</xdr:col>
      <xdr:colOff>328332</xdr:colOff>
      <xdr:row>28</xdr:row>
      <xdr:rowOff>29135</xdr:rowOff>
    </xdr:from>
    <xdr:ext cx="1830116" cy="254493"/>
    <xdr:sp macro="" textlink="">
      <xdr:nvSpPr>
        <xdr:cNvPr id="109" name="TextBox 108">
          <a:extLst>
            <a:ext uri="{FF2B5EF4-FFF2-40B4-BE49-F238E27FC236}">
              <a16:creationId xmlns:a16="http://schemas.microsoft.com/office/drawing/2014/main" id="{7CC4D452-6B1F-46FB-BAF3-56F31547FF48}"/>
            </a:ext>
          </a:extLst>
        </xdr:cNvPr>
        <xdr:cNvSpPr txBox="1"/>
      </xdr:nvSpPr>
      <xdr:spPr>
        <a:xfrm>
          <a:off x="32808582" y="5753660"/>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a:t>
          </a:r>
          <a:r>
            <a:rPr lang="en-AU" sz="1000" b="0" i="1" u="none" strike="noStrike" baseline="0">
              <a:solidFill>
                <a:schemeClr val="bg2">
                  <a:lumMod val="50000"/>
                </a:schemeClr>
              </a:solidFill>
              <a:effectLst/>
              <a:latin typeface="+mn-lt"/>
              <a:ea typeface="+mn-ea"/>
              <a:cs typeface="+mn-cs"/>
            </a:rPr>
            <a:t> </a:t>
          </a:r>
          <a:r>
            <a:rPr lang="en-AU" sz="1000" b="0" i="1" u="none" strike="noStrike">
              <a:solidFill>
                <a:schemeClr val="bg2">
                  <a:lumMod val="50000"/>
                </a:schemeClr>
              </a:solidFill>
              <a:effectLst/>
              <a:latin typeface="+mn-lt"/>
              <a:ea typeface="+mn-ea"/>
              <a:cs typeface="+mn-cs"/>
            </a:rPr>
            <a:t>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30</xdr:col>
      <xdr:colOff>441512</xdr:colOff>
      <xdr:row>28</xdr:row>
      <xdr:rowOff>19610</xdr:rowOff>
    </xdr:from>
    <xdr:ext cx="1830116" cy="254493"/>
    <xdr:sp macro="" textlink="">
      <xdr:nvSpPr>
        <xdr:cNvPr id="110" name="TextBox 109">
          <a:extLst>
            <a:ext uri="{FF2B5EF4-FFF2-40B4-BE49-F238E27FC236}">
              <a16:creationId xmlns:a16="http://schemas.microsoft.com/office/drawing/2014/main" id="{9DD993E1-1813-4861-9BC8-2BA52DC4E979}"/>
            </a:ext>
          </a:extLst>
        </xdr:cNvPr>
        <xdr:cNvSpPr txBox="1"/>
      </xdr:nvSpPr>
      <xdr:spPr>
        <a:xfrm>
          <a:off x="35360162" y="5744135"/>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21</xdr:col>
      <xdr:colOff>65554</xdr:colOff>
      <xdr:row>25</xdr:row>
      <xdr:rowOff>146237</xdr:rowOff>
    </xdr:from>
    <xdr:to>
      <xdr:col>24</xdr:col>
      <xdr:colOff>194983</xdr:colOff>
      <xdr:row>28</xdr:row>
      <xdr:rowOff>99171</xdr:rowOff>
    </xdr:to>
    <xdr:sp macro="" textlink="$H$59">
      <xdr:nvSpPr>
        <xdr:cNvPr id="111" name="TextBox 110">
          <a:extLst>
            <a:ext uri="{FF2B5EF4-FFF2-40B4-BE49-F238E27FC236}">
              <a16:creationId xmlns:a16="http://schemas.microsoft.com/office/drawing/2014/main" id="{4EE8E91D-37A1-4E47-96B0-13A279A424BB}"/>
            </a:ext>
          </a:extLst>
        </xdr:cNvPr>
        <xdr:cNvSpPr txBox="1"/>
      </xdr:nvSpPr>
      <xdr:spPr>
        <a:xfrm>
          <a:off x="29497804" y="5270687"/>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B945A79A-D657-45FF-8794-B3F7FE79A7B2}" type="TxLink">
            <a:rPr lang="en-US" sz="2600" b="1" i="0" u="none" strike="noStrike">
              <a:solidFill>
                <a:srgbClr val="4F4789"/>
              </a:solidFill>
              <a:latin typeface="Arial"/>
              <a:ea typeface="+mn-ea"/>
              <a:cs typeface="Arial"/>
            </a:rPr>
            <a:pPr marL="0" indent="0"/>
            <a:t>24988.05029</a:t>
          </a:fld>
          <a:endParaRPr lang="en-AU" sz="2600" b="1" i="0" u="none" strike="noStrike">
            <a:solidFill>
              <a:srgbClr val="4F4789"/>
            </a:solidFill>
            <a:latin typeface="Arial"/>
            <a:ea typeface="+mn-ea"/>
            <a:cs typeface="Arial"/>
          </a:endParaRPr>
        </a:p>
      </xdr:txBody>
    </xdr:sp>
    <xdr:clientData/>
  </xdr:twoCellAnchor>
  <xdr:twoCellAnchor>
    <xdr:from>
      <xdr:col>30</xdr:col>
      <xdr:colOff>431986</xdr:colOff>
      <xdr:row>25</xdr:row>
      <xdr:rowOff>165287</xdr:rowOff>
    </xdr:from>
    <xdr:to>
      <xdr:col>33</xdr:col>
      <xdr:colOff>558613</xdr:colOff>
      <xdr:row>28</xdr:row>
      <xdr:rowOff>70596</xdr:rowOff>
    </xdr:to>
    <xdr:sp macro="" textlink="$I$59">
      <xdr:nvSpPr>
        <xdr:cNvPr id="112" name="TextBox 111">
          <a:extLst>
            <a:ext uri="{FF2B5EF4-FFF2-40B4-BE49-F238E27FC236}">
              <a16:creationId xmlns:a16="http://schemas.microsoft.com/office/drawing/2014/main" id="{58530D12-782E-4744-92A5-31CF5B563E70}"/>
            </a:ext>
          </a:extLst>
        </xdr:cNvPr>
        <xdr:cNvSpPr txBox="1"/>
      </xdr:nvSpPr>
      <xdr:spPr>
        <a:xfrm>
          <a:off x="35350636" y="5289737"/>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0887E06-5564-4610-905A-7D5E4A0E50F4}" type="TxLink">
            <a:rPr lang="en-US" sz="2600" b="1" i="0" u="none" strike="noStrike">
              <a:solidFill>
                <a:srgbClr val="4F4789"/>
              </a:solidFill>
              <a:latin typeface="Arial"/>
              <a:ea typeface="+mn-ea"/>
              <a:cs typeface="Arial"/>
            </a:rPr>
            <a:pPr marL="0" indent="0"/>
            <a:t>1141664.891</a:t>
          </a:fld>
          <a:endParaRPr lang="en-AU" sz="2600" b="1" i="0" u="none" strike="noStrike">
            <a:solidFill>
              <a:srgbClr val="4F4789"/>
            </a:solidFill>
            <a:latin typeface="Arial"/>
            <a:ea typeface="+mn-ea"/>
            <a:cs typeface="Arial"/>
          </a:endParaRPr>
        </a:p>
      </xdr:txBody>
    </xdr:sp>
    <xdr:clientData/>
  </xdr:twoCellAnchor>
  <xdr:twoCellAnchor>
    <xdr:from>
      <xdr:col>18</xdr:col>
      <xdr:colOff>574302</xdr:colOff>
      <xdr:row>5</xdr:row>
      <xdr:rowOff>31937</xdr:rowOff>
    </xdr:from>
    <xdr:to>
      <xdr:col>24</xdr:col>
      <xdr:colOff>423583</xdr:colOff>
      <xdr:row>7</xdr:row>
      <xdr:rowOff>14008</xdr:rowOff>
    </xdr:to>
    <xdr:sp macro="" textlink="">
      <xdr:nvSpPr>
        <xdr:cNvPr id="113" name="TextBox 112">
          <a:extLst>
            <a:ext uri="{FF2B5EF4-FFF2-40B4-BE49-F238E27FC236}">
              <a16:creationId xmlns:a16="http://schemas.microsoft.com/office/drawing/2014/main" id="{521AADB7-725E-4A7C-89A5-FA70A472B80F}"/>
            </a:ext>
          </a:extLst>
        </xdr:cNvPr>
        <xdr:cNvSpPr txBox="1"/>
      </xdr:nvSpPr>
      <xdr:spPr>
        <a:xfrm>
          <a:off x="28177752" y="1155887"/>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Manure sold</a:t>
          </a:r>
        </a:p>
      </xdr:txBody>
    </xdr:sp>
    <xdr:clientData/>
  </xdr:twoCellAnchor>
  <xdr:twoCellAnchor editAs="oneCell">
    <xdr:from>
      <xdr:col>17</xdr:col>
      <xdr:colOff>174286</xdr:colOff>
      <xdr:row>3</xdr:row>
      <xdr:rowOff>190500</xdr:rowOff>
    </xdr:from>
    <xdr:to>
      <xdr:col>18</xdr:col>
      <xdr:colOff>492328</xdr:colOff>
      <xdr:row>8</xdr:row>
      <xdr:rowOff>70037</xdr:rowOff>
    </xdr:to>
    <xdr:pic>
      <xdr:nvPicPr>
        <xdr:cNvPr id="114" name="Picture 113">
          <a:extLst>
            <a:ext uri="{FF2B5EF4-FFF2-40B4-BE49-F238E27FC236}">
              <a16:creationId xmlns:a16="http://schemas.microsoft.com/office/drawing/2014/main" id="{8167B957-8EE3-4320-A307-70EDFFC3130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7481" r="7481"/>
        <a:stretch/>
      </xdr:blipFill>
      <xdr:spPr>
        <a:xfrm flipH="1">
          <a:off x="27168136" y="914400"/>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7</xdr:row>
      <xdr:rowOff>133350</xdr:rowOff>
    </xdr:from>
    <xdr:ext cx="2264338"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6E06E55-01C5-47CC-BBCA-4CC479C19C66}"/>
                </a:ext>
              </a:extLst>
            </xdr:cNvPr>
            <xdr:cNvSpPr txBox="1"/>
          </xdr:nvSpPr>
          <xdr:spPr>
            <a:xfrm>
              <a:off x="2690812" y="2000250"/>
              <a:ext cx="2264338"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𝐷𝑀</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m:t>
                            </m:r>
                          </m:sub>
                        </m:sSub>
                      </m:e>
                    </m:d>
                  </m:oMath>
                </m:oMathPara>
              </a14:m>
              <a:endParaRPr lang="en-AU" sz="1000"/>
            </a:p>
          </xdr:txBody>
        </xdr:sp>
      </mc:Choice>
      <mc:Fallback xmlns="">
        <xdr:sp macro="" textlink="">
          <xdr:nvSpPr>
            <xdr:cNvPr id="2" name="TextBox 1">
              <a:extLst>
                <a:ext uri="{FF2B5EF4-FFF2-40B4-BE49-F238E27FC236}">
                  <a16:creationId xmlns:a16="http://schemas.microsoft.com/office/drawing/2014/main" id="{56E06E55-01C5-47CC-BBCA-4CC479C19C66}"/>
                </a:ext>
              </a:extLst>
            </xdr:cNvPr>
            <xdr:cNvSpPr txBox="1"/>
          </xdr:nvSpPr>
          <xdr:spPr>
            <a:xfrm>
              <a:off x="2690812" y="2000250"/>
              <a:ext cx="2264338"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𝑉𝑆_𝑗𝑘=𝐼_𝑗𝑘×(1−𝐷𝑀𝐷_𝑗𝑘 )×(1−𝐴_𝑗 )</a:t>
              </a:r>
              <a:endParaRPr lang="en-AU" sz="1000"/>
            </a:p>
          </xdr:txBody>
        </xdr:sp>
      </mc:Fallback>
    </mc:AlternateContent>
    <xdr:clientData/>
  </xdr:oneCellAnchor>
  <xdr:oneCellAnchor>
    <xdr:from>
      <xdr:col>3</xdr:col>
      <xdr:colOff>4762</xdr:colOff>
      <xdr:row>44</xdr:row>
      <xdr:rowOff>133350</xdr:rowOff>
    </xdr:from>
    <xdr:ext cx="3038011"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A07DA38-5851-42F9-B8AE-B29CF744F48D}"/>
                </a:ext>
              </a:extLst>
            </xdr:cNvPr>
            <xdr:cNvSpPr txBox="1"/>
          </xdr:nvSpPr>
          <xdr:spPr>
            <a:xfrm>
              <a:off x="2681287" y="11163300"/>
              <a:ext cx="303801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𝑗𝑘</m:t>
                        </m:r>
                      </m:sub>
                    </m:sSub>
                    <m:r>
                      <a:rPr lang="en-AU" sz="1000" i="1">
                        <a:latin typeface="Cambria Math" panose="02040503050406030204" pitchFamily="18" charset="0"/>
                      </a:rPr>
                      <m:t>×</m:t>
                    </m:r>
                    <m:r>
                      <a:rPr lang="en-AU" sz="1000" i="1">
                        <a:latin typeface="Cambria Math" panose="02040503050406030204" pitchFamily="18" charset="0"/>
                      </a:rPr>
                      <m:t>𝐵</m:t>
                    </m:r>
                    <m:sSub>
                      <m:sSubPr>
                        <m:ctrlPr>
                          <a:rPr lang="en-AU" sz="1000" i="1">
                            <a:latin typeface="Cambria Math" panose="02040503050406030204" pitchFamily="18" charset="0"/>
                          </a:rPr>
                        </m:ctrlPr>
                      </m:sSubPr>
                      <m:e>
                        <m:r>
                          <a:rPr lang="en-AU" sz="1000" i="1">
                            <a:latin typeface="Cambria Math" panose="02040503050406030204" pitchFamily="18" charset="0"/>
                          </a:rPr>
                          <m:t>𝑂</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𝑀𝐶</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𝑖𝑚</m:t>
                        </m:r>
                      </m:sub>
                    </m:sSub>
                    <m:r>
                      <a:rPr lang="en-AU" sz="1000" i="1">
                        <a:latin typeface="Cambria Math" panose="02040503050406030204" pitchFamily="18" charset="0"/>
                      </a:rPr>
                      <m:t>×</m:t>
                    </m:r>
                    <m:r>
                      <a:rPr lang="en-AU" sz="1000" i="1">
                        <a:latin typeface="Cambria Math" panose="02040503050406030204" pitchFamily="18" charset="0"/>
                      </a:rPr>
                      <m:t>𝜌</m:t>
                    </m:r>
                  </m:oMath>
                </m:oMathPara>
              </a14:m>
              <a:endParaRPr lang="en-AU" sz="1000"/>
            </a:p>
          </xdr:txBody>
        </xdr:sp>
      </mc:Choice>
      <mc:Fallback xmlns="">
        <xdr:sp macro="" textlink="">
          <xdr:nvSpPr>
            <xdr:cNvPr id="3" name="TextBox 2">
              <a:extLst>
                <a:ext uri="{FF2B5EF4-FFF2-40B4-BE49-F238E27FC236}">
                  <a16:creationId xmlns:a16="http://schemas.microsoft.com/office/drawing/2014/main" id="{0A07DA38-5851-42F9-B8AE-B29CF744F48D}"/>
                </a:ext>
              </a:extLst>
            </xdr:cNvPr>
            <xdr:cNvSpPr txBox="1"/>
          </xdr:nvSpPr>
          <xdr:spPr>
            <a:xfrm>
              <a:off x="2681287" y="11163300"/>
              <a:ext cx="303801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𝑀_(𝑗𝑘𝑚𝑇=1)=𝑉𝑆_𝑗𝑘×𝐵𝑂_𝑗×𝑀𝑀𝑆_(𝑗𝑚𝑇=1)×𝑀𝐶𝐹_𝑖𝑚×𝜌</a:t>
              </a:r>
              <a:endParaRPr lang="en-AU" sz="1000"/>
            </a:p>
          </xdr:txBody>
        </xdr:sp>
      </mc:Fallback>
    </mc:AlternateContent>
    <xdr:clientData/>
  </xdr:oneCellAnchor>
  <xdr:oneCellAnchor>
    <xdr:from>
      <xdr:col>3</xdr:col>
      <xdr:colOff>23812</xdr:colOff>
      <xdr:row>95</xdr:row>
      <xdr:rowOff>142875</xdr:rowOff>
    </xdr:from>
    <xdr:ext cx="2713179"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BAAE1E61-1D12-4FA6-BF48-543961857CEA}"/>
                </a:ext>
              </a:extLst>
            </xdr:cNvPr>
            <xdr:cNvSpPr txBox="1"/>
          </xdr:nvSpPr>
          <xdr:spPr>
            <a:xfrm>
              <a:off x="2700337" y="23802975"/>
              <a:ext cx="271317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𝑉𝑆</m:t>
                    </m:r>
                    <m:sSub>
                      <m:sSubPr>
                        <m:ctrlPr>
                          <a:rPr lang="en-AU" sz="1000" i="1">
                            <a:latin typeface="Cambria Math" panose="02040503050406030204" pitchFamily="18" charset="0"/>
                          </a:rPr>
                        </m:ctrlPr>
                      </m:sSubPr>
                      <m:e>
                        <m:r>
                          <a:rPr lang="en-AU" sz="1000" i="1">
                            <a:latin typeface="Cambria Math" panose="02040503050406030204" pitchFamily="18" charset="0"/>
                          </a:rPr>
                          <m:t>𝑇</m:t>
                        </m:r>
                      </m:e>
                      <m:sub>
                        <m:r>
                          <a:rPr lang="en-AU" sz="1000" i="1">
                            <a:latin typeface="Cambria Math" panose="02040503050406030204" pitchFamily="18" charset="0"/>
                          </a:rPr>
                          <m:t>𝑗𝑘</m:t>
                        </m:r>
                      </m:sub>
                    </m:sSub>
                    <m:r>
                      <a:rPr lang="en-AU" sz="1000" i="1">
                        <a:latin typeface="Cambria Math" panose="02040503050406030204" pitchFamily="18" charset="0"/>
                      </a:rPr>
                      <m:t>=</m:t>
                    </m:r>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𝑗𝑘</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𝑗𝑚𝑇</m:t>
                        </m:r>
                        <m:r>
                          <a:rPr lang="en-AU" sz="1000" i="1">
                            <a:latin typeface="Cambria Math" panose="02040503050406030204" pitchFamily="18" charset="0"/>
                          </a:rPr>
                          <m:t>=1</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𝑉𝑆</m:t>
                        </m:r>
                        <m:sSub>
                          <m:sSubPr>
                            <m:ctrlPr>
                              <a:rPr lang="en-AU" sz="1000" i="1">
                                <a:latin typeface="Cambria Math" panose="02040503050406030204" pitchFamily="18" charset="0"/>
                              </a:rPr>
                            </m:ctrlPr>
                          </m:sSubPr>
                          <m:e>
                            <m:r>
                              <a:rPr lang="en-AU" sz="1000" i="1">
                                <a:latin typeface="Cambria Math" panose="02040503050406030204" pitchFamily="18" charset="0"/>
                              </a:rPr>
                              <m:t>𝐿</m:t>
                            </m:r>
                          </m:e>
                          <m:sub>
                            <m:r>
                              <a:rPr lang="en-AU" sz="1000" i="1">
                                <a:latin typeface="Cambria Math" panose="02040503050406030204" pitchFamily="18" charset="0"/>
                              </a:rPr>
                              <m:t>𝑚𝑇</m:t>
                            </m:r>
                            <m:r>
                              <a:rPr lang="en-AU" sz="1000" i="1">
                                <a:latin typeface="Cambria Math" panose="02040503050406030204" pitchFamily="18" charset="0"/>
                              </a:rPr>
                              <m:t>=1</m:t>
                            </m:r>
                          </m:sub>
                        </m:sSub>
                      </m:e>
                    </m:d>
                  </m:oMath>
                </m:oMathPara>
              </a14:m>
              <a:endParaRPr lang="en-AU" sz="1000"/>
            </a:p>
          </xdr:txBody>
        </xdr:sp>
      </mc:Choice>
      <mc:Fallback xmlns="">
        <xdr:sp macro="" textlink="">
          <xdr:nvSpPr>
            <xdr:cNvPr id="4" name="TextBox 3">
              <a:extLst>
                <a:ext uri="{FF2B5EF4-FFF2-40B4-BE49-F238E27FC236}">
                  <a16:creationId xmlns:a16="http://schemas.microsoft.com/office/drawing/2014/main" id="{BAAE1E61-1D12-4FA6-BF48-543961857CEA}"/>
                </a:ext>
              </a:extLst>
            </xdr:cNvPr>
            <xdr:cNvSpPr txBox="1"/>
          </xdr:nvSpPr>
          <xdr:spPr>
            <a:xfrm>
              <a:off x="2700337" y="23802975"/>
              <a:ext cx="271317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𝑉𝑆𝑇_𝑗𝑘=𝑉𝑆_𝑗𝑘×𝑀𝑀𝑆_(𝑗𝑚𝑇=1)×(1−𝑉𝑆𝐿_(𝑚𝑇=1) )</a:t>
              </a:r>
              <a:endParaRPr lang="en-AU" sz="1000"/>
            </a:p>
          </xdr:txBody>
        </xdr:sp>
      </mc:Fallback>
    </mc:AlternateContent>
    <xdr:clientData/>
  </xdr:oneCellAnchor>
  <xdr:oneCellAnchor>
    <xdr:from>
      <xdr:col>2</xdr:col>
      <xdr:colOff>300037</xdr:colOff>
      <xdr:row>124</xdr:row>
      <xdr:rowOff>123825</xdr:rowOff>
    </xdr:from>
    <xdr:ext cx="3071995"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A7B2F6D-A1A8-492B-A37E-4D5D9794223B}"/>
                </a:ext>
              </a:extLst>
            </xdr:cNvPr>
            <xdr:cNvSpPr txBox="1"/>
          </xdr:nvSpPr>
          <xdr:spPr>
            <a:xfrm>
              <a:off x="2662237" y="30965775"/>
              <a:ext cx="307199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𝑉𝑆</m:t>
                    </m:r>
                    <m:sSub>
                      <m:sSubPr>
                        <m:ctrlPr>
                          <a:rPr lang="en-AU" sz="1000" i="1">
                            <a:latin typeface="Cambria Math" panose="02040503050406030204" pitchFamily="18" charset="0"/>
                          </a:rPr>
                        </m:ctrlPr>
                      </m:sSubPr>
                      <m:e>
                        <m:r>
                          <a:rPr lang="en-AU" sz="1000" i="1">
                            <a:latin typeface="Cambria Math" panose="02040503050406030204" pitchFamily="18" charset="0"/>
                          </a:rPr>
                          <m:t>𝑇</m:t>
                        </m:r>
                      </m:e>
                      <m:sub>
                        <m:r>
                          <a:rPr lang="en-AU" sz="1000" i="1">
                            <a:latin typeface="Cambria Math" panose="02040503050406030204" pitchFamily="18" charset="0"/>
                          </a:rPr>
                          <m:t>𝑗𝑘</m:t>
                        </m:r>
                      </m:sub>
                    </m:sSub>
                    <m:r>
                      <a:rPr lang="en-AU" sz="1000" i="1">
                        <a:latin typeface="Cambria Math" panose="02040503050406030204" pitchFamily="18" charset="0"/>
                      </a:rPr>
                      <m:t>×</m:t>
                    </m:r>
                    <m:r>
                      <a:rPr lang="en-AU" sz="1000" i="1">
                        <a:latin typeface="Cambria Math" panose="02040503050406030204" pitchFamily="18" charset="0"/>
                      </a:rPr>
                      <m:t>𝐵𝑂</m:t>
                    </m:r>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𝑀𝐶</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𝑖𝑚</m:t>
                        </m:r>
                      </m:sub>
                    </m:sSub>
                    <m:r>
                      <a:rPr lang="en-AU" sz="1000" i="1">
                        <a:latin typeface="Cambria Math" panose="02040503050406030204" pitchFamily="18" charset="0"/>
                      </a:rPr>
                      <m:t>×</m:t>
                    </m:r>
                    <m:r>
                      <a:rPr lang="en-AU" sz="1000" i="1">
                        <a:latin typeface="Cambria Math" panose="02040503050406030204" pitchFamily="18" charset="0"/>
                      </a:rPr>
                      <m:t>𝜌</m:t>
                    </m:r>
                  </m:oMath>
                </m:oMathPara>
              </a14:m>
              <a:endParaRPr lang="en-AU" sz="1000"/>
            </a:p>
          </xdr:txBody>
        </xdr:sp>
      </mc:Choice>
      <mc:Fallback xmlns="">
        <xdr:sp macro="" textlink="">
          <xdr:nvSpPr>
            <xdr:cNvPr id="5" name="TextBox 4">
              <a:extLst>
                <a:ext uri="{FF2B5EF4-FFF2-40B4-BE49-F238E27FC236}">
                  <a16:creationId xmlns:a16="http://schemas.microsoft.com/office/drawing/2014/main" id="{BA7B2F6D-A1A8-492B-A37E-4D5D9794223B}"/>
                </a:ext>
              </a:extLst>
            </xdr:cNvPr>
            <xdr:cNvSpPr txBox="1"/>
          </xdr:nvSpPr>
          <xdr:spPr>
            <a:xfrm>
              <a:off x="2662237" y="30965775"/>
              <a:ext cx="307199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𝑀_(𝑗𝑘𝑚𝑇=2)=𝑉𝑆𝑇_𝑗𝑘×𝐵𝑂×𝑀𝑀𝑆_(𝑗𝑚𝑇=2)×𝑀𝐶𝐹_𝑖𝑚×𝜌</a:t>
              </a:r>
              <a:endParaRPr lang="en-AU" sz="1000"/>
            </a:p>
          </xdr:txBody>
        </xdr:sp>
      </mc:Fallback>
    </mc:AlternateContent>
    <xdr:clientData/>
  </xdr:oneCellAnchor>
  <xdr:oneCellAnchor>
    <xdr:from>
      <xdr:col>3</xdr:col>
      <xdr:colOff>4762</xdr:colOff>
      <xdr:row>179</xdr:row>
      <xdr:rowOff>76200</xdr:rowOff>
    </xdr:from>
    <xdr:ext cx="3010631"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13C6AD5-CE78-49D7-B2AD-D83D8D82D52E}"/>
                </a:ext>
              </a:extLst>
            </xdr:cNvPr>
            <xdr:cNvSpPr txBox="1"/>
          </xdr:nvSpPr>
          <xdr:spPr>
            <a:xfrm>
              <a:off x="2681287" y="445389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6" name="TextBox 5">
              <a:extLst>
                <a:ext uri="{FF2B5EF4-FFF2-40B4-BE49-F238E27FC236}">
                  <a16:creationId xmlns:a16="http://schemas.microsoft.com/office/drawing/2014/main" id="{113C6AD5-CE78-49D7-B2AD-D83D8D82D52E}"/>
                </a:ext>
              </a:extLst>
            </xdr:cNvPr>
            <xdr:cNvSpPr txBox="1"/>
          </xdr:nvSpPr>
          <xdr:spPr>
            <a:xfrm>
              <a:off x="2681287" y="445389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304800</xdr:colOff>
      <xdr:row>7</xdr:row>
      <xdr:rowOff>125506</xdr:rowOff>
    </xdr:from>
    <xdr:ext cx="1494833"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6564C35-538D-42F8-97F1-4E6B35292A76}"/>
                </a:ext>
              </a:extLst>
            </xdr:cNvPr>
            <xdr:cNvSpPr txBox="1"/>
          </xdr:nvSpPr>
          <xdr:spPr>
            <a:xfrm>
              <a:off x="2667000" y="1992406"/>
              <a:ext cx="149483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m:t>
                        </m:r>
                      </m:sub>
                    </m:sSub>
                    <m:r>
                      <a:rPr lang="en-AU" sz="1000" i="1">
                        <a:latin typeface="Cambria Math" panose="02040503050406030204" pitchFamily="18" charset="0"/>
                      </a:rPr>
                      <m:t>×</m:t>
                    </m:r>
                    <m:r>
                      <a:rPr lang="en-AU" sz="1000" i="1">
                        <a:latin typeface="Cambria Math" panose="02040503050406030204" pitchFamily="18" charset="0"/>
                      </a:rPr>
                      <m:t>𝐶</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𝑗𝑘</m:t>
                        </m:r>
                      </m:sub>
                    </m:sSub>
                    <m:r>
                      <a:rPr lang="en-AU" sz="1000" i="1">
                        <a:latin typeface="Cambria Math" panose="02040503050406030204" pitchFamily="18" charset="0"/>
                      </a:rPr>
                      <m:t>÷6.25</m:t>
                    </m:r>
                  </m:oMath>
                </m:oMathPara>
              </a14:m>
              <a:endParaRPr lang="en-AU" sz="1000"/>
            </a:p>
          </xdr:txBody>
        </xdr:sp>
      </mc:Choice>
      <mc:Fallback xmlns="">
        <xdr:sp macro="" textlink="">
          <xdr:nvSpPr>
            <xdr:cNvPr id="2" name="TextBox 1">
              <a:extLst>
                <a:ext uri="{FF2B5EF4-FFF2-40B4-BE49-F238E27FC236}">
                  <a16:creationId xmlns:a16="http://schemas.microsoft.com/office/drawing/2014/main" id="{D6564C35-538D-42F8-97F1-4E6B35292A76}"/>
                </a:ext>
              </a:extLst>
            </xdr:cNvPr>
            <xdr:cNvSpPr txBox="1"/>
          </xdr:nvSpPr>
          <xdr:spPr>
            <a:xfrm>
              <a:off x="2667000" y="1992406"/>
              <a:ext cx="149483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𝑁𝐼_𝑗𝑘=𝐼_𝑗𝑘×𝐶𝑃_𝑗𝑘÷6.25</a:t>
              </a:r>
              <a:endParaRPr lang="en-AU" sz="1000"/>
            </a:p>
          </xdr:txBody>
        </xdr:sp>
      </mc:Fallback>
    </mc:AlternateContent>
    <xdr:clientData/>
  </xdr:oneCellAnchor>
  <xdr:oneCellAnchor>
    <xdr:from>
      <xdr:col>3</xdr:col>
      <xdr:colOff>13447</xdr:colOff>
      <xdr:row>36</xdr:row>
      <xdr:rowOff>91888</xdr:rowOff>
    </xdr:from>
    <xdr:ext cx="1609993"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A4E5D50-7742-4260-8B98-4B3D3B3538BC}"/>
                </a:ext>
              </a:extLst>
            </xdr:cNvPr>
            <xdr:cNvSpPr txBox="1"/>
          </xdr:nvSpPr>
          <xdr:spPr>
            <a:xfrm>
              <a:off x="2689972" y="9140638"/>
              <a:ext cx="160999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𝑗𝑘</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𝑗𝑘</m:t>
                            </m:r>
                          </m:sub>
                        </m:sSub>
                      </m:e>
                    </m:d>
                  </m:oMath>
                </m:oMathPara>
              </a14:m>
              <a:endParaRPr lang="en-AU" sz="1000"/>
            </a:p>
          </xdr:txBody>
        </xdr:sp>
      </mc:Choice>
      <mc:Fallback xmlns="">
        <xdr:sp macro="" textlink="">
          <xdr:nvSpPr>
            <xdr:cNvPr id="3" name="TextBox 2">
              <a:extLst>
                <a:ext uri="{FF2B5EF4-FFF2-40B4-BE49-F238E27FC236}">
                  <a16:creationId xmlns:a16="http://schemas.microsoft.com/office/drawing/2014/main" id="{3A4E5D50-7742-4260-8B98-4B3D3B3538BC}"/>
                </a:ext>
              </a:extLst>
            </xdr:cNvPr>
            <xdr:cNvSpPr txBox="1"/>
          </xdr:nvSpPr>
          <xdr:spPr>
            <a:xfrm>
              <a:off x="2689972" y="9140638"/>
              <a:ext cx="160999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𝑁𝐸_𝑗𝑘=𝑁𝐼_𝑗𝑘×(1−𝑁𝑅_𝑗𝑘 )</a:t>
              </a:r>
              <a:endParaRPr lang="en-AU" sz="1000"/>
            </a:p>
          </xdr:txBody>
        </xdr:sp>
      </mc:Fallback>
    </mc:AlternateContent>
    <xdr:clientData/>
  </xdr:oneCellAnchor>
  <xdr:oneCellAnchor>
    <xdr:from>
      <xdr:col>3</xdr:col>
      <xdr:colOff>24653</xdr:colOff>
      <xdr:row>59</xdr:row>
      <xdr:rowOff>147917</xdr:rowOff>
    </xdr:from>
    <xdr:ext cx="1513555"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9F9948E-4449-463D-8DD4-9529976C3D47}"/>
                </a:ext>
              </a:extLst>
            </xdr:cNvPr>
            <xdr:cNvSpPr txBox="1"/>
          </xdr:nvSpPr>
          <xdr:spPr>
            <a:xfrm>
              <a:off x="2701178" y="14892617"/>
              <a:ext cx="15135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𝐴</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A9F9948E-4449-463D-8DD4-9529976C3D47}"/>
                </a:ext>
              </a:extLst>
            </xdr:cNvPr>
            <xdr:cNvSpPr txBox="1"/>
          </xdr:nvSpPr>
          <xdr:spPr>
            <a:xfrm>
              <a:off x="2701178" y="14892617"/>
              <a:ext cx="15135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𝐴𝐸_𝑗𝑘=𝑁_𝑗𝑘×𝑁𝐸_𝑗𝑘×𝐷_𝑗𝑘</a:t>
              </a:r>
              <a:endParaRPr lang="en-AU" sz="1000"/>
            </a:p>
          </xdr:txBody>
        </xdr:sp>
      </mc:Fallback>
    </mc:AlternateContent>
    <xdr:clientData/>
  </xdr:oneCellAnchor>
  <xdr:oneCellAnchor>
    <xdr:from>
      <xdr:col>3</xdr:col>
      <xdr:colOff>2240</xdr:colOff>
      <xdr:row>88</xdr:row>
      <xdr:rowOff>114300</xdr:rowOff>
    </xdr:from>
    <xdr:ext cx="1973232"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4261ED7-6495-445F-9413-14D5AFA92103}"/>
                </a:ext>
              </a:extLst>
            </xdr:cNvPr>
            <xdr:cNvSpPr txBox="1"/>
          </xdr:nvSpPr>
          <xdr:spPr>
            <a:xfrm>
              <a:off x="2678765" y="22040850"/>
              <a:ext cx="197323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𝐴</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𝑗𝑘</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oMath>
                </m:oMathPara>
              </a14:m>
              <a:endParaRPr lang="en-AU" sz="1000"/>
            </a:p>
          </xdr:txBody>
        </xdr:sp>
      </mc:Choice>
      <mc:Fallback xmlns="">
        <xdr:sp macro="" textlink="">
          <xdr:nvSpPr>
            <xdr:cNvPr id="5" name="TextBox 4">
              <a:extLst>
                <a:ext uri="{FF2B5EF4-FFF2-40B4-BE49-F238E27FC236}">
                  <a16:creationId xmlns:a16="http://schemas.microsoft.com/office/drawing/2014/main" id="{B4261ED7-6495-445F-9413-14D5AFA92103}"/>
                </a:ext>
              </a:extLst>
            </xdr:cNvPr>
            <xdr:cNvSpPr txBox="1"/>
          </xdr:nvSpPr>
          <xdr:spPr>
            <a:xfrm>
              <a:off x="2678765" y="22040850"/>
              <a:ext cx="197323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𝑀𝑁_(𝑗𝑘𝑚,𝑇=1)=𝐴𝐸_𝑗𝑘×𝑀𝑀𝑆_(𝑗𝑚,𝑇=1)</a:t>
              </a:r>
              <a:endParaRPr lang="en-AU" sz="1000"/>
            </a:p>
          </xdr:txBody>
        </xdr:sp>
      </mc:Fallback>
    </mc:AlternateContent>
    <xdr:clientData/>
  </xdr:oneCellAnchor>
  <xdr:oneCellAnchor>
    <xdr:from>
      <xdr:col>3</xdr:col>
      <xdr:colOff>24653</xdr:colOff>
      <xdr:row>117</xdr:row>
      <xdr:rowOff>125505</xdr:rowOff>
    </xdr:from>
    <xdr:ext cx="3641894" cy="19499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96715EE9-715E-4B9C-8B4A-34803F62F2E2}"/>
                </a:ext>
              </a:extLst>
            </xdr:cNvPr>
            <xdr:cNvSpPr txBox="1"/>
          </xdr:nvSpPr>
          <xdr:spPr>
            <a:xfrm>
              <a:off x="2701178" y="29233905"/>
              <a:ext cx="364189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𝑇</m:t>
                        </m:r>
                      </m:e>
                      <m:sub>
                        <m:r>
                          <a:rPr lang="en-AU" sz="1000" i="1">
                            <a:latin typeface="Cambria Math" panose="02040503050406030204" pitchFamily="18" charset="0"/>
                          </a:rPr>
                          <m:t>𝑗𝑘𝑚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e>
                    </m:d>
                  </m:oMath>
                </m:oMathPara>
              </a14:m>
              <a:endParaRPr lang="en-AU" sz="1000"/>
            </a:p>
          </xdr:txBody>
        </xdr:sp>
      </mc:Choice>
      <mc:Fallback xmlns="">
        <xdr:sp macro="" textlink="">
          <xdr:nvSpPr>
            <xdr:cNvPr id="6" name="TextBox 5">
              <a:extLst>
                <a:ext uri="{FF2B5EF4-FFF2-40B4-BE49-F238E27FC236}">
                  <a16:creationId xmlns:a16="http://schemas.microsoft.com/office/drawing/2014/main" id="{96715EE9-715E-4B9C-8B4A-34803F62F2E2}"/>
                </a:ext>
              </a:extLst>
            </xdr:cNvPr>
            <xdr:cNvSpPr txBox="1"/>
          </xdr:nvSpPr>
          <xdr:spPr>
            <a:xfrm>
              <a:off x="2701178" y="29233905"/>
              <a:ext cx="364189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𝑁𝑇_(𝑗𝑘𝑚,𝑇=2)=𝑀𝑁_(𝑗𝑘𝑚,𝑇=1)×(1−𝐹𝑟𝑎𝑐𝐺𝐴𝑆𝑀_(𝑚,𝑇=1)−𝐸𝐹_(𝑚,𝑇=1) )</a:t>
              </a:r>
              <a:endParaRPr lang="en-AU" sz="1000"/>
            </a:p>
          </xdr:txBody>
        </xdr:sp>
      </mc:Fallback>
    </mc:AlternateContent>
    <xdr:clientData/>
  </xdr:oneCellAnchor>
  <xdr:oneCellAnchor>
    <xdr:from>
      <xdr:col>3</xdr:col>
      <xdr:colOff>35859</xdr:colOff>
      <xdr:row>158</xdr:row>
      <xdr:rowOff>147918</xdr:rowOff>
    </xdr:from>
    <xdr:ext cx="2258631" cy="182871"/>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0E7CAFF-0829-438F-939B-7030A21FFF90}"/>
                </a:ext>
              </a:extLst>
            </xdr:cNvPr>
            <xdr:cNvSpPr txBox="1"/>
          </xdr:nvSpPr>
          <xdr:spPr>
            <a:xfrm>
              <a:off x="2712384" y="39409968"/>
              <a:ext cx="22586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𝑇</m:t>
                        </m:r>
                      </m:e>
                      <m:sub>
                        <m:r>
                          <a:rPr lang="en-AU" sz="1000" i="1">
                            <a:latin typeface="Cambria Math" panose="02040503050406030204" pitchFamily="18" charset="0"/>
                          </a:rPr>
                          <m:t>𝑗𝑘𝑚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oMath>
                </m:oMathPara>
              </a14:m>
              <a:endParaRPr lang="en-AU" sz="1000"/>
            </a:p>
          </xdr:txBody>
        </xdr:sp>
      </mc:Choice>
      <mc:Fallback xmlns="">
        <xdr:sp macro="" textlink="">
          <xdr:nvSpPr>
            <xdr:cNvPr id="7" name="TextBox 6">
              <a:extLst>
                <a:ext uri="{FF2B5EF4-FFF2-40B4-BE49-F238E27FC236}">
                  <a16:creationId xmlns:a16="http://schemas.microsoft.com/office/drawing/2014/main" id="{C0E7CAFF-0829-438F-939B-7030A21FFF90}"/>
                </a:ext>
              </a:extLst>
            </xdr:cNvPr>
            <xdr:cNvSpPr txBox="1"/>
          </xdr:nvSpPr>
          <xdr:spPr>
            <a:xfrm>
              <a:off x="2712384" y="39409968"/>
              <a:ext cx="22586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𝑀𝑁_(𝑗𝑘𝑚,𝑇=2)=𝑁𝑇_(𝑗𝑘𝑚,𝑇=2)×𝑀𝑀𝑆_(𝑚,𝑇=2)</a:t>
              </a:r>
              <a:endParaRPr lang="en-AU" sz="1000"/>
            </a:p>
          </xdr:txBody>
        </xdr:sp>
      </mc:Fallback>
    </mc:AlternateContent>
    <xdr:clientData/>
  </xdr:oneCellAnchor>
  <xdr:oneCellAnchor>
    <xdr:from>
      <xdr:col>3</xdr:col>
      <xdr:colOff>2240</xdr:colOff>
      <xdr:row>209</xdr:row>
      <xdr:rowOff>58271</xdr:rowOff>
    </xdr:from>
    <xdr:ext cx="3509679" cy="42992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A7F0068A-94FC-4D2C-96CD-BE3C540F2FA9}"/>
                </a:ext>
              </a:extLst>
            </xdr:cNvPr>
            <xdr:cNvSpPr txBox="1"/>
          </xdr:nvSpPr>
          <xdr:spPr>
            <a:xfrm>
              <a:off x="2678765" y="51950471"/>
              <a:ext cx="350967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𝑑𝑖𝑟</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𝑗𝑘𝑚𝑇</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𝑗𝑚</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8" name="TextBox 7">
              <a:extLst>
                <a:ext uri="{FF2B5EF4-FFF2-40B4-BE49-F238E27FC236}">
                  <a16:creationId xmlns:a16="http://schemas.microsoft.com/office/drawing/2014/main" id="{A7F0068A-94FC-4D2C-96CD-BE3C540F2FA9}"/>
                </a:ext>
              </a:extLst>
            </xdr:cNvPr>
            <xdr:cNvSpPr txBox="1"/>
          </xdr:nvSpPr>
          <xdr:spPr>
            <a:xfrm>
              <a:off x="2678765" y="51950471"/>
              <a:ext cx="350967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𝐸_(𝑁2𝑂,𝑑𝑖𝑟)=∑_𝑗▒∑_𝑘▒∑_𝑚▒∑_𝑇▒(𝑀𝑁_𝑗𝑘𝑚𝑇×𝐸𝐹_𝑗𝑚×𝐶_𝑁2𝑂 ) ×10^(−3)</a:t>
              </a:r>
              <a:endParaRPr lang="en-AU" sz="10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33337</xdr:colOff>
      <xdr:row>7</xdr:row>
      <xdr:rowOff>28575</xdr:rowOff>
    </xdr:from>
    <xdr:ext cx="3305777"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369AB74-D1BC-4B9F-89BA-A978A3F150A1}"/>
                </a:ext>
              </a:extLst>
            </xdr:cNvPr>
            <xdr:cNvSpPr txBox="1"/>
          </xdr:nvSpPr>
          <xdr:spPr>
            <a:xfrm>
              <a:off x="2709862" y="1895475"/>
              <a:ext cx="330577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𝐴𝑇𝑀𝑂𝑆</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𝑗𝑘𝑚𝑇</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𝑚𝑇</m:t>
                                            </m:r>
                                          </m:sub>
                                        </m:sSub>
                                      </m:e>
                                    </m:d>
                                  </m:e>
                                </m:nary>
                              </m:e>
                            </m:nary>
                          </m:e>
                        </m:nary>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B369AB74-D1BC-4B9F-89BA-A978A3F150A1}"/>
                </a:ext>
              </a:extLst>
            </xdr:cNvPr>
            <xdr:cNvSpPr txBox="1"/>
          </xdr:nvSpPr>
          <xdr:spPr>
            <a:xfrm>
              <a:off x="2709862" y="1895475"/>
              <a:ext cx="330577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𝑀𝑀𝑆_𝐴𝑇𝑀𝑂𝑆=∑_𝑗▒∑_𝑘▒∑_𝑚▒∑_𝑇▒(𝑀𝑁_𝑗𝑘𝑚𝑇×𝐹𝑟𝑎𝑐𝐺𝐴𝑆𝑀_𝑚𝑇 ) </a:t>
              </a:r>
              <a:endParaRPr lang="en-AU" sz="1000"/>
            </a:p>
          </xdr:txBody>
        </xdr:sp>
      </mc:Fallback>
    </mc:AlternateContent>
    <xdr:clientData/>
  </xdr:oneCellAnchor>
  <xdr:oneCellAnchor>
    <xdr:from>
      <xdr:col>2</xdr:col>
      <xdr:colOff>280987</xdr:colOff>
      <xdr:row>83</xdr:row>
      <xdr:rowOff>123825</xdr:rowOff>
    </xdr:from>
    <xdr:ext cx="2914836"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071BA60-1B97-4975-BB0F-499101C51C0D}"/>
                </a:ext>
              </a:extLst>
            </xdr:cNvPr>
            <xdr:cNvSpPr txBox="1"/>
          </xdr:nvSpPr>
          <xdr:spPr>
            <a:xfrm>
              <a:off x="2643187" y="20812125"/>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𝑎𝑑</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𝐴𝑇𝑀𝑂𝑆</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E071BA60-1B97-4975-BB0F-499101C51C0D}"/>
                </a:ext>
              </a:extLst>
            </xdr:cNvPr>
            <xdr:cNvSpPr txBox="1"/>
          </xdr:nvSpPr>
          <xdr:spPr>
            <a:xfrm>
              <a:off x="2643187" y="20812125"/>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𝐸_(𝑁2𝑂,𝑎𝑑)=(𝑀𝑀𝑆_𝐴𝑇𝑀𝑂𝑆×𝐸𝐹_𝑁2𝑂×𝐶_𝑁2𝑂 )×10^(−3)</a:t>
              </a:r>
              <a:endParaRPr lang="en-AU" sz="10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304800</xdr:colOff>
      <xdr:row>7</xdr:row>
      <xdr:rowOff>136712</xdr:rowOff>
    </xdr:from>
    <xdr:ext cx="3745704"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8779A8E-309B-49CC-92EC-AF9D1A3436D2}"/>
                </a:ext>
              </a:extLst>
            </xdr:cNvPr>
            <xdr:cNvSpPr txBox="1"/>
          </xdr:nvSpPr>
          <xdr:spPr>
            <a:xfrm>
              <a:off x="2667000" y="2003612"/>
              <a:ext cx="374570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𝑀𝑁𝐿𝑒𝑎𝑐</m:t>
                    </m:r>
                    <m:sSub>
                      <m:sSubPr>
                        <m:ctrlPr>
                          <a:rPr lang="en-AU" sz="1000" i="1">
                            <a:latin typeface="Cambria Math" panose="02040503050406030204" pitchFamily="18" charset="0"/>
                          </a:rPr>
                        </m:ctrlPr>
                      </m:sSubPr>
                      <m:e>
                        <m:r>
                          <a:rPr lang="en-AU" sz="1000" i="1">
                            <a:latin typeface="Cambria Math" panose="02040503050406030204" pitchFamily="18" charset="0"/>
                          </a:rPr>
                          <m:t>ℎ</m:t>
                        </m:r>
                      </m:e>
                      <m:sub>
                        <m:r>
                          <a:rPr lang="en-AU" sz="1000" i="1">
                            <a:latin typeface="Cambria Math" panose="02040503050406030204" pitchFamily="18" charset="0"/>
                          </a:rPr>
                          <m:t>𝑗𝑘𝑚</m:t>
                        </m:r>
                        <m:r>
                          <a:rPr lang="en-AU" sz="1000" i="1">
                            <a:latin typeface="Cambria Math" panose="02040503050406030204" pitchFamily="18" charset="0"/>
                          </a:rPr>
                          <m:t>=4</m:t>
                        </m:r>
                      </m:sub>
                    </m:sSub>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𝑗𝑘𝑚</m:t>
                        </m:r>
                        <m:r>
                          <a:rPr lang="en-AU" sz="1000" i="1">
                            <a:latin typeface="Cambria Math" panose="02040503050406030204" pitchFamily="18" charset="0"/>
                          </a:rPr>
                          <m:t>=4,</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𝐹𝑟𝑎𝑐𝑊𝐸𝑇</m:t>
                    </m:r>
                    <m:r>
                      <a:rPr lang="en-AU" sz="1000" i="1">
                        <a:latin typeface="Cambria Math" panose="02040503050406030204" pitchFamily="18" charset="0"/>
                      </a:rPr>
                      <m:t>×</m:t>
                    </m:r>
                    <m:r>
                      <a:rPr lang="en-AU" sz="1000" i="1">
                        <a:latin typeface="Cambria Math" panose="02040503050406030204" pitchFamily="18" charset="0"/>
                      </a:rPr>
                      <m:t>𝐹𝑟𝑎𝑐𝐿𝐸𝐴𝐶</m:t>
                    </m:r>
                    <m:sSub>
                      <m:sSubPr>
                        <m:ctrlPr>
                          <a:rPr lang="en-AU" sz="1000" i="1">
                            <a:latin typeface="Cambria Math" panose="02040503050406030204" pitchFamily="18" charset="0"/>
                          </a:rPr>
                        </m:ctrlPr>
                      </m:sSubPr>
                      <m:e>
                        <m:r>
                          <a:rPr lang="en-AU" sz="1000" i="1">
                            <a:latin typeface="Cambria Math" panose="02040503050406030204" pitchFamily="18" charset="0"/>
                          </a:rPr>
                          <m:t>𝐻</m:t>
                        </m:r>
                      </m:e>
                      <m:sub>
                        <m:r>
                          <a:rPr lang="en-AU" sz="1000" i="1">
                            <a:latin typeface="Cambria Math" panose="02040503050406030204" pitchFamily="18" charset="0"/>
                          </a:rPr>
                          <m:t>𝑀𝑆</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B8779A8E-309B-49CC-92EC-AF9D1A3436D2}"/>
                </a:ext>
              </a:extLst>
            </xdr:cNvPr>
            <xdr:cNvSpPr txBox="1"/>
          </xdr:nvSpPr>
          <xdr:spPr>
            <a:xfrm>
              <a:off x="2667000" y="2003612"/>
              <a:ext cx="374570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𝑀𝑁𝐿𝑒𝑎𝑐ℎ_(𝑗𝑘𝑚=4)=𝑀𝑁_(𝑗𝑘𝑚=4,𝑇=2)×𝐹𝑟𝑎𝑐𝑊𝐸𝑇×𝐹𝑟𝑎𝑐𝐿𝐸𝐴𝐶𝐻_𝑀𝑆</a:t>
              </a:r>
              <a:endParaRPr lang="en-AU" sz="1000"/>
            </a:p>
          </xdr:txBody>
        </xdr:sp>
      </mc:Fallback>
    </mc:AlternateContent>
    <xdr:clientData/>
  </xdr:oneCellAnchor>
  <xdr:oneCellAnchor>
    <xdr:from>
      <xdr:col>3</xdr:col>
      <xdr:colOff>2241</xdr:colOff>
      <xdr:row>42</xdr:row>
      <xdr:rowOff>114299</xdr:rowOff>
    </xdr:from>
    <xdr:ext cx="3270190" cy="186333"/>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051F9D7-5315-43B2-9238-4A579E99E4D6}"/>
                </a:ext>
              </a:extLst>
            </xdr:cNvPr>
            <xdr:cNvSpPr txBox="1"/>
          </xdr:nvSpPr>
          <xdr:spPr>
            <a:xfrm>
              <a:off x="2678766" y="10648949"/>
              <a:ext cx="327019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r>
                      <a:rPr lang="en-AU" sz="1000" i="1">
                        <a:latin typeface="Cambria Math" panose="02040503050406030204" pitchFamily="18" charset="0"/>
                      </a:rPr>
                      <m:t>𝑀𝑁𝐿𝑒𝑎𝑐</m:t>
                    </m:r>
                    <m:sSub>
                      <m:sSubPr>
                        <m:ctrlPr>
                          <a:rPr lang="en-AU" sz="1000" i="1">
                            <a:latin typeface="Cambria Math" panose="02040503050406030204" pitchFamily="18" charset="0"/>
                          </a:rPr>
                        </m:ctrlPr>
                      </m:sSubPr>
                      <m:e>
                        <m:r>
                          <a:rPr lang="en-AU" sz="1000" i="1">
                            <a:latin typeface="Cambria Math" panose="02040503050406030204" pitchFamily="18" charset="0"/>
                          </a:rPr>
                          <m:t>ℎ</m:t>
                        </m:r>
                      </m:e>
                      <m:sub>
                        <m:r>
                          <a:rPr lang="en-AU" sz="1000" i="1">
                            <a:latin typeface="Cambria Math" panose="02040503050406030204" pitchFamily="18" charset="0"/>
                          </a:rPr>
                          <m:t>𝑗𝑘𝑚</m:t>
                        </m:r>
                        <m:r>
                          <a:rPr lang="en-AU" sz="1000" i="1">
                            <a:latin typeface="Cambria Math" panose="02040503050406030204" pitchFamily="18" charset="0"/>
                          </a:rPr>
                          <m:t>=4</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7051F9D7-5315-43B2-9238-4A579E99E4D6}"/>
                </a:ext>
              </a:extLst>
            </xdr:cNvPr>
            <xdr:cNvSpPr txBox="1"/>
          </xdr:nvSpPr>
          <xdr:spPr>
            <a:xfrm>
              <a:off x="2678766" y="10648949"/>
              <a:ext cx="327019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𝐸_(𝑁2𝑂,𝑙𝑒𝑎𝑐ℎ)=𝑀𝑁𝐿𝑒𝑎𝑐ℎ_(𝑗𝑘𝑚=4)×𝐸𝐹_𝑙𝑒𝑎𝑐ℎ×𝐶_𝑁2𝑂×10^(−3)</a:t>
              </a:r>
              <a:endParaRPr lang="en-AU" sz="10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28575</xdr:rowOff>
    </xdr:from>
    <xdr:ext cx="561583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BC2B986-4EC8-428B-9339-BCCB02D8A283}"/>
                </a:ext>
              </a:extLst>
            </xdr:cNvPr>
            <xdr:cNvSpPr txBox="1"/>
          </xdr:nvSpPr>
          <xdr:spPr>
            <a:xfrm>
              <a:off x="2681287" y="1895475"/>
              <a:ext cx="561583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𝑠𝑐𝑜𝑝𝑒</m:t>
                        </m:r>
                        <m:r>
                          <a:rPr lang="en-AU" sz="1000" i="1">
                            <a:latin typeface="Cambria Math" panose="02040503050406030204" pitchFamily="18" charset="0"/>
                          </a:rPr>
                          <m:t>1</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𝑚𝑇</m:t>
                                        </m:r>
                                        <m:r>
                                          <a:rPr lang="en-AU" sz="1000" i="1">
                                            <a:latin typeface="Cambria Math" panose="02040503050406030204" pitchFamily="18" charset="0"/>
                                          </a:rPr>
                                          <m:t>=2</m:t>
                                        </m:r>
                                      </m:sub>
                                    </m:sSub>
                                  </m:e>
                                </m:d>
                                <m:r>
                                  <a:rPr lang="en-AU" sz="1000" i="1">
                                    <a:latin typeface="Cambria Math" panose="02040503050406030204" pitchFamily="18" charset="0"/>
                                  </a:rPr>
                                  <m:t>−</m:t>
                                </m:r>
                                <m:r>
                                  <a:rPr lang="en-AU" sz="1000" i="1">
                                    <a:latin typeface="Cambria Math" panose="02040503050406030204" pitchFamily="18" charset="0"/>
                                  </a:rPr>
                                  <m:t>𝑀𝑁𝐿𝑒𝑎𝑐</m:t>
                                </m:r>
                                <m:sSub>
                                  <m:sSubPr>
                                    <m:ctrlPr>
                                      <a:rPr lang="en-AU" sz="1000" i="1">
                                        <a:latin typeface="Cambria Math" panose="02040503050406030204" pitchFamily="18" charset="0"/>
                                      </a:rPr>
                                    </m:ctrlPr>
                                  </m:sSubPr>
                                  <m:e>
                                    <m:r>
                                      <a:rPr lang="en-AU" sz="1000" i="1">
                                        <a:latin typeface="Cambria Math" panose="02040503050406030204" pitchFamily="18" charset="0"/>
                                      </a:rPr>
                                      <m:t>ℎ</m:t>
                                    </m:r>
                                  </m:e>
                                  <m:sub>
                                    <m:r>
                                      <a:rPr lang="en-AU" sz="1000" i="1">
                                        <a:latin typeface="Cambria Math" panose="02040503050406030204" pitchFamily="18" charset="0"/>
                                      </a:rPr>
                                      <m:t>𝑀𝑀𝑆</m:t>
                                    </m:r>
                                  </m:sub>
                                </m:sSub>
                              </m:e>
                            </m:d>
                          </m:e>
                        </m:nary>
                      </m:e>
                    </m:nary>
                    <m:r>
                      <a:rPr lang="en-AU" sz="1000" i="1">
                        <a:latin typeface="Cambria Math" panose="02040503050406030204" pitchFamily="18" charset="0"/>
                      </a:rPr>
                      <m:t>×</m:t>
                    </m:r>
                    <m:r>
                      <a:rPr lang="en-AU" sz="1000" i="1">
                        <a:latin typeface="Cambria Math" panose="02040503050406030204" pitchFamily="18" charset="0"/>
                      </a:rPr>
                      <m:t>𝑃𝐹</m:t>
                    </m:r>
                  </m:oMath>
                </m:oMathPara>
              </a14:m>
              <a:endParaRPr lang="en-AU" sz="1000"/>
            </a:p>
          </xdr:txBody>
        </xdr:sp>
      </mc:Choice>
      <mc:Fallback xmlns="">
        <xdr:sp macro="" textlink="">
          <xdr:nvSpPr>
            <xdr:cNvPr id="2" name="TextBox 1">
              <a:extLst>
                <a:ext uri="{FF2B5EF4-FFF2-40B4-BE49-F238E27FC236}">
                  <a16:creationId xmlns:a16="http://schemas.microsoft.com/office/drawing/2014/main" id="{EBC2B986-4EC8-428B-9339-BCCB02D8A283}"/>
                </a:ext>
              </a:extLst>
            </xdr:cNvPr>
            <xdr:cNvSpPr txBox="1"/>
          </xdr:nvSpPr>
          <xdr:spPr>
            <a:xfrm>
              <a:off x="2681287" y="1895475"/>
              <a:ext cx="561583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𝑀𝑁𝑆𝑜𝑖𝑙_𝑠𝑐𝑜𝑝𝑒1=∑_𝑗▒∑_𝑚▒(𝑀𝑁_(𝑗𝑚,𝑇=2)×(1−𝐸𝐹_(𝑚𝑇=2)−𝐹𝑟𝑎𝑐𝐺𝐴𝑆𝑀_(𝑚𝑇=2) )−𝑀𝑁𝐿𝑒𝑎𝑐ℎ_𝑀𝑀𝑆 ) ×𝑃𝐹</a:t>
              </a:r>
              <a:endParaRPr lang="en-AU" sz="1000"/>
            </a:p>
          </xdr:txBody>
        </xdr:sp>
      </mc:Fallback>
    </mc:AlternateContent>
    <xdr:clientData/>
  </xdr:oneCellAnchor>
  <xdr:oneCellAnchor>
    <xdr:from>
      <xdr:col>3</xdr:col>
      <xdr:colOff>14287</xdr:colOff>
      <xdr:row>127</xdr:row>
      <xdr:rowOff>38100</xdr:rowOff>
    </xdr:from>
    <xdr:ext cx="5979136"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46CB968-51DF-4B15-95A2-03591440D02C}"/>
                </a:ext>
              </a:extLst>
            </xdr:cNvPr>
            <xdr:cNvSpPr txBox="1"/>
          </xdr:nvSpPr>
          <xdr:spPr>
            <a:xfrm>
              <a:off x="2690812" y="31623000"/>
              <a:ext cx="59791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𝑠𝑐𝑜𝑝𝑒</m:t>
                        </m:r>
                        <m:r>
                          <a:rPr lang="en-AU" sz="1000" i="1">
                            <a:latin typeface="Cambria Math" panose="02040503050406030204" pitchFamily="18" charset="0"/>
                          </a:rPr>
                          <m:t>3</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𝑚𝑇</m:t>
                                        </m:r>
                                        <m:r>
                                          <a:rPr lang="en-AU" sz="1000" i="1">
                                            <a:latin typeface="Cambria Math" panose="02040503050406030204" pitchFamily="18" charset="0"/>
                                          </a:rPr>
                                          <m:t>=2</m:t>
                                        </m:r>
                                      </m:sub>
                                    </m:sSub>
                                  </m:e>
                                </m:d>
                                <m:r>
                                  <a:rPr lang="en-AU" sz="1000" i="1">
                                    <a:latin typeface="Cambria Math" panose="02040503050406030204" pitchFamily="18" charset="0"/>
                                  </a:rPr>
                                  <m:t>−</m:t>
                                </m:r>
                                <m:r>
                                  <a:rPr lang="en-AU" sz="1000" i="1">
                                    <a:latin typeface="Cambria Math" panose="02040503050406030204" pitchFamily="18" charset="0"/>
                                  </a:rPr>
                                  <m:t>𝑀𝑁𝐿𝑒𝑎𝑐</m:t>
                                </m:r>
                                <m:sSub>
                                  <m:sSubPr>
                                    <m:ctrlPr>
                                      <a:rPr lang="en-AU" sz="1000" i="1">
                                        <a:latin typeface="Cambria Math" panose="02040503050406030204" pitchFamily="18" charset="0"/>
                                      </a:rPr>
                                    </m:ctrlPr>
                                  </m:sSubPr>
                                  <m:e>
                                    <m:r>
                                      <a:rPr lang="en-AU" sz="1000" i="1">
                                        <a:latin typeface="Cambria Math" panose="02040503050406030204" pitchFamily="18" charset="0"/>
                                      </a:rPr>
                                      <m:t>ℎ</m:t>
                                    </m:r>
                                  </m:e>
                                  <m:sub>
                                    <m:r>
                                      <a:rPr lang="en-AU" sz="1000" i="1">
                                        <a:latin typeface="Cambria Math" panose="02040503050406030204" pitchFamily="18" charset="0"/>
                                      </a:rPr>
                                      <m:t>𝑀𝑀𝑆</m:t>
                                    </m:r>
                                  </m:sub>
                                </m:sSub>
                              </m:e>
                            </m:d>
                          </m:e>
                        </m:nary>
                      </m:e>
                    </m:nary>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𝑃𝐹</m:t>
                        </m:r>
                      </m:e>
                    </m:d>
                  </m:oMath>
                </m:oMathPara>
              </a14:m>
              <a:endParaRPr lang="en-AU" sz="1000"/>
            </a:p>
          </xdr:txBody>
        </xdr:sp>
      </mc:Choice>
      <mc:Fallback xmlns="">
        <xdr:sp macro="" textlink="">
          <xdr:nvSpPr>
            <xdr:cNvPr id="3" name="TextBox 2">
              <a:extLst>
                <a:ext uri="{FF2B5EF4-FFF2-40B4-BE49-F238E27FC236}">
                  <a16:creationId xmlns:a16="http://schemas.microsoft.com/office/drawing/2014/main" id="{446CB968-51DF-4B15-95A2-03591440D02C}"/>
                </a:ext>
              </a:extLst>
            </xdr:cNvPr>
            <xdr:cNvSpPr txBox="1"/>
          </xdr:nvSpPr>
          <xdr:spPr>
            <a:xfrm>
              <a:off x="2690812" y="31623000"/>
              <a:ext cx="59791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𝑀𝑁𝑆𝑜𝑖𝑙_𝑠𝑐𝑜𝑝𝑒3=∑_𝑗▒∑_𝑚▒(𝑀𝑁_(𝑗𝑚,𝑇=2)×(1−𝐸𝐹_(𝑚𝑇=2)−𝐹𝑟𝑎𝑐𝐺𝐴𝑆𝑀_(𝑚𝑇=2) )−𝑀𝑁𝐿𝑒𝑎𝑐ℎ_𝑀𝑀𝑆 ) ×(1−𝑃𝐹)</a:t>
              </a:r>
              <a:endParaRPr lang="en-AU" sz="10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2</xdr:col>
      <xdr:colOff>309562</xdr:colOff>
      <xdr:row>7</xdr:row>
      <xdr:rowOff>47625</xdr:rowOff>
    </xdr:from>
    <xdr:ext cx="3858428"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A6812AD-0354-4119-BDF0-87DEB383B82D}"/>
                </a:ext>
              </a:extLst>
            </xdr:cNvPr>
            <xdr:cNvSpPr txBox="1"/>
          </xdr:nvSpPr>
          <xdr:spPr>
            <a:xfrm>
              <a:off x="2671762" y="1914525"/>
              <a:ext cx="385842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𝑃𝑅𝑃</m:t>
                        </m:r>
                        <m:r>
                          <a:rPr lang="en-AU" sz="1000" i="1">
                            <a:latin typeface="Cambria Math" panose="02040503050406030204" pitchFamily="18" charset="0"/>
                          </a:rPr>
                          <m:t>,</m:t>
                        </m:r>
                        <m:r>
                          <a:rPr lang="en-AU" sz="1000" i="1">
                            <a:latin typeface="Cambria Math" panose="02040503050406030204" pitchFamily="18" charset="0"/>
                          </a:rPr>
                          <m:t>𝑑𝑖𝑟</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𝑗𝑘𝑚</m:t>
                                    </m:r>
                                    <m:r>
                                      <a:rPr lang="en-AU" sz="1000" i="1">
                                        <a:latin typeface="Cambria Math" panose="02040503050406030204" pitchFamily="18" charset="0"/>
                                      </a:rPr>
                                      <m:t>=14,</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𝑃𝑅𝑃</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CA6812AD-0354-4119-BDF0-87DEB383B82D}"/>
                </a:ext>
              </a:extLst>
            </xdr:cNvPr>
            <xdr:cNvSpPr txBox="1"/>
          </xdr:nvSpPr>
          <xdr:spPr>
            <a:xfrm>
              <a:off x="2671762" y="1914525"/>
              <a:ext cx="385842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𝐸𝑀_(𝑁2𝑂,𝑃𝑅𝑃,𝑑𝑖𝑟)=∑_𝑗▒∑_𝑘▒(𝑀𝑁_(𝑗𝑘𝑚=14,𝑇=1)×𝐸𝐹_𝑃𝑅𝑃×𝐶_𝑁2𝑂 ) ×10^(−3)</a:t>
              </a:r>
              <a:endParaRPr lang="en-AU" sz="10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14287</xdr:colOff>
      <xdr:row>7</xdr:row>
      <xdr:rowOff>76200</xdr:rowOff>
    </xdr:from>
    <xdr:ext cx="3232936"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6768C7E-0410-4EDA-8075-705C8F445678}"/>
                </a:ext>
              </a:extLst>
            </xdr:cNvPr>
            <xdr:cNvSpPr txBox="1"/>
          </xdr:nvSpPr>
          <xdr:spPr>
            <a:xfrm>
              <a:off x="2690812" y="1943100"/>
              <a:ext cx="32329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=14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𝑗𝑘𝑚</m:t>
                                    </m:r>
                                    <m:r>
                                      <a:rPr lang="en-AU" sz="1000" i="1">
                                        <a:latin typeface="Cambria Math" panose="02040503050406030204" pitchFamily="18" charset="0"/>
                                      </a:rPr>
                                      <m:t>=14,</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𝐹𝑟𝑎𝑐𝐺𝐴𝑆𝑀𝑠𝑜𝑖𝑙</m:t>
                                </m:r>
                              </m:e>
                            </m:d>
                          </m:e>
                        </m:nary>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16768C7E-0410-4EDA-8075-705C8F445678}"/>
                </a:ext>
              </a:extLst>
            </xdr:cNvPr>
            <xdr:cNvSpPr txBox="1"/>
          </xdr:nvSpPr>
          <xdr:spPr>
            <a:xfrm>
              <a:off x="2690812" y="1943100"/>
              <a:ext cx="32329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𝑀_(𝑣𝑜𝑙,𝑚=14)=∑_𝑗▒∑_𝑘▒(𝑀𝑁_(𝑗𝑘𝑚=14,𝑇=1)×𝐹𝑟𝑎𝑐𝐺𝐴𝑆𝑀𝑠𝑜𝑖𝑙) </a:t>
              </a:r>
              <a:endParaRPr lang="en-AU" sz="1000"/>
            </a:p>
          </xdr:txBody>
        </xdr:sp>
      </mc:Fallback>
    </mc:AlternateContent>
    <xdr:clientData/>
  </xdr:oneCellAnchor>
  <xdr:oneCellAnchor>
    <xdr:from>
      <xdr:col>3</xdr:col>
      <xdr:colOff>14287</xdr:colOff>
      <xdr:row>32</xdr:row>
      <xdr:rowOff>133350</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9CD1347-D575-4FC2-999B-BB66C55C0EA1}"/>
                </a:ext>
              </a:extLst>
            </xdr:cNvPr>
            <xdr:cNvSpPr txBox="1"/>
          </xdr:nvSpPr>
          <xdr:spPr>
            <a:xfrm>
              <a:off x="2690812" y="8191500"/>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𝑎𝑑</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=14</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B9CD1347-D575-4FC2-999B-BB66C55C0EA1}"/>
                </a:ext>
              </a:extLst>
            </xdr:cNvPr>
            <xdr:cNvSpPr txBox="1"/>
          </xdr:nvSpPr>
          <xdr:spPr>
            <a:xfrm>
              <a:off x="2690812" y="8191500"/>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𝐸_(𝑁2𝑂,𝑎𝑑)=𝑀_(𝑣𝑜𝑙,𝑚=14)×𝐸𝐹_𝑁2𝑂×𝐶_𝑁2𝑂×10^(−3)</a:t>
              </a:r>
              <a:endParaRPr lang="en-AU" sz="10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2</xdr:col>
      <xdr:colOff>271462</xdr:colOff>
      <xdr:row>7</xdr:row>
      <xdr:rowOff>28575</xdr:rowOff>
    </xdr:from>
    <xdr:ext cx="407932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0E46A7E-5E30-4BAC-AABD-7EDD78F03D87}"/>
                </a:ext>
              </a:extLst>
            </xdr:cNvPr>
            <xdr:cNvSpPr txBox="1"/>
          </xdr:nvSpPr>
          <xdr:spPr>
            <a:xfrm>
              <a:off x="2633662" y="1895475"/>
              <a:ext cx="40793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=14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𝑗𝑘𝑚</m:t>
                                    </m:r>
                                    <m:r>
                                      <a:rPr lang="en-AU" sz="1000" i="1">
                                        <a:latin typeface="Cambria Math" panose="02040503050406030204" pitchFamily="18" charset="0"/>
                                      </a:rPr>
                                      <m:t>=14,</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𝐹𝑟𝑎𝑐𝑊𝑒𝑡</m:t>
                                </m:r>
                                <m:r>
                                  <a:rPr lang="en-AU" sz="1000" i="1">
                                    <a:latin typeface="Cambria Math" panose="02040503050406030204" pitchFamily="18" charset="0"/>
                                  </a:rPr>
                                  <m:t>×</m:t>
                                </m:r>
                                <m:r>
                                  <a:rPr lang="en-AU" sz="1000" i="1">
                                    <a:latin typeface="Cambria Math" panose="02040503050406030204" pitchFamily="18" charset="0"/>
                                  </a:rPr>
                                  <m:t>𝐹𝑟𝑎𝑐𝐿𝐸𝐴𝐶</m:t>
                                </m:r>
                                <m:sSub>
                                  <m:sSubPr>
                                    <m:ctrlPr>
                                      <a:rPr lang="en-AU" sz="1000" i="1">
                                        <a:latin typeface="Cambria Math" panose="02040503050406030204" pitchFamily="18" charset="0"/>
                                      </a:rPr>
                                    </m:ctrlPr>
                                  </m:sSubPr>
                                  <m:e>
                                    <m:r>
                                      <a:rPr lang="en-AU" sz="1000" i="1">
                                        <a:latin typeface="Cambria Math" panose="02040503050406030204" pitchFamily="18" charset="0"/>
                                      </a:rPr>
                                      <m:t>𝐻</m:t>
                                    </m:r>
                                  </m:e>
                                  <m:sub>
                                    <m:r>
                                      <a:rPr lang="en-AU" sz="1000" i="1">
                                        <a:latin typeface="Cambria Math" panose="02040503050406030204" pitchFamily="18" charset="0"/>
                                      </a:rPr>
                                      <m:t>𝑀</m:t>
                                    </m:r>
                                  </m:sub>
                                </m:sSub>
                                <m:r>
                                  <a:rPr lang="en-AU" sz="1000" i="1">
                                    <a:latin typeface="Cambria Math" panose="02040503050406030204" pitchFamily="18" charset="0"/>
                                  </a:rPr>
                                  <m:t>𝑆</m:t>
                                </m:r>
                              </m:e>
                            </m:d>
                          </m:e>
                        </m:nary>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50E46A7E-5E30-4BAC-AABD-7EDD78F03D87}"/>
                </a:ext>
              </a:extLst>
            </xdr:cNvPr>
            <xdr:cNvSpPr txBox="1"/>
          </xdr:nvSpPr>
          <xdr:spPr>
            <a:xfrm>
              <a:off x="2633662" y="1895475"/>
              <a:ext cx="40793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𝑀_(𝑙𝑒𝑎𝑐ℎ,𝑚=14)=∑_𝑗▒∑_𝑘▒(𝑀𝑁_(𝑗𝑘𝑚=14,𝑇=1)×𝐹𝑟𝑎𝑐𝑊𝑒𝑡×𝐹𝑟𝑎𝑐𝐿𝐸𝐴𝐶𝐻_𝑀 𝑆) </a:t>
              </a:r>
              <a:endParaRPr lang="en-AU" sz="1000"/>
            </a:p>
          </xdr:txBody>
        </xdr:sp>
      </mc:Fallback>
    </mc:AlternateContent>
    <xdr:clientData/>
  </xdr:oneCellAnchor>
  <xdr:oneCellAnchor>
    <xdr:from>
      <xdr:col>2</xdr:col>
      <xdr:colOff>280987</xdr:colOff>
      <xdr:row>37</xdr:row>
      <xdr:rowOff>104775</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3C9727A-5FA4-4C20-B11A-DBECC62368B6}"/>
                </a:ext>
              </a:extLst>
            </xdr:cNvPr>
            <xdr:cNvSpPr txBox="1"/>
          </xdr:nvSpPr>
          <xdr:spPr>
            <a:xfrm>
              <a:off x="2643187" y="9401175"/>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=14</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63C9727A-5FA4-4C20-B11A-DBECC62368B6}"/>
                </a:ext>
              </a:extLst>
            </xdr:cNvPr>
            <xdr:cNvSpPr txBox="1"/>
          </xdr:nvSpPr>
          <xdr:spPr>
            <a:xfrm>
              <a:off x="2643187" y="9401175"/>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𝐸_(𝑁2𝑂,𝑙𝑒𝑎𝑐ℎ)=𝑀_(𝑙𝑒𝑎𝑐ℎ,𝑚=14)×𝐸𝐹_𝑙𝑒𝑎𝑐ℎ×𝐶_𝑁2𝑂×10^(−3)</a:t>
              </a:r>
              <a:endParaRPr lang="en-AU" sz="10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6A2CAE9-C219-4243-A947-69E56DB8CD3C}"/>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F6A2CAE9-C219-4243-A947-69E56DB8CD3C}"/>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D7657A5-8D11-4791-A481-14F02CC51220}"/>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𝑡𝑞𝑔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1D7657A5-8D11-4791-A481-14F02CC51220}"/>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0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A3C7E9F-0B45-4175-89E1-3FDBB65EE18A}"/>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5A3C7E9F-0B45-4175-89E1-3FDBB65EE18A}"/>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0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E851D16-E770-4392-84CB-E08B41500B4E}"/>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CE851D16-E770-4392-84CB-E08B41500B4E}"/>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0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5263DAC-2B66-41F9-B6C3-70F9D4667EEA}"/>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C5263DAC-2B66-41F9-B6C3-70F9D4667EEA}"/>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0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B48194A-8CDE-4659-B404-59E4672C99E1}"/>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𝑤𝑡</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𝑉</m:t>
                        </m:r>
                      </m:e>
                      <m:sub>
                        <m:r>
                          <a:rPr lang="en-AU" sz="1000" i="1">
                            <a:latin typeface="Cambria Math" panose="02040503050406030204" pitchFamily="18" charset="0"/>
                          </a:rPr>
                          <m:t>𝑤𝑡</m:t>
                        </m:r>
                      </m:sub>
                    </m:sSub>
                    <m:r>
                      <a:rPr lang="en-AU" sz="1000" i="1">
                        <a:latin typeface="Cambria Math" panose="02040503050406030204" pitchFamily="18" charset="0"/>
                      </a:rPr>
                      <m:t>×</m:t>
                    </m:r>
                    <m:r>
                      <a:rPr lang="en-AU" sz="1000" i="1">
                        <a:latin typeface="Cambria Math" panose="02040503050406030204" pitchFamily="18" charset="0"/>
                      </a:rPr>
                      <m:t>𝑉𝑇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𝑤</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5B48194A-8CDE-4659-B404-59E4672C99E1}"/>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𝑄_𝑤𝑡=𝑉_𝑤𝑡×𝑉𝑇𝑀_𝑤</a:t>
              </a:r>
              <a:endParaRPr lang="en-AU" sz="10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6F589E4-ACC7-4387-AD47-4B8E7F3D70BF}"/>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𝑔</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𝑡</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𝑤</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𝑤𝑡</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𝑤𝑡𝑔</m:t>
                                    </m:r>
                                  </m:sub>
                                </m:sSub>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96F589E4-ACC7-4387-AD47-4B8E7F3D70BF}"/>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𝐸_𝑔=∑2_𝑡▒∑2_𝑤▒(𝑄_𝑤𝑡×𝐸𝐹_𝑤𝑡𝑔 ) </a:t>
              </a:r>
              <a:endParaRPr lang="en-AU" sz="1000"/>
            </a:p>
          </xdr:txBody>
        </xdr:sp>
      </mc:Fallback>
    </mc:AlternateContent>
    <xdr:clientData/>
  </xdr:oneCellAnchor>
</xdr:wsDr>
</file>

<file path=xl/drawings/drawing14.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79F6671-8343-4609-95A8-C06FA4DB46FD}"/>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F79F6671-8343-4609-95A8-C06FA4DB46FD}"/>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8DA188B-A18F-44FD-A06A-6CDC9793CD6C}"/>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18DA188B-A18F-44FD-A06A-6CDC9793CD6C}"/>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𝐸_(2,𝑒𝑙𝑒𝑐)=𝑄_𝑒𝑙𝑒𝑐×𝐸𝐹_(2,𝑒𝑙𝑒𝑐)×10^(−3)</a:t>
              </a:r>
              <a:endParaRPr lang="en-AU" sz="10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8D2B304-2A06-42AF-B386-B80E06998FEF}"/>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78D2B304-2A06-42AF-B386-B80E06998FEF}"/>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0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D0F5ACD-363C-461B-AD8B-B1B32CCA1E18}"/>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AU" sz="1000" b="0" i="1">
                        <a:solidFill>
                          <a:srgbClr val="C00000"/>
                        </a:solidFill>
                        <a:latin typeface="Cambria Math" panose="02040503050406030204" pitchFamily="18" charset="0"/>
                      </a:rPr>
                      <m:t>ORIGINAL</m:t>
                    </m:r>
                    <m:r>
                      <a:rPr lang="en-AU" sz="1000" b="0" i="1">
                        <a:solidFill>
                          <a:srgbClr val="C00000"/>
                        </a:solidFill>
                        <a:latin typeface="Cambria Math" panose="02040503050406030204" pitchFamily="18" charset="0"/>
                      </a:rPr>
                      <m:t>: </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5D0F5ACD-363C-461B-AD8B-B1B32CCA1E18}"/>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solidFill>
                    <a:srgbClr val="C00000"/>
                  </a:solidFill>
                  <a:latin typeface="Cambria Math" panose="02040503050406030204" pitchFamily="18" charset="0"/>
                </a:rPr>
                <a:t>ORIGINAL: </a:t>
              </a:r>
              <a:r>
                <a:rPr lang="en-AU" sz="10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000"/>
            </a:p>
          </xdr:txBody>
        </xdr:sp>
      </mc:Fallback>
    </mc:AlternateContent>
    <xdr:clientData/>
  </xdr:oneCellAnchor>
</xdr:wsDr>
</file>

<file path=xl/drawings/drawing15.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0180D3D-B192-4B31-B370-ACC6EC67021B}"/>
                </a:ext>
              </a:extLst>
            </xdr:cNvPr>
            <xdr:cNvSpPr txBox="1"/>
          </xdr:nvSpPr>
          <xdr:spPr>
            <a:xfrm>
              <a:off x="3091237"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𝑜</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𝑐𝑜</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𝑐𝑜</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𝑐𝑜</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70180D3D-B192-4B31-B370-ACC6EC67021B}"/>
                </a:ext>
              </a:extLst>
            </xdr:cNvPr>
            <xdr:cNvSpPr txBox="1"/>
          </xdr:nvSpPr>
          <xdr:spPr>
            <a:xfrm>
              <a:off x="3091237"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𝐸=∑2_𝑐▒∑2_𝑜▒(𝑁_𝑐𝑜×𝑊_𝑐𝑜×𝐸𝐹_𝑐𝑜 ) ×10^(−3)</a:t>
              </a:r>
              <a:endParaRPr lang="en-AU" sz="1000"/>
            </a:p>
          </xdr:txBody>
        </xdr:sp>
      </mc:Fallback>
    </mc:AlternateContent>
    <xdr:clientData/>
  </xdr:oneCellAnchor>
  <xdr:oneCellAnchor>
    <xdr:from>
      <xdr:col>3</xdr:col>
      <xdr:colOff>43237</xdr:colOff>
      <xdr:row>101</xdr:row>
      <xdr:rowOff>61924</xdr:rowOff>
    </xdr:from>
    <xdr:ext cx="165102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DBB16C3-FC45-42D5-8FA1-5A0CA8934FFA}"/>
                </a:ext>
              </a:extLst>
            </xdr:cNvPr>
            <xdr:cNvSpPr txBox="1"/>
          </xdr:nvSpPr>
          <xdr:spPr>
            <a:xfrm>
              <a:off x="3091237"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3DBB16C3-FC45-42D5-8FA1-5A0CA8934FFA}"/>
                </a:ext>
              </a:extLst>
            </xdr:cNvPr>
            <xdr:cNvSpPr txBox="1"/>
          </xdr:nvSpPr>
          <xdr:spPr>
            <a:xfrm>
              <a:off x="3091237"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𝐸=∑2_𝑗▒(𝑄_𝑗×𝐸𝐹_𝑗 ) ×10^(−3)</a:t>
              </a:r>
              <a:endParaRPr lang="en-AU" sz="1000"/>
            </a:p>
          </xdr:txBody>
        </xdr:sp>
      </mc:Fallback>
    </mc:AlternateContent>
    <xdr:clientData/>
  </xdr:oneCellAnchor>
  <xdr:oneCellAnchor>
    <xdr:from>
      <xdr:col>3</xdr:col>
      <xdr:colOff>43237</xdr:colOff>
      <xdr:row>166</xdr:row>
      <xdr:rowOff>61924</xdr:rowOff>
    </xdr:from>
    <xdr:ext cx="1780296" cy="31290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9A4534C-CE36-46CA-AAEA-B07620CA3752}"/>
                </a:ext>
              </a:extLst>
            </xdr:cNvPr>
            <xdr:cNvSpPr txBox="1"/>
          </xdr:nvSpPr>
          <xdr:spPr>
            <a:xfrm>
              <a:off x="3091237"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59A4534C-CE36-46CA-AAEA-B07620CA3752}"/>
                </a:ext>
              </a:extLst>
            </xdr:cNvPr>
            <xdr:cNvSpPr txBox="1"/>
          </xdr:nvSpPr>
          <xdr:spPr>
            <a:xfrm>
              <a:off x="3091237"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𝐸=∑2_𝑚▒(𝑄_𝑚×𝐸𝐹_𝑚 ) ×10^(−3)</a:t>
              </a:r>
              <a:endParaRPr lang="en-AU" sz="1000"/>
            </a:p>
          </xdr:txBody>
        </xdr:sp>
      </mc:Fallback>
    </mc:AlternateContent>
    <xdr:clientData/>
  </xdr:oneCellAnchor>
  <xdr:oneCellAnchor>
    <xdr:from>
      <xdr:col>3</xdr:col>
      <xdr:colOff>43237</xdr:colOff>
      <xdr:row>203</xdr:row>
      <xdr:rowOff>61924</xdr:rowOff>
    </xdr:from>
    <xdr:ext cx="2099229"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8D1A4FDC-1FA9-4E40-80E9-4A7EFC02AB6F}"/>
                </a:ext>
              </a:extLst>
            </xdr:cNvPr>
            <xdr:cNvSpPr txBox="1"/>
          </xdr:nvSpPr>
          <xdr:spPr>
            <a:xfrm>
              <a:off x="3091237"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8D1A4FDC-1FA9-4E40-80E9-4A7EFC02AB6F}"/>
                </a:ext>
              </a:extLst>
            </xdr:cNvPr>
            <xdr:cNvSpPr txBox="1"/>
          </xdr:nvSpPr>
          <xdr:spPr>
            <a:xfrm>
              <a:off x="3091237"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𝐸=∑2_𝑓▒∑2_𝑗▒(𝑇𝑀_𝑗𝑓×𝐸𝐹_𝑓 ) ×10^(−3)</a:t>
              </a:r>
              <a:endParaRPr lang="en-AU" sz="1000"/>
            </a:p>
          </xdr:txBody>
        </xdr:sp>
      </mc:Fallback>
    </mc:AlternateContent>
    <xdr:clientData/>
  </xdr:oneCellAnchor>
  <xdr:oneCellAnchor>
    <xdr:from>
      <xdr:col>4</xdr:col>
      <xdr:colOff>1999881</xdr:colOff>
      <xdr:row>218</xdr:row>
      <xdr:rowOff>51204</xdr:rowOff>
    </xdr:from>
    <xdr:ext cx="2458430" cy="256032"/>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9B13A81E-6517-4AA3-8CDC-C299FDC9EB29}"/>
                </a:ext>
              </a:extLst>
            </xdr:cNvPr>
            <xdr:cNvSpPr txBox="1"/>
          </xdr:nvSpPr>
          <xdr:spPr>
            <a:xfrm>
              <a:off x="708623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C00000"/>
                  </a:solidFill>
                </a:rPr>
                <a:t>ORIGINAL:</a:t>
              </a:r>
              <a:r>
                <a:rPr lang="en-AU" sz="1000" baseline="0"/>
                <a:t>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f>
                                    <m:fPr>
                                      <m:ctrlPr>
                                        <a:rPr lang="en-AU" sz="1000" i="1">
                                          <a:latin typeface="Cambria Math" panose="02040503050406030204" pitchFamily="18" charset="0"/>
                                        </a:rPr>
                                      </m:ctrlPr>
                                    </m:fPr>
                                    <m:num>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num>
                                    <m:den>
                                      <m:r>
                                        <a:rPr lang="en-AU" sz="1000" i="1">
                                          <a:latin typeface="Cambria Math" panose="02040503050406030204" pitchFamily="18" charset="0"/>
                                        </a:rPr>
                                        <m:t>100</m:t>
                                      </m:r>
                                    </m:den>
                                  </m:f>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e>
                      </m:nary>
                    </m:e>
                  </m:nary>
                </m:oMath>
              </a14:m>
              <a:endParaRPr lang="en-AU" sz="1000"/>
            </a:p>
          </xdr:txBody>
        </xdr:sp>
      </mc:Choice>
      <mc:Fallback xmlns="">
        <xdr:sp macro="" textlink="">
          <xdr:nvSpPr>
            <xdr:cNvPr id="6" name="TextBox 5">
              <a:extLst>
                <a:ext uri="{FF2B5EF4-FFF2-40B4-BE49-F238E27FC236}">
                  <a16:creationId xmlns:a16="http://schemas.microsoft.com/office/drawing/2014/main" id="{9B13A81E-6517-4AA3-8CDC-C299FDC9EB29}"/>
                </a:ext>
              </a:extLst>
            </xdr:cNvPr>
            <xdr:cNvSpPr txBox="1"/>
          </xdr:nvSpPr>
          <xdr:spPr>
            <a:xfrm>
              <a:off x="708623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C00000"/>
                  </a:solidFill>
                </a:rPr>
                <a:t>ORIGINAL:</a:t>
              </a:r>
              <a:r>
                <a:rPr lang="en-AU" sz="1000" baseline="0"/>
                <a:t> </a:t>
              </a:r>
              <a:r>
                <a:rPr lang="en-AU" sz="1000" i="0">
                  <a:latin typeface="Cambria Math" panose="02040503050406030204" pitchFamily="18" charset="0"/>
                </a:rPr>
                <a:t>𝐸=∑2_𝑓▒∑2_𝑐▒∑2_𝑗▒((𝐹_𝑐𝑓×𝑇𝑀_𝑗𝑓)/100×𝐸𝐹_𝑐 ) </a:t>
              </a:r>
              <a:endParaRPr lang="en-AU" sz="1000"/>
            </a:p>
          </xdr:txBody>
        </xdr:sp>
      </mc:Fallback>
    </mc:AlternateContent>
    <xdr:clientData/>
  </xdr:oneCellAnchor>
  <xdr:oneCellAnchor>
    <xdr:from>
      <xdr:col>3</xdr:col>
      <xdr:colOff>2070</xdr:colOff>
      <xdr:row>218</xdr:row>
      <xdr:rowOff>60464</xdr:rowOff>
    </xdr:from>
    <xdr:ext cx="2708818" cy="33207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85E92EC-8086-4725-B6ED-22E7DDFF0028}"/>
                </a:ext>
              </a:extLst>
            </xdr:cNvPr>
            <xdr:cNvSpPr txBox="1"/>
          </xdr:nvSpPr>
          <xdr:spPr>
            <a:xfrm>
              <a:off x="3050070"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7" name="TextBox 6">
              <a:extLst>
                <a:ext uri="{FF2B5EF4-FFF2-40B4-BE49-F238E27FC236}">
                  <a16:creationId xmlns:a16="http://schemas.microsoft.com/office/drawing/2014/main" id="{585E92EC-8086-4725-B6ED-22E7DDFF0028}"/>
                </a:ext>
              </a:extLst>
            </xdr:cNvPr>
            <xdr:cNvSpPr txBox="1"/>
          </xdr:nvSpPr>
          <xdr:spPr>
            <a:xfrm>
              <a:off x="3050070"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𝐸=∑2_𝑓▒∑2_𝑐▒∑2_𝑗▒(𝐹_𝑐𝑓×𝑇𝑀_𝑗𝑓×𝐸𝐹_𝑐 ) ×10^(−3)</a:t>
              </a:r>
              <a:endParaRPr lang="en-AU" sz="1000"/>
            </a:p>
          </xdr:txBody>
        </xdr:sp>
      </mc:Fallback>
    </mc:AlternateContent>
    <xdr:clientData/>
  </xdr:oneCellAnchor>
  <xdr:oneCellAnchor>
    <xdr:from>
      <xdr:col>3</xdr:col>
      <xdr:colOff>19050</xdr:colOff>
      <xdr:row>189</xdr:row>
      <xdr:rowOff>114300</xdr:rowOff>
    </xdr:from>
    <xdr:ext cx="1375312" cy="31290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AB65FF77-1AD9-48AE-B79B-59D6AC45E324}"/>
                </a:ext>
              </a:extLst>
            </xdr:cNvPr>
            <xdr:cNvSpPr txBox="1"/>
          </xdr:nvSpPr>
          <xdr:spPr>
            <a:xfrm>
              <a:off x="3067050"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oMath>
                </m:oMathPara>
              </a14:m>
              <a:endParaRPr lang="en-AU" sz="1000"/>
            </a:p>
          </xdr:txBody>
        </xdr:sp>
      </mc:Choice>
      <mc:Fallback xmlns="">
        <xdr:sp macro="" textlink="">
          <xdr:nvSpPr>
            <xdr:cNvPr id="8" name="TextBox 7">
              <a:extLst>
                <a:ext uri="{FF2B5EF4-FFF2-40B4-BE49-F238E27FC236}">
                  <a16:creationId xmlns:a16="http://schemas.microsoft.com/office/drawing/2014/main" id="{AB65FF77-1AD9-48AE-B79B-59D6AC45E324}"/>
                </a:ext>
              </a:extLst>
            </xdr:cNvPr>
            <xdr:cNvSpPr txBox="1"/>
          </xdr:nvSpPr>
          <xdr:spPr>
            <a:xfrm>
              <a:off x="3067050"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𝐸𝐹_𝑓=∑2_𝑐▒(𝐹_𝑐𝑓×𝐸𝐹_𝑐 ) </a:t>
              </a:r>
              <a:endParaRPr lang="en-AU" sz="1000"/>
            </a:p>
          </xdr:txBody>
        </xdr:sp>
      </mc:Fallback>
    </mc:AlternateContent>
    <xdr:clientData/>
  </xdr:oneCellAnchor>
  <xdr:oneCellAnchor>
    <xdr:from>
      <xdr:col>3</xdr:col>
      <xdr:colOff>19051</xdr:colOff>
      <xdr:row>273</xdr:row>
      <xdr:rowOff>153521</xdr:rowOff>
    </xdr:from>
    <xdr:ext cx="1698157" cy="3129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66C2AA43-954D-400F-AF70-48CD262B7372}"/>
                </a:ext>
              </a:extLst>
            </xdr:cNvPr>
            <xdr:cNvSpPr txBox="1"/>
          </xdr:nvSpPr>
          <xdr:spPr>
            <a:xfrm>
              <a:off x="3067051" y="67895321"/>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ℎ</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ℎ</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ℎ</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9" name="TextBox 8">
              <a:extLst>
                <a:ext uri="{FF2B5EF4-FFF2-40B4-BE49-F238E27FC236}">
                  <a16:creationId xmlns:a16="http://schemas.microsoft.com/office/drawing/2014/main" id="{66C2AA43-954D-400F-AF70-48CD262B7372}"/>
                </a:ext>
              </a:extLst>
            </xdr:cNvPr>
            <xdr:cNvSpPr txBox="1"/>
          </xdr:nvSpPr>
          <xdr:spPr>
            <a:xfrm>
              <a:off x="3067051" y="67895321"/>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𝐸=∑2_ℎ▒(𝑄_ℎ×𝐸𝐹_ℎ ) ×10^(−3)</a:t>
              </a:r>
              <a:endParaRPr lang="en-AU" sz="1000"/>
            </a:p>
          </xdr:txBody>
        </xdr:sp>
      </mc:Fallback>
    </mc:AlternateContent>
    <xdr:clientData/>
  </xdr:oneCellAnchor>
  <xdr:oneCellAnchor>
    <xdr:from>
      <xdr:col>3</xdr:col>
      <xdr:colOff>30256</xdr:colOff>
      <xdr:row>305</xdr:row>
      <xdr:rowOff>97491</xdr:rowOff>
    </xdr:from>
    <xdr:ext cx="1022459" cy="17376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76FB5BF4-B951-45C3-B447-90CF86ABAD60}"/>
                </a:ext>
              </a:extLst>
            </xdr:cNvPr>
            <xdr:cNvSpPr txBox="1"/>
          </xdr:nvSpPr>
          <xdr:spPr>
            <a:xfrm>
              <a:off x="3078256" y="75764091"/>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m:t>
                        </m:r>
                      </m:sub>
                    </m:sSub>
                  </m:oMath>
                </m:oMathPara>
              </a14:m>
              <a:endParaRPr lang="en-AU" sz="1000"/>
            </a:p>
          </xdr:txBody>
        </xdr:sp>
      </mc:Choice>
      <mc:Fallback xmlns="">
        <xdr:sp macro="" textlink="">
          <xdr:nvSpPr>
            <xdr:cNvPr id="10" name="TextBox 9">
              <a:extLst>
                <a:ext uri="{FF2B5EF4-FFF2-40B4-BE49-F238E27FC236}">
                  <a16:creationId xmlns:a16="http://schemas.microsoft.com/office/drawing/2014/main" id="{76FB5BF4-B951-45C3-B447-90CF86ABAD60}"/>
                </a:ext>
              </a:extLst>
            </xdr:cNvPr>
            <xdr:cNvSpPr txBox="1"/>
          </xdr:nvSpPr>
          <xdr:spPr>
            <a:xfrm>
              <a:off x="3078256" y="75764091"/>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𝐸=𝑀_𝑙𝑖𝑚𝑒×𝐸𝐹_𝑙</a:t>
              </a:r>
              <a:endParaRPr lang="en-AU" sz="1000"/>
            </a:p>
          </xdr:txBody>
        </xdr:sp>
      </mc:Fallback>
    </mc:AlternateContent>
    <xdr:clientData/>
  </xdr:oneCellAnchor>
  <xdr:oneCellAnchor>
    <xdr:from>
      <xdr:col>3</xdr:col>
      <xdr:colOff>97491</xdr:colOff>
      <xdr:row>338</xdr:row>
      <xdr:rowOff>75080</xdr:rowOff>
    </xdr:from>
    <xdr:ext cx="1692515" cy="33150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60E93F7D-6C43-4885-968D-A764D88576E8}"/>
                </a:ext>
              </a:extLst>
            </xdr:cNvPr>
            <xdr:cNvSpPr txBox="1"/>
          </xdr:nvSpPr>
          <xdr:spPr>
            <a:xfrm>
              <a:off x="3145491" y="839141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𝑝</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1" name="TextBox 10">
              <a:extLst>
                <a:ext uri="{FF2B5EF4-FFF2-40B4-BE49-F238E27FC236}">
                  <a16:creationId xmlns:a16="http://schemas.microsoft.com/office/drawing/2014/main" id="{60E93F7D-6C43-4885-968D-A764D88576E8}"/>
                </a:ext>
              </a:extLst>
            </xdr:cNvPr>
            <xdr:cNvSpPr txBox="1"/>
          </xdr:nvSpPr>
          <xdr:spPr>
            <a:xfrm>
              <a:off x="3145491" y="839141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𝐸=∑2_𝑝▒(𝐴_𝑝×𝐸𝐹_𝑝 ) ×10^(−3)</a:t>
              </a:r>
              <a:endParaRPr lang="en-AU" sz="1000"/>
            </a:p>
          </xdr:txBody>
        </xdr:sp>
      </mc:Fallback>
    </mc:AlternateContent>
    <xdr:clientData/>
  </xdr:oneCellAnchor>
  <xdr:oneCellAnchor>
    <xdr:from>
      <xdr:col>3</xdr:col>
      <xdr:colOff>63874</xdr:colOff>
      <xdr:row>370</xdr:row>
      <xdr:rowOff>119902</xdr:rowOff>
    </xdr:from>
    <xdr:ext cx="1694117" cy="33150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A2223F53-DD85-46AF-B141-41E6D01E4CF0}"/>
                </a:ext>
              </a:extLst>
            </xdr:cNvPr>
            <xdr:cNvSpPr txBox="1"/>
          </xdr:nvSpPr>
          <xdr:spPr>
            <a:xfrm>
              <a:off x="3111874" y="9188375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𝑝</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2" name="TextBox 11">
              <a:extLst>
                <a:ext uri="{FF2B5EF4-FFF2-40B4-BE49-F238E27FC236}">
                  <a16:creationId xmlns:a16="http://schemas.microsoft.com/office/drawing/2014/main" id="{A2223F53-DD85-46AF-B141-41E6D01E4CF0}"/>
                </a:ext>
              </a:extLst>
            </xdr:cNvPr>
            <xdr:cNvSpPr txBox="1"/>
          </xdr:nvSpPr>
          <xdr:spPr>
            <a:xfrm>
              <a:off x="3111874" y="9188375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𝐸=∑2_𝑝▒(𝑄_𝑝×𝐸𝐹_𝑝 ) ×10^(−3)</a:t>
              </a:r>
              <a:endParaRPr lang="en-AU" sz="1000"/>
            </a:p>
          </xdr:txBody>
        </xdr:sp>
      </mc:Fallback>
    </mc:AlternateContent>
    <xdr:clientData/>
  </xdr:oneCellAnchor>
  <xdr:oneCellAnchor>
    <xdr:from>
      <xdr:col>3</xdr:col>
      <xdr:colOff>41461</xdr:colOff>
      <xdr:row>400</xdr:row>
      <xdr:rowOff>131109</xdr:rowOff>
    </xdr:from>
    <xdr:ext cx="1698863" cy="332207"/>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29C75BC0-7FAC-41BA-BAE9-A12BAE9AD092}"/>
                </a:ext>
              </a:extLst>
            </xdr:cNvPr>
            <xdr:cNvSpPr txBox="1"/>
          </xdr:nvSpPr>
          <xdr:spPr>
            <a:xfrm>
              <a:off x="3089461" y="993244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𝑔</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𝑔</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𝑔</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3" name="TextBox 12">
              <a:extLst>
                <a:ext uri="{FF2B5EF4-FFF2-40B4-BE49-F238E27FC236}">
                  <a16:creationId xmlns:a16="http://schemas.microsoft.com/office/drawing/2014/main" id="{29C75BC0-7FAC-41BA-BAE9-A12BAE9AD092}"/>
                </a:ext>
              </a:extLst>
            </xdr:cNvPr>
            <xdr:cNvSpPr txBox="1"/>
          </xdr:nvSpPr>
          <xdr:spPr>
            <a:xfrm>
              <a:off x="3089461" y="993244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𝐸=∑2_𝑔▒(𝑄_𝑔×𝐸𝐹_𝑔 ) ×10^(−3)</a:t>
              </a:r>
              <a:endParaRPr lang="en-AU" sz="1000"/>
            </a:p>
          </xdr:txBody>
        </xdr:sp>
      </mc:Fallback>
    </mc:AlternateContent>
    <xdr:clientData/>
  </xdr:oneCellAnchor>
  <xdr:oneCellAnchor>
    <xdr:from>
      <xdr:col>3</xdr:col>
      <xdr:colOff>28575</xdr:colOff>
      <xdr:row>433</xdr:row>
      <xdr:rowOff>114299</xdr:rowOff>
    </xdr:from>
    <xdr:ext cx="2929969" cy="17376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481C335A-9AA1-4E1B-A198-3FF83FBD96A3}"/>
                </a:ext>
              </a:extLst>
            </xdr:cNvPr>
            <xdr:cNvSpPr txBox="1"/>
          </xdr:nvSpPr>
          <xdr:spPr>
            <a:xfrm>
              <a:off x="3076575" y="1074800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𝑒𝑚𝑖𝑠𝑠𝑖𝑜𝑛𝑠</m:t>
                    </m:r>
                    <m:r>
                      <a:rPr lang="en-AU" sz="1000" i="1">
                        <a:latin typeface="Cambria Math" panose="02040503050406030204" pitchFamily="18" charset="0"/>
                      </a:rPr>
                      <m:t>=</m:t>
                    </m:r>
                    <m:r>
                      <a:rPr lang="en-AU" sz="1000" i="1">
                        <a:latin typeface="Cambria Math" panose="02040503050406030204" pitchFamily="18" charset="0"/>
                      </a:rPr>
                      <m:t>𝑎𝑐𝑡𝑖𝑣𝑖𝑡𝑦</m:t>
                    </m:r>
                    <m:r>
                      <m:rPr>
                        <m:lit/>
                      </m:rPr>
                      <a:rPr lang="en-AU" sz="1000" i="1">
                        <a:latin typeface="Cambria Math" panose="02040503050406030204" pitchFamily="18" charset="0"/>
                      </a:rPr>
                      <m:t>_</m:t>
                    </m:r>
                    <m:r>
                      <a:rPr lang="en-AU" sz="1000" i="1">
                        <a:latin typeface="Cambria Math" panose="02040503050406030204" pitchFamily="18" charset="0"/>
                      </a:rPr>
                      <m:t>𝑑𝑎𝑡𝑎</m:t>
                    </m:r>
                    <m:r>
                      <a:rPr lang="en-AU" sz="1000" i="1">
                        <a:latin typeface="Cambria Math" panose="02040503050406030204" pitchFamily="18" charset="0"/>
                      </a:rPr>
                      <m:t>×</m:t>
                    </m:r>
                    <m:r>
                      <a:rPr lang="en-AU" sz="1000" i="1">
                        <a:latin typeface="Cambria Math" panose="02040503050406030204" pitchFamily="18" charset="0"/>
                      </a:rPr>
                      <m:t>𝑒𝑚𝑖𝑠𝑠𝑖𝑜𝑛</m:t>
                    </m:r>
                    <m:r>
                      <m:rPr>
                        <m:lit/>
                      </m:rPr>
                      <a:rPr lang="en-AU" sz="1000" i="1">
                        <a:latin typeface="Cambria Math" panose="02040503050406030204" pitchFamily="18" charset="0"/>
                      </a:rPr>
                      <m:t>_</m:t>
                    </m:r>
                    <m:r>
                      <a:rPr lang="en-AU" sz="1000" i="1">
                        <a:latin typeface="Cambria Math" panose="02040503050406030204" pitchFamily="18" charset="0"/>
                      </a:rPr>
                      <m:t>𝑓𝑎𝑐𝑡𝑜𝑟</m:t>
                    </m:r>
                    <m:r>
                      <a:rPr lang="en-AU" sz="1000" i="1">
                        <a:latin typeface="Cambria Math" panose="02040503050406030204" pitchFamily="18" charset="0"/>
                      </a:rPr>
                      <m:t> </m:t>
                    </m:r>
                  </m:oMath>
                </m:oMathPara>
              </a14:m>
              <a:endParaRPr lang="en-AU" sz="1000"/>
            </a:p>
          </xdr:txBody>
        </xdr:sp>
      </mc:Choice>
      <mc:Fallback xmlns="">
        <xdr:sp macro="" textlink="">
          <xdr:nvSpPr>
            <xdr:cNvPr id="14" name="TextBox 13">
              <a:extLst>
                <a:ext uri="{FF2B5EF4-FFF2-40B4-BE49-F238E27FC236}">
                  <a16:creationId xmlns:a16="http://schemas.microsoft.com/office/drawing/2014/main" id="{481C335A-9AA1-4E1B-A198-3FF83FBD96A3}"/>
                </a:ext>
              </a:extLst>
            </xdr:cNvPr>
            <xdr:cNvSpPr txBox="1"/>
          </xdr:nvSpPr>
          <xdr:spPr>
            <a:xfrm>
              <a:off x="3076575" y="1074800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𝑒𝑚𝑖𝑠𝑠𝑖𝑜𝑛𝑠=𝑎𝑐𝑡𝑖𝑣𝑖𝑡𝑦\_𝑑𝑎𝑡𝑎×𝑒𝑚𝑖𝑠𝑠𝑖𝑜𝑛\_𝑓𝑎𝑐𝑡𝑜𝑟 </a:t>
              </a:r>
              <a:endParaRPr lang="en-AU" sz="1000"/>
            </a:p>
          </xdr:txBody>
        </xdr:sp>
      </mc:Fallback>
    </mc:AlternateContent>
    <xdr:clientData/>
  </xdr:oneCellAnchor>
  <xdr:oneCellAnchor>
    <xdr:from>
      <xdr:col>3</xdr:col>
      <xdr:colOff>30257</xdr:colOff>
      <xdr:row>523</xdr:row>
      <xdr:rowOff>103094</xdr:rowOff>
    </xdr:from>
    <xdr:ext cx="2229713" cy="33150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CEE1465B-23DB-4245-86A2-8090CE8604E6}"/>
                </a:ext>
              </a:extLst>
            </xdr:cNvPr>
            <xdr:cNvSpPr txBox="1"/>
          </xdr:nvSpPr>
          <xdr:spPr>
            <a:xfrm>
              <a:off x="3078257" y="129757394"/>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𝑞</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𝑊𝑇𝑇</m:t>
                            </m:r>
                            <m:r>
                              <a:rPr lang="en-AU" sz="1000" i="1">
                                <a:latin typeface="Cambria Math" panose="02040503050406030204" pitchFamily="18" charset="0"/>
                              </a:rPr>
                              <m:t>,</m:t>
                            </m:r>
                            <m:r>
                              <a:rPr lang="en-AU" sz="1000" i="1">
                                <a:latin typeface="Cambria Math" panose="02040503050406030204" pitchFamily="18" charset="0"/>
                              </a:rPr>
                              <m:t>𝑡𝑟𝑎𝑛𝑠</m:t>
                            </m:r>
                            <m:r>
                              <a:rPr lang="en-AU" sz="1000" i="1">
                                <a:latin typeface="Cambria Math" panose="02040503050406030204" pitchFamily="18" charset="0"/>
                              </a:rPr>
                              <m:t>,</m:t>
                            </m:r>
                            <m:r>
                              <a:rPr lang="en-AU" sz="1000" i="1">
                                <a:latin typeface="Cambria Math" panose="02040503050406030204" pitchFamily="18" charset="0"/>
                              </a:rPr>
                              <m:t>𝑞</m:t>
                            </m:r>
                          </m:sub>
                        </m:sSub>
                      </m:e>
                    </m:nary>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𝑞</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𝑊𝑇𝑇</m:t>
                            </m:r>
                            <m:r>
                              <a:rPr lang="en-AU" sz="1000" i="1">
                                <a:latin typeface="Cambria Math" panose="02040503050406030204" pitchFamily="18" charset="0"/>
                              </a:rPr>
                              <m:t>,</m:t>
                            </m:r>
                            <m:r>
                              <a:rPr lang="en-AU" sz="1000" i="1">
                                <a:latin typeface="Cambria Math" panose="02040503050406030204" pitchFamily="18" charset="0"/>
                              </a:rPr>
                              <m:t>𝑆𝐶</m:t>
                            </m:r>
                            <m:r>
                              <a:rPr lang="en-AU" sz="1000" i="1">
                                <a:latin typeface="Cambria Math" panose="02040503050406030204" pitchFamily="18" charset="0"/>
                              </a:rPr>
                              <m:t>,</m:t>
                            </m:r>
                            <m:r>
                              <a:rPr lang="en-AU" sz="1000" i="1">
                                <a:latin typeface="Cambria Math" panose="02040503050406030204" pitchFamily="18" charset="0"/>
                              </a:rPr>
                              <m:t>𝑞</m:t>
                            </m:r>
                          </m:sub>
                        </m:sSub>
                      </m:e>
                    </m:nary>
                  </m:oMath>
                </m:oMathPara>
              </a14:m>
              <a:endParaRPr lang="en-AU" sz="1000"/>
            </a:p>
          </xdr:txBody>
        </xdr:sp>
      </mc:Choice>
      <mc:Fallback xmlns="">
        <xdr:sp macro="" textlink="">
          <xdr:nvSpPr>
            <xdr:cNvPr id="15" name="TextBox 14">
              <a:extLst>
                <a:ext uri="{FF2B5EF4-FFF2-40B4-BE49-F238E27FC236}">
                  <a16:creationId xmlns:a16="http://schemas.microsoft.com/office/drawing/2014/main" id="{CEE1465B-23DB-4245-86A2-8090CE8604E6}"/>
                </a:ext>
              </a:extLst>
            </xdr:cNvPr>
            <xdr:cNvSpPr txBox="1"/>
          </xdr:nvSpPr>
          <xdr:spPr>
            <a:xfrm>
              <a:off x="3078257" y="129757394"/>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𝐸=∑2_𝑞▒𝐸_(𝑊𝑇𝑇,𝑡𝑟𝑎𝑛𝑠,𝑞) +∑2_𝑞▒𝐸_(𝑊𝑇𝑇,𝑆𝐶,𝑞) </a:t>
              </a:r>
              <a:endParaRPr lang="en-AU" sz="1000"/>
            </a:p>
          </xdr:txBody>
        </xdr:sp>
      </mc:Fallback>
    </mc:AlternateContent>
    <xdr:clientData/>
  </xdr:oneCellAnchor>
  <xdr:oneCellAnchor>
    <xdr:from>
      <xdr:col>3</xdr:col>
      <xdr:colOff>30256</xdr:colOff>
      <xdr:row>538</xdr:row>
      <xdr:rowOff>80682</xdr:rowOff>
    </xdr:from>
    <xdr:ext cx="1958037" cy="180114"/>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4962C935-EE74-4D13-AE4B-E87FD2EB2C26}"/>
                </a:ext>
              </a:extLst>
            </xdr:cNvPr>
            <xdr:cNvSpPr txBox="1"/>
          </xdr:nvSpPr>
          <xdr:spPr>
            <a:xfrm>
              <a:off x="3078256" y="13344973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6" name="TextBox 15">
              <a:extLst>
                <a:ext uri="{FF2B5EF4-FFF2-40B4-BE49-F238E27FC236}">
                  <a16:creationId xmlns:a16="http://schemas.microsoft.com/office/drawing/2014/main" id="{4962C935-EE74-4D13-AE4B-E87FD2EB2C26}"/>
                </a:ext>
              </a:extLst>
            </xdr:cNvPr>
            <xdr:cNvSpPr txBox="1"/>
          </xdr:nvSpPr>
          <xdr:spPr>
            <a:xfrm>
              <a:off x="3078256" y="13344973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𝐸_(3,𝑒𝑙𝑒𝑐)=𝑄_𝑒𝑙𝑒𝑐×𝐸𝐹_(3,𝑒𝑙𝑒𝑐)×10^(−3)</a:t>
              </a:r>
              <a:endParaRPr lang="en-AU" sz="1000"/>
            </a:p>
          </xdr:txBody>
        </xdr:sp>
      </mc:Fallback>
    </mc:AlternateContent>
    <xdr:clientData/>
  </xdr:oneCellAnchor>
  <xdr:oneCellAnchor>
    <xdr:from>
      <xdr:col>5</xdr:col>
      <xdr:colOff>2137393</xdr:colOff>
      <xdr:row>555</xdr:row>
      <xdr:rowOff>162570</xdr:rowOff>
    </xdr:from>
    <xdr:ext cx="6938886" cy="191078"/>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47DA61FF-3156-4189-86F5-3467DBAE28CC}"/>
                </a:ext>
              </a:extLst>
            </xdr:cNvPr>
            <xdr:cNvSpPr txBox="1"/>
          </xdr:nvSpPr>
          <xdr:spPr>
            <a:xfrm>
              <a:off x="9166843" y="13774167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0" i="1">
                            <a:solidFill>
                              <a:srgbClr val="C00000"/>
                            </a:solidFill>
                            <a:latin typeface="Cambria Math" panose="02040503050406030204" pitchFamily="18" charset="0"/>
                          </a:rPr>
                        </m:ctrlPr>
                      </m:sSubPr>
                      <m:e>
                        <m:r>
                          <m:rPr>
                            <m:sty m:val="p"/>
                          </m:rPr>
                          <a:rPr lang="en-AU" sz="1000" b="0" i="1">
                            <a:solidFill>
                              <a:srgbClr val="C00000"/>
                            </a:solidFill>
                            <a:latin typeface="Cambria Math" panose="02040503050406030204" pitchFamily="18" charset="0"/>
                          </a:rPr>
                          <m:t>ORIGINAL</m:t>
                        </m:r>
                        <m:r>
                          <a:rPr lang="en-AU" sz="1000" b="0" i="1">
                            <a:solidFill>
                              <a:srgbClr val="C00000"/>
                            </a:solidFill>
                            <a:latin typeface="Cambria Math" panose="02040503050406030204" pitchFamily="18" charset="0"/>
                          </a:rPr>
                          <m:t>: </m:t>
                        </m:r>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7" name="TextBox 16">
              <a:extLst>
                <a:ext uri="{FF2B5EF4-FFF2-40B4-BE49-F238E27FC236}">
                  <a16:creationId xmlns:a16="http://schemas.microsoft.com/office/drawing/2014/main" id="{47DA61FF-3156-4189-86F5-3467DBAE28CC}"/>
                </a:ext>
              </a:extLst>
            </xdr:cNvPr>
            <xdr:cNvSpPr txBox="1"/>
          </xdr:nvSpPr>
          <xdr:spPr>
            <a:xfrm>
              <a:off x="9166843" y="13774167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solidFill>
                    <a:srgbClr val="C00000"/>
                  </a:solidFill>
                  <a:latin typeface="Cambria Math" panose="02040503050406030204" pitchFamily="18" charset="0"/>
                </a:rPr>
                <a:t>〖ORIGINAL: </a:t>
              </a:r>
              <a:r>
                <a:rPr lang="en-AU" sz="1000" i="0">
                  <a:latin typeface="Cambria Math" panose="02040503050406030204" pitchFamily="18" charset="0"/>
                </a:rPr>
                <a:t>𝐸</a:t>
              </a:r>
              <a:r>
                <a:rPr lang="en-AU" sz="1000" b="0" i="0">
                  <a:solidFill>
                    <a:srgbClr val="C00000"/>
                  </a:solidFill>
                  <a:latin typeface="Cambria Math" panose="02040503050406030204" pitchFamily="18" charset="0"/>
                </a:rPr>
                <a:t>〗_(</a:t>
              </a:r>
              <a:r>
                <a:rPr lang="en-AU" sz="1000" i="0">
                  <a:latin typeface="Cambria Math" panose="02040503050406030204" pitchFamily="18" charset="0"/>
                </a:rPr>
                <a:t>3,𝑒𝑙𝑒𝑐</a:t>
              </a:r>
              <a:r>
                <a:rPr lang="en-AU" sz="1000" b="0" i="0">
                  <a:solidFill>
                    <a:srgbClr val="C00000"/>
                  </a:solidFill>
                  <a:latin typeface="Cambria Math" panose="02040503050406030204" pitchFamily="18" charset="0"/>
                </a:rPr>
                <a:t>)</a:t>
              </a:r>
              <a:r>
                <a:rPr lang="en-AU" sz="1000" i="0">
                  <a:latin typeface="Cambria Math" panose="02040503050406030204" pitchFamily="18" charset="0"/>
                </a:rPr>
                <a:t>=[𝑄_𝑒𝑙𝑒𝑐×(1−(𝑅𝑃𝑃+𝐽𝑅𝑃𝑃))−├ ((𝑅𝐸𝐶_𝑠𝑢𝑟𝑟𝑒𝑛𝑑𝑒𝑟𝑒𝑑−𝑅𝐸𝐶_𝑜𝑛𝑠𝑖𝑡𝑒 )×10^(−3) )]×𝐸𝐹_(𝑅𝑀𝐹3,𝑒𝑙𝑒𝑐)×10^(−3)</a:t>
              </a:r>
              <a:endParaRPr lang="en-AU" sz="1000"/>
            </a:p>
          </xdr:txBody>
        </xdr:sp>
      </mc:Fallback>
    </mc:AlternateContent>
    <xdr:clientData/>
  </xdr:oneCellAnchor>
  <xdr:oneCellAnchor>
    <xdr:from>
      <xdr:col>3</xdr:col>
      <xdr:colOff>5351</xdr:colOff>
      <xdr:row>555</xdr:row>
      <xdr:rowOff>182789</xdr:rowOff>
    </xdr:from>
    <xdr:ext cx="6155275" cy="19107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7D3DFA9B-1B1C-4C7E-BD39-DB07F227FD14}"/>
                </a:ext>
              </a:extLst>
            </xdr:cNvPr>
            <xdr:cNvSpPr txBox="1"/>
          </xdr:nvSpPr>
          <xdr:spPr>
            <a:xfrm>
              <a:off x="3053351" y="13776188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8" name="TextBox 17">
              <a:extLst>
                <a:ext uri="{FF2B5EF4-FFF2-40B4-BE49-F238E27FC236}">
                  <a16:creationId xmlns:a16="http://schemas.microsoft.com/office/drawing/2014/main" id="{7D3DFA9B-1B1C-4C7E-BD39-DB07F227FD14}"/>
                </a:ext>
              </a:extLst>
            </xdr:cNvPr>
            <xdr:cNvSpPr txBox="1"/>
          </xdr:nvSpPr>
          <xdr:spPr>
            <a:xfrm>
              <a:off x="3053351" y="13776188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000"/>
            </a:p>
          </xdr:txBody>
        </xdr:sp>
      </mc:Fallback>
    </mc:AlternateContent>
    <xdr:clientData/>
  </xdr:oneCellAnchor>
  <xdr:oneCellAnchor>
    <xdr:from>
      <xdr:col>2</xdr:col>
      <xdr:colOff>344020</xdr:colOff>
      <xdr:row>576</xdr:row>
      <xdr:rowOff>114299</xdr:rowOff>
    </xdr:from>
    <xdr:ext cx="1519327" cy="173766"/>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6E750171-9C6A-48F7-B7E1-AA564AF7C51E}"/>
                </a:ext>
              </a:extLst>
            </xdr:cNvPr>
            <xdr:cNvSpPr txBox="1"/>
          </xdr:nvSpPr>
          <xdr:spPr>
            <a:xfrm>
              <a:off x="3049120" y="1428940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𝑙𝑒𝑎𝑐ℎ</m:t>
                        </m:r>
                      </m:sub>
                    </m:sSub>
                  </m:oMath>
                </m:oMathPara>
              </a14:m>
              <a:endParaRPr lang="en-AU" sz="1000"/>
            </a:p>
          </xdr:txBody>
        </xdr:sp>
      </mc:Choice>
      <mc:Fallback xmlns="">
        <xdr:sp macro="" textlink="">
          <xdr:nvSpPr>
            <xdr:cNvPr id="19" name="TextBox 18">
              <a:extLst>
                <a:ext uri="{FF2B5EF4-FFF2-40B4-BE49-F238E27FC236}">
                  <a16:creationId xmlns:a16="http://schemas.microsoft.com/office/drawing/2014/main" id="{6E750171-9C6A-48F7-B7E1-AA564AF7C51E}"/>
                </a:ext>
              </a:extLst>
            </xdr:cNvPr>
            <xdr:cNvSpPr txBox="1"/>
          </xdr:nvSpPr>
          <xdr:spPr>
            <a:xfrm>
              <a:off x="3049120" y="1428940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𝐸=𝐸_𝑁2𝑂+𝐸_𝑎𝑑+𝐸_𝑙𝑒𝑎𝑐ℎ</a:t>
              </a:r>
              <a:endParaRPr lang="en-AU" sz="1000"/>
            </a:p>
          </xdr:txBody>
        </xdr:sp>
      </mc:Fallback>
    </mc:AlternateContent>
    <xdr:clientData/>
  </xdr:oneCellAnchor>
  <xdr:oneCellAnchor>
    <xdr:from>
      <xdr:col>3</xdr:col>
      <xdr:colOff>30257</xdr:colOff>
      <xdr:row>609</xdr:row>
      <xdr:rowOff>136712</xdr:rowOff>
    </xdr:from>
    <xdr:ext cx="1725537" cy="332014"/>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11113411-BDB7-43AF-A563-309BD13AEA75}"/>
                </a:ext>
              </a:extLst>
            </xdr:cNvPr>
            <xdr:cNvSpPr txBox="1"/>
          </xdr:nvSpPr>
          <xdr:spPr>
            <a:xfrm>
              <a:off x="3078257" y="151088912"/>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𝑓</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𝑓</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e>
                        </m:d>
                      </m:e>
                    </m:nary>
                  </m:oMath>
                </m:oMathPara>
              </a14:m>
              <a:endParaRPr lang="en-AU" sz="1000"/>
            </a:p>
          </xdr:txBody>
        </xdr:sp>
      </mc:Choice>
      <mc:Fallback xmlns="">
        <xdr:sp macro="" textlink="">
          <xdr:nvSpPr>
            <xdr:cNvPr id="20" name="TextBox 19">
              <a:extLst>
                <a:ext uri="{FF2B5EF4-FFF2-40B4-BE49-F238E27FC236}">
                  <a16:creationId xmlns:a16="http://schemas.microsoft.com/office/drawing/2014/main" id="{11113411-BDB7-43AF-A563-309BD13AEA75}"/>
                </a:ext>
              </a:extLst>
            </xdr:cNvPr>
            <xdr:cNvSpPr txBox="1"/>
          </xdr:nvSpPr>
          <xdr:spPr>
            <a:xfrm>
              <a:off x="3078257" y="151088912"/>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𝐸=∑2_𝑓▒((𝑊_𝑓×𝐷_𝑓 )×𝐸𝐹_𝑓 ) </a:t>
              </a:r>
              <a:endParaRPr lang="en-AU" sz="1000"/>
            </a:p>
          </xdr:txBody>
        </xdr:sp>
      </mc:Fallback>
    </mc:AlternateContent>
    <xdr:clientData/>
  </xdr:oneCellAnchor>
  <xdr:oneCellAnchor>
    <xdr:from>
      <xdr:col>3</xdr:col>
      <xdr:colOff>25919</xdr:colOff>
      <xdr:row>169</xdr:row>
      <xdr:rowOff>143567</xdr:rowOff>
    </xdr:from>
    <xdr:ext cx="1191032" cy="332079"/>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5F7A243A-8699-465B-B8D8-8B339F2A6551}"/>
                </a:ext>
              </a:extLst>
            </xdr:cNvPr>
            <xdr:cNvSpPr txBox="1"/>
          </xdr:nvSpPr>
          <xdr:spPr>
            <a:xfrm>
              <a:off x="3073919"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oMath>
                </m:oMathPara>
              </a14:m>
              <a:endParaRPr lang="en-AU" sz="1000"/>
            </a:p>
          </xdr:txBody>
        </xdr:sp>
      </mc:Choice>
      <mc:Fallback xmlns="">
        <xdr:sp macro="" textlink="">
          <xdr:nvSpPr>
            <xdr:cNvPr id="21" name="TextBox 20">
              <a:extLst>
                <a:ext uri="{FF2B5EF4-FFF2-40B4-BE49-F238E27FC236}">
                  <a16:creationId xmlns:a16="http://schemas.microsoft.com/office/drawing/2014/main" id="{5F7A243A-8699-465B-B8D8-8B339F2A6551}"/>
                </a:ext>
              </a:extLst>
            </xdr:cNvPr>
            <xdr:cNvSpPr txBox="1"/>
          </xdr:nvSpPr>
          <xdr:spPr>
            <a:xfrm>
              <a:off x="3073919"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𝐸=∑2_𝑗▒(𝑄_𝑗×𝐸𝐹_𝑗 ) </a:t>
              </a:r>
              <a:endParaRPr lang="en-AU" sz="1000"/>
            </a:p>
          </xdr:txBody>
        </xdr:sp>
      </mc:Fallback>
    </mc:AlternateContent>
    <xdr:clientData/>
  </xdr:oneCellAnchor>
  <xdr:oneCellAnchor>
    <xdr:from>
      <xdr:col>5</xdr:col>
      <xdr:colOff>263673</xdr:colOff>
      <xdr:row>101</xdr:row>
      <xdr:rowOff>23824</xdr:rowOff>
    </xdr:from>
    <xdr:ext cx="1703480" cy="200696"/>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130B94E1-9B10-4C66-8E28-E4E54C5FA441}"/>
                </a:ext>
              </a:extLst>
            </xdr:cNvPr>
            <xdr:cNvSpPr txBox="1"/>
          </xdr:nvSpPr>
          <xdr:spPr>
            <a:xfrm>
              <a:off x="7388373"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oMath>
              </a14:m>
              <a:endParaRPr lang="en-AU" sz="1000"/>
            </a:p>
          </xdr:txBody>
        </xdr:sp>
      </mc:Choice>
      <mc:Fallback xmlns="">
        <xdr:sp macro="" textlink="">
          <xdr:nvSpPr>
            <xdr:cNvPr id="22" name="TextBox 21">
              <a:extLst>
                <a:ext uri="{FF2B5EF4-FFF2-40B4-BE49-F238E27FC236}">
                  <a16:creationId xmlns:a16="http://schemas.microsoft.com/office/drawing/2014/main" id="{130B94E1-9B10-4C66-8E28-E4E54C5FA441}"/>
                </a:ext>
              </a:extLst>
            </xdr:cNvPr>
            <xdr:cNvSpPr txBox="1"/>
          </xdr:nvSpPr>
          <xdr:spPr>
            <a:xfrm>
              <a:off x="7388373"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 </a:t>
              </a:r>
              <a:r>
                <a:rPr lang="en-AU" sz="1000" i="0">
                  <a:latin typeface="Cambria Math" panose="02040503050406030204" pitchFamily="18" charset="0"/>
                </a:rPr>
                <a:t>𝐸=∑2_𝑗▒(𝑄_𝑗×𝐸𝐹_𝑗 ) </a:t>
              </a:r>
              <a:endParaRPr lang="en-AU" sz="1000"/>
            </a:p>
          </xdr:txBody>
        </xdr:sp>
      </mc:Fallback>
    </mc:AlternateContent>
    <xdr:clientData/>
  </xdr:oneCellAnchor>
  <xdr:oneCellAnchor>
    <xdr:from>
      <xdr:col>4</xdr:col>
      <xdr:colOff>437030</xdr:colOff>
      <xdr:row>166</xdr:row>
      <xdr:rowOff>22412</xdr:rowOff>
    </xdr:from>
    <xdr:ext cx="1832746" cy="173766"/>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1667DD82-392D-4610-98B8-F1A45B32EE8B}"/>
                </a:ext>
              </a:extLst>
            </xdr:cNvPr>
            <xdr:cNvSpPr txBox="1"/>
          </xdr:nvSpPr>
          <xdr:spPr>
            <a:xfrm>
              <a:off x="552338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a:t>
              </a:r>
              <a:r>
                <a:rPr lang="en-AU" sz="1000"/>
                <a:t>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sub>
                          </m:sSub>
                        </m:e>
                      </m:d>
                    </m:e>
                  </m:nary>
                </m:oMath>
              </a14:m>
              <a:endParaRPr lang="en-AU" sz="1000"/>
            </a:p>
          </xdr:txBody>
        </xdr:sp>
      </mc:Choice>
      <mc:Fallback xmlns="">
        <xdr:sp macro="" textlink="">
          <xdr:nvSpPr>
            <xdr:cNvPr id="23" name="TextBox 22">
              <a:extLst>
                <a:ext uri="{FF2B5EF4-FFF2-40B4-BE49-F238E27FC236}">
                  <a16:creationId xmlns:a16="http://schemas.microsoft.com/office/drawing/2014/main" id="{1667DD82-392D-4610-98B8-F1A45B32EE8B}"/>
                </a:ext>
              </a:extLst>
            </xdr:cNvPr>
            <xdr:cNvSpPr txBox="1"/>
          </xdr:nvSpPr>
          <xdr:spPr>
            <a:xfrm>
              <a:off x="552338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a:t>
              </a:r>
              <a:r>
                <a:rPr lang="en-AU" sz="1000"/>
                <a:t> </a:t>
              </a:r>
              <a:r>
                <a:rPr lang="en-AU" sz="1000" i="0">
                  <a:latin typeface="Cambria Math" panose="02040503050406030204" pitchFamily="18" charset="0"/>
                </a:rPr>
                <a:t>𝐸=∑2_𝑚▒(𝑄_𝑚×𝐸𝐹_𝑚 ) </a:t>
              </a:r>
              <a:endParaRPr lang="en-AU" sz="1000"/>
            </a:p>
          </xdr:txBody>
        </xdr:sp>
      </mc:Fallback>
    </mc:AlternateContent>
    <xdr:clientData/>
  </xdr:oneCellAnchor>
</xdr:wsDr>
</file>

<file path=xl/drawings/drawing16.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C0238BF-C8EA-4B38-B12B-3E74BCA6BAEE}"/>
                </a:ext>
              </a:extLst>
            </xdr:cNvPr>
            <xdr:cNvSpPr txBox="1"/>
          </xdr:nvSpPr>
          <xdr:spPr>
            <a:xfrm>
              <a:off x="305276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BC0238BF-C8EA-4B38-B12B-3E74BCA6BAEE}"/>
                </a:ext>
              </a:extLst>
            </xdr:cNvPr>
            <xdr:cNvSpPr txBox="1"/>
          </xdr:nvSpPr>
          <xdr:spPr>
            <a:xfrm>
              <a:off x="305276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77EC111-9E44-4CED-8972-A3C55A40262E}"/>
                </a:ext>
              </a:extLst>
            </xdr:cNvPr>
            <xdr:cNvSpPr txBox="1"/>
          </xdr:nvSpPr>
          <xdr:spPr>
            <a:xfrm>
              <a:off x="305276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3" name="TextBox 2">
              <a:extLst>
                <a:ext uri="{FF2B5EF4-FFF2-40B4-BE49-F238E27FC236}">
                  <a16:creationId xmlns:a16="http://schemas.microsoft.com/office/drawing/2014/main" id="{D77EC111-9E44-4CED-8972-A3C55A40262E}"/>
                </a:ext>
              </a:extLst>
            </xdr:cNvPr>
            <xdr:cNvSpPr txBox="1"/>
          </xdr:nvSpPr>
          <xdr:spPr>
            <a:xfrm>
              <a:off x="305276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C43EF4B-D980-4B91-B5C8-F07FF415CEBB}"/>
                </a:ext>
              </a:extLst>
            </xdr:cNvPr>
            <xdr:cNvSpPr txBox="1"/>
          </xdr:nvSpPr>
          <xdr:spPr>
            <a:xfrm>
              <a:off x="306228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4" name="TextBox 3">
              <a:extLst>
                <a:ext uri="{FF2B5EF4-FFF2-40B4-BE49-F238E27FC236}">
                  <a16:creationId xmlns:a16="http://schemas.microsoft.com/office/drawing/2014/main" id="{1C43EF4B-D980-4B91-B5C8-F07FF415CEBB}"/>
                </a:ext>
              </a:extLst>
            </xdr:cNvPr>
            <xdr:cNvSpPr txBox="1"/>
          </xdr:nvSpPr>
          <xdr:spPr>
            <a:xfrm>
              <a:off x="306228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D0EC534-A69A-40EC-A42E-14E9366D0F7E}"/>
                </a:ext>
              </a:extLst>
            </xdr:cNvPr>
            <xdr:cNvSpPr txBox="1"/>
          </xdr:nvSpPr>
          <xdr:spPr>
            <a:xfrm>
              <a:off x="29956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5" name="TextBox 4">
              <a:extLst>
                <a:ext uri="{FF2B5EF4-FFF2-40B4-BE49-F238E27FC236}">
                  <a16:creationId xmlns:a16="http://schemas.microsoft.com/office/drawing/2014/main" id="{5D0EC534-A69A-40EC-A42E-14E9366D0F7E}"/>
                </a:ext>
              </a:extLst>
            </xdr:cNvPr>
            <xdr:cNvSpPr txBox="1"/>
          </xdr:nvSpPr>
          <xdr:spPr>
            <a:xfrm>
              <a:off x="29956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30025A4E-4BEA-4A65-B0ED-E4E6F93E6786}"/>
                </a:ext>
              </a:extLst>
            </xdr:cNvPr>
            <xdr:cNvSpPr txBox="1"/>
          </xdr:nvSpPr>
          <xdr:spPr>
            <a:xfrm>
              <a:off x="306228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6" name="TextBox 5">
              <a:extLst>
                <a:ext uri="{FF2B5EF4-FFF2-40B4-BE49-F238E27FC236}">
                  <a16:creationId xmlns:a16="http://schemas.microsoft.com/office/drawing/2014/main" id="{30025A4E-4BEA-4A65-B0ED-E4E6F93E6786}"/>
                </a:ext>
              </a:extLst>
            </xdr:cNvPr>
            <xdr:cNvSpPr txBox="1"/>
          </xdr:nvSpPr>
          <xdr:spPr>
            <a:xfrm>
              <a:off x="306228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6C72EEE8-1EE7-45AC-91D4-580679EB9EAD}"/>
                </a:ext>
              </a:extLst>
            </xdr:cNvPr>
            <xdr:cNvSpPr txBox="1"/>
          </xdr:nvSpPr>
          <xdr:spPr>
            <a:xfrm>
              <a:off x="1823561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6C72EEE8-1EE7-45AC-91D4-580679EB9EAD}"/>
                </a:ext>
              </a:extLst>
            </xdr:cNvPr>
            <xdr:cNvSpPr txBox="1"/>
          </xdr:nvSpPr>
          <xdr:spPr>
            <a:xfrm>
              <a:off x="1823561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A5A4D1A7-DA91-4FDD-AEED-6F26D2829DCB}"/>
                </a:ext>
              </a:extLst>
            </xdr:cNvPr>
            <xdr:cNvSpPr txBox="1"/>
          </xdr:nvSpPr>
          <xdr:spPr>
            <a:xfrm>
              <a:off x="1823561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8" name="TextBox 7">
              <a:extLst>
                <a:ext uri="{FF2B5EF4-FFF2-40B4-BE49-F238E27FC236}">
                  <a16:creationId xmlns:a16="http://schemas.microsoft.com/office/drawing/2014/main" id="{A5A4D1A7-DA91-4FDD-AEED-6F26D2829DCB}"/>
                </a:ext>
              </a:extLst>
            </xdr:cNvPr>
            <xdr:cNvSpPr txBox="1"/>
          </xdr:nvSpPr>
          <xdr:spPr>
            <a:xfrm>
              <a:off x="1823561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1A745712-397B-4BA2-AC6D-73690286576C}"/>
                </a:ext>
              </a:extLst>
            </xdr:cNvPr>
            <xdr:cNvSpPr txBox="1"/>
          </xdr:nvSpPr>
          <xdr:spPr>
            <a:xfrm>
              <a:off x="1824513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9" name="TextBox 8">
              <a:extLst>
                <a:ext uri="{FF2B5EF4-FFF2-40B4-BE49-F238E27FC236}">
                  <a16:creationId xmlns:a16="http://schemas.microsoft.com/office/drawing/2014/main" id="{1A745712-397B-4BA2-AC6D-73690286576C}"/>
                </a:ext>
              </a:extLst>
            </xdr:cNvPr>
            <xdr:cNvSpPr txBox="1"/>
          </xdr:nvSpPr>
          <xdr:spPr>
            <a:xfrm>
              <a:off x="1824513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9EF641EB-D7FA-43D5-B8EE-E81CEC36AE47}"/>
                </a:ext>
              </a:extLst>
            </xdr:cNvPr>
            <xdr:cNvSpPr txBox="1"/>
          </xdr:nvSpPr>
          <xdr:spPr>
            <a:xfrm>
              <a:off x="181784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10" name="TextBox 9">
              <a:extLst>
                <a:ext uri="{FF2B5EF4-FFF2-40B4-BE49-F238E27FC236}">
                  <a16:creationId xmlns:a16="http://schemas.microsoft.com/office/drawing/2014/main" id="{9EF641EB-D7FA-43D5-B8EE-E81CEC36AE47}"/>
                </a:ext>
              </a:extLst>
            </xdr:cNvPr>
            <xdr:cNvSpPr txBox="1"/>
          </xdr:nvSpPr>
          <xdr:spPr>
            <a:xfrm>
              <a:off x="181784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4A753F6C-C868-4570-9EA9-3D556B000F65}"/>
                </a:ext>
              </a:extLst>
            </xdr:cNvPr>
            <xdr:cNvSpPr txBox="1"/>
          </xdr:nvSpPr>
          <xdr:spPr>
            <a:xfrm>
              <a:off x="1824513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11" name="TextBox 10">
              <a:extLst>
                <a:ext uri="{FF2B5EF4-FFF2-40B4-BE49-F238E27FC236}">
                  <a16:creationId xmlns:a16="http://schemas.microsoft.com/office/drawing/2014/main" id="{4A753F6C-C868-4570-9EA9-3D556B000F65}"/>
                </a:ext>
              </a:extLst>
            </xdr:cNvPr>
            <xdr:cNvSpPr txBox="1"/>
          </xdr:nvSpPr>
          <xdr:spPr>
            <a:xfrm>
              <a:off x="1824513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wsDr>
</file>

<file path=xl/drawings/drawing17.xml><?xml version="1.0" encoding="utf-8"?>
<xdr:wsDr xmlns:xdr="http://schemas.openxmlformats.org/drawingml/2006/spreadsheetDrawing" xmlns:a="http://schemas.openxmlformats.org/drawingml/2006/main">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B4BB27C-4029-49DD-9B65-D7D4DFB0CC1F}"/>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FB4BB27C-4029-49DD-9B65-D7D4DFB0CC1F}"/>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𝑀𝑁_𝑗𝑓=𝑇𝑀_𝑗𝑓×𝐹𝑁_(𝑖𝑛𝑜𝑟𝑔𝑎𝑛𝑖𝑐,𝑓)</a:t>
              </a:r>
              <a:endParaRPr lang="en-AU" sz="10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3FE797D-B5A4-441A-BC9A-779F9F72912B}"/>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73FE797D-B5A4-441A-BC9A-779F9F72912B}"/>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𝐸_𝑁2𝑂=∑_𝑗▒∑_𝑓▒((𝑀𝑁_𝑗𝑓×𝐸𝐹_(𝑗,𝑁2𝑂)×𝐶_𝑁2𝑂 )×10^(−3) ) </a:t>
              </a:r>
              <a:endParaRPr lang="en-AU" sz="1000"/>
            </a:p>
          </xdr:txBody>
        </xdr:sp>
      </mc:Fallback>
    </mc:AlternateContent>
    <xdr:clientData/>
  </xdr:oneCellAnchor>
  <xdr:oneCellAnchor>
    <xdr:from>
      <xdr:col>12</xdr:col>
      <xdr:colOff>13446</xdr:colOff>
      <xdr:row>40</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0A7813D-53D8-4797-879A-B2F230C1858C}"/>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𝑖𝑟𝑟𝑖𝑔𝑎𝑡𝑒𝑑𝑚𝑎𝑖𝑧𝑒</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−0.1474+</m:t>
                        </m:r>
                        <m:d>
                          <m:dPr>
                            <m:ctrlPr>
                              <a:rPr lang="en-AU" sz="1000" i="1">
                                <a:latin typeface="Cambria Math" panose="02040503050406030204" pitchFamily="18" charset="0"/>
                              </a:rPr>
                            </m:ctrlPr>
                          </m:dPr>
                          <m:e>
                            <m:r>
                              <a:rPr lang="en-AU" sz="1000" i="1">
                                <a:latin typeface="Cambria Math" panose="02040503050406030204" pitchFamily="18" charset="0"/>
                              </a:rPr>
                              <m:t>0.0061×</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𝑖𝑟𝑟𝑖𝑔𝑎𝑡𝑒𝑑𝑚𝑎𝑖𝑧𝑒</m:t>
                                </m:r>
                              </m:sub>
                            </m:sSub>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80A7813D-53D8-4797-879A-B2F230C1858C}"/>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000"/>
            </a:p>
          </xdr:txBody>
        </xdr:sp>
      </mc:Fallback>
    </mc:AlternateContent>
    <xdr:clientData/>
  </xdr:oneCellAnchor>
  <xdr:oneCellAnchor>
    <xdr:from>
      <xdr:col>11</xdr:col>
      <xdr:colOff>304799</xdr:colOff>
      <xdr:row>54</xdr:row>
      <xdr:rowOff>114300</xdr:rowOff>
    </xdr:from>
    <xdr:ext cx="5008229"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EC62AEA-42E2-4F43-BCD0-6AF2CFFDE23A}"/>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𝑛𝑜𝑛𝑖𝑟𝑟𝑖𝑔𝑎𝑡𝑒𝑑𝑔𝑟𝑎𝑖𝑛𝑠</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0.0781+</m:t>
                        </m:r>
                        <m:d>
                          <m:dPr>
                            <m:ctrlPr>
                              <a:rPr lang="en-AU" sz="1000" i="1">
                                <a:latin typeface="Cambria Math" panose="02040503050406030204" pitchFamily="18" charset="0"/>
                              </a:rPr>
                            </m:ctrlPr>
                          </m:dPr>
                          <m:e>
                            <m:r>
                              <a:rPr lang="en-AU" sz="1000" i="1">
                                <a:latin typeface="Cambria Math" panose="02040503050406030204" pitchFamily="18" charset="0"/>
                              </a:rPr>
                              <m:t>0.0075×</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𝑛𝑜𝑛𝑖𝑟𝑟𝑖𝑔𝑎𝑡𝑒𝑑𝑔𝑟𝑎𝑖𝑛𝑠</m:t>
                                </m:r>
                              </m:sub>
                            </m:sSub>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3EC62AEA-42E2-4F43-BCD0-6AF2CFFDE23A}"/>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000"/>
            </a:p>
          </xdr:txBody>
        </xdr:sp>
      </mc:Fallback>
    </mc:AlternateContent>
    <xdr:clientData/>
  </xdr:oneCellAnchor>
  <xdr:oneCellAnchor>
    <xdr:from>
      <xdr:col>11</xdr:col>
      <xdr:colOff>293593</xdr:colOff>
      <xdr:row>67</xdr:row>
      <xdr:rowOff>79081</xdr:rowOff>
    </xdr:from>
    <xdr:ext cx="3370345" cy="54495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FAB6CF62-0C7E-4063-912A-FA1DAB739B1F}"/>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d>
                      <m:dPr>
                        <m:ctrlPr>
                          <a:rPr lang="en-AU" sz="1000" i="1">
                            <a:latin typeface="Cambria Math" panose="02040503050406030204" pitchFamily="18" charset="0"/>
                          </a:rPr>
                        </m:ctrlPr>
                      </m:dPr>
                      <m:e>
                        <m:r>
                          <a:rPr lang="en-AU" sz="1000" i="1">
                            <a:latin typeface="Cambria Math" panose="02040503050406030204" pitchFamily="18" charset="0"/>
                          </a:rPr>
                          <m:t>0.01×</m:t>
                        </m:r>
                        <m:d>
                          <m:dPr>
                            <m:ctrlPr>
                              <a:rPr lang="en-AU" sz="1000" i="1">
                                <a:latin typeface="Cambria Math" panose="02040503050406030204" pitchFamily="18" charset="0"/>
                              </a:rPr>
                            </m:ctrlPr>
                          </m:dPr>
                          <m:e>
                            <m:r>
                              <a:rPr lang="en-AU" sz="1000" i="1">
                                <a:latin typeface="Cambria Math" panose="02040503050406030204" pitchFamily="18" charset="0"/>
                              </a:rPr>
                              <m:t>0.29+</m:t>
                            </m:r>
                            <m:f>
                              <m:fPr>
                                <m:ctrlPr>
                                  <a:rPr lang="en-AU" sz="1000" i="1">
                                    <a:latin typeface="Cambria Math" panose="02040503050406030204" pitchFamily="18" charset="0"/>
                                  </a:rPr>
                                </m:ctrlPr>
                              </m:fPr>
                              <m:num>
                                <m:r>
                                  <a:rPr lang="en-AU" sz="1000" i="1">
                                    <a:latin typeface="Cambria Math" panose="02040503050406030204" pitchFamily="18" charset="0"/>
                                  </a:rPr>
                                  <m:t>0.007</m:t>
                                </m:r>
                                <m:d>
                                  <m:dPr>
                                    <m:ctrlPr>
                                      <a:rPr lang="en-AU" sz="1000" i="1">
                                        <a:latin typeface="Cambria Math" panose="02040503050406030204" pitchFamily="18" charset="0"/>
                                      </a:rPr>
                                    </m:ctrlPr>
                                  </m:dPr>
                                  <m:e>
                                    <m:sSup>
                                      <m:sSupPr>
                                        <m:ctrlPr>
                                          <a:rPr lang="en-AU" sz="1000" i="1">
                                            <a:latin typeface="Cambria Math" panose="02040503050406030204" pitchFamily="18" charset="0"/>
                                          </a:rPr>
                                        </m:ctrlPr>
                                      </m:sSupPr>
                                      <m:e>
                                        <m:r>
                                          <a:rPr lang="en-AU" sz="1000" i="1">
                                            <a:latin typeface="Cambria Math" panose="02040503050406030204" pitchFamily="18" charset="0"/>
                                          </a:rPr>
                                          <m:t>𝑒</m:t>
                                        </m:r>
                                      </m:e>
                                      <m:sup>
                                        <m:r>
                                          <a:rPr lang="en-AU" sz="1000" i="1">
                                            <a:latin typeface="Cambria Math" panose="02040503050406030204" pitchFamily="18" charset="0"/>
                                          </a:rPr>
                                          <m:t>0.037×</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𝑐𝑜𝑡𝑡𝑜𝑛</m:t>
                                            </m:r>
                                          </m:sub>
                                        </m:sSub>
                                      </m:sup>
                                    </m:sSup>
                                    <m:r>
                                      <a:rPr lang="en-AU" sz="1000" i="1">
                                        <a:latin typeface="Cambria Math" panose="02040503050406030204" pitchFamily="18" charset="0"/>
                                      </a:rPr>
                                      <m:t>−1</m:t>
                                    </m:r>
                                  </m:e>
                                </m:d>
                              </m:num>
                              <m:den>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𝑐𝑜𝑡𝑡𝑜𝑛</m:t>
                                    </m:r>
                                  </m:sub>
                                </m:sSub>
                              </m:den>
                            </m:f>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6" name="TextBox 5">
              <a:extLst>
                <a:ext uri="{FF2B5EF4-FFF2-40B4-BE49-F238E27FC236}">
                  <a16:creationId xmlns:a16="http://schemas.microsoft.com/office/drawing/2014/main" id="{FAB6CF62-0C7E-4063-912A-FA1DAB739B1F}"/>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(0.01×(0.29+0.007(𝑒^(0.037×𝑁_(𝑓𝑗=𝑐𝑜𝑡𝑡𝑜𝑛) )−1)/𝑁_(𝑓𝑗=𝑐𝑜𝑡𝑡𝑜𝑛) ))×10^(−2)</a:t>
              </a:r>
              <a:endParaRPr lang="en-AU" sz="1000"/>
            </a:p>
          </xdr:txBody>
        </xdr:sp>
      </mc:Fallback>
    </mc:AlternateContent>
    <xdr:clientData/>
  </xdr:oneCellAnchor>
  <xdr:oneCellAnchor>
    <xdr:from>
      <xdr:col>11</xdr:col>
      <xdr:colOff>304800</xdr:colOff>
      <xdr:row>85</xdr:row>
      <xdr:rowOff>133350</xdr:rowOff>
    </xdr:from>
    <xdr:ext cx="3047693"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A75F595F-907F-415D-8BF4-670B84A13875}"/>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A75F595F-907F-415D-8BF4-670B84A13875}"/>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𝐸_𝑁2𝑂=∑_𝑗▒∑_𝑓▒((𝑀𝑁_𝑗𝑓×𝐸𝐹_(𝑗,𝑁2𝑂)×𝐶_𝑁2𝑂 )×10^(−3) ) </a:t>
              </a:r>
              <a:endParaRPr lang="en-AU" sz="1000"/>
            </a:p>
          </xdr:txBody>
        </xdr:sp>
      </mc:Fallback>
    </mc:AlternateContent>
    <xdr:clientData/>
  </xdr:oneCellAnchor>
</xdr:wsDr>
</file>

<file path=xl/drawings/drawing18.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85C1F68-87A3-47AB-ACC6-532AB63DD9A2}"/>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685C1F68-87A3-47AB-ACC6-532AB63DD9A2}"/>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𝑀𝑈_𝑗𝑓=𝑇𝑀_𝑗𝑓×𝐹𝑈_𝑓</a:t>
              </a:r>
              <a:endParaRPr lang="en-AU" sz="10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51CCCA1-C9E3-4827-9E77-E6BEA94D5685}"/>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𝑢𝑟𝑒𝑎</m:t>
                                        </m:r>
                                        <m:r>
                                          <a:rPr lang="en-AU" sz="1000" i="1">
                                            <a:latin typeface="Cambria Math" panose="02040503050406030204" pitchFamily="18" charset="0"/>
                                          </a:rPr>
                                          <m:t>,</m:t>
                                        </m:r>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𝐶𝑂</m:t>
                                        </m:r>
                                        <m:r>
                                          <a:rPr lang="en-AU" sz="1000" i="1">
                                            <a:latin typeface="Cambria Math" panose="02040503050406030204" pitchFamily="18" charset="0"/>
                                          </a:rPr>
                                          <m:t>2</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351CCCA1-C9E3-4827-9E77-E6BEA94D5685}"/>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𝐸_𝐶𝑂2=∑_𝑗▒∑_𝑓▒((𝑀𝑈_𝑗𝑓×𝐸𝐹_(𝑢𝑟𝑒𝑎,𝐶𝑂2)×𝐶_𝐶𝑂2 )×10^(−3) ) </a:t>
              </a:r>
              <a:endParaRPr lang="en-AU" sz="1000"/>
            </a:p>
          </xdr:txBody>
        </xdr:sp>
      </mc:Fallback>
    </mc:AlternateContent>
    <xdr:clientData/>
  </xdr:oneCellAnchor>
</xdr:wsDr>
</file>

<file path=xl/drawings/drawing19.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A29C2B0-2038-40CB-9108-DB5FD194E80C}"/>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5A29C2B0-2038-40CB-9108-DB5FD194E80C}"/>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𝑀𝑁𝑆𝑜𝑖𝑙_𝑗𝑓=𝑀_(𝑜𝑟𝑔𝑎𝑛𝑖𝑐,𝑗𝑓)×𝐹𝑁_(𝑜𝑟𝑔𝑎𝑛𝑖𝑐,𝑓)</a:t>
              </a:r>
              <a:endParaRPr lang="en-AU" sz="10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0599DF9-77CA-400D-9E4D-9654ACF3561E}"/>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60599DF9-77CA-400D-9E4D-9654ACF3561E}"/>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wsDr>
</file>

<file path=xl/drawings/drawing20.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9FBAA51-EA07-4EF2-A06D-5F139A94768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𝑙𝑖𝑚𝑒</m:t>
                        </m:r>
                      </m:sub>
                    </m:sSub>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𝐹𝑟𝑎𝑐𝐿𝑖𝑚𝑒</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𝑙𝑖𝑚𝑒</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𝐹𝑟𝑎𝑐𝐷𝑜𝑙</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𝑑𝑜𝑙</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𝑑𝑜𝑙</m:t>
                                </m:r>
                              </m:sub>
                            </m:sSub>
                          </m:e>
                        </m:d>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C9FBAA51-EA07-4EF2-A06D-5F139A94768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000"/>
            </a:p>
          </xdr:txBody>
        </xdr:sp>
      </mc:Fallback>
    </mc:AlternateContent>
    <xdr:clientData/>
  </xdr:oneCellAnchor>
</xdr:wsDr>
</file>

<file path=xl/drawings/drawing21.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A3435B0-AE3A-4094-AD8C-564E6740990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AA3435B0-AE3A-4094-AD8C-564E6740990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𝑀_(𝑣𝑜𝑙,𝑖𝑛𝑜𝑟𝑔𝑎𝑛𝑖𝑐,𝑗𝑓)=𝑀𝑁_𝑗𝑓×𝐹𝑟𝑎𝑐𝐺𝐴𝑆𝐹_𝑓</a:t>
              </a:r>
              <a:endParaRPr lang="en-AU" sz="10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A8C5F22-8656-4058-8643-11DD4DA5DAB7}"/>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𝑖𝑛𝑜𝑟𝑔𝑎𝑛𝑖𝑐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8A8C5F22-8656-4058-8643-11DD4DA5DAB7}"/>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0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8F0D778-A21A-4240-892D-5EC66466957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F8F0D778-A21A-4240-892D-5EC66466957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1C3EE2C6-1A5D-4415-842A-E74461115DD6}"/>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5" name="TextBox 4">
              <a:extLst>
                <a:ext uri="{FF2B5EF4-FFF2-40B4-BE49-F238E27FC236}">
                  <a16:creationId xmlns:a16="http://schemas.microsoft.com/office/drawing/2014/main" id="{1C3EE2C6-1A5D-4415-842A-E74461115DD6}"/>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wsDr>
</file>

<file path=xl/drawings/drawing22.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DC163A4-EB6A-40F9-BD6B-CF158ADA2844}"/>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2DC163A4-EB6A-40F9-BD6B-CF158ADA2844}"/>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0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B45DC76-20FC-439A-9856-E4500AC450EF}"/>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DB45DC76-20FC-439A-9856-E4500AC450EF}"/>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5CC301D-E8AD-48A4-9880-58FFF8E3560C}"/>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4" name="TextBox 3">
              <a:extLst>
                <a:ext uri="{FF2B5EF4-FFF2-40B4-BE49-F238E27FC236}">
                  <a16:creationId xmlns:a16="http://schemas.microsoft.com/office/drawing/2014/main" id="{D5CC301D-E8AD-48A4-9880-58FFF8E3560C}"/>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023F9A9-894D-4DDA-8C25-E7DAC6870038}" name="Table_Input_Enterprise_PlantingRemovals" displayName="Table_Input_Enterprise_PlantingRemovals" ref="D38:G39" totalsRowShown="0">
  <autoFilter ref="D38:G39" xr:uid="{F023F9A9-894D-4DDA-8C25-E7DAC6870038}"/>
  <tableColumns count="4">
    <tableColumn id="1" xr3:uid="{8F8E4361-8257-4137-8EDC-59B7213402A5}" name="Planting name" dataCellStyle="Input text"/>
    <tableColumn id="2" xr3:uid="{DD40DC10-E06A-4FC1-8C41-EA8FB38A2523}" name="Total removed CO2" dataCellStyle="Input number general"/>
    <tableColumn id="3" xr3:uid="{136E6C57-B7EE-4EB6-9579-D117B756EBEA}" name="Percent allocated to this enterprise" dataCellStyle="Input percent"/>
    <tableColumn id="4" xr3:uid="{D192E6A4-99D9-4CC9-AC9D-975914BE3CEB}"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AD26EB4-B85F-40CF-B41E-C50C8896B4C1}" name="Table_Input_LivestockSales" displayName="Table_Input_LivestockSales" ref="D6:I16" totalsRowShown="0">
  <autoFilter ref="D6:I16" xr:uid="{A8D19AA0-5FCF-4F1B-9B46-EF0EC1DC236E}"/>
  <tableColumns count="6">
    <tableColumn id="6" xr3:uid="{E2CA7C24-2440-47BC-8296-4E06A1997FD6}" name="Transaction name" dataCellStyle="Input text"/>
    <tableColumn id="1" xr3:uid="{642394F7-56DA-41DB-A6DF-4604D42201F6}" name="Class (select)" dataCellStyle="Input select"/>
    <tableColumn id="2" xr3:uid="{93AD8A04-E6ED-452A-BA77-CD86A87A2623}" name="Sale date" dataDxfId="440"/>
    <tableColumn id="3" xr3:uid="{FD3BC078-BDA8-41B1-A38C-5D070201A63B}" name="Head sold"/>
    <tableColumn id="4" xr3:uid="{BCCD5BF7-9608-4DD4-83C7-D6C023152096}" name="Average weight per head (kg)"/>
    <tableColumn id="5" xr3:uid="{6625426D-1AE8-4F66-AC8B-2F50B438E4A1}" name="Total liveweight sold" dataCellStyle="Input number general calculated">
      <calculatedColumnFormula>G7*H7</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BF40898D-EA98-40C5-BC1B-510AA86BE6AD}" name="Table_Input_LivestockPurchases_Poultry" displayName="Table_Input_LivestockPurchases_Poultry" ref="D6:H16" totalsRowShown="0">
  <autoFilter ref="D6:H16" xr:uid="{7DCBF554-869B-4226-8D02-B0F5F866C92B}"/>
  <tableColumns count="5">
    <tableColumn id="9" xr3:uid="{00C843CE-58CF-4BC8-91BD-9C2B80322D6D}" name="Transaction name" dataCellStyle="Input text"/>
    <tableColumn id="11" xr3:uid="{00E2029A-84A7-4F9A-AA6A-79EE563E05A1}" name="Class (select)" dataDxfId="439" dataCellStyle="Input select"/>
    <tableColumn id="3" xr3:uid="{70D57EF8-76D2-4C20-AB02-9699EB759654}" name="Quantity (head)" dataCellStyle="Input number general"/>
    <tableColumn id="12" xr3:uid="{AE2B2022-B3C6-4193-8BFC-BAF38F53DFF4}" name="Liveweight (kg/head) Method 1" dataCellStyle="Input number general calculated"/>
    <tableColumn id="4" xr3:uid="{3E8975D0-EC35-4110-B2FF-9B2C54634A7C}" name="Liveweight (kg/head) Method 2" dataCellStyle="Input number general"/>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B101A64-A4C9-4358-9E19-D128E04C6954}" name="Table_Input_Fuel" displayName="Table_Input_Fuel" ref="D16:J21" totalsRowDxfId="438"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FF55DF22-285A-4DA6-AE27-E10B0903AAB1}" name="Fuel use (select)" totalsRowFunction="average" totalsRowDxfId="437" dataCellStyle="Input select" totalsRowCellStyle="Input select"/>
    <tableColumn id="3" xr3:uid="{662A7C4B-CA5F-4B29-A644-2432B1694730}" name="Fuel type (select)" totalsRowDxfId="436" dataCellStyle="Input select" totalsRowCellStyle="Input select"/>
    <tableColumn id="4" xr3:uid="{E2E78467-99FF-4DD5-99D0-388AAB2B967F}" name="Amount purchased" totalsRowDxfId="435" totalsRowCellStyle="Content bold"/>
    <tableColumn id="6" xr3:uid="{81290EF1-955B-4E1E-8EEC-17EFB3666223}" name="Amount unit" totalsRowDxfId="434" dataCellStyle="Input number general calculated" totalsRowCellStyle="Input text calculated"/>
    <tableColumn id="5" xr3:uid="{FEA5E631-09CA-4825-80F5-F975A3905690}" name="Percent consumed" totalsRowDxfId="433" totalsRowCellStyle="Input percent">
      <calculatedColumnFormula>1</calculatedColumnFormula>
    </tableColumn>
    <tableColumn id="1" xr3:uid="{C02CA197-D85F-4AD3-837A-5A8341EB32FF}" name="Amount consumed" totalsRowFunction="custom" totalsRowDxfId="432"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F0D21174-1C29-400A-B810-C8CB8683CF6E}" name="Amount consumed unit" totalsRowDxfId="431" dataCellStyle="Input number general calculated"/>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491D5E3-7E9C-4749-97A0-74367CF937D2}"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7F254034-329E-42CC-B530-3F94765AD039}" name="Description"/>
    <tableColumn id="5" xr3:uid="{B881D3AF-23B2-4ABB-9305-86B436230A66}" name="Source (select)" dataCellStyle="Input select"/>
    <tableColumn id="2" xr3:uid="{798F4459-CF26-46B4-9050-BF8C06E2ED17}" name="Generation date" dataDxfId="430"/>
    <tableColumn id="3" xr3:uid="{AA3716AF-B731-4283-9DA2-E1BFA9D89AB9}" name="Number of certificates"/>
    <tableColumn id="4" xr3:uid="{2929EBB7-0E56-432A-BE21-CDEF0DFFED1A}" name="MWh" dataCellStyle="Input number general calculated">
      <calculatedColumnFormula>Table_Input_RECSurrendered[[#This Row],[Number of certificates]]</calculatedColumnFormula>
    </tableColumn>
    <tableColumn id="7" xr3:uid="{16DE1BAE-767E-4A97-AA4D-5FE5C597B63B}"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52F8584-FDA2-4DBC-A0AF-CD241D5BD088}"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736D7B3E-0B9B-48B7-B341-0281537B0574}" name="Description"/>
    <tableColumn id="5" xr3:uid="{91094A18-D5B7-4F20-917B-7AED474DC4B3}" name="Source" dataCellStyle="Input text calculated">
      <calculatedColumnFormula>"Issued for generated electricity"</calculatedColumnFormula>
    </tableColumn>
    <tableColumn id="2" xr3:uid="{E7C0C4D3-852D-4932-A7B2-69B693872B0E}" name="Generation date" dataDxfId="429"/>
    <tableColumn id="3" xr3:uid="{A4FD3213-A8D7-4689-AA3D-071796BA9D6A}" name="Number of certificates"/>
    <tableColumn id="4" xr3:uid="{80CED2EB-CD87-41C1-9ABA-97DE1E421974}" name="MWh" dataCellStyle="Input number general calculated">
      <calculatedColumnFormula>Table_Input_RECConsumedByEntity[[#This Row],[Number of certificates]]</calculatedColumnFormula>
    </tableColumn>
    <tableColumn id="7" xr3:uid="{570518AD-BD03-4BC1-960D-838059F52477}"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5439021D-2CEA-4F40-A98E-05BD1D8FD69B}" name="Table_Input_ChemicalsCleaning" displayName="Table_Input_ChemicalsCleaning" ref="D7:F17" totalsRowShown="0" headerRowCellStyle="Input table column header">
  <autoFilter ref="D7:F17" xr:uid="{4FE24B05-BD40-4784-8F98-E98038ED84BF}">
    <filterColumn colId="0" hiddenButton="1"/>
    <filterColumn colId="1" hiddenButton="1"/>
    <filterColumn colId="2" hiddenButton="1"/>
  </autoFilter>
  <tableColumns count="3">
    <tableColumn id="3" xr3:uid="{FF8D7B25-D5CA-468D-826C-CDFAE0B3127D}" name="Product name" dataCellStyle="Input text"/>
    <tableColumn id="1" xr3:uid="{FB45A791-5171-43E1-9C46-E48AD3FCFB6B}" name="Type (select)" dataCellStyle="Input select"/>
    <tableColumn id="2" xr3:uid="{FF40F93E-B9B4-41BF-8CCE-A0308B76838C}" name="Quantity purchased (kg)" dataCellStyle="Input number general"/>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E18FD87C-F230-48ED-9D07-F59E95577AB7}" name="Table_Input_UncategorisedProductsServices" displayName="Table_Input_UncategorisedProductsServices" ref="D37:F47" totalsRowShown="0" headerRowCellStyle="Input table column header">
  <autoFilter ref="D37:F47" xr:uid="{1E43041F-45A9-4FE7-B27E-F3B8135FFECA}">
    <filterColumn colId="0" hiddenButton="1"/>
    <filterColumn colId="1" hiddenButton="1"/>
    <filterColumn colId="2" hiddenButton="1"/>
  </autoFilter>
  <tableColumns count="3">
    <tableColumn id="1" xr3:uid="{DBD1EC10-1789-4C27-B1C0-C179E0D12193}" name="Product / service name" dataCellStyle="Input text"/>
    <tableColumn id="2" xr3:uid="{41B3EA9D-61CC-46DC-A301-1E9DCF111D3B}" name="Amount" dataCellStyle="Input number general"/>
    <tableColumn id="3" xr3:uid="{085647EF-ECAB-4BC8-B45C-FCFA506CF940}" name="Amount unit" dataCellStyle="Input text"/>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02025939-A1D2-405B-B94B-D70AC1115196}" name="Table_Input_ServicesAndContractors" displayName="Table_Input_ServicesAndContractors" ref="D22:G32" totalsRowShown="0">
  <autoFilter ref="D22:G32" xr:uid="{EAE4AE15-2AB9-4C21-9268-5CB94316E6E4}">
    <filterColumn colId="0" hiddenButton="1"/>
    <filterColumn colId="1" hiddenButton="1"/>
    <filterColumn colId="2" hiddenButton="1"/>
    <filterColumn colId="3" hiddenButton="1"/>
  </autoFilter>
  <tableColumns count="4">
    <tableColumn id="1" xr3:uid="{8D0D97C2-6CBA-4AE7-B43F-63F93F8298D0}" name="Service provider / contractor" dataCellStyle="Input text"/>
    <tableColumn id="4" xr3:uid="{A7782C8D-C2C5-4EFA-8139-DC67B2EB7AFD}" name="Activity" dataCellStyle="Input text"/>
    <tableColumn id="2" xr3:uid="{7BF1188F-A983-49D9-94E8-F16A47909668}" name="Total amount" dataCellStyle="Input number general"/>
    <tableColumn id="3" xr3:uid="{F3B7CEDC-D714-43F0-80E2-1822C217FF12}" name="Amount unit" dataCellStyle="Input select"/>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14BDD954-762E-4F51-9BDE-A101D3AAB5B0}" name="Table_Input_FeedBlends" displayName="Table_Input_FeedBlends" ref="D18:Q28" totalsRowShown="0">
  <autoFilter ref="D18:Q28" xr:uid="{6EC3622A-9CA1-4931-8AAA-6FC289090D20}"/>
  <tableColumns count="14">
    <tableColumn id="1" xr3:uid="{9557DD81-C0AF-4751-946B-921561BB9982}" name="Feed blend name" dataCellStyle="Input text"/>
    <tableColumn id="2" xr3:uid="{1678173D-022B-428C-A039-851CF93C0F1C}" name="Amount fed (kg)"/>
    <tableColumn id="4" xr3:uid="{CCF5FE47-CC74-458D-ACAA-6ED1DA6C3BDC}" name="Ingredient 1 (select)" dataCellStyle="Input select"/>
    <tableColumn id="3" xr3:uid="{2322DB24-009C-477E-9246-AEEE97B57C36}" name="Ingredient 1 source region" dataCellStyle="Input select"/>
    <tableColumn id="5" xr3:uid="{FBEB8187-F372-4029-B7A2-76B47642ED0E}" name="Ingredient 1 percent"/>
    <tableColumn id="6" xr3:uid="{C1C969C6-262C-4224-A97C-1FDAEB4E9640}" name="Ingredient 2 (select)" dataCellStyle="Input select"/>
    <tableColumn id="14" xr3:uid="{63729C00-C1FD-4F99-955F-5D5F000A2F17}" name="Ingredient 2 source region" dataCellStyle="Input select"/>
    <tableColumn id="7" xr3:uid="{797CF088-9EAA-4588-8050-CB55B243997F}" name="Ingredient 2 percent"/>
    <tableColumn id="8" xr3:uid="{F76CC073-7B8B-4DD0-BBCA-47ED12CC0B02}" name="Ingredient 3 (select)" dataCellStyle="Input select"/>
    <tableColumn id="15" xr3:uid="{3A6BDC44-486A-4D92-91CB-F70C444AB3D2}" name="Ingredient 3 source region" dataCellStyle="Input select"/>
    <tableColumn id="9" xr3:uid="{252FD3A9-F590-4298-85B4-48AFF1C441FB}" name="Ingredient 3 percent"/>
    <tableColumn id="10" xr3:uid="{9FBE78D7-1CF4-4842-A218-D7BE33D515F8}" name="Ingredient 4 (select)" dataCellStyle="Input select"/>
    <tableColumn id="16" xr3:uid="{78863CAC-7704-4B8B-9092-17A65746D368}" name="Ingredient 4 source region" dataCellStyle="Input select"/>
    <tableColumn id="11" xr3:uid="{1F42261C-CCF1-40ED-9838-96290B628E6E}" name="Ingredient 4 percent"/>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E38038BC-A844-468E-A65F-9077C1187B3B}" name="Table_Input_ChemicalsPharmacy" displayName="Table_Input_ChemicalsPharmacy" ref="D32:F42" totalsRowShown="0" headerRowCellStyle="Input table column header">
  <autoFilter ref="D32:F42" xr:uid="{F7DA8543-C7DE-49A8-A739-D82C85B7B828}"/>
  <tableColumns count="3">
    <tableColumn id="3" xr3:uid="{8F8FE70F-6C8C-407D-8829-980A146627E0}" name="Product name" dataCellStyle="Input text"/>
    <tableColumn id="1" xr3:uid="{01E2F307-86AC-465D-8FE2-4F37CFB709B2}" name="Type (select)" dataDxfId="428" dataCellStyle="Input select"/>
    <tableColumn id="2" xr3:uid="{C7134E33-1370-418D-B634-84D5CE0AD9A1}" name="Number of head treated" dataDxfId="427" dataCellStyle="Input number general"/>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7B585C66-AA20-4D04-9D24-A4FC2AD1A17F}"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73046B36-3630-410A-8672-46DA1186509E}" name="Route name" dataCellStyle="Input text"/>
    <tableColumn id="2" xr3:uid="{54533548-3134-4656-B72F-198F35B3A2C6}" name="Freight type (select)" dataCellStyle="Input select"/>
    <tableColumn id="3" xr3:uid="{549324A3-1BB3-4E06-99C4-CEF8036B4D6E}" name="Route distance (km)"/>
    <tableColumn id="4" xr3:uid="{8E0B4DCE-19E1-43E7-A842-06ED62AE3D41}" name="Average weight of freight per trip (t)"/>
    <tableColumn id="5" xr3:uid="{089C6560-8871-476D-9DD3-E903F8E5F98A}" name="Number of trips taken"/>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2C09B252-1DD1-4085-9853-E98AF2F68AA3}"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A162B3EB-BAC6-4C9B-B89D-1DB4C916F0AC}" name="Route name" dataCellStyle="Input text"/>
    <tableColumn id="2" xr3:uid="{F6B0AEE5-C320-4B47-AC4A-BE11F2EA48EE}" name="Freight type (select)" dataCellStyle="Input select"/>
    <tableColumn id="3" xr3:uid="{17B40267-9958-4D0F-853F-521637CC4DF8}" name="Route distance (km)"/>
    <tableColumn id="4" xr3:uid="{2C0E188E-4AEE-4F48-8746-AE48BB822369}" name="Average weight of freight per trip (t)"/>
    <tableColumn id="5" xr3:uid="{070E251C-5503-42EC-9213-7337F189BA52}" name="Number of trips taken"/>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FD1ACCDF-AAE2-4856-B28F-EB8C83188A66}"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37A87D33-FB7E-4F76-95D2-7699A81083EE}" name="Description" dataCellStyle="Input text"/>
    <tableColumn id="5" xr3:uid="{AC90FD3C-84BE-44C3-AA5C-ACB781453583}" name="Treatment type (select)" dataCellStyle="Input select"/>
    <tableColumn id="2" xr3:uid="{9A27EF20-7759-49D4-93DC-4B0077D729BF}" name="Waste type (select)" dataCellStyle="Input select"/>
    <tableColumn id="3" xr3:uid="{060D2526-72A7-413F-A1AB-2C89E85E605A}" name="Treatment location (select)" dataCellStyle="Input select"/>
    <tableColumn id="4" xr3:uid="{D289F403-36E5-415F-A8BA-2879CA89856C}" name="Amount" dataCellStyle="Input number general"/>
    <tableColumn id="7" xr3:uid="{E49F642B-5621-4C14-9BE9-1F6F75F84D00}" name="Amount unit (select)" dataCellStyle="Input select"/>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228A77-AAF0-4E4B-B3B6-548B8379325D}" name="Table_Input_DataQuality_Enterprise" displayName="Table_Input_DataQuality_Enterprise" ref="D7:J14" totalsRowShown="0" headerRowCellStyle="Input table column header">
  <autoFilter ref="D7:J14" xr:uid="{A9228A77-AAF0-4E4B-B3B6-548B8379325D}"/>
  <tableColumns count="7">
    <tableColumn id="1" xr3:uid="{D973B6CD-DC02-4FB9-BC72-C7D59E0878F5}" name="Data type" dataCellStyle="Content normal"/>
    <tableColumn id="2" xr3:uid="{8628A244-7FCA-4923-B809-B69CE86B5CDE}" name="When was the data sourced?" dataCellStyle="Input select"/>
    <tableColumn id="3" xr3:uid="{FAD9C63D-6E32-48F0-8A23-222E15F46B11}" name="Where is the data sourced from?" dataCellStyle="Input select"/>
    <tableColumn id="4" xr3:uid="{5EDBE82F-7B3C-458A-8638-8F86879CF287}" name="How much of the data was from direct samples?" dataCellStyle="Input select"/>
    <tableColumn id="5" xr3:uid="{58811FFB-FE3A-4DD8-BE53-E8CB588BCB77}" name="Notes" dataDxfId="426"/>
    <tableColumn id="6" xr3:uid="{1219F6AC-7C79-4EDD-8C55-F7A78277AE3F}" name="Evidence files" dataDxfId="425"/>
    <tableColumn id="7" xr3:uid="{A201D4C4-5F18-4228-8444-52A30734BB16}" name="Score" dataCellStyle="Input number general calculated">
      <calculatedColumnFormula>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EAFF54-6A37-4172-83F2-4CF40A8CE922}" name="Table_Input_DataQuality_Site" displayName="Table_Input_DataQuality_Site" ref="D19:J25" totalsRowShown="0" headerRowCellStyle="Input table column header">
  <autoFilter ref="D19:J25" xr:uid="{14EAFF54-6A37-4172-83F2-4CF40A8CE922}"/>
  <tableColumns count="7">
    <tableColumn id="1" xr3:uid="{77CE9F47-8CFA-4692-926E-40DA38A1B418}" name="Data type" dataCellStyle="Content normal"/>
    <tableColumn id="2" xr3:uid="{0E7A6865-A484-4EA8-BE54-5D641629A627}" name="When was the data sourced?" dataCellStyle="Input select"/>
    <tableColumn id="3" xr3:uid="{3E8C7762-D226-4D20-9E9C-87D78E3C44EB}" name="Where is the data sourced from?" dataCellStyle="Input select"/>
    <tableColumn id="4" xr3:uid="{4BFD5FBC-8263-4629-836C-DDA0F8DB50DF}" name="How much of the data was from direct samples?" dataCellStyle="Input select"/>
    <tableColumn id="5" xr3:uid="{E8075AB8-A4A6-48D2-A746-36F9CD68017F}" name="Notes" dataDxfId="424"/>
    <tableColumn id="6" xr3:uid="{73F97399-8A3B-4EFB-9481-CBD7CB1C44EB}" name="Evidence files" dataDxfId="423"/>
    <tableColumn id="7" xr3:uid="{5C3D4C29-1D29-4869-8E15-91152F19AFCD}" name="Score" dataCellStyle="Input number general calculated">
      <calculatedColumnFormula>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9F3E1E-E80D-4491-B5B5-2B0458B11142}" name="Table_Input_DataQuality_PastureManagement" displayName="Table_Input_DataQuality_PastureManagement" ref="D30:J38" totalsRowShown="0" headerRowCellStyle="Input table column header">
  <autoFilter ref="D30:J38" xr:uid="{E59F3E1E-E80D-4491-B5B5-2B0458B11142}"/>
  <tableColumns count="7">
    <tableColumn id="1" xr3:uid="{07B7AEAC-42D5-4F2A-9254-E28170F20541}" name="Data type" dataCellStyle="Content normal"/>
    <tableColumn id="2" xr3:uid="{F15C1AF3-5D79-4EFF-A7BC-85CD71AF8BCF}" name="When was the data sourced?" dataCellStyle="Input select"/>
    <tableColumn id="3" xr3:uid="{E627CA70-3484-4F31-AEDF-45A8D9B88D5B}" name="Where is the data sourced from?" dataCellStyle="Input select"/>
    <tableColumn id="4" xr3:uid="{17EAABE4-C534-43AF-A841-58EDEBD26AB6}" name="How much of the data was from direct samples?" dataCellStyle="Input select"/>
    <tableColumn id="5" xr3:uid="{179CA6A6-4732-423D-BA28-31ED41FEC488}" name="Notes" dataDxfId="422"/>
    <tableColumn id="6" xr3:uid="{865FA280-4A36-4101-BD09-20356916B4D5}" name="Evidence files" dataDxfId="421"/>
    <tableColumn id="7" xr3:uid="{399918FC-2F3F-431B-90D1-3CF016CF6FB7}" name="Score" dataCellStyle="Input number general calculated">
      <calculatedColumnFormula>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CC3CF1-FC3F-4295-9CAA-23D9BE9805DD}" name="Table_Input_DataQuality_FuelElectricity" displayName="Table_Input_DataQuality_FuelElectricity" ref="D44:J48" totalsRowShown="0" headerRowCellStyle="Input table column header">
  <autoFilter ref="D44:J48" xr:uid="{23CC3CF1-FC3F-4295-9CAA-23D9BE9805DD}"/>
  <tableColumns count="7">
    <tableColumn id="1" xr3:uid="{FF68AAD8-CA28-48F0-919A-B5EE00EEC959}" name="Data type" dataCellStyle="Content normal"/>
    <tableColumn id="2" xr3:uid="{BC53EBA0-F074-453F-8CEB-CA1F6ECC908D}" name="When was the data sourced?" dataCellStyle="Input select"/>
    <tableColumn id="3" xr3:uid="{443C80E7-5900-4A26-A586-B5571F50B9F7}" name="Where is the data sourced from?" dataCellStyle="Input select"/>
    <tableColumn id="4" xr3:uid="{C01B1081-DB35-4821-8766-E86DBB122E80}" name="How much of the data was from direct samples?" dataCellStyle="Input select"/>
    <tableColumn id="5" xr3:uid="{A1104D67-6CCD-4845-87B4-822F83200DD9}" name="Notes" dataDxfId="420"/>
    <tableColumn id="6" xr3:uid="{690D112F-6792-478E-99EE-B77B520B2164}" name="Evidence files" dataDxfId="419"/>
    <tableColumn id="7" xr3:uid="{6CAA4E36-3A57-4A0B-8F59-4A9A9900E954}" name="Score" dataCellStyle="Input number general calculated">
      <calculatedColumnFormula>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686FF9E-0D3A-4B3C-AA24-5C854A47B3EC}" name="Table_Input_DataQuality_FarmInputsFreightWaste" displayName="Table_Input_DataQuality_FarmInputsFreightWaste" ref="D54:J59" totalsRowShown="0" headerRowCellStyle="Input table column header">
  <autoFilter ref="D54:J59" xr:uid="{3686FF9E-0D3A-4B3C-AA24-5C854A47B3EC}"/>
  <tableColumns count="7">
    <tableColumn id="1" xr3:uid="{C51E7368-348D-4A43-9E3F-127769A67275}" name="Data type" dataCellStyle="Content normal"/>
    <tableColumn id="2" xr3:uid="{4E3BAE35-86E5-4F71-98DC-491AD05B9B47}" name="When was the data sourced?" dataCellStyle="Input select"/>
    <tableColumn id="3" xr3:uid="{27B2AE81-8632-4140-9460-9C99650189CD}" name="Where is the data sourced from?" dataCellStyle="Input select"/>
    <tableColumn id="4" xr3:uid="{9C973ECC-975D-44BC-8B9B-BFC0C605F944}" name="How much of the data was from direct samples?" dataCellStyle="Input select"/>
    <tableColumn id="5" xr3:uid="{F255A018-D1E3-4FA7-9B50-4726EC2E2E56}" name="Notes" dataDxfId="418"/>
    <tableColumn id="6" xr3:uid="{16D79CDB-80AA-4F28-B5E0-282205F97C41}" name="Evidence files" dataDxfId="417"/>
    <tableColumn id="7" xr3:uid="{73A8FFE4-648C-4FC3-BBE0-724E1B5D1A5A}" name="Score" dataCellStyle="Input number general calculated">
      <calculatedColumnFormula>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7E293F6-16F2-46CA-BB8C-2192E3E19012}"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8E2105F9-C374-4825-B2B5-F92CC52649A4}"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72C73D96-8D5A-4D15-B286-5BB722F47D9A}" name="Layers" dataDxfId="416"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489A026E-72F8-4EC7-948E-C162AE22F409}" name="Meat chicken growers" dataDxfId="415"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22A6851C-ADD1-4981-9AE9-820256822A4B}" name="Meat chicken breeder" dataDxfId="414"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B56A8A4A-710E-40A3-A98D-C3B5241B2D1E}" name="Meat other" dataDxfId="413"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2BBF387-C761-49F9-9DF4-3C97C9D0913A}"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C09A6A88-0485-463D-9DA9-202DD9574120}"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961F4C32-2A5F-4CA3-868B-0EBB7867C9A1}" name="B0" dataDxfId="412"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C60668-A573-4500-A3F9-C9DBCBBEAFC0}" name="Table_SourceData_PoultryMMS" displayName="Table_SourceData_PoultryMMS" ref="D28:E38" totalsRowShown="0">
  <autoFilter ref="D28:E38" xr:uid="{AF7090B5-6718-41B7-9B26-A00EDB46BAC3}">
    <filterColumn colId="0" hiddenButton="1"/>
    <filterColumn colId="1" hiddenButton="1"/>
  </autoFilter>
  <tableColumns count="2">
    <tableColumn id="1" xr3:uid="{96710080-902E-4781-A426-BF871F49ED41}" name="MMS"/>
    <tableColumn id="2" xr3:uid="{45EC1F9F-8CF0-43B0-B8D4-FD7D39FB60E0}" name="Symbol and MMS" dataDxfId="411" dataCellStyle="Content normal"/>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05BD2C0-03C5-490D-B87D-B91566657846}" name="Table_SourceData_Poultry_ProductionSystems" displayName="Table_SourceData_Poultry_ProductionSystems" ref="D44:D47" totalsRowShown="0">
  <autoFilter ref="D44:D47" xr:uid="{5810106E-36C6-489E-8962-5DE08C5F2EAC}">
    <filterColumn colId="0" hiddenButton="1"/>
  </autoFilter>
  <tableColumns count="1">
    <tableColumn id="1" xr3:uid="{A2AABF47-BD18-4E62-BD57-30CA10B117EF}"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4D95D-4646-4EBF-8FA9-31707CE52ECE}"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915B9C33-0D99-45E4-89CF-65968F9AACC3}" name="MMS m">
      <calculatedColumnFormula array="1">Common_InputFunctions.Utility_DisplayArrayInTable(SourceData_Poultry.SourceData_Poultry_MCF_Data(), Table_SourceData_Poultry_MMSMCF[[#Headers],[MMS m]], 0)</calculatedColumnFormula>
    </tableColumn>
    <tableColumn id="2" xr3:uid="{E50C44C8-F125-474F-B899-4C8375A51CF6}" name="All states" dataDxfId="410" dataCellStyle="Content normal">
      <calculatedColumnFormula array="1">Common_InputFunctions.Utility_DisplayArrayInTable(SourceData_Poultry.SourceData_Poultry_MCF_Data(), Table_SourceData_Poultry_MMSMCF[[#Headers],[MMS m]], 0)</calculatedColumnFormula>
    </tableColumn>
    <tableColumn id="3" xr3:uid="{A32E93D8-3F0F-48C5-BD07-F6698F24D6F3}" name="NSW" dataDxfId="409" dataCellStyle="Content normal">
      <calculatedColumnFormula array="1">Common_InputFunctions.Utility_DisplayArrayInTable(SourceData_Poultry.SourceData_Poultry_MCF_Data(), Table_SourceData_Poultry_MMSMCF[[#Headers],[MMS m]], 0)</calculatedColumnFormula>
    </tableColumn>
    <tableColumn id="4" xr3:uid="{BA2A074F-7008-4856-87E7-F90F1387D019}" name="ACT" dataDxfId="408" dataCellStyle="Content normal">
      <calculatedColumnFormula array="1">Common_InputFunctions.Utility_DisplayArrayInTable(SourceData_Poultry.SourceData_Poultry_MCF_Data(), Table_SourceData_Poultry_MMSMCF[[#Headers],[MMS m]], 0)</calculatedColumnFormula>
    </tableColumn>
    <tableColumn id="5" xr3:uid="{CD45E0BA-086C-4DB4-84AD-E9777F8E481D}" name="QLD" dataDxfId="407" dataCellStyle="Content normal">
      <calculatedColumnFormula array="1">Common_InputFunctions.Utility_DisplayArrayInTable(SourceData_Poultry.SourceData_Poultry_MCF_Data(), Table_SourceData_Poultry_MMSMCF[[#Headers],[MMS m]], 0)</calculatedColumnFormula>
    </tableColumn>
    <tableColumn id="6" xr3:uid="{4319E994-4C1F-4EAA-8A62-CAA19A9675CF}" name="NT" dataDxfId="406" dataCellStyle="Content normal">
      <calculatedColumnFormula array="1">Common_InputFunctions.Utility_DisplayArrayInTable(SourceData_Poultry.SourceData_Poultry_MCF_Data(), Table_SourceData_Poultry_MMSMCF[[#Headers],[MMS m]], 0)</calculatedColumnFormula>
    </tableColumn>
    <tableColumn id="7" xr3:uid="{D6F59118-25BA-4B77-A948-F88C400B4CB2}" name="VIC" dataDxfId="405" dataCellStyle="Content normal">
      <calculatedColumnFormula array="1">Common_InputFunctions.Utility_DisplayArrayInTable(SourceData_Poultry.SourceData_Poultry_MCF_Data(), Table_SourceData_Poultry_MMSMCF[[#Headers],[MMS m]], 0)</calculatedColumnFormula>
    </tableColumn>
    <tableColumn id="8" xr3:uid="{25562868-BA72-46F4-8003-A1BDA3BB38A1}" name="SA" dataDxfId="404" dataCellStyle="Content normal">
      <calculatedColumnFormula array="1">Common_InputFunctions.Utility_DisplayArrayInTable(SourceData_Poultry.SourceData_Poultry_MCF_Data(), Table_SourceData_Poultry_MMSMCF[[#Headers],[MMS m]], 0)</calculatedColumnFormula>
    </tableColumn>
    <tableColumn id="9" xr3:uid="{AB746342-C6F4-4D90-8377-F2D66DD80EBF}" name="WA" dataDxfId="403" dataCellStyle="Content normal">
      <calculatedColumnFormula array="1">Common_InputFunctions.Utility_DisplayArrayInTable(SourceData_Poultry.SourceData_Poultry_MCF_Data(), Table_SourceData_Poultry_MMSMCF[[#Headers],[MMS m]], 0)</calculatedColumnFormula>
    </tableColumn>
    <tableColumn id="10" xr3:uid="{AFE3634A-73DC-4AEE-9047-E98542D6F500}" name="TAS" dataDxfId="402" dataCellStyle="Content normal">
      <calculatedColumnFormula array="1">Common_InputFunctions.Utility_DisplayArrayInTable(SourceData_Poultry.SourceData_Poultry_MCF_Data(), Table_SourceData_Poultry_MMSMCF[[#Headers],[MMS m]], 0)</calculatedColumnFormula>
    </tableColumn>
    <tableColumn id="11" xr3:uid="{E45B0152-8DC5-450E-B0AF-6B8AAA17E6B1}" name="NIR definition" dataDxfId="401"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1CFC267-12ED-4832-8D25-371590042768}"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B804E50B-1613-494B-A376-4577950CA1C2}" name="MMS"/>
    <tableColumn id="2" xr3:uid="{486D1BBF-AA0A-4EA2-8B9D-1854E9177D98}" name="Symbol and MMS" dataDxfId="400" dataCellStyle="Content normal"/>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621666-CD05-4F08-AC70-287B215E6F21}"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0DFC8704-31A1-4ADC-9421-2834552495C2}" name="MMS"/>
    <tableColumn id="2" xr3:uid="{F62D7559-DAB0-433A-94D0-8C9BA45121F9}" name="Symbol and MMS" dataDxfId="399" dataCellStyle="Content normal"/>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C72EBFB0-1C45-4BE3-AAD2-A8A4786B61CF}"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11DB5AAC-6ACC-4836-ABFB-ECEC249DD14B}" name="MMS">
      <calculatedColumnFormula array="1">Common_InputFunctions.Utility_DisplayArrayInTable(SourceData_Poultry.SourceData_Poultry_VSL_Data(), Table_SourceData_Poultry_MMSVSL[[#Headers],[MMS]], 0)</calculatedColumnFormula>
    </tableColumn>
    <tableColumn id="2" xr3:uid="{0A634465-A82C-47C5-BBB5-CC2BC1601260}" name="VSL" dataDxfId="398" dataCellStyle="Content normal">
      <calculatedColumnFormula array="1">Common_InputFunctions.Utility_DisplayArrayInTable(SourceData_Poultry.SourceData_Poultry_VSL_Data(), Table_SourceData_Poultry_MMSVSL[[#Headers],[MMS]], 0)</calculatedColumnFormula>
    </tableColumn>
    <tableColumn id="3" xr3:uid="{3A2A1C38-B5E0-48E4-B4F9-2898DC0667F5}" name="NIR definition" dataDxfId="397"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0B50021-323B-4454-965F-03FD7EDDD0A1}"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9DFEE8E6-3BAF-46B3-8856-8EE25E9AB8BF}" name="MMSm">
      <calculatedColumnFormula array="1">Common_InputFunctions.Utility_DisplayArrayInTable(SourceData_Poultry.SourceData_Poultry_FracGASMmT_Data(), Table_SourceData_Poultry_FracGASM[[#Headers],[MMSm]], 0)</calculatedColumnFormula>
    </tableColumn>
    <tableColumn id="2" xr3:uid="{2C8D8DE5-B67C-4BEC-9158-F87F4DA2E395}" name="FracGASMmT" dataDxfId="396" dataCellStyle="Content normal">
      <calculatedColumnFormula array="1">Common_InputFunctions.Utility_DisplayArrayInTable(SourceData_Poultry.SourceData_Poultry_FracGASMmT_Data(), Table_SourceData_Poultry_FracGASM[[#Headers],[MMSm]], 0)</calculatedColumnFormula>
    </tableColumn>
    <tableColumn id="3" xr3:uid="{92BF23C1-F6B1-4E2B-84C3-D715DE7D3E70}" name="NIR reference" dataDxfId="395"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D2AD09E-B04B-4568-84B8-400A116FDEE7}"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FFF32019-FC30-4241-A413-88D896EBAE7A}" name="MMSm">
      <calculatedColumnFormula array="1">Common_InputFunctions.Utility_DisplayArrayInTable(SourceData_Poultry.SourceData_Poultry_EFmT_Data(),Table_SourceData_Poultry_EFmT[[#Headers],[MMSm]], 0)</calculatedColumnFormula>
    </tableColumn>
    <tableColumn id="2" xr3:uid="{5F6BD5DC-8DDA-43F6-AB10-975D07A2F810}" name="EFmT" dataDxfId="394" dataCellStyle="Content normal">
      <calculatedColumnFormula array="1">Common_InputFunctions.Utility_DisplayArrayInTable(SourceData_Poultry.SourceData_Poultry_EFmT_Data(),Table_SourceData_Poultry_EFmT[[#Headers],[MMSm]], 0)</calculatedColumnFormula>
    </tableColumn>
    <tableColumn id="3" xr3:uid="{DEEAA492-9E6E-4D75-9E4B-6DDFA2D78378}" name="NIR reference" dataDxfId="393"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EB7E09A-04D6-48CC-A3D9-E6337530F261}"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D0AA5686-0583-485E-9A62-CAEB0C35939C}" name="Livestock class j">
      <calculatedColumnFormula array="1">Common_InputFunctions.Utility_DisplayArrayInTable(SourceData_Poultry.SourceData_Poultry_Liveweights_Data(),Table_SourceData_Poultry_Liveweights[[#Headers],[Livestock class j]],0)</calculatedColumnFormula>
    </tableColumn>
    <tableColumn id="2" xr3:uid="{DE7D969F-120E-46CF-9FF0-B9C7053950A1}" name="Average liveweight (kg)" dataDxfId="392"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B4E98DBB-C364-4C90-9607-3FEDB5AE8325}" name="Table_SourceData_Poultry_CropProdSystems" displayName="Table_SourceData_Poultry_CropProdSystems" ref="G44:G46" totalsRowShown="0">
  <autoFilter ref="G44:G46" xr:uid="{8EDB544D-AFFC-41EF-8AD9-9AD07200476D}"/>
  <tableColumns count="1">
    <tableColumn id="1" xr3:uid="{5E669FB9-0220-464E-A820-529A312EA36B}" name="Production system">
      <calculatedColumnFormula>#REF!</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ABA191E-E1AD-468C-98E5-8B4BA30F6E1D}" name="Table_SourceData_Poultry_IrrigationMethods" displayName="Table_SourceData_Poultry_IrrigationMethods" ref="J44:J49" totalsRowShown="0">
  <autoFilter ref="J44:J49" xr:uid="{C0841426-764B-45EC-B52F-AFA2B3E2A193}"/>
  <tableColumns count="1">
    <tableColumn id="1" xr3:uid="{80AD9B4B-4D77-4960-A905-132A7E4766FF}" name="Irrigation method"/>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628E93B3-CE7C-4BF0-99D8-3CD8DD60CCD2}"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079DBF2-C702-4737-89D4-DA49DB3ADBC3}" name="Symbol">
      <calculatedColumnFormula array="1">Common_InputFunctions.Utility_DisplayArrayInTable(CommonLivestock_SourceData.SourceData_Livestock_Common_SymbolsMMS_Data(), Table_Data_MMSSymbols[[#Headers],[Symbol]], 0)</calculatedColumnFormula>
    </tableColumn>
    <tableColumn id="2" xr3:uid="{3CFA893C-34E9-4AF5-B372-E612EF8036BB}" name="Manure management system">
      <calculatedColumnFormula array="1">Common_InputFunctions.Utility_DisplayArrayInTable(CommonLivestock_SourceData.SourceData_Livestock_Common_SymbolsMMS_Data(), Table_Data_MMSSymbols[[#Headers],[Symbol]], 0)</calculatedColumnFormula>
    </tableColumn>
    <tableColumn id="3" xr3:uid="{A0022BA7-6A10-4137-9974-0DB1C8197707}"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B231DB18-1F43-43AA-93DB-309C109740EF}" name="Table_SourceData_ElectricityEFs" displayName="Table_SourceData_ElectricityEFs" ref="D9:F19" totalsRowShown="0" headerRowDxfId="391">
  <autoFilter ref="D9:F19" xr:uid="{3144A982-7A4D-4CF2-8790-1A30DAE3E0A4}">
    <filterColumn colId="0" hiddenButton="1"/>
    <filterColumn colId="1" hiddenButton="1"/>
    <filterColumn colId="2" hiddenButton="1"/>
  </autoFilter>
  <tableColumns count="3">
    <tableColumn id="1" xr3:uid="{C61B6DA5-4FA0-4DE3-A3E8-3A4B7ACA70F3}"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5596214E-2E98-4DDE-88DF-36C77C7E40B8}"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FC17A2E3-5D2D-4AFC-90FC-54D2A798DCE6}"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D560E94D-817D-44F6-AA7B-5BE8813AA6C0}"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C323ABDF-E931-43B4-8890-78D4B1D72101}" name="State, Territory or grid description"/>
    <tableColumn id="2" xr3:uid="{0C4C3D15-2BD5-4365-81DB-AE189890AF42}" name="Scope 2 EF (kg CO2-e/kWh)"/>
    <tableColumn id="3" xr3:uid="{A8C0E899-5B89-4E18-AFB9-EF38769888E7}" name="Scope 2 EF (kg CO2-e/GJ)"/>
    <tableColumn id="4" xr3:uid="{BEBE7D77-29E2-485C-B99A-B484A353961B}" name="Scope 3 EF (kg CO2-e/kWh)"/>
    <tableColumn id="5" xr3:uid="{3CEA933C-7D7B-47B2-A0D0-10658EDCE140}" name="Scope 3 EF (kg CO2-e/GJ)"/>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FF64AFA2-A341-4389-A863-2882CB4655BB}"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22D6586C-7881-45CE-ACE2-6C4DAE187C46}"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E814CAB2-05AF-40A1-BBF1-FBAD93A18D7B}" name="FNinorganic f">
      <calculatedColumnFormula array="1">Common_InputFunctions.Utility_DisplayArrayInTable(Fertiliser_SourceData.Fertiliser_ChemicalCompoundElements_Data(),Table_Fertiliser_ChemicalCompounds[[#Headers],[Fertiliser type f]], 0)</calculatedColumnFormula>
    </tableColumn>
    <tableColumn id="3" xr3:uid="{625D5E24-B6D2-4C3E-A3DD-121B1FA63FAD}" name="FU f">
      <calculatedColumnFormula array="1">Common_InputFunctions.Utility_DisplayArrayInTable(Fertiliser_SourceData.Fertiliser_ChemicalCompoundElements_Data(),Table_Fertiliser_ChemicalCompounds[[#Headers],[Fertiliser type f]], 0)</calculatedColumnFormula>
    </tableColumn>
    <tableColumn id="4" xr3:uid="{283A8C85-7B4B-4B17-BF2D-8EC0783AE14F}" name="Basis">
      <calculatedColumnFormula array="1">Common_InputFunctions.Utility_DisplayArrayInTable(Fertiliser_SourceData.Fertiliser_ChemicalCompoundElements_Data(),Table_Fertiliser_ChemicalCompounds[[#Headers],[Fertiliser type f]], 0)</calculatedColumnFormula>
    </tableColumn>
    <tableColumn id="5" xr3:uid="{7C187939-6DA5-425B-8DE5-1B49288902B7}"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FF26424E-74F4-4062-A31B-F08C0B1E743C}"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A58B979C-F473-4EDD-AB15-3662CD93D8ED}" name="FertiliserProducts" displayName="FertiliserProducts" ref="D89:AH223">
  <autoFilter ref="D89:AH22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180F7F17-C13E-43E5-A1D6-6F3C3CA04152}" name="Company" totalsRowFunction="custom" totalsRowDxfId="390">
      <calculatedColumnFormula array="1">Common_InputFunctions.Utility_DisplayArrayInTable(Fertiliser_SourceData.Fertiliser_Products_Data1(),FertiliserProducts[[#Headers],[Company]], -1)</calculatedColumnFormula>
      <totalsRowFormula array="1">Common_InputFunctions.Utility_DisplayArrayInTable(Fertiliser_SourceData.Fertiliser_Products_Data3(), FertiliserProducts[[#Headers],[Company]],61)</totalsRowFormula>
    </tableColumn>
    <tableColumn id="2" xr3:uid="{87D4F9D7-94E0-4B5E-B721-9381D887B335}" name="Produc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3" xr3:uid="{3963F26A-4C45-4CF0-8975-5E0279BA3ECC}" name="Uni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4" xr3:uid="{0B8C8A69-7D8D-4F4D-8FEF-8B87A78C12AF}" name="Density"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5" xr3:uid="{FFAB7D24-D093-43D6-8779-A6B1A99AA1F0}" name="Contains inhibitor"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6" xr3:uid="{C3C25A08-67EB-4112-8C0D-00ABAD4BB537}" name="Ure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7" xr3:uid="{75A97C4E-95D7-4DD3-8B67-F812EE0EB090}" name="Ammoni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8" xr3:uid="{9471FADF-D4AD-49E6-BBE1-87806A69E007}" name="N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9" xr3:uid="{6B133BF7-1E39-4C8F-952F-F18035F7BAE8}" name="P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0" xr3:uid="{F84E8473-1889-4E46-8DB9-ACA9B7F1CB7C}" name="K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1" xr3:uid="{3312E320-53B5-4126-9DD1-2F2AE98F2130}" name="S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7" xr3:uid="{4B44467F-C284-4AB6-A8F7-11E0BFDF94DF}" name="Ingredient 1" totalsRowFunction="custom" totalsRowCellStyle="Content normal">
      <totalsRowFormula array="1">Common_InputFunctions.Utility_DisplayArrayInTable(Fertiliser_SourceData.Fertiliser_Products_Data3(), FertiliserProducts[[#Headers],[Company]],61)</totalsRowFormula>
    </tableColumn>
    <tableColumn id="22" xr3:uid="{B2208E2C-B27D-46E8-8F06-CB6FFADB2637}" name="Ingredient 1 percent" totalsRowFunction="custom" totalsRowCellStyle="Content normal">
      <totalsRowFormula array="1">Common_InputFunctions.Utility_DisplayArrayInTable(Fertiliser_SourceData.Fertiliser_Products_Data3(), FertiliserProducts[[#Headers],[Company]],61)</totalsRowFormula>
    </tableColumn>
    <tableColumn id="12" xr3:uid="{E4DEC7DE-2146-4B81-A2C6-4522486122F5}" name="Ingredient 2"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3" xr3:uid="{72D56837-348C-40E4-BBD9-8C26341D89C8}" name="Ingredient 2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4" xr3:uid="{BCEE9A4B-297D-4857-BCF1-437D0F50ADDC}" name="Ingredient 3"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5" xr3:uid="{78FFB45C-8A57-4EBC-9BC1-0D0F3845DF25}" name="Ingredient 3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6" xr3:uid="{DB87B5A5-3EAA-4337-ABB5-DABB684E0EF8}" name="Ingredient 4"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7" xr3:uid="{F29D001C-B4B6-4D3E-B9A8-AFDC6452180C}" name="Ingredient 4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8" xr3:uid="{86966E46-8CFB-42ED-8ACE-03B5CF66DFFA}" name="Ingredient 5"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9" xr3:uid="{056F8B8D-DDDF-4C88-9EF1-4C0C8AB96300}" name="Ingredient 5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7" xr3:uid="{AF767F74-84F8-4B2B-8D19-88D6144EB1B3}" name="Ingredient 6"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0" xr3:uid="{7FDFCA19-CA5C-4F1E-A410-F572658A5A62}" name="Ingredient 6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4" xr3:uid="{EDA3FCED-2AD0-42FD-BEB3-1774CDC0986C}" name="Ingredient 7"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3" xr3:uid="{11F3A71E-6EA8-4719-BB1D-0513180635F9}" name="Ingredient 7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6" xr3:uid="{837ED4F9-F72B-46BA-A586-21DB2FA0CF09}" name="Ingredient 8"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5" xr3:uid="{F7BE6641-F860-4FCD-804A-6D331D081DB4}" name="Ingredient 8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0" xr3:uid="{05C3FF33-B349-413D-AF9B-E6851D40AA31}" name="Ingredient 9"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9" xr3:uid="{196CCE2A-AB0D-4D20-AD68-75A2C8115767}" name="Ingredient 9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8" xr3:uid="{505FAE7E-7430-4FC4-8DB5-991622823FE5}" name="Ingredient 10"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1" xr3:uid="{87D53D33-17F8-4281-805B-3681EBFF4F42}" name="Ingredient 10 percent" totalsRowCellStyle="Content normal"/>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51059D76-9B14-4A46-A8E9-F0963C223065}"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C09FF3C9-852C-45DE-A0B8-F5F829BEED69}" name="Fertiliser type f">
      <calculatedColumnFormula array="1">Common_InputFunctions.Utility_DisplayArrayInTable(Fertiliser_SourceData.Fertiliser_FracGASF_Data(), Table_SourceData_Fertiliser_FracGASF[[#Headers],[Fertiliser type f]], 0)</calculatedColumnFormula>
    </tableColumn>
    <tableColumn id="2" xr3:uid="{B71C1B5D-3E29-4CF9-A6B2-000E5D1AA856}" name="FracGASF f" dataDxfId="389"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531D1346-39C2-489B-A0FD-EFA4EC041276}" name="Table_SourceData_Fertiliser_CropProdSystems" displayName="Table_SourceData_Fertiliser_CropProdSystems" ref="D41:D43" totalsRowShown="0">
  <autoFilter ref="D41:D43" xr:uid="{24F3A11E-40F5-4BB9-BFF4-A71FA2ADA0EF}">
    <filterColumn colId="0" hiddenButton="1"/>
  </autoFilter>
  <tableColumns count="1">
    <tableColumn id="1" xr3:uid="{2A5D0C0C-CE61-4080-A585-310EFDE97EE6}" name="Production system">
      <calculatedColumnFormula>#REF!</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E2E3E8C-57AE-4939-9B44-32C569F34BCA}"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CC444B94-D195-4C38-A1B0-3AD261018379}" name="Irrigation method"/>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9A01E71-8B62-4BF3-8BFB-49A1A18478E6}" name="Table_SourceData_Fertiliser_CropTypes" displayName="Table_SourceData_Fertiliser_CropTypes" ref="F41:F45" totalsRowShown="0">
  <autoFilter ref="F41:F45" xr:uid="{CB5044B5-FA3C-4AA2-B1AB-72F7E61D072F}">
    <filterColumn colId="0" hiddenButton="1"/>
  </autoFilter>
  <tableColumns count="1">
    <tableColumn id="1" xr3:uid="{93BE5895-6FC9-44B5-90EC-15F4115C6D88}" name="Production system"/>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95C3E5E5-16B7-47E3-8A1F-AB6B6B7192A0}" name="Table_SourceData_OrganicFertiliserTypes" displayName="Table_SourceData_OrganicFertiliserTypes" ref="J41:J46" totalsRowShown="0">
  <autoFilter ref="J41:J46" xr:uid="{B44627B1-537E-4ABC-92C3-57282CEE5B40}">
    <filterColumn colId="0" hiddenButton="1"/>
  </autoFilter>
  <tableColumns count="1">
    <tableColumn id="1" xr3:uid="{4DF0BF4D-B8C1-43E0-BB4E-D50441983F73}" name="Organic fertiliser type"/>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3D712A46-4115-49DE-8362-42498075FC6F}"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7B4E9AD0-7632-44B6-825E-6603E2F35F23}" name="Element">
      <calculatedColumnFormula array="1">Common_InputFunctions.Utility_DisplayArrayInTable(Fertiliser_SourceData.Fertiliser_LimeDolomiteGypsumConstants_Data(), Table_SourceData_Fertiliser_LimeDolomiteConstants[[#Headers],[Element]], 0)</calculatedColumnFormula>
    </tableColumn>
    <tableColumn id="2" xr3:uid="{9D1372AD-C1EE-4373-B421-21068625D5B3}" name="P" dataDxfId="388"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844B2598-809D-4CDA-98E3-936D2ECB3963}" name="EF" dataDxfId="387"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19235305-4C81-42D6-B52C-AF439D106BB2}" name="Table2" displayName="Table2" ref="K19:L28" totalsRowShown="0" dataDxfId="386" dataCellStyle="Content normal">
  <autoFilter ref="K19:L28" xr:uid="{27B93029-EB1F-4C4A-A946-CD673A8A6C46}">
    <filterColumn colId="0" hiddenButton="1"/>
    <filterColumn colId="1" hiddenButton="1"/>
  </autoFilter>
  <tableColumns count="2">
    <tableColumn id="1" xr3:uid="{27884FFF-D523-4D7D-9124-5943DF03E049}" name="Fertiliser type f" dataDxfId="385" dataCellStyle="Content normal">
      <calculatedColumnFormula array="1">Common_InputFunctions.Utility_DisplayArrayInTable(Fertiliser_SourceData.Fertiliser_FractionNCommonFertilisers_Data(), Table2[[#Headers],[Fertiliser type f]], 0)</calculatedColumnFormula>
    </tableColumn>
    <tableColumn id="2" xr3:uid="{3961B467-1652-4832-A8CC-0EF0BEDBFA9F}" name="FNinorganic f" dataDxfId="384"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6F98EA2D-5348-4645-80CD-D2D47D75200F}" name="Table28" displayName="Table28" ref="Q19:R28" totalsRowShown="0" dataDxfId="383" dataCellStyle="Content normal">
  <autoFilter ref="Q19:R28" xr:uid="{791CEA59-796C-47AB-86BC-41E8F699030C}">
    <filterColumn colId="0" hiddenButton="1"/>
    <filterColumn colId="1" hiddenButton="1"/>
  </autoFilter>
  <tableColumns count="2">
    <tableColumn id="1" xr3:uid="{1D1F902D-16F0-465E-A36E-1EEF28D711E9}" name="Fertiliser type f" dataDxfId="382" dataCellStyle="Content normal">
      <calculatedColumnFormula array="1">Common_InputFunctions.Utility_DisplayArrayInTable(Fertiliser_SourceData.Fertiliser_FractionUreaCommonFertilisers_Data(), Table28[[#Headers],[Fertiliser type f]], 0)</calculatedColumnFormula>
    </tableColumn>
    <tableColumn id="2" xr3:uid="{F053E6E9-8A47-448C-BF51-8D8483BA458A}" name="FNinorganic f" dataDxfId="381"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F7F55251-C8F6-467B-BB67-4B96A02CADE6}"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8088D958-58DD-4DD8-80D9-F8E479AD82BD}"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515E68B-2FF4-48F0-B54A-4347624CFC03}" name="Table_Fuel_EFs_StationaryLiquid" displayName="Table_Fuel_EFs_StationaryLiquid" ref="D53:K77" totalsRowShown="0" headerRowDxfId="380" dataDxfId="379">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690D177-0DD3-4041-BE1D-07E77465127A}" name="Fuel combusted" dataDxfId="378">
      <calculatedColumnFormula array="1">Common_InputFunctions.Utility_DisplayArrayInTable(Fuel_SourceData.Fuel_Scope1Scope3EmissionFactorsStationaryLiquid_Data(), Table_Fuel_EFs_StationaryLiquid[[#Headers],[Fuel combusted]],0)</calculatedColumnFormula>
    </tableColumn>
    <tableColumn id="2" xr3:uid="{2595957D-C889-4EBA-BED9-456A20C1BAC5}" name="Energy Content Factor (GJ per unit of fuel)" dataDxfId="377">
      <calculatedColumnFormula array="1">Common_InputFunctions.Utility_DisplayArrayInTable(Fuel_SourceData.Fuel_Scope1Scope3EmissionFactorsStationaryLiquid_Data(), Table_Fuel_EFs_StationaryLiquid[[#Headers],[Fuel combusted]],0)</calculatedColumnFormula>
    </tableColumn>
    <tableColumn id="3" xr3:uid="{E413CACD-A9AE-47C7-98AA-30B8DA30ACD0}" name="Fuel unit" dataDxfId="376">
      <calculatedColumnFormula array="1">Common_InputFunctions.Utility_DisplayArrayInTable(Fuel_SourceData.Fuel_Scope1Scope3EmissionFactorsStationaryLiquid_Data(), Table_Fuel_EFs_StationaryLiquid[[#Headers],[Fuel combusted]],0)</calculatedColumnFormula>
    </tableColumn>
    <tableColumn id="4" xr3:uid="{F9A48066-0CCF-4F0B-B328-9690F7A1205D}" name="Scope 1 Emission Factor (kg CO2 - e / GJ) CO2" dataDxfId="375">
      <calculatedColumnFormula array="1">Common_InputFunctions.Utility_DisplayArrayInTable(Fuel_SourceData.Fuel_Scope1Scope3EmissionFactorsStationaryLiquid_Data(), Table_Fuel_EFs_StationaryLiquid[[#Headers],[Fuel combusted]],0)</calculatedColumnFormula>
    </tableColumn>
    <tableColumn id="5" xr3:uid="{7CBD4E52-0DEE-461B-85CD-2A8BF5C2109D}" name="Scope 1 Emission Factor (kg CO2 - e / GJ) CH4" dataDxfId="374">
      <calculatedColumnFormula array="1">Common_InputFunctions.Utility_DisplayArrayInTable(Fuel_SourceData.Fuel_Scope1Scope3EmissionFactorsStationaryLiquid_Data(), Table_Fuel_EFs_StationaryLiquid[[#Headers],[Fuel combusted]],0)</calculatedColumnFormula>
    </tableColumn>
    <tableColumn id="6" xr3:uid="{E86B8D44-9175-4994-8935-12A645943998}" name="Scope 1 Emission Factor (kg CO2 - e / GJ) N2O" dataDxfId="373">
      <calculatedColumnFormula array="1">Common_InputFunctions.Utility_DisplayArrayInTable(Fuel_SourceData.Fuel_Scope1Scope3EmissionFactorsStationaryLiquid_Data(), Table_Fuel_EFs_StationaryLiquid[[#Headers],[Fuel combusted]],0)</calculatedColumnFormula>
    </tableColumn>
    <tableColumn id="7" xr3:uid="{1C734FFD-396E-43EC-A0B1-69EC03ACB5F8}" name="Scope 1 Emission Factor (kg CO2 - e / GJ) Combined gases" dataDxfId="372">
      <calculatedColumnFormula array="1">Common_InputFunctions.Utility_DisplayArrayInTable(Fuel_SourceData.Fuel_Scope1Scope3EmissionFactorsStationaryLiquid_Data(), Table_Fuel_EFs_StationaryLiquid[[#Headers],[Fuel combusted]],0)</calculatedColumnFormula>
    </tableColumn>
    <tableColumn id="8" xr3:uid="{7CF2230E-A25F-4AFC-8B6B-56481A0A9A0A}" name="Scope 3 Emission Factor (kg CO2 - e / GJ)" dataDxfId="371">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7745E81A-B92E-4BEC-B5BC-28221A6AE74E}" name="Table_Fuel_EFs_Transport" displayName="Table_Fuel_EFs_Transport" ref="D9:L34" totalsRowShown="0" headerRowDxfId="370" dataDxfId="369">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A6E622AE-750F-4614-BEA1-49DBB4D644EE}" name="Transport type" dataDxfId="368">
      <calculatedColumnFormula array="1">Common_InputFunctions.Utility_DisplayArrayInTable(Fuel_SourceData.Fuel_Scope1Scope3EmissionFactorsTransport_Data(), Table_Fuel_EFs_Transport[[#Headers],[Transport type]], 0)</calculatedColumnFormula>
    </tableColumn>
    <tableColumn id="2" xr3:uid="{2B1A5702-E349-48D1-A314-2E6D17994751}" name="Fuel combusted" dataDxfId="367">
      <calculatedColumnFormula array="1">Common_InputFunctions.Utility_DisplayArrayInTable(Fuel_SourceData.Fuel_Scope1Scope3EmissionFactorsTransport_Data(), Table_Fuel_EFs_Transport[[#Headers],[Transport type]], 0)</calculatedColumnFormula>
    </tableColumn>
    <tableColumn id="3" xr3:uid="{2663A4BD-96DF-4B79-8457-11F1FA38EB07}" name="Energy Content Factor (GJ per unit of fuel)" dataDxfId="366">
      <calculatedColumnFormula array="1">Common_InputFunctions.Utility_DisplayArrayInTable(Fuel_SourceData.Fuel_Scope1Scope3EmissionFactorsTransport_Data(), Table_Fuel_EFs_Transport[[#Headers],[Transport type]], 0)</calculatedColumnFormula>
    </tableColumn>
    <tableColumn id="4" xr3:uid="{75CA29D2-D20B-4A01-AB75-76448474223A}" name="Fuel unit" dataDxfId="365">
      <calculatedColumnFormula array="1">Common_InputFunctions.Utility_DisplayArrayInTable(Fuel_SourceData.Fuel_Scope1Scope3EmissionFactorsTransport_Data(), Table_Fuel_EFs_Transport[[#Headers],[Transport type]], 0)</calculatedColumnFormula>
    </tableColumn>
    <tableColumn id="8" xr3:uid="{4FC00CDC-9157-4113-A630-74BE722381E4}" name="Scope 1 Emission Factor (kg CO2 - e / GJ) CO2" dataDxfId="364">
      <calculatedColumnFormula array="1">Common_InputFunctions.Utility_DisplayArrayInTable(Fuel_SourceData.Fuel_Scope1Scope3EmissionFactorsTransport_Data(), Table_Fuel_EFs_Transport[[#Headers],[Transport type]], 0)</calculatedColumnFormula>
    </tableColumn>
    <tableColumn id="9" xr3:uid="{B475710B-6298-4F8D-8C2D-130DEFF78EA2}" name="Scope 1 Emission Factor (kg CO2 - e / GJ) CH4" dataDxfId="363">
      <calculatedColumnFormula array="1">Common_InputFunctions.Utility_DisplayArrayInTable(Fuel_SourceData.Fuel_Scope1Scope3EmissionFactorsTransport_Data(), Table_Fuel_EFs_Transport[[#Headers],[Transport type]], 0)</calculatedColumnFormula>
    </tableColumn>
    <tableColumn id="10" xr3:uid="{B3B4AE5E-15F7-4ACF-8FBF-1CA221CEF78D}" name="Scope 1 Emission Factor (kg CO2 - e / GJ) N2O" dataDxfId="362">
      <calculatedColumnFormula array="1">Common_InputFunctions.Utility_DisplayArrayInTable(Fuel_SourceData.Fuel_Scope1Scope3EmissionFactorsTransport_Data(), Table_Fuel_EFs_Transport[[#Headers],[Transport type]], 0)</calculatedColumnFormula>
    </tableColumn>
    <tableColumn id="11" xr3:uid="{44DA118B-3E67-4749-B28E-5AF35C4091B5}" name="Scope 1 Emission Factor (kg CO2 - e / GJ) Combined gases" dataDxfId="361">
      <calculatedColumnFormula array="1">Common_InputFunctions.Utility_DisplayArrayInTable(Fuel_SourceData.Fuel_Scope1Scope3EmissionFactorsTransport_Data(), Table_Fuel_EFs_Transport[[#Headers],[Transport type]], 0)</calculatedColumnFormula>
    </tableColumn>
    <tableColumn id="12" xr3:uid="{95448C19-D9E4-4B09-A78A-BA4E150480F8}" name="Scope 3 Emission Factor (kg CO2 - e / GJ)" dataDxfId="360">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D67CC315-BC75-418A-8DC3-EA34EEA8CB1E}" name="Table_FuelTypesPerUse" displayName="Table_FuelTypesPerUse" ref="D130:I139" totalsRowShown="0" headerRowDxfId="359" dataDxfId="358">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845DB4BA-B9C9-41F0-9B85-FE755FDE2082}" name="Generators" dataDxfId="357"/>
    <tableColumn id="2" xr3:uid="{A0E23DD6-DF91-4091-9EBB-4C9353A5870F}" name="Power standalone machinery or heating" dataDxfId="356"/>
    <tableColumn id="3" xr3:uid="{63B0A323-7745-4AFE-986E-1B5201AB32DB}" name="Aviation" dataDxfId="355"/>
    <tableColumn id="5" xr3:uid="{E29F6E8D-834F-49B5-BE40-E8B0765EF922}" name="Cars and light commercial vehicles" dataDxfId="354"/>
    <tableColumn id="7" xr3:uid="{38CE7374-9E3D-43CB-AEE6-4D420F2D1CE9}" name="Off-road Agriculture and forestry equipment" dataDxfId="353" dataCellStyle="Content bold"/>
    <tableColumn id="8" xr3:uid="{B172F4C7-1704-4CEF-83AE-509C639E4ADF}" name="Vessels" dataDxfId="352" dataCellStyle="Content bold"/>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6A1E3AB2-D441-4131-8EF8-5A1F9A530B3F}" name="Table_Fuel_EFs_StationaryGaseous" displayName="Table_Fuel_EFs_StationaryGaseous" ref="D86:J104" totalsRowShown="0" headerRowDxfId="351" dataDxfId="350">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151B24E-39CC-4C5E-8615-94F049E195B6}" name="Fuel combusted" dataDxfId="349">
      <calculatedColumnFormula array="1">Common_InputFunctions.Utility_DisplayArrayInTable(Fuel_SourceData.Fuel_Scope1EmissionFactorsStationaryGaseous_Data(), Table_Fuel_EFs_StationaryGaseous[[#Headers],[Fuel combusted]],0)</calculatedColumnFormula>
    </tableColumn>
    <tableColumn id="2" xr3:uid="{0E68CE73-1AE6-473A-8551-5DA77EF0F696}" name="Energy Content Factor (GJ per unit of fuel)" dataDxfId="348">
      <calculatedColumnFormula array="1">Common_InputFunctions.Utility_DisplayArrayInTable(Fuel_SourceData.Fuel_Scope1EmissionFactorsStationaryGaseous_Data(), Table_Fuel_EFs_StationaryGaseous[[#Headers],[Fuel combusted]],0)</calculatedColumnFormula>
    </tableColumn>
    <tableColumn id="3" xr3:uid="{7386DFF0-5766-459E-A426-9E49021E96B9}" name="Fuel unit" dataDxfId="347">
      <calculatedColumnFormula array="1">Common_InputFunctions.Utility_DisplayArrayInTable(Fuel_SourceData.Fuel_Scope1EmissionFactorsStationaryGaseous_Data(), Table_Fuel_EFs_StationaryGaseous[[#Headers],[Fuel combusted]],0)</calculatedColumnFormula>
    </tableColumn>
    <tableColumn id="4" xr3:uid="{907723BA-541B-4534-A0C0-AF49EF78D0EE}" name="Scope 1 Emission Factor (kg CO2 - e / GJ) CO2" dataDxfId="346">
      <calculatedColumnFormula array="1">Common_InputFunctions.Utility_DisplayArrayInTable(Fuel_SourceData.Fuel_Scope1EmissionFactorsStationaryGaseous_Data(), Table_Fuel_EFs_StationaryGaseous[[#Headers],[Fuel combusted]],0)</calculatedColumnFormula>
    </tableColumn>
    <tableColumn id="5" xr3:uid="{0BB4236D-A880-43C1-9B88-4962AFF2A2D0}" name="Scope 1 Emission Factor (kg CO2 - e / GJ) CH4" dataDxfId="345">
      <calculatedColumnFormula array="1">Common_InputFunctions.Utility_DisplayArrayInTable(Fuel_SourceData.Fuel_Scope1EmissionFactorsStationaryGaseous_Data(), Table_Fuel_EFs_StationaryGaseous[[#Headers],[Fuel combusted]],0)</calculatedColumnFormula>
    </tableColumn>
    <tableColumn id="6" xr3:uid="{6F079A93-7D54-427A-80A9-2FC7B2D370C2}" name="Scope 1 Emission Factor (kg CO2 - e / GJ) N2O" dataDxfId="344">
      <calculatedColumnFormula array="1">Common_InputFunctions.Utility_DisplayArrayInTable(Fuel_SourceData.Fuel_Scope1EmissionFactorsStationaryGaseous_Data(), Table_Fuel_EFs_StationaryGaseous[[#Headers],[Fuel combusted]],0)</calculatedColumnFormula>
    </tableColumn>
    <tableColumn id="7" xr3:uid="{ABDC8DBF-0D74-49A3-8479-F99199B35FB9}" name="Scope 1 Emission Factor (kg CO2 - e / GJ) Combined gases" dataDxfId="343">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F23F2766-F008-4EF3-8962-6492431BDD6F}" name="Table_Fuel_EFs_StationaryGaseous34" displayName="Table_Fuel_EFs_StationaryGaseous34" ref="D112:G120" headerRowDxfId="342" totalsRowDxfId="341">
  <autoFilter ref="D112:G120" xr:uid="{7D6CE29D-2354-4FAC-9965-9A66FFA42416}">
    <filterColumn colId="0" hiddenButton="1"/>
    <filterColumn colId="1" hiddenButton="1"/>
    <filterColumn colId="2" hiddenButton="1"/>
    <filterColumn colId="3" hiddenButton="1"/>
  </autoFilter>
  <tableColumns count="4">
    <tableColumn id="1" xr3:uid="{25C426D0-DB20-4E33-95E3-9A57520989AA}" name="State or territory" totalsRowDxfId="340">
      <calculatedColumnFormula array="1">Common_InputFunctions.Utility_DisplayArrayInTable(Fuel_SourceData.Fuel_Scope3EmissionFactorsStationaryGaseous_Data(), Table_Fuel_EFs_StationaryGaseous34[[#Headers],[State or territory]],0)</calculatedColumnFormula>
    </tableColumn>
    <tableColumn id="2" xr3:uid="{ABA26575-586F-47A9-87AC-5ECAE47F42A1}" name="Metro" totalsRowDxfId="339">
      <calculatedColumnFormula array="1">Common_InputFunctions.Utility_DisplayArrayInTable(Fuel_SourceData.Fuel_Scope3EmissionFactorsStationaryGaseous_Data(), Table_Fuel_EFs_StationaryGaseous34[[#Headers],[State or territory]],0)</calculatedColumnFormula>
    </tableColumn>
    <tableColumn id="3" xr3:uid="{DFBBC734-5003-45F7-A3F9-E191E633C2DC}" name="Non-metro" totalsRowDxfId="338">
      <calculatedColumnFormula array="1">Common_InputFunctions.Utility_DisplayArrayInTable(Fuel_SourceData.Fuel_Scope3EmissionFactorsStationaryGaseous_Data(), Table_Fuel_EFs_StationaryGaseous34[[#Headers],[State or territory]],0)</calculatedColumnFormula>
    </tableColumn>
    <tableColumn id="4" xr3:uid="{F6B0B49E-3086-4C9B-8A61-AA408F933E8D}" name="Column1" dataDxfId="0" totalsRowDxfId="1" dataCellStyle="Content normal"/>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F91AD451-96B3-4F9C-B6B6-49ED9E6F7B7A}"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3BE61790-B012-4175-A95B-A4DDD1A470CF}" name="Fuel type"/>
    <tableColumn id="2" xr3:uid="{395DBF0E-0685-4CC9-85F2-D580DB39897A}" name="Unit"/>
    <tableColumn id="3" xr3:uid="{5C0B708D-0D54-456B-A38D-C4184E53B05E}" name="Input Unit" dataDxfId="337"/>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C9626B9E-56FF-495F-B344-92A60937EB40}"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E0D38A6-D5DA-4AF2-A0E9-071265CBFBD0}"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2F22B94A-F569-4207-B62C-DE1FE9E074FD}" name="Fuel type q" dataDxfId="33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4E3CB78F-2188-4FA3-8B67-F722D8414647}" name="ECTrans,q (GJ/kL)" dataDxfId="33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08A4B786-851F-4465-9604-21C8658D8D7D}" name="Scope 1 CO2 EFTran,1,tqg (kg CO2-e/GJ)" dataDxfId="33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B5C66939-77C3-4BE4-ADAA-5CB7542284B1}" name="Scope 1 CH4 EFTran,1,tgg (kg CO2-e/GJ)" dataDxfId="33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A0F324D6-D77D-4921-B561-28C2ADD798EA}" name="Scope 1 N2O EFTran,1,tgg (kg CO2-e/GJ)" dataDxfId="33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8DF6CBDF-1557-4E04-AA99-82F54610BAB6}" name="Scope 3 EFTrans,3,q (kg CO2-e/GJ)" dataDxfId="33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18763531-4690-426F-800E-70C3C65726D8}" name="Table_SourceData_Scope3_Animals" displayName="Table_SourceData_Scope3_Animals" ref="D33:J74" totalsRowShown="0">
  <autoFilter ref="D33:J74" xr:uid="{750CD25E-51AF-4085-A595-601E6358D38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E87113D-0546-4F9C-9605-1E95EA936CF4}" name="Category" dataDxfId="330" dataCellStyle="Content normal">
      <calculatedColumnFormula array="1">Common_InputFunctions.Utility_DisplayArrayInTable(Scope3_SourceData.Scope3_Livestock_Data(), Table_SourceData_Scope3_Animals[[#Headers],[Category]], 0, 2)</calculatedColumnFormula>
    </tableColumn>
    <tableColumn id="2" xr3:uid="{D409E62C-6156-4479-9EA9-DAD097F0981C}" name="Product" dataDxfId="329" dataCellStyle="Content normal">
      <calculatedColumnFormula array="1">Common_InputFunctions.Utility_DisplayArrayInTable(Scope3_SourceData.Scope3_Livestock_Data(), Table_SourceData_Scope3_Animals[[#Headers],[Category]], 0, 2)</calculatedColumnFormula>
    </tableColumn>
    <tableColumn id="3" xr3:uid="{77DD6DE6-FC3D-40A5-835A-2FEE4335D7D6}" name="Region of origin" dataDxfId="328" dataCellStyle="Content normal">
      <calculatedColumnFormula array="1">Common_InputFunctions.Utility_DisplayArrayInTable(Scope3_SourceData.Scope3_Livestock_Data(), Table_SourceData_Scope3_Animals[[#Headers],[Category]], 0, 2)</calculatedColumnFormula>
    </tableColumn>
    <tableColumn id="8" xr3:uid="{E2DD6EB3-6012-413E-8989-3BB86AC7FAF3}" name="Quantity Unit" dataDxfId="327" dataCellStyle="Content normal">
      <calculatedColumnFormula array="1">Common_InputFunctions.Utility_DisplayArrayInTable(Scope3_SourceData.Scope3_Livestock_Data(), Table_SourceData_Scope3_Animals[[#Headers],[Category]], 0, 2)</calculatedColumnFormula>
    </tableColumn>
    <tableColumn id="9" xr3:uid="{1E40C8AF-B3C4-48C1-8F4D-503C7CD6DC44}" name="Emissions intensity" dataDxfId="326" dataCellStyle="Content normal">
      <calculatedColumnFormula array="1">Common_InputFunctions.Utility_DisplayArrayInTable(Scope3_SourceData.Scope3_Livestock_Data(), Table_SourceData_Scope3_Animals[[#Headers],[Category]], 0, 2)</calculatedColumnFormula>
    </tableColumn>
    <tableColumn id="10" xr3:uid="{798E8BE8-BC25-4C71-A227-499EF70AD1C0}" name="System boundary" dataDxfId="325" dataCellStyle="Content normal">
      <calculatedColumnFormula array="1">Common_InputFunctions.Utility_DisplayArrayInTable(Scope3_SourceData.Scope3_Livestock_Data(), Table_SourceData_Scope3_Animals[[#Headers],[Category]], 0, 2)</calculatedColumnFormula>
    </tableColumn>
    <tableColumn id="4" xr3:uid="{BA7F64C5-8091-4F72-81A9-6F06AF921984}" name="Source" dataDxfId="324" dataCellStyle="Content normal"/>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36565448-3F63-4A32-916E-061186EDADEB}" name="Table_SourceData_Scope3_ChemicalsCleaning" displayName="Table_SourceData_Scope3_ChemicalsCleaning" ref="D77:J80" totalsRowShown="0">
  <autoFilter ref="D77:J80" xr:uid="{10291E5F-4512-44BD-934A-80D446AD4B7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2A3A8A6-AFEB-425A-AFB4-CA8961A9FA16}" name="Category" dataDxfId="323" dataCellStyle="Content normal">
      <calculatedColumnFormula array="1">Common_InputFunctions.Utility_DisplayArrayInTable(Scope3_SourceData.Scope3_Chemicals_Data(), Table_SourceData_Scope3_ChemicalsCleaning[[#Headers],[Category]], 0, 2)</calculatedColumnFormula>
    </tableColumn>
    <tableColumn id="2" xr3:uid="{0C08222D-6003-48E0-A815-45DFF4EEB6F4}" name="Product" dataDxfId="322" dataCellStyle="Content normal">
      <calculatedColumnFormula array="1">Common_InputFunctions.Utility_DisplayArrayInTable(Scope3_SourceData.Scope3_Chemicals_Data(), Table_SourceData_Scope3_ChemicalsCleaning[[#Headers],[Category]], 0, 2)</calculatedColumnFormula>
    </tableColumn>
    <tableColumn id="3" xr3:uid="{58E2ACD3-2B04-4CB6-93A7-A0DD99965079}" name="Region of origin" dataDxfId="321" dataCellStyle="Content normal">
      <calculatedColumnFormula array="1">Common_InputFunctions.Utility_DisplayArrayInTable(Scope3_SourceData.Scope3_Chemicals_Data(), Table_SourceData_Scope3_ChemicalsCleaning[[#Headers],[Category]], 0, 2)</calculatedColumnFormula>
    </tableColumn>
    <tableColumn id="8" xr3:uid="{4E2E60E4-6417-4064-8445-C84649F726F1}" name="Quantity Unit" dataDxfId="320" dataCellStyle="Content normal">
      <calculatedColumnFormula array="1">Common_InputFunctions.Utility_DisplayArrayInTable(Scope3_SourceData.Scope3_Chemicals_Data(), Table_SourceData_Scope3_ChemicalsCleaning[[#Headers],[Category]], 0, 2)</calculatedColumnFormula>
    </tableColumn>
    <tableColumn id="9" xr3:uid="{47B3D400-6F39-4EB2-9B1B-85719CDF0FE3}" name="Emissions intensity" dataDxfId="319" dataCellStyle="Content normal">
      <calculatedColumnFormula array="1">Common_InputFunctions.Utility_DisplayArrayInTable(Scope3_SourceData.Scope3_Chemicals_Data(), Table_SourceData_Scope3_ChemicalsCleaning[[#Headers],[Category]], 0, 2)</calculatedColumnFormula>
    </tableColumn>
    <tableColumn id="10" xr3:uid="{F7DAA6B2-5267-4183-A90B-014E48B54392}" name="System boundary" dataDxfId="318" dataCellStyle="Content normal">
      <calculatedColumnFormula array="1">Common_InputFunctions.Utility_DisplayArrayInTable(Scope3_SourceData.Scope3_Chemicals_Data(), Table_SourceData_Scope3_ChemicalsCleaning[[#Headers],[Category]], 0, 2)</calculatedColumnFormula>
    </tableColumn>
    <tableColumn id="4" xr3:uid="{48EC9C80-C608-4F68-8B8B-4FF4D92838A8}" name="Source" dataDxfId="317" dataCellStyle="Content normal"/>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317F44B3-6AF2-459E-BE52-753AB2534896}" name="Table_SourceData_Scope3_Feed" displayName="Table_SourceData_Scope3_Feed" ref="D89:J158" dataDxfId="316" dataCellStyle="Content normal">
  <autoFilter ref="D89:J158" xr:uid="{7C99A3AF-4B60-47B5-BB9C-19833DBDFFC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55AB3AB-91BC-468A-9D08-FCDCC8864360}" name="Category" totalsRowFunction="custom" dataDxfId="315" totalsRowDxfId="314"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2" xr3:uid="{94174276-8140-4C41-B76D-6B1B300973E4}" name="Product" totalsRowFunction="custom" dataDxfId="313" totalsRowDxfId="312"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3" xr3:uid="{911639B2-888A-4435-BE2A-9EAA877C60B0}" name="Region of origin" totalsRowFunction="custom" dataDxfId="311" totalsRowDxfId="310"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8" xr3:uid="{15DBB7C9-189C-45CA-B8CE-EAF695321537}" name="Quantity Unit" totalsRowFunction="custom" dataDxfId="309" totalsRowDxfId="308"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9" xr3:uid="{A94CF422-5D6D-4292-A426-7BFF7D06815D}" name="Emissions intensity" totalsRowFunction="custom" dataDxfId="307" totalsRowDxfId="306"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10" xr3:uid="{FADD91D2-6D18-4A47-AA3A-AE179DBF37CB}" name="System boundary" totalsRowFunction="custom" dataDxfId="305" totalsRowDxfId="304"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4" xr3:uid="{26A412D6-C9CD-44C4-8B87-C4FD44D2CB87}" name="Source" totalsRowLabel="GHGEI-MIAFF" dataDxfId="303" totalsRowDxfId="302" dataCellStyle="Content normal"/>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42C2F10B-72FA-4294-A3D7-807106BE41D2}" name="Table_SourceData_Scope3_InorganicFertiliser" displayName="Table_SourceData_Scope3_InorganicFertiliser" ref="D173:N198" totalsRowShown="0">
  <autoFilter ref="D173:N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99CF9970-2D8A-4EF5-B73E-8506187FE12C}" name="Category">
      <calculatedColumnFormula array="1">Common_InputFunctions.Utility_DisplayArrayInTable(Scope3_SourceData.Scope3_InorganicFertilisers_Data(), Table_SourceData_Scope3_InorganicFertiliser[[#Headers],[Category]], 0, 2)</calculatedColumnFormula>
    </tableColumn>
    <tableColumn id="2" xr3:uid="{6249833A-D3D3-4A4B-B226-8FDBD6EA1487}" name="Product">
      <calculatedColumnFormula array="1">Common_InputFunctions.Utility_DisplayArrayInTable(Scope3_SourceData.Scope3_InorganicFertilisers_Data(), Table_SourceData_Scope3_InorganicFertiliser[[#Headers],[Category]], 0, 2)</calculatedColumnFormula>
    </tableColumn>
    <tableColumn id="3" xr3:uid="{01487A56-EF30-4E0A-8EE6-779A88949B12}" name="Region of origin">
      <calculatedColumnFormula array="1">Common_InputFunctions.Utility_DisplayArrayInTable(Scope3_SourceData.Scope3_InorganicFertilisers_Data(), Table_SourceData_Scope3_InorganicFertiliser[[#Headers],[Category]], 0, 2)</calculatedColumnFormula>
    </tableColumn>
    <tableColumn id="4" xr3:uid="{EEF0416E-A3B8-464F-94AD-C51DD3FAEA2C}" name="Chemical compound"/>
    <tableColumn id="5" xr3:uid="{0CA59CBF-7031-43D0-A50E-E97BC61EA05A}" name="Urea source"/>
    <tableColumn id="6" xr3:uid="{5FC76638-C2C7-409B-8B47-B68A65B0CE74}" name="Ammonia source"/>
    <tableColumn id="7" xr3:uid="{A40AC104-9A45-4E0D-837E-9D1C9D4EDCB0}" name="Quantity"/>
    <tableColumn id="8" xr3:uid="{2F31D939-E769-4B79-A767-56933F348F87}" name="Quantity Unit">
      <calculatedColumnFormula array="1">Common_InputFunctions.Utility_DisplayArrayInTable(Scope3_SourceData.Scope3_InorganicFertilisers_Data(), Table_SourceData_Scope3_InorganicFertiliser[[#Headers],[Category]], 0, -2)</calculatedColumnFormula>
    </tableColumn>
    <tableColumn id="9" xr3:uid="{CB93FB45-1D05-49DA-999F-108AF5B22D24}" name="Emissions intensity">
      <calculatedColumnFormula array="1">Common_InputFunctions.Utility_DisplayArrayInTable(Scope3_SourceData.Scope3_InorganicFertilisers_Data(), Table_SourceData_Scope3_InorganicFertiliser[[#Headers],[Category]], 0, -2)</calculatedColumnFormula>
    </tableColumn>
    <tableColumn id="10" xr3:uid="{463E65C1-D317-4779-8880-C2EF2249FE43}" name="System boundary" dataDxfId="301" dataCellStyle="Content normal">
      <calculatedColumnFormula array="1">Common_InputFunctions.Utility_DisplayArrayInTable(Scope3_SourceData.Scope3_InorganicFertilisers_Data(), Table_SourceData_Scope3_InorganicFertiliser[[#Headers],[Category]], 0, -2)</calculatedColumnFormula>
    </tableColumn>
    <tableColumn id="11" xr3:uid="{0370485A-16A9-41A5-B084-D548CED16740}" name="Source" dataDxfId="300" dataCellStyle="Content normal"/>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18C5FC97-8D88-497B-98FA-E7B6CECF38B1}" name="Table_SourceData_Scope3_Other" displayName="Table_SourceData_Scope3_Other" ref="D201:J209" totalsRowShown="0" dataDxfId="299" dataCellStyle="Content normal">
  <autoFilter ref="D201:J209" xr:uid="{C703DCE8-2DA9-4607-8111-1323D636A81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DEE3464-9688-4B04-A902-694CC320ECC9}" name="Category" dataDxfId="298" dataCellStyle="Content normal">
      <calculatedColumnFormula array="1">Common_InputFunctions.Utility_DisplayArrayInTable(Scope3_SourceData.Scope3_Other_Data(), Table_SourceData_Scope3_Other[[#Headers],[Category]], 0, 2)</calculatedColumnFormula>
    </tableColumn>
    <tableColumn id="2" xr3:uid="{0F0C7B4C-5204-4F2D-9C51-E3736F355940}" name="Product" dataDxfId="297" dataCellStyle="Content normal">
      <calculatedColumnFormula array="1">Common_InputFunctions.Utility_DisplayArrayInTable(Scope3_SourceData.Scope3_Other_Data(), Table_SourceData_Scope3_Other[[#Headers],[Category]], 0, 2)</calculatedColumnFormula>
    </tableColumn>
    <tableColumn id="3" xr3:uid="{2E409E29-CD49-4FE5-A851-E0287AAF3B5D}" name="Region of origin" dataDxfId="296" dataCellStyle="Content normal">
      <calculatedColumnFormula array="1">Common_InputFunctions.Utility_DisplayArrayInTable(Scope3_SourceData.Scope3_Other_Data(), Table_SourceData_Scope3_Other[[#Headers],[Category]], 0, 2)</calculatedColumnFormula>
    </tableColumn>
    <tableColumn id="8" xr3:uid="{A871D26F-2854-4D9C-AC34-F176EFD7FB07}" name="Quantity Unit" dataDxfId="295" dataCellStyle="Content normal">
      <calculatedColumnFormula array="1">Common_InputFunctions.Utility_DisplayArrayInTable(Scope3_SourceData.Scope3_Other_Data(), Table_SourceData_Scope3_Other[[#Headers],[Category]], 0, 2)</calculatedColumnFormula>
    </tableColumn>
    <tableColumn id="9" xr3:uid="{5BA4AE25-313D-4119-B235-BABFA8CF4A1F}" name="Emissions intensity" dataDxfId="294" dataCellStyle="Content normal">
      <calculatedColumnFormula array="1">Common_InputFunctions.Utility_DisplayArrayInTable(Scope3_SourceData.Scope3_Other_Data(), Table_SourceData_Scope3_Other[[#Headers],[Category]], 0, 2)</calculatedColumnFormula>
    </tableColumn>
    <tableColumn id="10" xr3:uid="{51C0E686-97B2-4EED-B1DE-6E96922BAB8D}" name="System boundary" dataDxfId="293" dataCellStyle="Content normal">
      <calculatedColumnFormula array="1">Common_InputFunctions.Utility_DisplayArrayInTable(Scope3_SourceData.Scope3_Other_Data(), Table_SourceData_Scope3_Other[[#Headers],[Category]], 0, 2)</calculatedColumnFormula>
    </tableColumn>
    <tableColumn id="4" xr3:uid="{E1C8C8E0-7C43-426E-B641-033F4B033EAA}" name="Source" dataDxfId="292" dataCellStyle="Content normal"/>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B8F20E3D-25CE-419E-B1A6-7D518BFEC500}" name="Table_SourceData_Scope3_Packaging" displayName="Table_SourceData_Scope3_Packaging" ref="D212:J216" totalsRowShown="0" dataDxfId="291" dataCellStyle="Content normal">
  <autoFilter ref="D212:J216" xr:uid="{B95A04D9-DAAA-402E-80F2-94850F70AD8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AC4C325-3B53-471C-AEA5-60F865C13FFE}" name="Category" dataDxfId="290" dataCellStyle="Content normal">
      <calculatedColumnFormula array="1">Common_InputFunctions.Utility_DisplayArrayInTable(Scope3_SourceData.Scope3_Packaging_Data(), Table_SourceData_Scope3_Packaging[[#Headers],[Category]], 0, 2)</calculatedColumnFormula>
    </tableColumn>
    <tableColumn id="2" xr3:uid="{4D9976B1-40CB-4810-B2C0-D35350C447EF}" name="Product" dataDxfId="289" dataCellStyle="Content normal">
      <calculatedColumnFormula array="1">Common_InputFunctions.Utility_DisplayArrayInTable(Scope3_SourceData.Scope3_Packaging_Data(), Table_SourceData_Scope3_Packaging[[#Headers],[Category]], 0, 2)</calculatedColumnFormula>
    </tableColumn>
    <tableColumn id="3" xr3:uid="{8F1CC0DF-2307-4FF3-8306-59ECC567DDED}" name="Region of origin" dataDxfId="288" dataCellStyle="Content normal">
      <calculatedColumnFormula array="1">Common_InputFunctions.Utility_DisplayArrayInTable(Scope3_SourceData.Scope3_Packaging_Data(), Table_SourceData_Scope3_Packaging[[#Headers],[Category]], 0, 2)</calculatedColumnFormula>
    </tableColumn>
    <tableColumn id="8" xr3:uid="{E7C7F558-67A1-459F-A288-167B0A8A3F2B}" name="Quantity Unit" dataDxfId="287" dataCellStyle="Content normal">
      <calculatedColumnFormula array="1">Common_InputFunctions.Utility_DisplayArrayInTable(Scope3_SourceData.Scope3_Packaging_Data(), Table_SourceData_Scope3_Packaging[[#Headers],[Category]], 0, 2)</calculatedColumnFormula>
    </tableColumn>
    <tableColumn id="9" xr3:uid="{47E67E49-753E-423B-A20B-EAB2A55478CA}" name="Emissions intensity" dataDxfId="286" dataCellStyle="Content normal">
      <calculatedColumnFormula array="1">Common_InputFunctions.Utility_DisplayArrayInTable(Scope3_SourceData.Scope3_Packaging_Data(), Table_SourceData_Scope3_Packaging[[#Headers],[Category]], 0, 2)</calculatedColumnFormula>
    </tableColumn>
    <tableColumn id="10" xr3:uid="{15803DF8-0D75-496A-891D-F193F6709858}" name="System boundary" dataDxfId="285" dataCellStyle="Content normal">
      <calculatedColumnFormula array="1">Common_InputFunctions.Utility_DisplayArrayInTable(Scope3_SourceData.Scope3_Packaging_Data(), Table_SourceData_Scope3_Packaging[[#Headers],[Category]], 0, 2)</calculatedColumnFormula>
    </tableColumn>
    <tableColumn id="4" xr3:uid="{B3327803-80EC-405A-8A78-A6950FA3C338}" name="Source" dataDxfId="284" dataCellStyle="Content normal"/>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1A5AF329-8E3A-40F9-AA1C-355195D27DCF}" name="Table_SourceData_Scope3_Pesticides" displayName="Table_SourceData_Scope3_Pesticides" ref="D219:J231" totalsRowShown="0" dataDxfId="283" dataCellStyle="Content normal">
  <autoFilter ref="D219:J231" xr:uid="{C77460DE-4B5B-491B-885F-B6A288A52BB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FEA897C-71B1-4C00-B730-AC65D95D3D67}" name="Category" dataDxfId="282" dataCellStyle="Content normal">
      <calculatedColumnFormula array="1">Common_InputFunctions.Utility_DisplayArrayInTable(Scope3_SourceData.Scope3_Pesticides_Data(), Table_SourceData_Scope3_Pesticides[[#Headers],[Category]], 0, 2)</calculatedColumnFormula>
    </tableColumn>
    <tableColumn id="2" xr3:uid="{387766E7-88C9-4640-96AC-1ABD3080CBC7}" name="Product" dataDxfId="281" dataCellStyle="Content normal">
      <calculatedColumnFormula array="1">Common_InputFunctions.Utility_DisplayArrayInTable(Scope3_SourceData.Scope3_Pesticides_Data(), Table_SourceData_Scope3_Pesticides[[#Headers],[Category]], 0, 2)</calculatedColumnFormula>
    </tableColumn>
    <tableColumn id="3" xr3:uid="{AE442266-1AC0-408D-A95B-E8B93F471077}" name="Region of origin" dataDxfId="280" dataCellStyle="Content normal">
      <calculatedColumnFormula array="1">Common_InputFunctions.Utility_DisplayArrayInTable(Scope3_SourceData.Scope3_Pesticides_Data(), Table_SourceData_Scope3_Pesticides[[#Headers],[Category]], 0, 2)</calculatedColumnFormula>
    </tableColumn>
    <tableColumn id="8" xr3:uid="{AA2B567F-C971-49E7-AC85-4D1623EBCFFA}" name="Quantity Unit" dataDxfId="279" dataCellStyle="Content normal">
      <calculatedColumnFormula array="1">Common_InputFunctions.Utility_DisplayArrayInTable(Scope3_SourceData.Scope3_Pesticides_Data(), Table_SourceData_Scope3_Pesticides[[#Headers],[Category]], 0, 2)</calculatedColumnFormula>
    </tableColumn>
    <tableColumn id="9" xr3:uid="{7C04DC67-63D2-47F8-A5E7-BA237F116735}" name="Emissions intensity" dataDxfId="278" dataCellStyle="Content normal">
      <calculatedColumnFormula array="1">Common_InputFunctions.Utility_DisplayArrayInTable(Scope3_SourceData.Scope3_Pesticides_Data(), Table_SourceData_Scope3_Pesticides[[#Headers],[Category]], 0, 2)</calculatedColumnFormula>
    </tableColumn>
    <tableColumn id="10" xr3:uid="{B2ADD9E7-2461-46A9-AA3B-23B5DA462500}" name="System boundary" dataDxfId="277" dataCellStyle="Content normal">
      <calculatedColumnFormula array="1">Common_InputFunctions.Utility_DisplayArrayInTable(Scope3_SourceData.Scope3_Pesticides_Data(), Table_SourceData_Scope3_Pesticides[[#Headers],[Category]], 0, 2)</calculatedColumnFormula>
    </tableColumn>
    <tableColumn id="4" xr3:uid="{982BBF7A-BA53-48EF-8DC9-7C98DCE20370}" name="Source" dataDxfId="276" dataCellStyle="Content normal"/>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AB21C928-78CA-413A-8718-16A16BAF9AAB}" name="Table_SourceData_Scope3_SoilAmeliorants" displayName="Table_SourceData_Scope3_SoilAmeliorants" ref="D234:J237" totalsRowShown="0" dataDxfId="275" dataCellStyle="Content normal">
  <autoFilter ref="D234:J237" xr:uid="{E06B8FD7-21E4-417D-AAFE-EA3785475B0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E438980-DDE1-4D3E-9A51-EE0AF7B9BECE}" name="Category" dataDxfId="274" dataCellStyle="Content normal">
      <calculatedColumnFormula array="1">Common_InputFunctions.Utility_DisplayArrayInTable(Scope3_SourceData.Scope3_SoilAmendments_Data(), Table_SourceData_Scope3_SoilAmeliorants[[#Headers],[Category]], 0, 2)</calculatedColumnFormula>
    </tableColumn>
    <tableColumn id="2" xr3:uid="{A9ADD3DB-10C5-4CAA-BA59-1914DD29020A}" name="Product" dataDxfId="273" dataCellStyle="Content normal">
      <calculatedColumnFormula array="1">Common_InputFunctions.Utility_DisplayArrayInTable(Scope3_SourceData.Scope3_SoilAmendments_Data(), Table_SourceData_Scope3_SoilAmeliorants[[#Headers],[Category]], 0, 2)</calculatedColumnFormula>
    </tableColumn>
    <tableColumn id="3" xr3:uid="{B891DEE4-E759-48D6-AD5D-37DD84710988}" name="Region of origin" dataDxfId="272" dataCellStyle="Content normal">
      <calculatedColumnFormula array="1">Common_InputFunctions.Utility_DisplayArrayInTable(Scope3_SourceData.Scope3_SoilAmendments_Data(), Table_SourceData_Scope3_SoilAmeliorants[[#Headers],[Category]], 0, 2)</calculatedColumnFormula>
    </tableColumn>
    <tableColumn id="8" xr3:uid="{F6C83A14-5ADB-4FE9-97CC-D0A1B4D394DA}" name="Quantity Unit" dataDxfId="271" dataCellStyle="Content normal">
      <calculatedColumnFormula array="1">Common_InputFunctions.Utility_DisplayArrayInTable(Scope3_SourceData.Scope3_SoilAmendments_Data(), Table_SourceData_Scope3_SoilAmeliorants[[#Headers],[Category]], 0, 2)</calculatedColumnFormula>
    </tableColumn>
    <tableColumn id="9" xr3:uid="{0674F694-18F0-4D73-AA7F-38C31EF4247C}" name="Emissions intensity" dataDxfId="270" dataCellStyle="Content normal">
      <calculatedColumnFormula array="1">Common_InputFunctions.Utility_DisplayArrayInTable(Scope3_SourceData.Scope3_SoilAmendments_Data(), Table_SourceData_Scope3_SoilAmeliorants[[#Headers],[Category]], 0, 2)</calculatedColumnFormula>
    </tableColumn>
    <tableColumn id="10" xr3:uid="{51FCB251-6C78-437F-AEEE-BF6D4F5AA9B6}" name="System boundary" dataDxfId="269" dataCellStyle="Content normal">
      <calculatedColumnFormula array="1">Common_InputFunctions.Utility_DisplayArrayInTable(Scope3_SourceData.Scope3_SoilAmendments_Data(), Table_SourceData_Scope3_SoilAmeliorants[[#Headers],[Category]], 0, 2)</calculatedColumnFormula>
    </tableColumn>
    <tableColumn id="4" xr3:uid="{72ACCB4E-9962-4E9F-8866-7DF1B0A674C4}" name="Source" dataDxfId="268" dataCellStyle="Content normal"/>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F6365146-D633-4325-9E47-D55515C553F5}" name="Table_SourceData_Scope3_ChemicalsPharmacy" displayName="Table_SourceData_Scope3_ChemicalsPharmacy" ref="D82:J86" totalsRowShown="0" dataDxfId="267" dataCellStyle="Content normal">
  <autoFilter ref="D82:J86" xr:uid="{C4160DCA-2AAF-4965-B3AD-B53F778A649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78E35FF-6840-4691-9D1C-F3AB404C2165}" name="Category" dataDxfId="266" dataCellStyle="Content normal">
      <calculatedColumnFormula array="1">Common_InputFunctions.Utility_DisplayArrayInTable(Scope3_SourceData.Scope3_Chemicals_Data(), Table_SourceData_Scope3_ChemicalsPharmacy[[#Headers],[Category]], -3, 2)</calculatedColumnFormula>
    </tableColumn>
    <tableColumn id="2" xr3:uid="{F760E31D-D32E-40B4-ADA8-BEBA0211CCDF}" name="Product" dataDxfId="265" dataCellStyle="Content normal">
      <calculatedColumnFormula array="1">Common_InputFunctions.Utility_DisplayArrayInTable(Scope3_SourceData.Scope3_Chemicals_Data(), Table_SourceData_Scope3_ChemicalsPharmacy[[#Headers],[Category]], -3, 2)</calculatedColumnFormula>
    </tableColumn>
    <tableColumn id="3" xr3:uid="{1A0F0905-9C8B-46CE-BAA7-E342EEC7BE72}" name="Region of origin" dataDxfId="264" dataCellStyle="Content normal">
      <calculatedColumnFormula array="1">Common_InputFunctions.Utility_DisplayArrayInTable(Scope3_SourceData.Scope3_Chemicals_Data(), Table_SourceData_Scope3_ChemicalsPharmacy[[#Headers],[Category]], -3, 2)</calculatedColumnFormula>
    </tableColumn>
    <tableColumn id="8" xr3:uid="{6232C8C4-D11E-4A67-8A84-1579FA0035FA}" name="Quantity Unit" dataDxfId="263" dataCellStyle="Content normal">
      <calculatedColumnFormula array="1">Common_InputFunctions.Utility_DisplayArrayInTable(Scope3_SourceData.Scope3_Chemicals_Data(), Table_SourceData_Scope3_ChemicalsPharmacy[[#Headers],[Category]], -3, 2)</calculatedColumnFormula>
    </tableColumn>
    <tableColumn id="9" xr3:uid="{2DFF8FA4-8080-40EF-AB3C-9D8ECA1CDDB7}" name="Emissions intensity" dataDxfId="262" dataCellStyle="Content normal">
      <calculatedColumnFormula array="1">Common_InputFunctions.Utility_DisplayArrayInTable(Scope3_SourceData.Scope3_Chemicals_Data(), Table_SourceData_Scope3_ChemicalsPharmacy[[#Headers],[Category]], -3, 2)</calculatedColumnFormula>
    </tableColumn>
    <tableColumn id="10" xr3:uid="{D4BDEAFC-D23F-445F-B87E-D80DA7424542}" name="System boundary" dataDxfId="261" dataCellStyle="Content normal">
      <calculatedColumnFormula array="1">Common_InputFunctions.Utility_DisplayArrayInTable(Scope3_SourceData.Scope3_Chemicals_Data(), Table_SourceData_Scope3_ChemicalsPharmacy[[#Headers],[Category]], -3, 2)</calculatedColumnFormula>
    </tableColumn>
    <tableColumn id="4" xr3:uid="{D9AD22FE-9023-45EA-BDE2-B86B6D5E1B1F}" name="Source" dataDxfId="260" dataCellStyle="Content normal"/>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76EE9B6B-CAFB-4CC8-91F3-3F68A38973E0}" name="Table_SourceData_Scope3_LickBlocks" displayName="Table_SourceData_Scope3_LickBlocks" ref="D167:J170" totalsRowShown="0" headerRowDxfId="259" headerRowCellStyle="Content normal">
  <autoFilter ref="D167:J170" xr:uid="{606CCDDA-2BB2-4AA5-B657-09AAAA73295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23E8F86-2BBB-4C50-8CED-00AC37321F40}" name="Category" dataDxfId="258" dataCellStyle="Content normal">
      <calculatedColumnFormula array="1">Common_InputFunctions.Utility_DisplayArrayInTable(Scope3_SourceData.Scope3_Feed_Data(), Table_SourceData_Scope3_LickBlocks[[#Headers],[Category]], -73, 2)</calculatedColumnFormula>
    </tableColumn>
    <tableColumn id="2" xr3:uid="{F5B0F8B4-36AD-4B7B-9B96-F7DBE0A33EDF}" name="Product" dataDxfId="257" dataCellStyle="Content normal">
      <calculatedColumnFormula array="1">Common_InputFunctions.Utility_DisplayArrayInTable(Scope3_SourceData.Scope3_Feed_Data(), Table_SourceData_Scope3_LickBlocks[[#Headers],[Category]], -73, 2)</calculatedColumnFormula>
    </tableColumn>
    <tableColumn id="3" xr3:uid="{94B746AF-5D50-4562-8FF3-2B4E5FEF039D}" name="Region of origin" dataDxfId="256" dataCellStyle="Content normal">
      <calculatedColumnFormula array="1">Common_InputFunctions.Utility_DisplayArrayInTable(Scope3_SourceData.Scope3_Feed_Data(), Table_SourceData_Scope3_LickBlocks[[#Headers],[Category]], -73, 2)</calculatedColumnFormula>
    </tableColumn>
    <tableColumn id="4" xr3:uid="{6E97A621-D020-4838-B1D8-26CE61151DDC}" name="Quantity Unit" dataDxfId="255" dataCellStyle="Content normal">
      <calculatedColumnFormula array="1">Common_InputFunctions.Utility_DisplayArrayInTable(Scope3_SourceData.Scope3_Feed_Data(), Table_SourceData_Scope3_LickBlocks[[#Headers],[Category]], -73, 2)</calculatedColumnFormula>
    </tableColumn>
    <tableColumn id="5" xr3:uid="{BDE53D95-A3A9-41F7-8D95-39601AE4294C}" name="Emissions intensity" dataDxfId="254" dataCellStyle="Content normal">
      <calculatedColumnFormula array="1">Common_InputFunctions.Utility_DisplayArrayInTable(Scope3_SourceData.Scope3_Feed_Data(), Table_SourceData_Scope3_LickBlocks[[#Headers],[Category]], -73, 2)</calculatedColumnFormula>
    </tableColumn>
    <tableColumn id="6" xr3:uid="{27FC07B6-9A2B-4FB6-8949-01C4072B7A7B}" name="System boundary" dataDxfId="253" dataCellStyle="Content normal">
      <calculatedColumnFormula array="1">Common_InputFunctions.Utility_DisplayArrayInTable(Scope3_SourceData.Scope3_Feed_Data(), Table_SourceData_Scope3_LickBlocks[[#Headers],[Category]], -73, 2)</calculatedColumnFormula>
    </tableColumn>
    <tableColumn id="7" xr3:uid="{927D3127-B384-48AA-ABFF-0153CA59B424}" name="Source" dataDxfId="252" dataCellStyle="Content normal"/>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3F8CC99A-D96C-463B-91E9-2C688A7AB29F}" name="Table_SourceData_Scope3_MixedRations" displayName="Table_SourceData_Scope3_MixedRations" ref="D161:J165" totalsRowShown="0" headerRowDxfId="251" headerRowCellStyle="Content normal">
  <autoFilter ref="D161:J165" xr:uid="{1D958255-6879-4BEB-9F61-8AFE685165B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337F8AC-ECBC-43E9-A765-28EC3CBF06EF}" name="Category" dataDxfId="250" dataCellStyle="Content normal">
      <calculatedColumnFormula array="1">Common_InputFunctions.Utility_DisplayArrayInTable(Scope3_SourceData.Scope3_Feed_Data(), Table_SourceData_Scope3_MixedRations[[#Headers],[Category]], -66, 2)</calculatedColumnFormula>
    </tableColumn>
    <tableColumn id="2" xr3:uid="{169DE915-AF41-4512-AE25-28132606C438}" name="Product" dataDxfId="249" dataCellStyle="Content normal">
      <calculatedColumnFormula array="1">Common_InputFunctions.Utility_DisplayArrayInTable(Scope3_SourceData.Scope3_Feed_Data(), Table_SourceData_Scope3_MixedRations[[#Headers],[Category]], -66, 2)</calculatedColumnFormula>
    </tableColumn>
    <tableColumn id="3" xr3:uid="{2668C896-65AB-4856-B997-5106D2895980}" name="Region of origin" dataDxfId="248" dataCellStyle="Content normal">
      <calculatedColumnFormula array="1">Common_InputFunctions.Utility_DisplayArrayInTable(Scope3_SourceData.Scope3_Feed_Data(), Table_SourceData_Scope3_MixedRations[[#Headers],[Category]], -66, 2)</calculatedColumnFormula>
    </tableColumn>
    <tableColumn id="4" xr3:uid="{0F71F5F1-25C4-4103-BEA4-F3657B2FC9E5}" name="Quantity Unit" dataDxfId="247" dataCellStyle="Content normal">
      <calculatedColumnFormula array="1">Common_InputFunctions.Utility_DisplayArrayInTable(Scope3_SourceData.Scope3_Feed_Data(), Table_SourceData_Scope3_MixedRations[[#Headers],[Category]], -66, 2)</calculatedColumnFormula>
    </tableColumn>
    <tableColumn id="5" xr3:uid="{4A3B401A-D789-4165-B1EB-47EC7306B742}" name="Emissions intensity" dataDxfId="246" dataCellStyle="Content normal">
      <calculatedColumnFormula array="1">Common_InputFunctions.Utility_DisplayArrayInTable(Scope3_SourceData.Scope3_Feed_Data(), Table_SourceData_Scope3_MixedRations[[#Headers],[Category]], -66, 2)</calculatedColumnFormula>
    </tableColumn>
    <tableColumn id="6" xr3:uid="{1C8532E9-D86E-41D6-9E1D-4643931874DA}" name="System boundary" dataDxfId="245" dataCellStyle="Content normal">
      <calculatedColumnFormula array="1">Common_InputFunctions.Utility_DisplayArrayInTable(Scope3_SourceData.Scope3_Feed_Data(), Table_SourceData_Scope3_MixedRations[[#Headers],[Category]], -66, 2)</calculatedColumnFormula>
    </tableColumn>
    <tableColumn id="7" xr3:uid="{2651A609-697B-4354-848E-795AE58C17FA}" name="Source" dataDxfId="244" dataCellStyle="Content normal"/>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74DEF0BE-13DA-4CB1-ABC2-FF3C12AF307E}" name="Table_ProductRegions_Sardineswhole" displayName="Table_ProductRegions_Sardineswhole" ref="L241:M243" totalsRowShown="0">
  <autoFilter ref="L241:M243" xr:uid="{CE347908-ACBC-4A97-A54B-325F495C7F74}">
    <filterColumn colId="0" hiddenButton="1"/>
    <filterColumn colId="1" hiddenButton="1"/>
  </autoFilter>
  <tableColumns count="2">
    <tableColumn id="1" xr3:uid="{BDBC371D-58C8-4DD4-BB68-84D15F10A447}" name="Product">
      <calculatedColumnFormula>Table_SourceData_Scope3_FishFeedAndBait[[#This Row],[Product]]</calculatedColumnFormula>
    </tableColumn>
    <tableColumn id="2" xr3:uid="{A112212E-540B-4888-B697-F7FF48DA9761}" name="Region">
      <calculatedColumnFormula>Table_SourceData_Scope3_FishFeedAndBait[[#This Row],[Region of origin]]</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33EEAD82-C088-49B3-8719-E802404B8E14}" name="Table_ProductRegions_Barleygrain" displayName="Table_ProductRegions_Barleygrain" ref="O89:P97" totalsRowShown="0">
  <autoFilter ref="O89:P97" xr:uid="{4CC6C9C2-1CED-45A7-AB1B-72FD8DBB4178}">
    <filterColumn colId="0" hiddenButton="1"/>
    <filterColumn colId="1" hiddenButton="1"/>
  </autoFilter>
  <tableColumns count="2">
    <tableColumn id="1" xr3:uid="{42DE1109-D779-4E68-9F23-1E1E1C2E60D0}" name="Product">
      <calculatedColumnFormula>Table_SourceData_Scope3_Feed[[#This Row],[Product]]</calculatedColumnFormula>
    </tableColumn>
    <tableColumn id="2" xr3:uid="{04FF16F1-B2E1-49E6-8CF8-8B53920ED54D}" name="Region">
      <calculatedColumnFormula>Table_SourceData_Scope3_Feed[[#This Row],[Region of origin]]</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41FA9D12-FE9C-4CA8-B818-627539F4A241}" name="Table_ProductRegions_Maizegrain" displayName="Table_ProductRegions_Maizegrain" ref="L97:M104" totalsRowShown="0" headerRowDxfId="243" headerRowCellStyle="Content normal">
  <autoFilter ref="L97:M104" xr:uid="{70F320A7-5DBE-4A83-91E4-C9B3BDA564BD}">
    <filterColumn colId="0" hiddenButton="1"/>
    <filterColumn colId="1" hiddenButton="1"/>
  </autoFilter>
  <tableColumns count="2">
    <tableColumn id="1" xr3:uid="{D14F2A58-2CA9-4C32-AF60-F5D7ADF9562C}" name="Product">
      <calculatedColumnFormula>Table_SourceData_Scope3_Feed[[#This Row],[Product]]</calculatedColumnFormula>
    </tableColumn>
    <tableColumn id="2" xr3:uid="{31F67E0E-9B70-4AAB-8484-87E451E81891}" name="Region">
      <calculatedColumnFormula>Table_SourceData_Scope3_Feed[[#This Row],[Region of origin]]</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1CB1288B-1C73-429A-B31F-4982D801A1F2}" name="Table_ProductRegions_Sorghumgrain" displayName="Table_ProductRegions_Sorghumgrain" ref="O104:P109" totalsRowShown="0" headerRowDxfId="242" headerRowCellStyle="Content normal">
  <autoFilter ref="O104:P109" xr:uid="{90205417-8A77-41A3-A4E2-624BD92B7269}">
    <filterColumn colId="0" hiddenButton="1"/>
    <filterColumn colId="1" hiddenButton="1"/>
  </autoFilter>
  <tableColumns count="2">
    <tableColumn id="1" xr3:uid="{A83C38C2-BD91-4946-A4AD-A888016D3742}" name="Product">
      <calculatedColumnFormula>Table_SourceData_Scope3_Feed[[#This Row],[Product]]</calculatedColumnFormula>
    </tableColumn>
    <tableColumn id="2" xr3:uid="{A9EC3271-D652-4C3A-8A00-C8D0E21DCB23}" name="Region">
      <calculatedColumnFormula>Table_SourceData_Scope3_Feed[[#This Row],[Region of origin]]</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2A53D6B8-5EAA-4995-BA0E-30CAFCC23901}" name="Table_ProductRegions_Wheatgrain" displayName="Table_ProductRegions_Wheatgrain" ref="L109:M117" totalsRowShown="0" headerRowDxfId="241" headerRowCellStyle="Content normal">
  <autoFilter ref="L109:M117" xr:uid="{9DD7D3AD-59A1-48FC-B80D-99C25A2A79F5}">
    <filterColumn colId="0" hiddenButton="1"/>
    <filterColumn colId="1" hiddenButton="1"/>
  </autoFilter>
  <tableColumns count="2">
    <tableColumn id="1" xr3:uid="{1066505C-4C0A-4BD9-8901-0B0302A7DDB0}" name="Product">
      <calculatedColumnFormula>Table_SourceData_Scope3_Feed[[#This Row],[Product]]</calculatedColumnFormula>
    </tableColumn>
    <tableColumn id="2" xr3:uid="{D1B22B99-E05E-4FB7-B48B-F216093C4C25}" name="Region">
      <calculatedColumnFormula>Table_SourceData_Scope3_Feed[[#This Row],[Region of origin]]</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B213210D-E73E-44F1-8C96-BDB237EED87C}" name="Table_ProductRegions_Cerealhay" displayName="Table_ProductRegions_Cerealhay" ref="O117:P124" totalsRowShown="0">
  <autoFilter ref="O117:P124" xr:uid="{245CC575-8EB6-4B35-B4B5-B1CE9D9C39F8}">
    <filterColumn colId="0" hiddenButton="1"/>
    <filterColumn colId="1" hiddenButton="1"/>
  </autoFilter>
  <tableColumns count="2">
    <tableColumn id="1" xr3:uid="{5D4BDE4D-7B45-44B7-A009-D16BC6FD68B3}" name="Product">
      <calculatedColumnFormula>Table_SourceData_Scope3_Feed[[#This Row],[Product]]</calculatedColumnFormula>
    </tableColumn>
    <tableColumn id="2" xr3:uid="{F4E72289-3FA0-4C67-B1C8-B4A404C809F2}" name="Region">
      <calculatedColumnFormula>Table_SourceData_Scope3_Feed[[#This Row],[Region of origin]]</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8E7536A2-1EB6-4103-BF60-B5F51BD0AAE1}" name="Table_ProductRegions_Cerealsilage" displayName="Table_ProductRegions_Cerealsilage" ref="L124:M130" totalsRowShown="0">
  <autoFilter ref="L124:M130" xr:uid="{FD45B7F5-0F1B-474D-A048-21B8C1E86239}">
    <filterColumn colId="0" hiddenButton="1"/>
    <filterColumn colId="1" hiddenButton="1"/>
  </autoFilter>
  <tableColumns count="2">
    <tableColumn id="1" xr3:uid="{5F67DC41-D7EF-40DD-920E-E982A45292F5}" name="Product">
      <calculatedColumnFormula>Table_SourceData_Scope3_Feed[[#This Row],[Product]]</calculatedColumnFormula>
    </tableColumn>
    <tableColumn id="2" xr3:uid="{320CF58E-35CA-4ED7-9697-B8C3E1F98C53}" name="Region">
      <calculatedColumnFormula>Table_SourceData_Scope3_Feed[[#This Row],[Region of origin]]</calculatedColumnFormula>
    </tableColumn>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322223F0-5E55-46E9-9230-356545EA72B8}" name="Table_ProductRegions_Lucernehay" displayName="Table_ProductRegions_Lucernehay" ref="O130:P137" totalsRowShown="0">
  <autoFilter ref="O130:P137" xr:uid="{4DF6C49E-FF29-4EC2-AABA-1FE3CF552A22}">
    <filterColumn colId="0" hiddenButton="1"/>
    <filterColumn colId="1" hiddenButton="1"/>
  </autoFilter>
  <tableColumns count="2">
    <tableColumn id="1" xr3:uid="{858DB9EB-7057-499A-B582-1C632305A1F2}" name="Product">
      <calculatedColumnFormula>Table_SourceData_Scope3_Feed[[#This Row],[Product]]</calculatedColumnFormula>
    </tableColumn>
    <tableColumn id="2" xr3:uid="{BD0C37A1-4AD6-4200-B892-708505EC2301}" name="Region">
      <calculatedColumnFormula>Table_SourceData_Scope3_Feed[[#This Row],[Region of origin]]</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7B11FEF8-6FB2-41E6-AF4E-C4611D574693}" name="Table_ProductRegions_Oatenhay" displayName="Table_ProductRegions_Oatenhay" ref="L137:M143" totalsRowShown="0">
  <autoFilter ref="L137:M143" xr:uid="{5CE14642-4488-4D3C-A2B0-48CEF5738148}">
    <filterColumn colId="0" hiddenButton="1"/>
    <filterColumn colId="1" hiddenButton="1"/>
  </autoFilter>
  <tableColumns count="2">
    <tableColumn id="1" xr3:uid="{1DD954D5-8B98-4F0A-9C68-D545D4952764}" name="Product">
      <calculatedColumnFormula>Table_SourceData_Scope3_Feed[[#This Row],[Product]]</calculatedColumnFormula>
    </tableColumn>
    <tableColumn id="2" xr3:uid="{EBD66D1A-A992-422F-AF8F-09A2DFA2C936}" name="Region">
      <calculatedColumnFormula>Table_SourceData_Scope3_Feed[[#This Row],[Region of origin]]</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437F5A21-34BF-450B-B81B-BC8249F557CE}" name="Table_ProductRegions_Pasturehay" displayName="Table_ProductRegions_Pasturehay" ref="O143:P150" totalsRowShown="0">
  <autoFilter ref="O143:P150" xr:uid="{BD72E544-66B7-4CC1-B2C8-F2136AAB32F7}">
    <filterColumn colId="0" hiddenButton="1"/>
    <filterColumn colId="1" hiddenButton="1"/>
  </autoFilter>
  <tableColumns count="2">
    <tableColumn id="1" xr3:uid="{4E71885A-D6E6-42EE-8D92-4C9AC6937280}" name="Product">
      <calculatedColumnFormula>Table_SourceData_Scope3_Feed[[#This Row],[Product]]</calculatedColumnFormula>
    </tableColumn>
    <tableColumn id="2" xr3:uid="{CB7F4F98-C332-45B0-A69F-0531F3C4B6A9}" name="Region">
      <calculatedColumnFormula>Table_SourceData_Scope3_Feed[[#This Row],[Region of origin]]</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9EC58A1B-1013-4245-AE49-D0E4B5BBD76F}" name="Table_ProductRegions_Canolameal" displayName="Table_ProductRegions_Canolameal" ref="L150:M151" totalsRowShown="0" headerRowDxfId="240" headerRowCellStyle="Content normal" dataCellStyle="Content normal">
  <autoFilter ref="L150:M151" xr:uid="{58F78B6F-294E-4D4E-8E3B-BFE4FA85583E}">
    <filterColumn colId="0" hiddenButton="1"/>
    <filterColumn colId="1" hiddenButton="1"/>
  </autoFilter>
  <tableColumns count="2">
    <tableColumn id="1" xr3:uid="{4366DA97-8BC1-45AE-85A3-1A4D39D372BC}" name="Product" dataCellStyle="Content normal">
      <calculatedColumnFormula>Table_SourceData_Scope3_Feed[[#This Row],[Product]]</calculatedColumnFormula>
    </tableColumn>
    <tableColumn id="2" xr3:uid="{BB71C454-278C-4EDB-8C14-FF920CA7E187}"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9AF5DF6A-6013-4D77-980C-D5CE4F020658}" name="Table_ProductRegions_Meatmeal" displayName="Table_ProductRegions_Meatmeal" ref="O151:P152" totalsRowShown="0">
  <autoFilter ref="O151:P152" xr:uid="{D9ACC97D-5A56-40C9-A49D-02AE70D1528F}">
    <filterColumn colId="0" hiddenButton="1"/>
    <filterColumn colId="1" hiddenButton="1"/>
  </autoFilter>
  <tableColumns count="2">
    <tableColumn id="1" xr3:uid="{6CE41B61-EB3A-4DEB-AC5D-80E7F8B8B40A}" name="Product">
      <calculatedColumnFormula>Table_SourceData_Scope3_Feed[[#This Row],[Product]]</calculatedColumnFormula>
    </tableColumn>
    <tableColumn id="2" xr3:uid="{EE8A6FAA-B9F6-4558-8B44-04F91036F461}" name="Region">
      <calculatedColumnFormula>Table_SourceData_Scope3_Feed[[#This Row],[Region of origin]]</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AD7E9B83-FF5D-4F92-8EB6-B660FB8E2D17}" name="Table_ProductRegions_Soybeanmeal" displayName="Table_ProductRegions_Soybeanmeal" ref="L152:M153" totalsRowShown="0">
  <autoFilter ref="L152:M153" xr:uid="{1C990ACD-1539-48DE-9CB9-7E6ABD45F865}">
    <filterColumn colId="0" hiddenButton="1"/>
    <filterColumn colId="1" hiddenButton="1"/>
  </autoFilter>
  <tableColumns count="2">
    <tableColumn id="1" xr3:uid="{D4A76318-7ED4-459A-925F-9675A648AD5F}" name="Product">
      <calculatedColumnFormula>Table_SourceData_Scope3_Feed[[#This Row],[Product]]</calculatedColumnFormula>
    </tableColumn>
    <tableColumn id="2" xr3:uid="{4F2AC5D4-7B7A-487B-9C92-798E8E0331C2}" name="Region">
      <calculatedColumnFormula>Table_SourceData_Scope3_Feed[[#This Row],[Region of origin]]</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27134EF7-F60F-431F-8F5E-64977B6449C0}" name="Table_ProductRegions_Wheatbran" displayName="Table_ProductRegions_Wheatbran" ref="O153:P154" totalsRowShown="0">
  <autoFilter ref="O153:P154" xr:uid="{27F97D39-363D-44DD-BCB4-6C8D8B6B10B7}">
    <filterColumn colId="0" hiddenButton="1"/>
    <filterColumn colId="1" hiddenButton="1"/>
  </autoFilter>
  <tableColumns count="2">
    <tableColumn id="1" xr3:uid="{585BB8A8-9979-43A1-AD01-D17146A917AD}" name="Product">
      <calculatedColumnFormula>Table_SourceData_Scope3_Feed[[#This Row],[Product]]</calculatedColumnFormula>
    </tableColumn>
    <tableColumn id="2" xr3:uid="{181E6C14-37A6-4BBA-9A65-DA08B4D51653}" name="Region">
      <calculatedColumnFormula>Table_SourceData_Scope3_Feed[[#This Row],[Region of origin]]</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2A55758D-C7AE-4714-B2E5-569D98459E6D}" name="Table_ProductRegions_Bentonite" displayName="Table_ProductRegions_Bentonite" ref="L154:M155" totalsRowShown="0">
  <autoFilter ref="L154:M155" xr:uid="{09E4264E-4E86-40F1-AA3A-76335558A05D}">
    <filterColumn colId="0" hiddenButton="1"/>
    <filterColumn colId="1" hiddenButton="1"/>
  </autoFilter>
  <tableColumns count="2">
    <tableColumn id="1" xr3:uid="{74E823A0-6C3D-457F-A453-A14F0C0893CC}" name="Product">
      <calculatedColumnFormula>Table_SourceData_Scope3_Feed[[#This Row],[Product]]</calculatedColumnFormula>
    </tableColumn>
    <tableColumn id="2" xr3:uid="{DFD2A74A-7B3A-40AC-A7A0-E1BDB16424D7}" name="Region">
      <calculatedColumnFormula>Table_SourceData_Scope3_Feed[[#This Row],[Region of origin]]</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6CB6F6DE-9B45-498B-8680-91BD9E3B5B06}" name="Table_ProductRegions_Canolaoil" displayName="Table_ProductRegions_Canolaoil" ref="O155:P156" totalsRowShown="0">
  <autoFilter ref="O155:P156" xr:uid="{A0E0877F-5B97-438A-89BF-391F139E6C20}">
    <filterColumn colId="0" hiddenButton="1"/>
    <filterColumn colId="1" hiddenButton="1"/>
  </autoFilter>
  <tableColumns count="2">
    <tableColumn id="1" xr3:uid="{0D55E6C4-0B43-4E3F-83AD-5E176604E55E}" name="Product">
      <calculatedColumnFormula>Table_SourceData_Scope3_Feed[[#This Row],[Product]]</calculatedColumnFormula>
    </tableColumn>
    <tableColumn id="2" xr3:uid="{9089069A-FFB2-48CC-A8FF-AFCE067ED1CB}" name="Region">
      <calculatedColumnFormula>Table_SourceData_Scope3_Feed[[#This Row],[Region of origin]]</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182EE8EE-ED4F-4B1E-9B60-F02DC6AE6382}" name="Table_ProductRegions_Cottonseed" displayName="Table_ProductRegions_Cottonseed" ref="L156:M157" totalsRowShown="0">
  <autoFilter ref="L156:M157" xr:uid="{77EE7649-CF58-45FA-964C-E4A392F4902C}">
    <filterColumn colId="0" hiddenButton="1"/>
    <filterColumn colId="1" hiddenButton="1"/>
  </autoFilter>
  <tableColumns count="2">
    <tableColumn id="1" xr3:uid="{CA0704AB-DC47-4884-9EC1-654F835ACDE8}" name="Product">
      <calculatedColumnFormula>Table_SourceData_Scope3_Feed[[#This Row],[Product]]</calculatedColumnFormula>
    </tableColumn>
    <tableColumn id="2" xr3:uid="{D60C6628-EF6A-4BB1-970F-35C037343B02}" name="Region">
      <calculatedColumnFormula>Table_SourceData_Scope3_Feed[[#This Row],[Region of origin]]</calculatedColumnFormula>
    </tableColumn>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1D62E130-AA2F-44D8-9E1D-A2913384B30A}" name="Table_ProductRegions_Molasses" displayName="Table_ProductRegions_Molasses" ref="O157:P158" totalsRowShown="0">
  <autoFilter ref="O157:P158" xr:uid="{EBEFFF0B-F932-4AFC-ABDF-6907D5107FE5}">
    <filterColumn colId="0" hiddenButton="1"/>
    <filterColumn colId="1" hiddenButton="1"/>
  </autoFilter>
  <tableColumns count="2">
    <tableColumn id="1" xr3:uid="{A2EF47D4-081A-4EA2-AEB7-47C1F9933F6A}" name="Product">
      <calculatedColumnFormula>Table_SourceData_Scope3_Feed[[#This Row],[Product]]</calculatedColumnFormula>
    </tableColumn>
    <tableColumn id="2" xr3:uid="{46F1652B-71B6-4A3D-B794-DE0E8CF87592}" name="Region">
      <calculatedColumnFormula>Table_SourceData_Scope3_Feed[[#This Row],[Region of origin]]</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5CAE5472-E707-48D5-BA57-0B26F72F0815}" name="Table_ProductRegions_Beefcattle" displayName="Table_ProductRegions_Beefcattle" ref="L33:M49" totalsRowShown="0">
  <autoFilter ref="L33:M49" xr:uid="{77539992-728B-4655-965B-FB28372E4BBC}">
    <filterColumn colId="0" hiddenButton="1"/>
    <filterColumn colId="1" hiddenButton="1"/>
  </autoFilter>
  <tableColumns count="2">
    <tableColumn id="1" xr3:uid="{439F76EA-94ED-42A8-8038-27717F31E136}" name="Region"/>
    <tableColumn id="2" xr3:uid="{190ABFE5-91EF-4D43-81CD-20E5B46FD8F8}" name="Scope3 regio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37A28DC9-8CD1-4F97-9DB8-CFDEC15F2332}" name="Table_SourceData_Scope3_FishFeedAndBait" displayName="Table_SourceData_Scope3_FishFeedAndBait" ref="D241:J247" totalsRowShown="0" dataDxfId="239" dataCellStyle="Content normal">
  <autoFilter ref="D241:J247" xr:uid="{CB2ECEE9-6AEB-4C74-BD8F-E665996241E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6" xr3:uid="{70B46334-D96A-4190-A5B8-F34B2665511B}" name="Category" dataDxfId="238" dataCellStyle="Content normal">
      <calculatedColumnFormula array="1">Common_InputFunctions.Utility_DisplayArrayInTable(Scope3_SourceData.Scope3_FishFeedAndBait_Data(), Table_SourceData_Scope3_FishFeedAndBait[[#Headers],[Category]], 0, 1)</calculatedColumnFormula>
    </tableColumn>
    <tableColumn id="1" xr3:uid="{3CD018C8-3FA5-4FB0-9888-DA230A296C85}" name="Product" dataDxfId="237" dataCellStyle="Content normal">
      <calculatedColumnFormula array="1">Common_InputFunctions.Utility_DisplayArrayInTable(Scope3_SourceData.Scope3_FishFeedAndBait_Data(), Table_SourceData_Scope3_FishFeedAndBait[[#Headers],[Category]], 0, 1)</calculatedColumnFormula>
    </tableColumn>
    <tableColumn id="2" xr3:uid="{BBADBC68-70A9-4EEF-A7D9-B0FBD928FC48}" name="Region of origin" dataDxfId="236" dataCellStyle="Content normal">
      <calculatedColumnFormula array="1">Common_InputFunctions.Utility_DisplayArrayInTable(Scope3_SourceData.Scope3_FishFeedAndBait_Data(), Table_SourceData_Scope3_FishFeedAndBait[[#Headers],[Category]], 0, 1)</calculatedColumnFormula>
    </tableColumn>
    <tableColumn id="3" xr3:uid="{F7086DA8-4309-4243-AAB4-6625AD4C58CF}" name="Quantity Unit" dataDxfId="235" dataCellStyle="Content normal">
      <calculatedColumnFormula array="1">Common_InputFunctions.Utility_DisplayArrayInTable(Scope3_SourceData.Scope3_FishFeedAndBait_Data(), Table_SourceData_Scope3_FishFeedAndBait[[#Headers],[Category]], 0, 1)</calculatedColumnFormula>
    </tableColumn>
    <tableColumn id="4" xr3:uid="{96CF76EC-287B-40E0-8F0E-AD6C9255605B}" name="Emissions intensity" dataDxfId="234" dataCellStyle="Content normal">
      <calculatedColumnFormula array="1">Common_InputFunctions.Utility_DisplayArrayInTable(Scope3_SourceData.Scope3_FishFeedAndBait_Data(), Table_SourceData_Scope3_FishFeedAndBait[[#Headers],[Category]], 0, 1)</calculatedColumnFormula>
    </tableColumn>
    <tableColumn id="5" xr3:uid="{E3664776-CF74-4CC0-A987-90FFEAD92D3B}" name="System boundary" dataDxfId="233" dataCellStyle="Content normal">
      <calculatedColumnFormula array="1">Common_InputFunctions.Utility_DisplayArrayInTable(Scope3_SourceData.Scope3_FishFeedAndBait_Data(), Table_SourceData_Scope3_FishFeedAndBait[[#Headers],[Category]], 0, 1)</calculatedColumnFormula>
    </tableColumn>
    <tableColumn id="8" xr3:uid="{87D4C56A-3A07-4D11-9BA4-6E3841A278BD}" name="Source" dataDxfId="232" dataCellStyle="Content normal"/>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8B1BE39C-59B0-4DA0-BBC7-ACCBD72CF264}"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58FD9670-3EAF-43F0-A27F-8818B6502797}"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D5B36504-5C63-4D6E-8C4D-202003DF808D}" name="Waste type w" dataDxfId="231"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CEF566D1-FA9F-4631-91B6-513435DDAF1B}" name="EFwt" dataDxfId="230"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E9E84BB0-EB15-4906-872B-2D3CD7B0B873}" name="EF source" dataDxfId="229"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C6A6A5D8-BEBA-4F8D-9109-797AB747DD65}"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D6A40A56-46A0-4853-B814-E430AD0F4F11}"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20F9A34F-F71F-49AE-990F-FA5132E5C72E}" name="VTMw" dataDxfId="228"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E129BF9D-D539-40B1-A9ED-B2000B6D873E}" name="Table_WasteTypes_Landfill" displayName="Table_WasteTypes_Landfill" ref="I16:I27" totalsRowShown="0">
  <autoFilter ref="I16:I27" xr:uid="{99B942E3-1D24-4166-921C-DCC10960718D}">
    <filterColumn colId="0" hiddenButton="1"/>
  </autoFilter>
  <tableColumns count="1">
    <tableColumn id="1" xr3:uid="{C911FD9E-9DB2-48BE-846D-999570550B64}"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BA12F8-882C-4045-A4CD-A2E64B02B37F}" name="Table_WasteTypes_Incineration" displayName="Table_WasteTypes_Incineration" ref="K16:K26" totalsRowShown="0" headerRowDxfId="227" headerRowCellStyle="Content normal" dataCellStyle="Content normal">
  <autoFilter ref="K16:K26" xr:uid="{9A900595-7035-4239-9059-ACC16835BF72}">
    <filterColumn colId="0" hiddenButton="1"/>
  </autoFilter>
  <tableColumns count="1">
    <tableColumn id="1" xr3:uid="{F2512927-BA34-4E47-AC23-C25E9C17CE39}" name="Waste type w" dataCellStyle="Content normal">
      <calculatedColumnFormula>E29</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EEA2453C-5940-4EF1-B596-1E1FE43094AA}" name="Table_WasteTypes_Composting" displayName="Table_WasteTypes_Composting" ref="M16:M21" totalsRowShown="0" headerRowDxfId="226" headerRowCellStyle="Content normal" dataCellStyle="Content normal">
  <autoFilter ref="M16:M21" xr:uid="{5C8D39D3-1330-49EB-B431-1B2B8C8238DC}">
    <filterColumn colId="0" hiddenButton="1"/>
  </autoFilter>
  <tableColumns count="1">
    <tableColumn id="1" xr3:uid="{39293F27-59BE-4464-84FD-5A483366ECF8}" name="Waste type w" totalsRowDxfId="225" dataCellStyle="Content normal">
      <calculatedColumnFormula>E40</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E32184B1-0280-47F0-A9FD-A3AE3F145438}" name="Table_WasteTypes_Anaerobicdigestion" displayName="Table_WasteTypes_Anaerobicdigestion" ref="O16:O21" totalsRowShown="0" headerRowDxfId="224" headerRowCellStyle="Content normal" dataCellStyle="Content normal">
  <autoFilter ref="O16:O21" xr:uid="{331EC43E-DF68-429F-A2A4-58BFE6216EC3}">
    <filterColumn colId="0" hiddenButton="1"/>
  </autoFilter>
  <tableColumns count="1">
    <tableColumn id="1" xr3:uid="{04A85025-CA36-4BC7-8609-B8AC0F372556}" name="Waste type w" totalsRowDxfId="223" dataCellStyle="Content normal">
      <calculatedColumnFormula>E46</calculatedColumnFormula>
    </tableColumn>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5DAB1B-E2E2-457B-8EC2-85C9E6034F9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141EDE3A-D4F1-463C-A1A1-6E6DC3810C83}" name="State/Territory">
      <calculatedColumnFormula array="1">Common_InputFunctions.Utility_DisplayArrayInTable(Common_SourceData.Common_SourceData_AustralianStatesTerritories_Data(),Table_AustralianStates[[#Headers],[State/Territory]],0)</calculatedColumnFormula>
    </tableColumn>
    <tableColumn id="2" xr3:uid="{28E996F7-E11C-4718-9A56-505885A3261B}" name="Common Name">
      <calculatedColumnFormula array="1">Common_InputFunctions.Utility_DisplayArrayInTable(Common_SourceData.Common_SourceData_AustralianStatesTerritories_Data(),Table_AustralianStates[[#Headers],[State/Territory]],0)</calculatedColumnFormula>
    </tableColumn>
    <tableColumn id="3" xr3:uid="{124BB972-AB3E-4499-BB37-7BE00370D5A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79C2B9C-EA53-43CC-83C9-86D15CCC8F80}" name="Table_WASA4Areas" displayName="Table_WASA4Areas" ref="D20:D30" totalsRowShown="0">
  <autoFilter ref="D20:D30" xr:uid="{5FA81339-C6C8-4D36-BEEA-6C4AEDD9E676}">
    <filterColumn colId="0" hiddenButton="1"/>
  </autoFilter>
  <tableColumns count="1">
    <tableColumn id="1" xr3:uid="{052BF038-B042-499D-B26B-ACB38C3026C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267EB44-489E-4C0E-B82F-5E051FE9BF4A}" name="Table_GWPData" displayName="Table_GWPData" ref="D36:E43" totalsRowShown="0">
  <autoFilter ref="D36:E43" xr:uid="{B8E87A66-3E41-4AD3-925D-01EE21B43D7A}">
    <filterColumn colId="0" hiddenButton="1"/>
    <filterColumn colId="1" hiddenButton="1"/>
  </autoFilter>
  <tableColumns count="2">
    <tableColumn id="1" xr3:uid="{2EA1B09C-EFB1-43EC-8CCD-0AD2E14B783C}" name="Gas">
      <calculatedColumnFormula array="1">Common_InputFunctions.Utility_DisplayArrayInTable(Common_SourceData.Common_SourceData_GWP_Data(), Table_GWPData[[#Headers],[Gas]], 0)</calculatedColumnFormula>
    </tableColumn>
    <tableColumn id="2" xr3:uid="{D5BC830A-D63B-42AE-AB9F-A4B78D260F6F}"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14797D9-5E87-4C9E-A5E2-FE5FDB03DDA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FA151FC8-3695-4719-A4EF-7D04EC031B31}" name="Gas">
      <calculatedColumnFormula array="1">Common_InputFunctions.Utility_DisplayArrayInTable(Common_SourceData.Common_SourceData_ConvertGasElementalToMolecular_Data(),Table_GasToMolecularConversionFactor[[#Headers],[Gas]], 0)</calculatedColumnFormula>
    </tableColumn>
    <tableColumn id="5" xr3:uid="{C5A54C07-D112-4D55-AF20-931C32D3D04D}" name="Conversion factor">
      <calculatedColumnFormula array="1">Common_InputFunctions.Utility_DisplayArrayInTable(Common_SourceData.Common_SourceData_ConvertGasElementalToMolecular_Data(),Table_GasToMolecularConversionFactor[[#Headers],[Gas]], 0)</calculatedColumnFormula>
    </tableColumn>
    <tableColumn id="2" xr3:uid="{E068EBC3-E598-409A-A232-E6C5BCE51A4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F9871F0-4365-41D5-B3FE-1693C79370F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50E8067-6E8A-45AD-9E1A-D6A8EEC2056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CF9E070-EC5E-422A-AE63-360FA7300FD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292125F-3A0F-4FB3-9096-9A6C09064CE7}"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FD91884A-B7CC-43A5-89E2-EB9ADAD79B74}" name="MAT" totalsRowDxfId="222" totalsRowCellStyle="Content bold">
      <calculatedColumnFormula array="1">Common_InputFunctions.Utility_DisplayArrayInTable(Common_SourceData.Common_SourceData_ClimateZones_Data(), Table_SourceData_ClimateZones[[#Headers],[Climate zone]], 0)</calculatedColumnFormula>
    </tableColumn>
    <tableColumn id="3" xr3:uid="{B580D36E-E641-4419-A5E9-56AD94FD9711}" name="MAP" totalsRowDxfId="221" totalsRowCellStyle="Content bold">
      <calculatedColumnFormula array="1">Common_InputFunctions.Utility_DisplayArrayInTable(Common_SourceData.Common_SourceData_ClimateZones_Data(), Table_SourceData_ClimateZones[[#Headers],[Climate zone]], 0)</calculatedColumnFormula>
    </tableColumn>
    <tableColumn id="4" xr3:uid="{0CE926DB-8FBB-46DD-B2F5-74DB63757391}" name="Frost days per year" totalsRowDxfId="220" totalsRowCellStyle="Content bold">
      <calculatedColumnFormula array="1">Common_InputFunctions.Utility_DisplayArrayInTable(Common_SourceData.Common_SourceData_ClimateZones_Data(), Table_SourceData_ClimateZones[[#Headers],[Climate zone]], 0)</calculatedColumnFormula>
    </tableColumn>
    <tableColumn id="5" xr3:uid="{47751D32-289E-4A5A-90B8-231DD67C9832}" name="Elevation" totalsRowDxfId="219" totalsRowCellStyle="Content bold">
      <calculatedColumnFormula array="1">Common_InputFunctions.Utility_DisplayArrayInTable(Common_SourceData.Common_SourceData_ClimateZones_Data(), Table_SourceData_ClimateZones[[#Headers],[Climate zone]], 0)</calculatedColumnFormula>
    </tableColumn>
    <tableColumn id="6" xr3:uid="{4F949F03-6B35-4E94-829B-0336C4645775}" name="MAP:PET" totalsRowDxfId="218" totalsRowCellStyle="Content bold">
      <calculatedColumnFormula array="1">Common_InputFunctions.Utility_DisplayArrayInTable(Common_SourceData.Common_SourceData_ClimateZones_Data(), Table_SourceData_ClimateZones[[#Headers],[Climate zone]], 0)</calculatedColumnFormula>
    </tableColumn>
    <tableColumn id="7" xr3:uid="{3FBCB33B-842D-41D5-AD5F-83D615C11114}" name="Min temp" totalsRowDxfId="217" totalsRowCellStyle="Content bold">
      <calculatedColumnFormula array="1">Common_InputFunctions.Utility_DisplayArrayInTable(Common_SourceData.Common_SourceData_ClimateZones_Data(), Table_SourceData_ClimateZones[[#Headers],[Climate zone]], 0)</calculatedColumnFormula>
    </tableColumn>
    <tableColumn id="8" xr3:uid="{C2619C9C-0794-4F06-A862-63A4C3CA66EC}" name="Max temp" totalsRowDxfId="216" totalsRowCellStyle="Content bold">
      <calculatedColumnFormula array="1">Common_InputFunctions.Utility_DisplayArrayInTable(Common_SourceData.Common_SourceData_ClimateZones_Data(), Table_SourceData_ClimateZones[[#Headers],[Climate zone]], 0)</calculatedColumnFormula>
    </tableColumn>
    <tableColumn id="9" xr3:uid="{FAF7977F-60AC-4F2F-AA73-CCFEA07FF532}" name="Min rainfall" totalsRowDxfId="215" totalsRowCellStyle="Content bold">
      <calculatedColumnFormula array="1">Common_InputFunctions.Utility_DisplayArrayInTable(Common_SourceData.Common_SourceData_ClimateZones_Data(), Table_SourceData_ClimateZones[[#Headers],[Climate zone]], 0)</calculatedColumnFormula>
    </tableColumn>
    <tableColumn id="10" xr3:uid="{D90DF110-8E64-41CE-9DF1-5AD24AE94500}" name="Max rainfall" totalsRowDxfId="214" totalsRowCellStyle="Content bold">
      <calculatedColumnFormula array="1">Common_InputFunctions.Utility_DisplayArrayInTable(Common_SourceData.Common_SourceData_ClimateZones_Data(), Table_SourceData_ClimateZones[[#Headers],[Climate zone]], 0)</calculatedColumnFormula>
    </tableColumn>
    <tableColumn id="11" xr3:uid="{1226E44E-433A-4C43-A126-43AC4AD90613}" name="Min frost days" totalsRowDxfId="213" totalsRowCellStyle="Content bold">
      <calculatedColumnFormula array="1">Common_InputFunctions.Utility_DisplayArrayInTable(Common_SourceData.Common_SourceData_ClimateZones_Data(), Table_SourceData_ClimateZones[[#Headers],[Climate zone]], 0)</calculatedColumnFormula>
    </tableColumn>
    <tableColumn id="15" xr3:uid="{39232AE3-3382-4B1D-A883-69EAEC386BCA}" name="Max frost days" totalsRowDxfId="212" totalsRowCellStyle="Content bold">
      <calculatedColumnFormula array="1">Common_InputFunctions.Utility_DisplayArrayInTable(Common_SourceData.Common_SourceData_ClimateZones_Data(), Table_SourceData_ClimateZones[[#Headers],[Climate zone]], 0)</calculatedColumnFormula>
    </tableColumn>
    <tableColumn id="12" xr3:uid="{59F4DDE6-C7E7-4BB5-BB18-F669A3EE8FF3}" name="Min elevation" totalsRowDxfId="211" totalsRowCellStyle="Content bold">
      <calculatedColumnFormula array="1">Common_InputFunctions.Utility_DisplayArrayInTable(Common_SourceData.Common_SourceData_ClimateZones_Data(), Table_SourceData_ClimateZones[[#Headers],[Climate zone]], 0)</calculatedColumnFormula>
    </tableColumn>
    <tableColumn id="16" xr3:uid="{72A56AAE-52D9-45B2-A13B-93D81D4FB64C}" name="Max elevation" totalsRowDxfId="210" totalsRowCellStyle="Content bold">
      <calculatedColumnFormula array="1">Common_InputFunctions.Utility_DisplayArrayInTable(Common_SourceData.Common_SourceData_ClimateZones_Data(), Table_SourceData_ClimateZones[[#Headers],[Climate zone]], 0)</calculatedColumnFormula>
    </tableColumn>
    <tableColumn id="13" xr3:uid="{EE7B4570-E79C-43AD-A951-1CDFABFAAADA}" name="Min MAP:PET" totalsRowDxfId="209" totalsRowCellStyle="Content bold">
      <calculatedColumnFormula array="1">Common_InputFunctions.Utility_DisplayArrayInTable(Common_SourceData.Common_SourceData_ClimateZones_Data(), Table_SourceData_ClimateZones[[#Headers],[Climate zone]], 0)</calculatedColumnFormula>
    </tableColumn>
    <tableColumn id="17" xr3:uid="{A609D4ED-0384-43E1-9D16-AE8544F53232}" name="Max MAP:PET" totalsRowDxfId="20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B6ABB3D-00EB-4F67-B55C-B508EAA963D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CF489C9-0C88-4CCB-A29C-4C5E0A70649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5DEBDB4-D8D7-40B9-83B3-DA303173B97A}" name="Wet or Dry Zone" totalsRowDxfId="20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3EE2944-F83E-4446-B64E-48FA3FE70F7E}"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D46E4B8-878F-4360-99A1-6CE0E4A5E003}" name="Temperature Zone">
      <calculatedColumnFormula array="1">Common_InputFunctions.Utility_DisplayArrayInTable(Common_SourceData.Common_SourceData_TemperatureZones_Data(),Table_SourceData_TemperatureZones[[#Headers],[Temperature Zone]],0)</calculatedColumnFormula>
    </tableColumn>
    <tableColumn id="2" xr3:uid="{932495B2-C13E-4102-A127-9F5124B82CF5}" name="MAT">
      <calculatedColumnFormula array="1">Common_InputFunctions.Utility_DisplayArrayInTable(Common_SourceData.Common_SourceData_TemperatureZones_Data(),Table_SourceData_TemperatureZones[[#Headers],[Temperature Zone]],0)</calculatedColumnFormula>
    </tableColumn>
    <tableColumn id="3" xr3:uid="{F82B298A-282C-4596-A446-8DF92BDC6128}" name="Min MAT">
      <calculatedColumnFormula array="1">Common_InputFunctions.Utility_DisplayArrayInTable(Common_SourceData.Common_SourceData_TemperatureZones_Data(),Table_SourceData_TemperatureZones[[#Headers],[Temperature Zone]],0)</calculatedColumnFormula>
    </tableColumn>
    <tableColumn id="4" xr3:uid="{B4E9480A-A0F0-4B00-ADC0-4B48A0BE56B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380F265-B880-4441-BD8C-DA4A3D7D096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D3146BF-5F3C-4544-85A3-255604FC5EA1}" name="Rainfall Zone">
      <calculatedColumnFormula array="1">Common_InputFunctions.Utility_DisplayArrayInTable(Common_SourceData.Common_SourceData_RainfallZones_Data(),Table_SourceData_RainfallZones[[#Headers],[Rainfall Zone]],0)</calculatedColumnFormula>
    </tableColumn>
    <tableColumn id="2" xr3:uid="{FF1BCB7D-96C0-4CBD-B2D8-67F056D138E8}" name="Annual rainfall">
      <calculatedColumnFormula array="1">Common_InputFunctions.Utility_DisplayArrayInTable(Common_SourceData.Common_SourceData_RainfallZones_Data(),Table_SourceData_RainfallZones[[#Headers],[Rainfall Zone]],0)</calculatedColumnFormula>
    </tableColumn>
    <tableColumn id="3" xr3:uid="{366380E1-365A-4FFC-8CDF-20279E5243C1}" name="Min rainfall">
      <calculatedColumnFormula array="1">Common_InputFunctions.Utility_DisplayArrayInTable(Common_SourceData.Common_SourceData_RainfallZones_Data(),Table_SourceData_RainfallZones[[#Headers],[Rainfall Zone]],0)</calculatedColumnFormula>
    </tableColumn>
    <tableColumn id="4" xr3:uid="{9FF04DBF-5494-4944-A10B-F1873331455E}"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31591D-D840-4C63-B843-7E7AB936311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5582C67-7F1A-4CB9-81A7-806C7922D294}" name="Leaching Zone">
      <calculatedColumnFormula array="1">Common_InputFunctions.Utility_DisplayArrayInTable(Common_SourceData.Common_SourceData_LeachingZones_Data(), Table_SourceData_LeachingZones[[#Headers],[Leaching Zone]], 0)</calculatedColumnFormula>
    </tableColumn>
    <tableColumn id="2" xr3:uid="{FF42B095-B4EA-47C0-A4CE-2C18113997C1}"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9071B43-84C5-4A9B-AC56-87E088211B7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9B94965-E9CF-461F-974A-9D878EA9BE16}" name="Data source">
      <calculatedColumnFormula array="1">Common_InputFunctions.Utility_DisplayArrayInTable(Common_SourceData.Common_SourceData_DataScores_Scope3_Data(), Table_SourceData_DataScores_Scope3[[#Headers],[Data source]], 0)</calculatedColumnFormula>
    </tableColumn>
    <tableColumn id="2" xr3:uid="{A47D2B04-79A0-439E-8055-16F2C7A1BBF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6518494-8C9E-4786-94D1-C5716A0FA1E2}" name="Table_SourceData_FracWET" displayName="Table_SourceData_FracWET" ref="D134:E136" totalsRowShown="0">
  <autoFilter ref="D134:E136" xr:uid="{308E99BE-FE1F-47A4-B2CA-97217277C4E9}">
    <filterColumn colId="0" hiddenButton="1"/>
    <filterColumn colId="1" hiddenButton="1"/>
  </autoFilter>
  <tableColumns count="2">
    <tableColumn id="1" xr3:uid="{22C2C6AE-DA6F-4ADB-859F-88523E4E47DC}" name="Is in leaching zone">
      <calculatedColumnFormula array="1">Common_InputFunctions.Utility_DisplayArrayInTable(Common_SourceData.Common_SourceData_FracWET_Data(),Table_SourceData_FracWET[[#Headers],[Is in leaching zone]],0)</calculatedColumnFormula>
    </tableColumn>
    <tableColumn id="2" xr3:uid="{961AE704-9742-40C1-9D0C-522CDADB57B4}" name="FracWET" dataDxfId="20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930FF5B-D32A-4E20-8001-BEC538B5ADB5}"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5579B01-6791-4441-A783-A578EA998185}" name="Production system j">
      <calculatedColumnFormula array="1">Common_InputFunctions.Utility_DisplayArrayInTable(Common_SourceData.Common_SourceData_EFN2O_Data(), Table_SourceData_Common_EFN2O[[#Headers],[Production system j]], 0)</calculatedColumnFormula>
    </tableColumn>
    <tableColumn id="2" xr3:uid="{951BC42C-328B-45C5-8A5E-DEC49F0A7633}" name="EFN2O">
      <calculatedColumnFormula array="1">Common_InputFunctions.Utility_DisplayArrayInTable(Common_SourceData.Common_SourceData_EFN2O_Data(), Table_SourceData_Common_EFN2O[[#Headers],[Production system j]], 0)</calculatedColumnFormula>
    </tableColumn>
    <tableColumn id="3" xr3:uid="{8C5AD5F0-605F-405F-BC1E-6F6960ECDAF1}" name="Production system only">
      <calculatedColumnFormula array="1">Common_InputFunctions.Utility_DisplayArrayInTable(Common_SourceData.Common_SourceData_EFN2O_Data(), Table_SourceData_Common_EFN2O[[#Headers],[Production system j]], 0)</calculatedColumnFormula>
    </tableColumn>
    <tableColumn id="4" xr3:uid="{3C9492A3-4106-4C7B-9209-216C3BE40055}" name="Irrigation method">
      <calculatedColumnFormula array="1">Common_InputFunctions.Utility_DisplayArrayInTable(Common_SourceData.Common_SourceData_EFN2O_Data(), Table_SourceData_Common_EFN2O[[#Headers],[Production system j]], 0)</calculatedColumnFormula>
    </tableColumn>
    <tableColumn id="5" xr3:uid="{70FBD27E-C4BC-4A2A-9757-D59BA4C8C67D}"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2BFD65A-21D6-4297-B99D-D0D42176D761}"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9B8C9C0-487C-456F-A38C-2227312F423D}" name="Irrigation type i">
      <calculatedColumnFormula array="1">Common_InputFunctions.Utility_DisplayArrayInTable(Common_SourceData.Common_SourceData_FracWETIrrigation_Data(), Table_SourceData_FracWETIrrigation[[#Headers],[Irrigation type i]], 0)</calculatedColumnFormula>
    </tableColumn>
    <tableColumn id="2" xr3:uid="{76FEBB52-4BA8-4878-ABD5-A1D385C9CBB2}" name="FracWET" dataDxfId="20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F89208A-A2F1-4521-BFB3-FD49A86DCF3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3194017-8420-4A75-BF58-D94E8E366FA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B7689A4-5F79-4DC6-AEDA-BD27AA7735DE}" name="EFPRP" dataDxfId="20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C6B72B8-D330-4DFF-B354-ADB4E9F1BE85}"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FA27088-5584-4432-9EBF-9CC908BB3F73}" name="Month">
      <calculatedColumnFormula array="1">Common_InputFunctions.Utility_DisplayArrayInTable(Common_SourceData.Common_SourceData_MonthsToSeasons_Data(), Table_SourceData_Common_MonthToSeason[[#Headers],[Month]], 0)</calculatedColumnFormula>
    </tableColumn>
    <tableColumn id="2" xr3:uid="{562A242E-2C18-4700-B87C-BF0E6D72E55D}" name="Season" dataDxfId="20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15BB5D5-D7B7-49C7-8998-F0613D37DA0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9C03558-7821-48FC-BA43-9E83FD9DD21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AE651B1E-905B-4999-A25B-F342CDE64E0F}" name="MAT (ºC)" dataDxfId="20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270A2A-6E0B-40B1-8BF5-FD175022D5E5}" name="Anaerobic lagoon" dataDxfId="20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1E38317-525E-4A5B-86A6-35AD41B903A1}" name="Digester / covered lagoons" dataDxfId="20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017EAE1F-F1D4-4ECA-B2BF-27F27C0B710C}" name="Liquid systems" dataDxfId="19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D7C0588-F29D-41D2-A4F1-2B6AE80CCB2F}" name="Daily spread" dataDxfId="19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D7D514E-D604-458B-8BB0-C81C5E0B188D}" name="Composting (passive windrow)" dataDxfId="19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F7536CDB-8030-4364-AAA8-EF005F5E86F7}" name="Solid storage" dataDxfId="19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C345CB6-1C20-4DB9-BB29-CB0010CAD450}" name="Pit storage" dataDxfId="19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24CEA8D-4055-4FCC-9831-B9F593B59067}" name="Deep litter" dataDxfId="19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E546694-46BB-4C32-9C9E-789A7FB89886}" name="Poultry manure with bedding" dataDxfId="19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2DFD68D-580C-4C50-B683-5DD09E98F6BA}" name="Poultry manure without bedding" dataDxfId="19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5502853-37BF-4EF6-8B81-BFA61AB1A883}" name="Direct processing" dataDxfId="19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E4B91790-27EC-4CF9-8F1E-156D88349580}" name="Direct application" dataDxfId="19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B2BAB32-A63B-41E1-BE03-B2A6435DA45E}" name="Pasture range and paddock" dataDxfId="18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52E7C0B-2A2F-4D94-B3EE-F55684FCD251}" name="MAT raw" dataDxfId="18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7ABB6EE-804C-4EDC-AFDE-C9586C36A97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72554FB-5647-43EE-81BE-BD170F3983CE}"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9E3B7306-38E5-41D5-9D76-8FDBDD9AE302}" name="EFNi &amp; EFN2Oi" dataDxfId="187"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BFCF4F82-9E1B-4FB1-927B-5EDFE80502DA}" name="Table_SourceData_DataQuality_TemporalRepresentativeness" displayName="Table_SourceData_DataQuality_TemporalRepresentativeness" ref="D265:G270" totalsRowShown="0">
  <autoFilter ref="D265:G270" xr:uid="{9AD44602-D2F2-4D97-923C-A32E98F8C17A}">
    <filterColumn colId="0" hiddenButton="1"/>
    <filterColumn colId="1" hiddenButton="1"/>
    <filterColumn colId="2" hiddenButton="1"/>
    <filterColumn colId="3" hiddenButton="1"/>
  </autoFilter>
  <tableColumns count="4">
    <tableColumn id="4" xr3:uid="{67CB5F21-5858-42C0-820C-FA4341C92233}" name="User friendly description" dataDxfId="186" dataCellStyle="Content normal"/>
    <tableColumn id="2" xr3:uid="{A467D3D2-FAE8-4B4F-AD2F-273B449008EF}" name="Description" dataDxfId="185" dataCellStyle="Content normal"/>
    <tableColumn id="1" xr3:uid="{0177D8A5-3CAD-4019-91CC-E9E92C7CD148}" name="ID"/>
    <tableColumn id="3" xr3:uid="{D129B7D0-4F30-40BA-A6A7-54FEE1CB39A7}" name="Score"/>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86AF9B4-7499-497E-86B5-6690E450DDAE}" name="Table_SourceData_DataQuality_SpatialRepresentativeness" displayName="Table_SourceData_DataQuality_SpatialRepresentativeness" ref="D274:G279" totalsRowShown="0">
  <autoFilter ref="D274:G279" xr:uid="{95094D65-3E0E-45CE-A3F4-F41E74C11901}">
    <filterColumn colId="0" hiddenButton="1"/>
    <filterColumn colId="1" hiddenButton="1"/>
    <filterColumn colId="2" hiddenButton="1"/>
    <filterColumn colId="3" hiddenButton="1"/>
  </autoFilter>
  <tableColumns count="4">
    <tableColumn id="4" xr3:uid="{E3087997-1A71-41E6-95DA-00D25217CB77}" name="User friendly description" dataDxfId="184" dataCellStyle="Content normal"/>
    <tableColumn id="1" xr3:uid="{76CE025C-B272-4023-B793-440DED678242}" name="Description"/>
    <tableColumn id="2" xr3:uid="{7F57D207-1D4F-4A28-8836-C5DC431E1625}" name="ID"/>
    <tableColumn id="3" xr3:uid="{559F6435-AB23-47A3-B30E-D5E467BA68A8}" name="Score"/>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3E91645-F61A-4118-8970-B7814D138119}" name="Table_SourceData_DataQuality_SampleSize" displayName="Table_SourceData_DataQuality_SampleSize" ref="D283:G288" totalsRowShown="0">
  <autoFilter ref="D283:G288" xr:uid="{DE8F748C-E65A-4AA2-81BB-D28A432CF334}">
    <filterColumn colId="0" hiddenButton="1"/>
    <filterColumn colId="1" hiddenButton="1"/>
    <filterColumn colId="2" hiddenButton="1"/>
    <filterColumn colId="3" hiddenButton="1"/>
  </autoFilter>
  <tableColumns count="4">
    <tableColumn id="4" xr3:uid="{DF638216-436F-4C10-B75A-DAAFFCC99904}" name="User friendly description" dataDxfId="183" dataCellStyle="Content normal"/>
    <tableColumn id="1" xr3:uid="{349901AD-9801-4819-B144-89B773FED959}" name="Description"/>
    <tableColumn id="2" xr3:uid="{BBC89306-46D2-4929-8947-68EE38366C09}" name="ID"/>
    <tableColumn id="3" xr3:uid="{865818AA-73D1-46C8-89D3-B389E9CADD7C}" name="Score"/>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D68B119-42F4-4131-8EB1-5EF9ED33597F}" name="Table_SourceData_DataQuality_Scope3" displayName="Table_SourceData_DataQuality_Scope3" ref="D292:G297" totalsRowShown="0">
  <autoFilter ref="D292:G297" xr:uid="{43A1C4DA-75D1-45DF-BA9A-1798C2CC5A4B}">
    <filterColumn colId="0" hiddenButton="1"/>
    <filterColumn colId="1" hiddenButton="1"/>
    <filterColumn colId="2" hiddenButton="1"/>
    <filterColumn colId="3" hiddenButton="1"/>
  </autoFilter>
  <tableColumns count="4">
    <tableColumn id="4" xr3:uid="{BA23F989-3F7E-4E10-B48D-200333055957}" name="User friendly description" dataDxfId="182" dataCellStyle="Content normal"/>
    <tableColumn id="1" xr3:uid="{55A1F1EC-210E-48D2-BED8-03D5FB58A9A5}" name="Description"/>
    <tableColumn id="2" xr3:uid="{4F17639D-3869-4472-8F9F-1819280657B0}" name="ID"/>
    <tableColumn id="3" xr3:uid="{77FE4131-90F7-4C8B-929C-08DA8DF35F1C}" name="Score"/>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22663F1F-5683-4FF3-9290-472AAAE62198}" name="Table_Input_InorganicFertiliser_Brands" displayName="Table_Input_InorganicFertiliser_Brands" ref="D11:Z21" headerRowDxfId="181" dataDxfId="180" totalsRowDxfId="179">
  <autoFilter ref="D11:Z21"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2" xr3:uid="{8C0595F4-A37C-456E-87ED-64F87EFA76D8}" name="Product (select)" dataDxfId="178" totalsRowDxfId="177" dataCellStyle="Input select"/>
    <tableColumn id="23" xr3:uid="{3CD330CB-4CD4-4A59-A663-ACDF9824DAE8}" name="Amount applied per hectare" totalsRowFunction="custom" dataDxfId="176" totalsRowDxfId="175">
      <totalsRowFormula>SUM(Table_Input_InorganicFertiliser_Brands[[#Headers],[#Data],[Amount applied per hectare]])</totalsRowFormula>
    </tableColumn>
    <tableColumn id="12" xr3:uid="{D86F54E8-6C53-4FBB-BA4C-0DC11FC371FA}" name="Application unit" dataDxfId="174" totalsRowDxfId="173" dataCellStyle="Input number 2 decimal places"/>
    <tableColumn id="6" xr3:uid="{6BE0AF66-7D4D-40E9-8D0B-15912BCBBBA8}" name="Application area (ha)" dataDxfId="172" totalsRowDxfId="171">
      <calculatedColumnFormula>X_Cell_Fertiliser_AreaUnderCropping</calculatedColumnFormula>
    </tableColumn>
    <tableColumn id="9" xr3:uid="{F9ADCBA0-14CC-4720-8F02-AA6ADDB81C23}" name="Density" dataDxfId="170" totalsRowDxfId="169" dataCellStyle="Input number general calculated"/>
    <tableColumn id="1" xr3:uid="{4523F294-6138-4BE2-BF47-0D9F377D62CF}" name="Total applied (kg)" dataDxfId="168" totalsRowDxfId="167"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79BE3067-887D-466F-9BDC-0D7D3A3F6F3E}" name="Ingredient 1" dataDxfId="166" totalsRowDxfId="165" dataCellStyle="Input number general calculated"/>
    <tableColumn id="4" xr3:uid="{DA95A866-0AED-45B5-8003-6464C5B82C28}" name="Ingredient 1 percent" dataDxfId="164" dataCellStyle="Input number general calculated"/>
    <tableColumn id="7" xr3:uid="{7E8AF37A-F886-4364-B3AB-7668E31B5A1B}" name="Ingredient 2" dataDxfId="163" dataCellStyle="Input number general calculated"/>
    <tableColumn id="8" xr3:uid="{C0F10725-829C-4408-81B2-1118E8C4FD04}" name="Ingredient 2 percent" dataDxfId="162" totalsRowDxfId="161" dataCellStyle="Input number general calculated"/>
    <tableColumn id="10" xr3:uid="{A152DA67-DFA0-4943-AD98-9E1B18B6C3B6}" name="Ingredient 3" dataDxfId="160" totalsRowDxfId="159" dataCellStyle="Input number general calculated"/>
    <tableColumn id="11" xr3:uid="{EA5BB385-3B6A-4A28-8FEF-C225E14918DF}" name="Ingredient 3 percent" dataDxfId="158" totalsRowDxfId="157" dataCellStyle="Input number general calculated"/>
    <tableColumn id="13" xr3:uid="{3FBFB345-5F5C-4233-ACB6-45F8136BC9FB}" name="Ingredient 4" dataDxfId="156" totalsRowDxfId="155" dataCellStyle="Input number general calculated"/>
    <tableColumn id="14" xr3:uid="{F647139F-9122-4BD8-B1E7-342F29DFFD9D}" name="Ingredient 4 percent" dataDxfId="154" dataCellStyle="Input number general calculated"/>
    <tableColumn id="16" xr3:uid="{BF9D1529-7AD8-4EE6-81B8-274ACFAB1DA6}" name="Ingredient 5" dataDxfId="153" dataCellStyle="Input number general calculated"/>
    <tableColumn id="17" xr3:uid="{B645FAA2-4AF1-4E37-813F-AAD0705329DB}" name="Ingredient 5 percent" dataDxfId="152" dataCellStyle="Input number general calculated"/>
    <tableColumn id="19" xr3:uid="{639477C6-A04C-4CCA-B42E-34B20DCB4D0C}" name="Ingredient 6" dataDxfId="151" dataCellStyle="Input number general calculated"/>
    <tableColumn id="20" xr3:uid="{04A52227-A141-4D5D-A4BA-72654547E750}" name="Ingredient 6 percent" dataDxfId="150" dataCellStyle="Input number general calculated"/>
    <tableColumn id="21" xr3:uid="{5E2BB2FC-12A9-4C9B-8108-A5BB062F6F59}" name="% N (Ingredients)" dataDxfId="149" dataCellStyle="Input number general calculated"/>
    <tableColumn id="22" xr3:uid="{11DC7441-4447-455D-AA98-2585D2ACEFEF}" name="% N (declared)" dataDxfId="148" dataCellStyle="Content normal"/>
    <tableColumn id="5" xr3:uid="{D0020575-CA91-490F-B609-0C55D7B6B2CB}" name="N application rate (kg/ha)" dataDxfId="147" totalsRowDxfId="146" dataCellStyle="Input number general calculated">
      <calculatedColumnFormula>(Table_Input_InorganicFertiliser_Brands[[#This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calculatedColumnFormula>
    </tableColumn>
    <tableColumn id="15" xr3:uid="{BDCA6E2A-EA02-4016-8ABB-2CCF9288EFF2}" name="Urea source" dataDxfId="145" totalsRowDxfId="144" dataCellStyle="Input number general calculated"/>
    <tableColumn id="18" xr3:uid="{F51A941E-F959-40B1-AAFA-F242AE1F7F76}" name="Ammonia source" dataDxfId="143" totalsRowDxfId="142" dataCellStyle="Input number general calculated"/>
  </tableColumns>
  <tableStyleInfo name="Editable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E58EAB4F-D1B4-4BA9-B68D-46A413CC5C5C}" name="Table_Input_InorganicFertiliser_Custom" displayName="Table_Input_InorganicFertiliser_Custom" ref="D24:R34" totalsRowShown="0" headerRowDxfId="141" dataDxfId="140">
  <autoFilter ref="D24:R3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92FA0FEC-ADED-449D-AF20-D6BCBEB51BFD}" name="Custom blend name" dataCellStyle="Input text"/>
    <tableColumn id="2" xr3:uid="{66BCF6F5-C522-4DCF-8AF8-7D68C921B075}" name="Amount applied (kg / ha)" dataDxfId="139"/>
    <tableColumn id="3" xr3:uid="{A24A1547-CE40-453A-A152-7BE95023421E}" name="Application area (ha)" dataDxfId="138" dataCellStyle="Input number 2 decimal places">
      <calculatedColumnFormula>X_Cell_Fertiliser_AreaUnderCropping</calculatedColumnFormula>
    </tableColumn>
    <tableColumn id="4" xr3:uid="{DC98CE08-7CF3-4F91-AED5-3662A4354E31}" name="Total applied (kg)" dataDxfId="137" dataCellStyle="Input number general calculated">
      <calculatedColumnFormula>Table_Input_InorganicFertiliser_Custom[[#This Row],[Amount applied (kg / ha)]]*Table_Input_InorganicFertiliser_Custom[[#This Row],[Application area (ha)]]</calculatedColumnFormula>
    </tableColumn>
    <tableColumn id="5" xr3:uid="{D05C9016-D653-49B6-8128-9B86AE62312B}" name="Ingredient 1 (select)" dataDxfId="136" dataCellStyle="Input select"/>
    <tableColumn id="6" xr3:uid="{C9D7ACBC-EACA-4ED7-84AC-4395D68A1039}" name="Ingredient 1 percent" dataDxfId="135"/>
    <tableColumn id="8" xr3:uid="{921F3773-495A-463D-8CDB-8CECCBA92139}" name="Ingredient 2" dataDxfId="134" dataCellStyle="Input select"/>
    <tableColumn id="9" xr3:uid="{514D219B-5801-4116-8CC9-C1DE43EB660F}" name="Ingredient 2 percent" dataDxfId="133"/>
    <tableColumn id="11" xr3:uid="{798FA433-5A64-45B6-9010-34EFEC10653F}" name="Ingredient 3" dataDxfId="132" dataCellStyle="Input select"/>
    <tableColumn id="12" xr3:uid="{F48A6DFB-B61D-4C90-9D5B-B8197F4ADBDA}" name="Ingredient 3 percent" dataDxfId="131"/>
    <tableColumn id="14" xr3:uid="{3E67A725-D0D7-4EA6-91F3-B107AD94971F}" name="Ingredient 4" dataDxfId="130" dataCellStyle="Input select"/>
    <tableColumn id="15" xr3:uid="{EE4722ED-ED25-45B1-83DD-72F477E947AD}" name="Ingredient 4 percent" dataCellStyle="Input percent"/>
    <tableColumn id="7" xr3:uid="{19B8F243-B7C5-4486-8930-1863B191323B}" name="N application rate (kg/ha)" dataDxfId="129" dataCellStyle="Input number general calculated"/>
    <tableColumn id="10" xr3:uid="{5D3E2412-C0BC-4659-9A9B-3C3EAF1876AD}" name="Urea source (Select)" dataCellStyle="Input select"/>
    <tableColumn id="13" xr3:uid="{FDD0CBC9-07B5-41E8-AA45-46C00E994A26}" name="Ammonia source (select)" dataCellStyle="Input select"/>
  </tableColumns>
  <tableStyleInfo name="Editable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6EE58431-0CD9-4B90-8AEA-2DDF53125AE8}" name="Table_Input_Lime" displayName="Table_Input_Lime" ref="D41:K44" totalsRowShown="0" headerRowDxfId="128" dataDxfId="127" headerRowCellStyle="Input table column header">
  <autoFilter ref="D41:K4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7468F842-BCB6-47A2-9A1D-E09FACE880C6}" name="Product" dataDxfId="126"/>
    <tableColumn id="2" xr3:uid="{30CA760E-4CC3-41C9-B134-083A1CDBB771}" name="Amount applied (t/hectare)" dataDxfId="125"/>
    <tableColumn id="4" xr3:uid="{9B7E5B5C-CA35-4B3E-A212-8C069ECEE1FD}" name="Application area (ha)" dataDxfId="124" dataCellStyle="Input number 2 decimal places">
      <calculatedColumnFormula>X_Cell_Fertiliser_AreaUnderCropping</calculatedColumnFormula>
    </tableColumn>
    <tableColumn id="3" xr3:uid="{B7FF4E14-0D31-4575-832B-5F477C69BA86}" name="Total amount applied (t)" dataDxfId="123" dataCellStyle="Input number general calculated">
      <calculatedColumnFormula>IFERROR(Table_Input_Lime[[#This Row],[Amount applied (t/hectare)]]*Table_Input_Lime[[#This Row],[Application area (ha)]], 0)</calculatedColumnFormula>
    </tableColumn>
    <tableColumn id="6" xr3:uid="{FDB38F71-3719-4B63-A039-CE26C08F114B}" name="Percent Lime CaCO3" dataDxfId="122"/>
    <tableColumn id="8" xr3:uid="{4D63148F-169B-4D36-B1B7-6FBB4BAED09B}" name="Percent Dolomite CaMg(CO3)2" dataDxfId="121"/>
    <tableColumn id="7" xr3:uid="{765D0410-68FE-4C34-84EF-1B8A522A971E}" name="Percent Gypsum" dataDxfId="120"/>
    <tableColumn id="10" xr3:uid="{45989CE0-D795-4E8E-8D46-946F350EC140}" name="Total" dataDxfId="119"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ABCE53C8-9AD6-4A59-B300-05AEE4A36EA6}" name="Table_Input_OrganicFertiliser" displayName="Table_Input_OrganicFertiliser" ref="D53:J56" totalsRowShown="0" headerRowDxfId="118" dataDxfId="117" headerRowCellStyle="Input table column header">
  <autoFilter ref="D53:J56"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0494979-1738-44E6-9782-9AD1D75855D4}" name="Organic fertiliser type (select)" dataDxfId="116" dataCellStyle="Input select"/>
    <tableColumn id="5" xr3:uid="{FA8ECEEE-92A9-4EF0-AD20-1A9FAE9129AF}" name="Percentage of N in fertiliser" dataDxfId="115"/>
    <tableColumn id="2" xr3:uid="{F7FB4F47-7479-4011-BD77-F310C7D3E404}" name="Amount applied (kg/hectare)" dataDxfId="114"/>
    <tableColumn id="11" xr3:uid="{DF579EDA-D366-4356-B6A6-1FAFC186251B}" name="Amount N applied (kg/hectare)" dataDxfId="113" dataCellStyle="Input number general calculated">
      <calculatedColumnFormula>Table_Input_OrganicFertiliser[[#This Row],[Amount applied (kg/hectare)]]*Table_Input_OrganicFertiliser[[#This Row],[Percentage of N in fertiliser]]</calculatedColumnFormula>
    </tableColumn>
    <tableColumn id="4" xr3:uid="{B60DA55D-51A6-4489-B014-64A5C23A71F1}" name="Application area (ha)" dataDxfId="112" dataCellStyle="Input number 2 decimal places">
      <calculatedColumnFormula>X_Cell_Fertiliser_AreaUnderCropping</calculatedColumnFormula>
    </tableColumn>
    <tableColumn id="7" xr3:uid="{4AE3A83B-4CA5-4771-BD0E-CB38AEB138A9}" name="Total organic fertliser applied" dataDxfId="111" dataCellStyle="Input number general calculated">
      <calculatedColumnFormula>Table_Input_OrganicFertiliser[[#This Row],[Amount applied (kg/hectare)]]*Table_Input_OrganicFertiliser[[#This Row],[Application area (ha)]]</calculatedColumnFormula>
    </tableColumn>
    <tableColumn id="3" xr3:uid="{D43ED044-0DD0-46FC-8993-CD67A6FC19A6}" name="Total nitrogen applied (kg)" dataDxfId="110"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5.bin"/><Relationship Id="rId4"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table" Target="../tables/table15.xml"/><Relationship Id="rId5" Type="http://schemas.openxmlformats.org/officeDocument/2006/relationships/table" Target="../tables/table19.xml"/><Relationship Id="rId4"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8.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31.xml.rels><?xml version="1.0" encoding="UTF-8" standalone="yes"?>
<Relationships xmlns="http://schemas.openxmlformats.org/package/2006/relationships"><Relationship Id="rId8" Type="http://schemas.openxmlformats.org/officeDocument/2006/relationships/table" Target="../tables/table26.xml"/><Relationship Id="rId13" Type="http://schemas.openxmlformats.org/officeDocument/2006/relationships/table" Target="../tables/table31.xml"/><Relationship Id="rId3" Type="http://schemas.openxmlformats.org/officeDocument/2006/relationships/table" Target="../tables/table21.xml"/><Relationship Id="rId7" Type="http://schemas.openxmlformats.org/officeDocument/2006/relationships/table" Target="../tables/table25.xml"/><Relationship Id="rId12" Type="http://schemas.openxmlformats.org/officeDocument/2006/relationships/table" Target="../tables/table30.xml"/><Relationship Id="rId2" Type="http://schemas.openxmlformats.org/officeDocument/2006/relationships/table" Target="../tables/table20.xml"/><Relationship Id="rId1" Type="http://schemas.openxmlformats.org/officeDocument/2006/relationships/printerSettings" Target="../printerSettings/printerSettings19.bin"/><Relationship Id="rId6" Type="http://schemas.openxmlformats.org/officeDocument/2006/relationships/table" Target="../tables/table24.xml"/><Relationship Id="rId11" Type="http://schemas.openxmlformats.org/officeDocument/2006/relationships/table" Target="../tables/table29.xml"/><Relationship Id="rId5" Type="http://schemas.openxmlformats.org/officeDocument/2006/relationships/table" Target="../tables/table23.xml"/><Relationship Id="rId10" Type="http://schemas.openxmlformats.org/officeDocument/2006/relationships/table" Target="../tables/table28.xml"/><Relationship Id="rId4" Type="http://schemas.openxmlformats.org/officeDocument/2006/relationships/table" Target="../tables/table22.xml"/><Relationship Id="rId9" Type="http://schemas.openxmlformats.org/officeDocument/2006/relationships/table" Target="../tables/table27.xml"/><Relationship Id="rId14" Type="http://schemas.openxmlformats.org/officeDocument/2006/relationships/table" Target="../tables/table32.xml"/></Relationships>
</file>

<file path=xl/worksheets/_rels/sheet32.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20.bin"/></Relationships>
</file>

<file path=xl/worksheets/_rels/sheet33.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table" Target="../tables/table34.xml"/></Relationships>
</file>

<file path=xl/worksheets/_rels/sheet34.xml.rels><?xml version="1.0" encoding="UTF-8" standalone="yes"?>
<Relationships xmlns="http://schemas.openxmlformats.org/package/2006/relationships"><Relationship Id="rId8" Type="http://schemas.openxmlformats.org/officeDocument/2006/relationships/table" Target="../tables/table42.xml"/><Relationship Id="rId3" Type="http://schemas.openxmlformats.org/officeDocument/2006/relationships/table" Target="../tables/table37.xml"/><Relationship Id="rId7" Type="http://schemas.openxmlformats.org/officeDocument/2006/relationships/table" Target="../tables/table41.xml"/><Relationship Id="rId12" Type="http://schemas.openxmlformats.org/officeDocument/2006/relationships/table" Target="../tables/table46.xml"/><Relationship Id="rId2" Type="http://schemas.openxmlformats.org/officeDocument/2006/relationships/table" Target="../tables/table36.xml"/><Relationship Id="rId1" Type="http://schemas.openxmlformats.org/officeDocument/2006/relationships/printerSettings" Target="../printerSettings/printerSettings21.bin"/><Relationship Id="rId6" Type="http://schemas.openxmlformats.org/officeDocument/2006/relationships/table" Target="../tables/table40.xml"/><Relationship Id="rId11" Type="http://schemas.openxmlformats.org/officeDocument/2006/relationships/table" Target="../tables/table45.xml"/><Relationship Id="rId5" Type="http://schemas.openxmlformats.org/officeDocument/2006/relationships/table" Target="../tables/table39.xml"/><Relationship Id="rId10" Type="http://schemas.openxmlformats.org/officeDocument/2006/relationships/table" Target="../tables/table44.xml"/><Relationship Id="rId4" Type="http://schemas.openxmlformats.org/officeDocument/2006/relationships/table" Target="../tables/table38.xml"/><Relationship Id="rId9" Type="http://schemas.openxmlformats.org/officeDocument/2006/relationships/table" Target="../tables/table43.xml"/></Relationships>
</file>

<file path=xl/worksheets/_rels/sheet35.xml.rels><?xml version="1.0" encoding="UTF-8" standalone="yes"?>
<Relationships xmlns="http://schemas.openxmlformats.org/package/2006/relationships"><Relationship Id="rId3" Type="http://schemas.openxmlformats.org/officeDocument/2006/relationships/table" Target="../tables/table49.xml"/><Relationship Id="rId7" Type="http://schemas.openxmlformats.org/officeDocument/2006/relationships/table" Target="../tables/table53.xml"/><Relationship Id="rId2" Type="http://schemas.openxmlformats.org/officeDocument/2006/relationships/table" Target="../tables/table48.xml"/><Relationship Id="rId1" Type="http://schemas.openxmlformats.org/officeDocument/2006/relationships/table" Target="../tables/table47.xml"/><Relationship Id="rId6" Type="http://schemas.openxmlformats.org/officeDocument/2006/relationships/table" Target="../tables/table52.xml"/><Relationship Id="rId5" Type="http://schemas.openxmlformats.org/officeDocument/2006/relationships/table" Target="../tables/table51.xml"/><Relationship Id="rId4" Type="http://schemas.openxmlformats.org/officeDocument/2006/relationships/table" Target="../tables/table50.xml"/></Relationships>
</file>

<file path=xl/worksheets/_rels/sheet36.xml.rels><?xml version="1.0" encoding="UTF-8" standalone="yes"?>
<Relationships xmlns="http://schemas.openxmlformats.org/package/2006/relationships"><Relationship Id="rId8" Type="http://schemas.openxmlformats.org/officeDocument/2006/relationships/table" Target="../tables/table61.xml"/><Relationship Id="rId13" Type="http://schemas.openxmlformats.org/officeDocument/2006/relationships/table" Target="../tables/table66.xml"/><Relationship Id="rId18" Type="http://schemas.openxmlformats.org/officeDocument/2006/relationships/table" Target="../tables/table71.xml"/><Relationship Id="rId26" Type="http://schemas.openxmlformats.org/officeDocument/2006/relationships/table" Target="../tables/table79.xml"/><Relationship Id="rId3" Type="http://schemas.openxmlformats.org/officeDocument/2006/relationships/table" Target="../tables/table56.xml"/><Relationship Id="rId21" Type="http://schemas.openxmlformats.org/officeDocument/2006/relationships/table" Target="../tables/table74.xml"/><Relationship Id="rId7" Type="http://schemas.openxmlformats.org/officeDocument/2006/relationships/table" Target="../tables/table60.xml"/><Relationship Id="rId12" Type="http://schemas.openxmlformats.org/officeDocument/2006/relationships/table" Target="../tables/table65.xml"/><Relationship Id="rId17" Type="http://schemas.openxmlformats.org/officeDocument/2006/relationships/table" Target="../tables/table70.xml"/><Relationship Id="rId25" Type="http://schemas.openxmlformats.org/officeDocument/2006/relationships/table" Target="../tables/table78.xml"/><Relationship Id="rId2" Type="http://schemas.openxmlformats.org/officeDocument/2006/relationships/table" Target="../tables/table55.xml"/><Relationship Id="rId16" Type="http://schemas.openxmlformats.org/officeDocument/2006/relationships/table" Target="../tables/table69.xml"/><Relationship Id="rId20" Type="http://schemas.openxmlformats.org/officeDocument/2006/relationships/table" Target="../tables/table73.xml"/><Relationship Id="rId29" Type="http://schemas.openxmlformats.org/officeDocument/2006/relationships/table" Target="../tables/table82.xml"/><Relationship Id="rId1" Type="http://schemas.openxmlformats.org/officeDocument/2006/relationships/table" Target="../tables/table54.xml"/><Relationship Id="rId6" Type="http://schemas.openxmlformats.org/officeDocument/2006/relationships/table" Target="../tables/table59.xml"/><Relationship Id="rId11" Type="http://schemas.openxmlformats.org/officeDocument/2006/relationships/table" Target="../tables/table64.xml"/><Relationship Id="rId24" Type="http://schemas.openxmlformats.org/officeDocument/2006/relationships/table" Target="../tables/table77.xml"/><Relationship Id="rId5" Type="http://schemas.openxmlformats.org/officeDocument/2006/relationships/table" Target="../tables/table58.xml"/><Relationship Id="rId15" Type="http://schemas.openxmlformats.org/officeDocument/2006/relationships/table" Target="../tables/table68.xml"/><Relationship Id="rId23" Type="http://schemas.openxmlformats.org/officeDocument/2006/relationships/table" Target="../tables/table76.xml"/><Relationship Id="rId28" Type="http://schemas.openxmlformats.org/officeDocument/2006/relationships/table" Target="../tables/table81.xml"/><Relationship Id="rId10" Type="http://schemas.openxmlformats.org/officeDocument/2006/relationships/table" Target="../tables/table63.xml"/><Relationship Id="rId19" Type="http://schemas.openxmlformats.org/officeDocument/2006/relationships/table" Target="../tables/table72.xml"/><Relationship Id="rId31" Type="http://schemas.openxmlformats.org/officeDocument/2006/relationships/table" Target="../tables/table84.xml"/><Relationship Id="rId4" Type="http://schemas.openxmlformats.org/officeDocument/2006/relationships/table" Target="../tables/table57.xml"/><Relationship Id="rId9" Type="http://schemas.openxmlformats.org/officeDocument/2006/relationships/table" Target="../tables/table62.xml"/><Relationship Id="rId14" Type="http://schemas.openxmlformats.org/officeDocument/2006/relationships/table" Target="../tables/table67.xml"/><Relationship Id="rId22" Type="http://schemas.openxmlformats.org/officeDocument/2006/relationships/table" Target="../tables/table75.xml"/><Relationship Id="rId27" Type="http://schemas.openxmlformats.org/officeDocument/2006/relationships/table" Target="../tables/table80.xml"/><Relationship Id="rId30" Type="http://schemas.openxmlformats.org/officeDocument/2006/relationships/table" Target="../tables/table83.xml"/></Relationships>
</file>

<file path=xl/worksheets/_rels/sheet37.xml.rels><?xml version="1.0" encoding="UTF-8" standalone="yes"?>
<Relationships xmlns="http://schemas.openxmlformats.org/package/2006/relationships"><Relationship Id="rId3" Type="http://schemas.openxmlformats.org/officeDocument/2006/relationships/table" Target="../tables/table86.xml"/><Relationship Id="rId7" Type="http://schemas.openxmlformats.org/officeDocument/2006/relationships/table" Target="../tables/table90.xml"/><Relationship Id="rId2" Type="http://schemas.openxmlformats.org/officeDocument/2006/relationships/table" Target="../tables/table85.xml"/><Relationship Id="rId1" Type="http://schemas.openxmlformats.org/officeDocument/2006/relationships/printerSettings" Target="../printerSettings/printerSettings22.bin"/><Relationship Id="rId6" Type="http://schemas.openxmlformats.org/officeDocument/2006/relationships/table" Target="../tables/table89.xml"/><Relationship Id="rId5" Type="http://schemas.openxmlformats.org/officeDocument/2006/relationships/table" Target="../tables/table88.xml"/><Relationship Id="rId4" Type="http://schemas.openxmlformats.org/officeDocument/2006/relationships/table" Target="../tables/table87.xml"/></Relationships>
</file>

<file path=xl/worksheets/_rels/sheet38.xml.rels><?xml version="1.0" encoding="UTF-8" standalone="yes"?>
<Relationships xmlns="http://schemas.openxmlformats.org/package/2006/relationships"><Relationship Id="rId8" Type="http://schemas.openxmlformats.org/officeDocument/2006/relationships/table" Target="../tables/table97.xml"/><Relationship Id="rId13" Type="http://schemas.openxmlformats.org/officeDocument/2006/relationships/table" Target="../tables/table102.xml"/><Relationship Id="rId18" Type="http://schemas.openxmlformats.org/officeDocument/2006/relationships/table" Target="../tables/table107.xml"/><Relationship Id="rId3" Type="http://schemas.openxmlformats.org/officeDocument/2006/relationships/table" Target="../tables/table92.xml"/><Relationship Id="rId21" Type="http://schemas.openxmlformats.org/officeDocument/2006/relationships/table" Target="../tables/table110.xml"/><Relationship Id="rId7" Type="http://schemas.openxmlformats.org/officeDocument/2006/relationships/table" Target="../tables/table96.xml"/><Relationship Id="rId12" Type="http://schemas.openxmlformats.org/officeDocument/2006/relationships/table" Target="../tables/table101.xml"/><Relationship Id="rId17" Type="http://schemas.openxmlformats.org/officeDocument/2006/relationships/table" Target="../tables/table106.xml"/><Relationship Id="rId2" Type="http://schemas.openxmlformats.org/officeDocument/2006/relationships/table" Target="../tables/table91.xml"/><Relationship Id="rId16" Type="http://schemas.openxmlformats.org/officeDocument/2006/relationships/table" Target="../tables/table105.xml"/><Relationship Id="rId20" Type="http://schemas.openxmlformats.org/officeDocument/2006/relationships/table" Target="../tables/table109.xml"/><Relationship Id="rId1" Type="http://schemas.openxmlformats.org/officeDocument/2006/relationships/printerSettings" Target="../printerSettings/printerSettings23.bin"/><Relationship Id="rId6" Type="http://schemas.openxmlformats.org/officeDocument/2006/relationships/table" Target="../tables/table95.xml"/><Relationship Id="rId11" Type="http://schemas.openxmlformats.org/officeDocument/2006/relationships/table" Target="../tables/table100.xml"/><Relationship Id="rId5" Type="http://schemas.openxmlformats.org/officeDocument/2006/relationships/table" Target="../tables/table94.xml"/><Relationship Id="rId15" Type="http://schemas.openxmlformats.org/officeDocument/2006/relationships/table" Target="../tables/table104.xml"/><Relationship Id="rId10" Type="http://schemas.openxmlformats.org/officeDocument/2006/relationships/table" Target="../tables/table99.xml"/><Relationship Id="rId19" Type="http://schemas.openxmlformats.org/officeDocument/2006/relationships/table" Target="../tables/table108.xml"/><Relationship Id="rId4" Type="http://schemas.openxmlformats.org/officeDocument/2006/relationships/table" Target="../tables/table93.xml"/><Relationship Id="rId9" Type="http://schemas.openxmlformats.org/officeDocument/2006/relationships/table" Target="../tables/table98.xml"/><Relationship Id="rId14" Type="http://schemas.openxmlformats.org/officeDocument/2006/relationships/table" Target="../tables/table103.xml"/><Relationship Id="rId22" Type="http://schemas.openxmlformats.org/officeDocument/2006/relationships/table" Target="../tables/table111.xml"/></Relationships>
</file>

<file path=xl/worksheets/_rels/sheet40.xml.rels><?xml version="1.0" encoding="UTF-8" standalone="yes"?>
<Relationships xmlns="http://schemas.openxmlformats.org/package/2006/relationships"><Relationship Id="rId3" Type="http://schemas.openxmlformats.org/officeDocument/2006/relationships/table" Target="../tables/table113.xml"/><Relationship Id="rId2" Type="http://schemas.openxmlformats.org/officeDocument/2006/relationships/table" Target="../tables/table112.xml"/><Relationship Id="rId1" Type="http://schemas.openxmlformats.org/officeDocument/2006/relationships/printerSettings" Target="../printerSettings/printerSettings24.bin"/><Relationship Id="rId5" Type="http://schemas.openxmlformats.org/officeDocument/2006/relationships/table" Target="../tables/table115.xml"/><Relationship Id="rId4" Type="http://schemas.openxmlformats.org/officeDocument/2006/relationships/table" Target="../tables/table114.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5.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7.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8.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9.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57"/>
  <sheetViews>
    <sheetView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s>
  <sheetData>
    <row r="1" spans="1:1" ht="30" customHeight="1" x14ac:dyDescent="0.35">
      <c r="A1" s="10" t="e" vm="1">
        <v>#VALUE!</v>
      </c>
    </row>
    <row r="3" spans="1:1" ht="20.100000000000001" customHeight="1" x14ac:dyDescent="0.2">
      <c r="A3" s="255" t="str">
        <f>HYPERLINK("#'Home'!A1", "Home")</f>
        <v>Home</v>
      </c>
    </row>
    <row r="4" spans="1:1" ht="20.100000000000001" customHeight="1" x14ac:dyDescent="0.2">
      <c r="A4" s="5" t="str">
        <f>HYPERLINK("#'Results - Activity period'!A1", "Results - Activity period")</f>
        <v>Results - Activity period</v>
      </c>
    </row>
    <row r="5" spans="1:1" ht="20.100000000000001" customHeight="1" x14ac:dyDescent="0.2">
      <c r="A5" s="5" t="str">
        <f>HYPERLINK("#'Results - Product EI'!A1", "Results - Product Emissions Intensity")</f>
        <v>Results - Product Emissions Intensity</v>
      </c>
    </row>
    <row r="8" spans="1:1" ht="20.100000000000001" customHeight="1" x14ac:dyDescent="0.2">
      <c r="A8" s="7" t="s">
        <v>0</v>
      </c>
    </row>
    <row r="9" spans="1:1" ht="20.100000000000001" customHeight="1" x14ac:dyDescent="0.2">
      <c r="A9" s="5" t="str">
        <f>HYPERLINK("#'Input - Enterprise'!A1", "Enterprise")</f>
        <v>Enterprise</v>
      </c>
    </row>
    <row r="10" spans="1:1" ht="20.100000000000001" customHeight="1" x14ac:dyDescent="0.2">
      <c r="A10" s="5" t="str">
        <f>HYPERLINK("#'Input - Site'!A1", "Site")</f>
        <v>Site</v>
      </c>
    </row>
    <row r="11" spans="1:1" ht="20.100000000000001" customHeight="1" x14ac:dyDescent="0.2">
      <c r="A11" s="5" t="str">
        <f>HYPERLINK("#'Input - Poultry'!A1", "Poultry")</f>
        <v>Poultry</v>
      </c>
    </row>
    <row r="12" spans="1:1" ht="20.100000000000001" customHeight="1" x14ac:dyDescent="0.2">
      <c r="A12" s="5" t="str">
        <f>HYPERLINK("#'Input - Livestock sales'!A1", "Livestock sales")</f>
        <v>Livestock sales</v>
      </c>
    </row>
    <row r="13" spans="1:1" ht="20.100000000000001" customHeight="1" x14ac:dyDescent="0.2">
      <c r="A13" s="5" t="str">
        <f>HYPERLINK("#'Input - Poultry purchases'!A1", "Poultry purchases")</f>
        <v>Poultry purchases</v>
      </c>
    </row>
    <row r="14" spans="1:1" ht="20.100000000000001" customHeight="1" x14ac:dyDescent="0.2">
      <c r="A14" s="5" t="str">
        <f>HYPERLINK("#'Input - Fuel'!A1", "Fuel")</f>
        <v>Fuel</v>
      </c>
    </row>
    <row r="15" spans="1:1" ht="20.100000000000001" customHeight="1" x14ac:dyDescent="0.2">
      <c r="A15" s="5" t="str">
        <f>HYPERLINK("#'Input - Electricity'!A1", "Electricity")</f>
        <v>Electricity</v>
      </c>
    </row>
    <row r="16" spans="1:1" ht="20.100000000000001" customHeight="1" x14ac:dyDescent="0.2">
      <c r="A16" s="5" t="str">
        <f>HYPERLINK("#'Input - Common farm inputs'!A1", "Common farm inputs")</f>
        <v>Common farm inputs</v>
      </c>
    </row>
    <row r="17" spans="1:1" ht="20.100000000000001" customHeight="1" x14ac:dyDescent="0.2">
      <c r="A17" s="5" t="str">
        <f>HYPERLINK("#'Input - Livestock farm Inputs'!A1", "Livestock farm Inputs")</f>
        <v>Livestock farm Inputs</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5" t="str">
        <f>HYPERLINK("#'Input - Manure sent off-site'!A1", "Manure sent off-site")</f>
        <v>Manure sent off-site</v>
      </c>
    </row>
    <row r="21" spans="1:1" ht="20.100000000000001" customHeight="1" x14ac:dyDescent="0.2">
      <c r="A21" s="5" t="str">
        <f>HYPERLINK("#'Input - Data quality'!A1", "Data quality")</f>
        <v>Data quality</v>
      </c>
    </row>
    <row r="22" spans="1:1" ht="20.100000000000001" customHeight="1" x14ac:dyDescent="0.2">
      <c r="A22" s="5" t="str">
        <f>HYPERLINK("#'Input - Fert Prod System'!A1", "Fert Prod System")</f>
        <v>Fert Prod System</v>
      </c>
    </row>
    <row r="23" spans="1:1" ht="20.100000000000001" customHeight="1" x14ac:dyDescent="0.2">
      <c r="A23" s="5" t="str">
        <f>HYPERLINK("#'Input - Fertiliser'!A1", "Fertiliser")</f>
        <v>Fertiliser</v>
      </c>
    </row>
    <row r="26" spans="1:1" ht="20.100000000000001" customHeight="1" x14ac:dyDescent="0.2">
      <c r="A26" s="6" t="s">
        <v>2</v>
      </c>
    </row>
    <row r="27" spans="1:1" ht="20.100000000000001" customHeight="1" x14ac:dyDescent="0.2">
      <c r="A27" s="5" t="str">
        <f>HYPERLINK("#'4.6.1.1-2 Methane'!A1", "4.6.1.1-2 Manure Methane")</f>
        <v>4.6.1.1-2 Manure Methane</v>
      </c>
    </row>
    <row r="28" spans="1:1" ht="20.100000000000001" customHeight="1" x14ac:dyDescent="0.2">
      <c r="A28" s="5" t="str">
        <f>HYPERLINK("#'4.6.1.3-4 Direct N20'!A1", "4.6.1.3-4 Manure Direct N2O")</f>
        <v>4.6.1.3-4 Manure Direct N2O</v>
      </c>
    </row>
    <row r="29" spans="1:1" ht="20.100000000000001" customHeight="1" x14ac:dyDescent="0.2">
      <c r="A29" s="5" t="str">
        <f>HYPERLINK("#'4.6.1.5-6 Atmos Dep'!A1", "4.6.1.5-6 Manure Atmos Dep")</f>
        <v>4.6.1.5-6 Manure Atmos Dep</v>
      </c>
    </row>
    <row r="30" spans="1:1" ht="20.100000000000001" customHeight="1" x14ac:dyDescent="0.2">
      <c r="A30" s="5" t="str">
        <f>HYPERLINK("#'4.6.1.7-8 Leaching and runoff'!A1", "4.6.1.7-8 Manure Leaching and runoff")</f>
        <v>4.6.1.7-8 Manure Leaching and runoff</v>
      </c>
    </row>
    <row r="31" spans="1:1" ht="20.100000000000001" customHeight="1" x14ac:dyDescent="0.2">
      <c r="A31" s="5" t="str">
        <f>HYPERLINK("#'4.6.1.9 Manure applied to soils'!A1", "4.6.1.9 Manure applied to soils")</f>
        <v>4.6.1.9 Manure applied to soils</v>
      </c>
    </row>
    <row r="32" spans="1:1" ht="20.100000000000001" customHeight="1" x14ac:dyDescent="0.2">
      <c r="A32" s="5" t="str">
        <f>HYPERLINK("#'4.6.1.10-11 Soil direct N2O'!A1", "4.6.1.10-11 Soil direct N2O")</f>
        <v>4.6.1.10-11 Soil direct N2O</v>
      </c>
    </row>
    <row r="33" spans="1:1" ht="20.100000000000001" customHeight="1" x14ac:dyDescent="0.2">
      <c r="A33" s="5" t="str">
        <f>HYPERLINK("#'4.6.1.12-13 Soil atmos dep'!A1", "4.6.1.12-13 Soil atmos dep")</f>
        <v>4.6.1.12-13 Soil atmos dep</v>
      </c>
    </row>
    <row r="34" spans="1:1" ht="20.100000000000001" customHeight="1" x14ac:dyDescent="0.2">
      <c r="A34" s="5" t="str">
        <f>HYPERLINK("#'4.6.1.14-15 Soil leach runoff'!A1", "4.6.1.14-15 Soil leach runoff")</f>
        <v>4.6.1.14-15 Soil leach runoff</v>
      </c>
    </row>
    <row r="35" spans="1:1" ht="20.100000000000001" customHeight="1" x14ac:dyDescent="0.2">
      <c r="A35" s="5" t="str">
        <f>HYPERLINK("#'8.1.1.1-2 Transport fuel'!A1", "8.1.1.1-2 Transport fuel")</f>
        <v>8.1.1.1-2 Transport fuel</v>
      </c>
    </row>
    <row r="36" spans="1:1" ht="20.100000000000001" customHeight="1" x14ac:dyDescent="0.2">
      <c r="A36" s="5" t="str">
        <f>HYPERLINK("#'8.2.1.1-2 Stationary fuel'!A1", "8.2.1.1-2 Stationary fuel")</f>
        <v>8.2.1.1-2 Stationary fuel</v>
      </c>
    </row>
    <row r="37" spans="1:1" ht="20.100000000000001" customHeight="1" x14ac:dyDescent="0.2">
      <c r="A37" s="5" t="str">
        <f>HYPERLINK("#'10.1.1-2 Solid waste treatment'!A1", "10.1.1.1-2 Solid waste")</f>
        <v>10.1.1.1-2 Solid waste</v>
      </c>
    </row>
    <row r="38" spans="1:1" ht="20.100000000000001" customHeight="1" x14ac:dyDescent="0.2">
      <c r="A38" s="5" t="str">
        <f>HYPERLINK("#'14.1.1-2 Purchased electricity'!A1", "14.1.1-2 Purchased electricity")</f>
        <v>14.1.1-2 Purchased electricity</v>
      </c>
    </row>
    <row r="39" spans="1:1" ht="20.100000000000001" customHeight="1" x14ac:dyDescent="0.2">
      <c r="A39" s="5" t="str">
        <f>HYPERLINK("#'15 Scope 3'!A1", "15 Scope 3")</f>
        <v>15 Scope 3</v>
      </c>
    </row>
    <row r="40" spans="1:1" ht="20.100000000000001" customHeight="1" x14ac:dyDescent="0.2">
      <c r="A40" s="5" t="str">
        <f>HYPERLINK("#'Calcs - Manure sent off-site'!A1", "Calcs - Manure sent off-site")</f>
        <v>Calcs - Manure sent off-site</v>
      </c>
    </row>
    <row r="41" spans="1:1" ht="20.100000000000001" customHeight="1" x14ac:dyDescent="0.2">
      <c r="A41" s="5" t="str">
        <f>HYPERLINK("#'5.1.1.1-2 Inorganic fert N2O'!A1", "5.1.1.1-2 Inorganic fert N2O")</f>
        <v>5.1.1.1-2 Inorganic fert N2O</v>
      </c>
    </row>
    <row r="42" spans="1:1" ht="20.100000000000001" customHeight="1" x14ac:dyDescent="0.2">
      <c r="A42" s="5" t="str">
        <f>HYPERLINK("#'5.1.1.3-4 Inorganic fert CO2'!A1", "5.1.1.3-4 Inorganic fert CO2")</f>
        <v>5.1.1.3-4 Inorganic fert CO2</v>
      </c>
    </row>
    <row r="43" spans="1:1" ht="20.100000000000001" customHeight="1" x14ac:dyDescent="0.2">
      <c r="A43" s="5" t="str">
        <f>HYPERLINK("#'5.2.1.1-2 Organic Fert N2O'!A1", "5.2.1.1-2 Organic Fert N2O")</f>
        <v>5.2.1.1-2 Organic Fert N2O</v>
      </c>
    </row>
    <row r="44" spans="1:1" ht="20.100000000000001" customHeight="1" x14ac:dyDescent="0.2">
      <c r="A44" s="5" t="str">
        <f>HYPERLINK("#'5.3.1.1-2 Lime CO2'!A1", "5.3.1.1-2 Lime CO2")</f>
        <v>5.3.1.1-2 Lime CO2</v>
      </c>
    </row>
    <row r="45" spans="1:1" ht="20.100000000000001" customHeight="1" x14ac:dyDescent="0.2">
      <c r="A45" s="5" t="str">
        <f>HYPERLINK("#'5.4.1.1-4 Atmos deposition'!A1", "5.4.1.1-4 Atmos deposition")</f>
        <v>5.4.1.1-4 Atmos deposition</v>
      </c>
    </row>
    <row r="46" spans="1:1" ht="20.100000000000001" customHeight="1" x14ac:dyDescent="0.2">
      <c r="A46" s="5" t="str">
        <f>HYPERLINK("#'5.5.1.1-2 Leaching and runoff'!A1", "5.5.1.1-2 Leaching and runoff")</f>
        <v>5.5.1.1-2 Leaching and runoff</v>
      </c>
    </row>
    <row r="49" spans="1:1" ht="20.100000000000001" customHeight="1" x14ac:dyDescent="0.2">
      <c r="A49" s="80" t="s">
        <v>1</v>
      </c>
    </row>
    <row r="50" spans="1:1" ht="20.100000000000001" customHeight="1" x14ac:dyDescent="0.2">
      <c r="A50" s="5" t="str">
        <f>HYPERLINK("#'Constants - Poultry'!A1", "Constants - Poultry")</f>
        <v>Constants - Poultry</v>
      </c>
    </row>
    <row r="51" spans="1:1" ht="20.100000000000001" customHeight="1" x14ac:dyDescent="0.2">
      <c r="A51" s="5" t="str">
        <f>HYPERLINK("#'Constants - Common livestock'!A1", "Constants - Common Livestock")</f>
        <v>Constants - Common Livestock</v>
      </c>
    </row>
    <row r="52" spans="1:1" ht="20.100000000000001" customHeight="1" x14ac:dyDescent="0.2">
      <c r="A52" s="5" t="str">
        <f>HYPERLINK("#'Constants - Electricity'!A1", "Constants - Electricity")</f>
        <v>Constants - Electricity</v>
      </c>
    </row>
    <row r="53" spans="1:1" ht="20.100000000000001" customHeight="1" x14ac:dyDescent="0.2">
      <c r="A53" s="5" t="str">
        <f>HYPERLINK("#'Constants - Fertiliser'!A1", "Constants - Fertiliser")</f>
        <v>Constants - Fertiliser</v>
      </c>
    </row>
    <row r="54" spans="1:1" ht="20.100000000000001" customHeight="1" x14ac:dyDescent="0.2">
      <c r="A54" s="5" t="str">
        <f>HYPERLINK("#'Constants - Fuel'!A1", "Constants - Fuel")</f>
        <v>Constants - Fuel</v>
      </c>
    </row>
    <row r="55" spans="1:1" ht="20.100000000000001" customHeight="1" x14ac:dyDescent="0.2">
      <c r="A55" s="5" t="str">
        <f>HYPERLINK("#'Constants - Scope 3'!A1", "Constants - Scope 3")</f>
        <v>Constants - Scope 3</v>
      </c>
    </row>
    <row r="56" spans="1:1" ht="20.100000000000001" customHeight="1" x14ac:dyDescent="0.2">
      <c r="A56" s="5" t="str">
        <f>HYPERLINK("#'Constants - Solid Waste'!A1", "Constants - Solid Waste")</f>
        <v>Constants - Solid Waste</v>
      </c>
    </row>
    <row r="57" spans="1:1" ht="20.100000000000001" customHeight="1" x14ac:dyDescent="0.2">
      <c r="A57" s="5" t="str">
        <f>HYPERLINK("#'Constants - Common'!A1", "Constants - Common")</f>
        <v>Constants - Common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59"/>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2.7109375" customWidth="1"/>
    <col min="3" max="3" width="2.7109375" style="1" customWidth="1"/>
    <col min="4" max="4" width="78.42578125" style="1" customWidth="1"/>
    <col min="5" max="10" width="30.7109375" style="1" customWidth="1"/>
    <col min="11" max="11" width="4.7109375" style="1" customWidth="1"/>
    <col min="12" max="12" width="4.7109375" customWidth="1"/>
    <col min="13" max="26" width="28.7109375" customWidth="1"/>
  </cols>
  <sheetData>
    <row r="1" spans="1:11" ht="30" customHeight="1" x14ac:dyDescent="0.35">
      <c r="A1" s="10" t="e" vm="1">
        <v>#VALUE!</v>
      </c>
      <c r="C1" s="90" t="s">
        <v>256</v>
      </c>
      <c r="D1" s="90"/>
      <c r="E1" s="90"/>
      <c r="F1" s="90"/>
      <c r="G1" s="90"/>
      <c r="H1" s="90"/>
      <c r="I1" s="90"/>
      <c r="J1" s="90"/>
      <c r="K1" s="90"/>
    </row>
    <row r="2" spans="1:11" ht="20.100000000000001" customHeight="1" x14ac:dyDescent="0.2">
      <c r="C2" s="3"/>
      <c r="D2" s="3"/>
      <c r="E2" s="3"/>
      <c r="F2" s="3"/>
      <c r="G2" s="3"/>
      <c r="H2" s="3"/>
      <c r="I2" s="3"/>
      <c r="J2" s="3"/>
      <c r="K2" s="3"/>
    </row>
    <row r="3" spans="1:11" ht="20.100000000000001" customHeight="1" x14ac:dyDescent="0.2">
      <c r="A3" s="5" t="str">
        <f>HYPERLINK("#'Home'!A1", "Home")</f>
        <v>Home</v>
      </c>
      <c r="C3" s="91"/>
      <c r="D3" s="91"/>
      <c r="E3" s="91"/>
      <c r="F3" s="91"/>
      <c r="G3" s="91"/>
      <c r="H3" s="91"/>
      <c r="I3" s="91"/>
      <c r="J3" s="91"/>
      <c r="K3" s="91"/>
    </row>
    <row r="4" spans="1:11" ht="20.100000000000001" customHeight="1" x14ac:dyDescent="0.2">
      <c r="A4" s="255" t="str">
        <f>HYPERLINK("#'Results - Activity period'!A1", "Results - Activity period")</f>
        <v>Results - Activity period</v>
      </c>
      <c r="D4" s="2" t="str">
        <f>"Emissions breakdown for activities running between " &amp; TEXT(X_Cell_Site_StartDate, "dd mmmm yyyy") &amp; " and " &amp; TEXT('Input - Enterprise'!E13, "dd mmmm yyyy")</f>
        <v>Emissions breakdown for activities running between 01 January 2025 and 31 December 2025</v>
      </c>
    </row>
    <row r="5" spans="1:11" ht="20.100000000000001" customHeight="1" x14ac:dyDescent="0.2">
      <c r="A5" s="5" t="str">
        <f>HYPERLINK("#'Results - Product EI'!A1", "Results - Product Emissions Intensity")</f>
        <v>Results - Product Emissions Intensity</v>
      </c>
    </row>
    <row r="6" spans="1:11" ht="20.100000000000001" customHeight="1" x14ac:dyDescent="0.2">
      <c r="D6" s="77" t="s">
        <v>235</v>
      </c>
    </row>
    <row r="8" spans="1:11" ht="20.100000000000001" customHeight="1" x14ac:dyDescent="0.2">
      <c r="A8" s="7" t="s">
        <v>0</v>
      </c>
      <c r="D8" s="11" t="s">
        <v>3</v>
      </c>
      <c r="E8" s="11" t="s">
        <v>8</v>
      </c>
      <c r="F8" s="11" t="s">
        <v>9</v>
      </c>
      <c r="G8" s="11" t="s">
        <v>5</v>
      </c>
      <c r="H8" s="11" t="s">
        <v>10</v>
      </c>
      <c r="I8" s="11" t="s">
        <v>11</v>
      </c>
      <c r="J8" s="11"/>
    </row>
    <row r="9" spans="1:11" ht="20.100000000000001" customHeight="1" x14ac:dyDescent="0.2">
      <c r="A9" s="5" t="str">
        <f>HYPERLINK("#'Input - Enterprise'!A1", "Enterprise")</f>
        <v>Enterprise</v>
      </c>
      <c r="D9" s="1" t="s">
        <v>285</v>
      </c>
      <c r="E9" s="1">
        <f>_xlfn.SINGLE(VEERG_4_6_1_1__1_TotalAnnualMethaneEmissions_Result_Method1)</f>
        <v>1.9999321060623357E-2</v>
      </c>
      <c r="F9" s="1">
        <f>_xlfn.SINGLE(VEERG_4_6_1_1__1_TotalAnnualMethaneEmissions_Result_Method2)</f>
        <v>1.924586355691776E-2</v>
      </c>
      <c r="G9" s="9" t="s">
        <v>6</v>
      </c>
      <c r="H9" s="1" cm="1">
        <f t="array" ref="H9">Common_Equations.Common_ConvertCH4ToCO2e(E9,_xlfn.XLOOKUP("CH4", Table_GWPData[Gas],Table_GWPData[CO2-e factor]))</f>
        <v>0.55998098969745402</v>
      </c>
      <c r="I9" s="1" cm="1">
        <f t="array" ref="I9">Common_Equations.Common_ConvertCH4ToCO2e(F9,_xlfn.XLOOKUP("CH4", Table_GWPData[Gas],Table_GWPData[CO2-e factor]))</f>
        <v>0.53888417959369728</v>
      </c>
      <c r="J9" s="9" t="s">
        <v>7</v>
      </c>
    </row>
    <row r="10" spans="1:11" ht="20.100000000000001" customHeight="1" x14ac:dyDescent="0.2">
      <c r="A10" s="5" t="str">
        <f>HYPERLINK("#'Input - Site'!A1", "Site")</f>
        <v>Site</v>
      </c>
      <c r="D10" s="1" t="s">
        <v>286</v>
      </c>
      <c r="E10" s="1">
        <f>_xlfn.SINGLE(VEERG_4_6_1_3__1_TotalAnnualDirectNitrousOxideEmissionsFromMMS_Result_Method1)</f>
        <v>5.7674954756571411E-4</v>
      </c>
      <c r="F10" s="1">
        <f>_xlfn.SINGLE(VEERG_4_6_1_3__1_TotalAnnualDirectNitrousOxideEmissionsFromMMS_Result_Method2)</f>
        <v>5.7674954756571411E-4</v>
      </c>
      <c r="G10" s="9" t="s">
        <v>6</v>
      </c>
      <c r="H10" s="1" cm="1">
        <f t="array" ref="H10">Common_Equations.Common_ConvertN2OToCO2e(E10,_xlfn.XLOOKUP("N2O", Table_GWPData[Gas],Table_GWPData[CO2-e factor]))</f>
        <v>0.15283863010491425</v>
      </c>
      <c r="I10" s="1" cm="1">
        <f t="array" ref="I10">Common_Equations.Common_ConvertN2OToCO2e(F10,_xlfn.XLOOKUP("N2O", Table_GWPData[Gas],Table_GWPData[CO2-e factor]))</f>
        <v>0.15283863010491425</v>
      </c>
      <c r="J10" s="9" t="s">
        <v>7</v>
      </c>
    </row>
    <row r="11" spans="1:11" ht="20.100000000000001" customHeight="1" x14ac:dyDescent="0.2">
      <c r="A11" s="5" t="str">
        <f>HYPERLINK("#'Input - Poultry'!A1", "Poultry")</f>
        <v>Poultry</v>
      </c>
      <c r="D11" s="1" t="s">
        <v>287</v>
      </c>
      <c r="E11" s="1">
        <f>_xlfn.SINGLE(VEERG_4_6_1_5__1_TotalAnnualAtmosphericDepositionEmissionsFromMMS_Result_Method1)</f>
        <v>2.2877540674560014E-4</v>
      </c>
      <c r="F11" s="1">
        <f>_xlfn.SINGLE(VEERG_4_6_1_5__1_TotalAnnualAtmosphericDepositionEmissionsFromMMS_Result_Method2)</f>
        <v>2.2877540674560014E-4</v>
      </c>
      <c r="G11" s="9" t="s">
        <v>12</v>
      </c>
      <c r="H11" s="1" cm="1">
        <f t="array" ref="H11">Common_Equations.Common_ConvertN2OToCO2e(E11,_xlfn.XLOOKUP("N2O", Table_GWPData[Gas],Table_GWPData[CO2-e factor]))</f>
        <v>6.0625482787584034E-2</v>
      </c>
      <c r="I11" s="1" cm="1">
        <f t="array" ref="I11">Common_Equations.Common_ConvertN2OToCO2e(F11,_xlfn.XLOOKUP("N2O", Table_GWPData[Gas],Table_GWPData[CO2-e factor]))</f>
        <v>6.0625482787584034E-2</v>
      </c>
      <c r="J11" s="9" t="s">
        <v>7</v>
      </c>
    </row>
    <row r="12" spans="1:11" ht="20.100000000000001" customHeight="1" x14ac:dyDescent="0.2">
      <c r="A12" s="5" t="str">
        <f>HYPERLINK("#'Input - Livestock sales'!A1", "Livestock sales")</f>
        <v>Livestock sales</v>
      </c>
      <c r="D12" s="1" t="s">
        <v>288</v>
      </c>
      <c r="E12" s="1">
        <f>_xlfn.SINGLE(VEERG_4_6_1_7__1_AnnualEmissionsFromLeachingAndRunoffFromMMS_Result_Method1)</f>
        <v>3.4753311014399998E-6</v>
      </c>
      <c r="F12" s="1">
        <f>_xlfn.SINGLE(VEERG_4_6_1_7__1_AnnualEmissionsFromLeachingAndRunoffFromMMS_Result_Method2)</f>
        <v>3.4753311014399998E-6</v>
      </c>
      <c r="G12" s="9" t="s">
        <v>12</v>
      </c>
      <c r="H12" s="1" cm="1">
        <f t="array" ref="H12">Common_Equations.Common_ConvertN2OToCO2e(E12,_xlfn.XLOOKUP("N2O", Table_GWPData[Gas],Table_GWPData[CO2-e factor]))</f>
        <v>9.2096274188159999E-4</v>
      </c>
      <c r="I12" s="1" cm="1">
        <f t="array" ref="I12">Common_Equations.Common_ConvertN2OToCO2e(F12,_xlfn.XLOOKUP("N2O", Table_GWPData[Gas],Table_GWPData[CO2-e factor]))</f>
        <v>9.2096274188159999E-4</v>
      </c>
      <c r="J12" s="9" t="s">
        <v>7</v>
      </c>
    </row>
    <row r="13" spans="1:11" ht="20.100000000000001" customHeight="1" x14ac:dyDescent="0.2">
      <c r="A13" s="5" t="str">
        <f>HYPERLINK("#'Input - Poultry purchases'!A1", "Poultry purchases")</f>
        <v>Poultry purchases</v>
      </c>
      <c r="D13" s="1" t="s">
        <v>289</v>
      </c>
      <c r="E13" s="1">
        <f>_xlfn.SINGLE(VEERG_4_6_1_10__1_DirectNitrousOxideEmissionsFromPoultryManure_Result_Method1)</f>
        <v>2.3434148571428574E-4</v>
      </c>
      <c r="F13" s="1">
        <f>_xlfn.SINGLE(VEERG_4_6_1_10__1_DirectNitrousOxideEmissionsFromPoultryManure_Result_Method2)</f>
        <v>2.3434148571428574E-4</v>
      </c>
      <c r="G13" s="9" t="s">
        <v>12</v>
      </c>
      <c r="H13" s="1" cm="1">
        <f t="array" ref="H13">Common_Equations.Common_ConvertN2OToCO2e(E13,_xlfn.XLOOKUP("N2O", Table_GWPData[Gas],Table_GWPData[CO2-e factor]))</f>
        <v>6.2100493714285721E-2</v>
      </c>
      <c r="I13" s="1" cm="1">
        <f t="array" ref="I13">Common_Equations.Common_ConvertN2OToCO2e(F13,_xlfn.XLOOKUP("N2O", Table_GWPData[Gas],Table_GWPData[CO2-e factor]))</f>
        <v>6.2100493714285721E-2</v>
      </c>
      <c r="J13" s="9" t="s">
        <v>7</v>
      </c>
    </row>
    <row r="14" spans="1:11" ht="20.100000000000001" customHeight="1" x14ac:dyDescent="0.2">
      <c r="A14" s="5" t="str">
        <f>HYPERLINK("#'Input - Fuel'!A1", "Fuel")</f>
        <v>Fuel</v>
      </c>
      <c r="D14" s="1" t="s">
        <v>290</v>
      </c>
      <c r="E14" s="1">
        <f>_xlfn.SINGLE(VEERG_4_6_1_12__1_AtmosphericDepositionEmissionsFromPoultryManureOnPasture_Result_Method1)</f>
        <v>1.72240992E-5</v>
      </c>
      <c r="F14" s="1">
        <f>_xlfn.SINGLE(VEERG_4_6_1_12__1_AtmosphericDepositionEmissionsFromPoultryManureOnPasture_Result_Method2)</f>
        <v>1.72240992E-5</v>
      </c>
      <c r="G14" s="9" t="s">
        <v>12</v>
      </c>
      <c r="H14" s="1" cm="1">
        <f t="array" ref="H14">Common_Equations.Common_ConvertN2OToCO2e(E14,_xlfn.XLOOKUP("N2O", Table_GWPData[Gas],Table_GWPData[CO2-e factor]))</f>
        <v>4.5643862879999999E-3</v>
      </c>
      <c r="I14" s="1" cm="1">
        <f t="array" ref="I14">Common_Equations.Common_ConvertN2OToCO2e(F14,_xlfn.XLOOKUP("N2O", Table_GWPData[Gas],Table_GWPData[CO2-e factor]))</f>
        <v>4.5643862879999999E-3</v>
      </c>
      <c r="J14" s="9" t="s">
        <v>7</v>
      </c>
    </row>
    <row r="15" spans="1:11" ht="20.100000000000001" customHeight="1" x14ac:dyDescent="0.2">
      <c r="A15" s="5" t="str">
        <f>HYPERLINK("#'Input - Electricity'!A1", "Electricity")</f>
        <v>Electricity</v>
      </c>
      <c r="D15" s="1" t="s">
        <v>291</v>
      </c>
      <c r="E15" s="1">
        <f>_xlfn.SINGLE(VEERG_4_6_1_14__1_LeachingAndRunoffEmissionsFromPoultryManureOnPasture_Result_Method1)</f>
        <v>2.5777563428571431E-6</v>
      </c>
      <c r="F15" s="1">
        <f>_xlfn.SINGLE(VEERG_4_6_1_14__1_LeachingAndRunoffEmissionsFromPoultryManureOnPasture_Result_Method2)</f>
        <v>2.5777563428571431E-6</v>
      </c>
      <c r="G15" s="9" t="s">
        <v>12</v>
      </c>
      <c r="H15" s="1" cm="1">
        <f t="array" ref="H15">Common_Equations.Common_ConvertN2OToCO2e(E15,_xlfn.XLOOKUP("N2O", Table_GWPData[Gas],Table_GWPData[CO2-e factor]))</f>
        <v>6.8310543085714286E-4</v>
      </c>
      <c r="I15" s="1" cm="1">
        <f t="array" ref="I15">Common_Equations.Common_ConvertN2OToCO2e(F15,_xlfn.XLOOKUP("N2O", Table_GWPData[Gas],Table_GWPData[CO2-e factor]))</f>
        <v>6.8310543085714286E-4</v>
      </c>
      <c r="J15" s="9" t="s">
        <v>7</v>
      </c>
    </row>
    <row r="16" spans="1:11" ht="20.100000000000001" customHeight="1" x14ac:dyDescent="0.2">
      <c r="A16" s="5" t="str">
        <f>HYPERLINK("#'Input - Common farm inputs'!A1", "Common farm inputs")</f>
        <v>Common farm inputs</v>
      </c>
      <c r="D16" s="1" t="s">
        <v>133</v>
      </c>
      <c r="E16" s="1" cm="1">
        <f t="array" ref="E16">VEERG_8_1_1_1__1_FuelCombustionTransport_Result_CO2</f>
        <v>83.182000000000002</v>
      </c>
      <c r="F16" s="1">
        <f>E16</f>
        <v>83.182000000000002</v>
      </c>
      <c r="G16" s="9" t="s">
        <v>127</v>
      </c>
      <c r="H16" s="1">
        <f>E17</f>
        <v>0.19906000000000001</v>
      </c>
      <c r="I16" s="1">
        <f>F17</f>
        <v>0.19906000000000001</v>
      </c>
      <c r="J16" s="9" t="s">
        <v>7</v>
      </c>
    </row>
    <row r="17" spans="1:10" ht="20.100000000000001" customHeight="1" x14ac:dyDescent="0.2">
      <c r="A17" s="5" t="str">
        <f>HYPERLINK("#'Input - Livestock farm Inputs'!A1", "Livestock farm Inputs")</f>
        <v>Livestock farm Inputs</v>
      </c>
      <c r="D17" s="1" t="s">
        <v>135</v>
      </c>
      <c r="E17" s="1" cm="1">
        <f t="array" ref="E17">VEERG_8_1_1_1__1_FuelCombustionTransport_Result_CH4</f>
        <v>0.19906000000000001</v>
      </c>
      <c r="F17" s="1">
        <f t="shared" ref="F17:F21" si="0">E17</f>
        <v>0.19906000000000001</v>
      </c>
      <c r="G17" s="9" t="s">
        <v>6</v>
      </c>
      <c r="H17" s="1" cm="1">
        <f t="array" ref="H17">Common_Equations.Common_ConvertCH4ToCO2e(E18,_xlfn.XLOOKUP("CH4", Table_GWPData[Gas],Table_GWPData[CO2-e factor]))</f>
        <v>16.366</v>
      </c>
      <c r="I17" s="1" cm="1">
        <f t="array" ref="I17">Common_Equations.Common_ConvertCH4ToCO2e(F18,_xlfn.XLOOKUP("CH4", Table_GWPData[Gas],Table_GWPData[CO2-e factor]))</f>
        <v>16.366</v>
      </c>
      <c r="J17" s="9" t="s">
        <v>7</v>
      </c>
    </row>
    <row r="18" spans="1:10" ht="20.100000000000001" customHeight="1" x14ac:dyDescent="0.2">
      <c r="A18" s="5" t="str">
        <f>HYPERLINK("#'Input - Freight'!A1", "Freight")</f>
        <v>Freight</v>
      </c>
      <c r="D18" s="1" t="s">
        <v>134</v>
      </c>
      <c r="E18" s="1" cm="1">
        <f t="array" ref="E18">VEERG_8_1_1_1__1_FuelCombustionTransport_Result_N2O</f>
        <v>0.58450000000000002</v>
      </c>
      <c r="F18" s="1">
        <f t="shared" si="0"/>
        <v>0.58450000000000002</v>
      </c>
      <c r="G18" s="9" t="s">
        <v>12</v>
      </c>
      <c r="H18" s="1" cm="1">
        <f t="array" ref="H18">Common_Equations.Common_ConvertN2OToCO2e(E19,_xlfn.XLOOKUP("N2O", Table_GWPData[Gas],Table_GWPData[CO2-e factor]))</f>
        <v>7703.7620000000006</v>
      </c>
      <c r="I18" s="1" cm="1">
        <f t="array" ref="I18">Common_Equations.Common_ConvertN2OToCO2e(F19,_xlfn.XLOOKUP("N2O", Table_GWPData[Gas],Table_GWPData[CO2-e factor]))</f>
        <v>7703.7620000000006</v>
      </c>
      <c r="J18" s="9" t="s">
        <v>7</v>
      </c>
    </row>
    <row r="19" spans="1:10" ht="20.100000000000001" customHeight="1" x14ac:dyDescent="0.2">
      <c r="A19" s="5" t="str">
        <f>HYPERLINK("#'Input - Solid waste'!A1", "Solid waste")</f>
        <v>Solid waste</v>
      </c>
      <c r="D19" s="1" t="s">
        <v>136</v>
      </c>
      <c r="E19" s="1" cm="1">
        <f t="array" ref="E19">VEERG_8_2_1_1__1_FuelCombustionStationary_Result_CO2</f>
        <v>29.070800000000002</v>
      </c>
      <c r="F19" s="1">
        <f t="shared" si="0"/>
        <v>29.070800000000002</v>
      </c>
      <c r="G19" s="9" t="s">
        <v>127</v>
      </c>
      <c r="H19" s="1">
        <f>E20</f>
        <v>7.2400000000000006E-2</v>
      </c>
      <c r="I19" s="1">
        <f>F20</f>
        <v>7.2400000000000006E-2</v>
      </c>
      <c r="J19" s="9" t="s">
        <v>7</v>
      </c>
    </row>
    <row r="20" spans="1:10" ht="20.100000000000001" customHeight="1" x14ac:dyDescent="0.2">
      <c r="A20" s="5" t="str">
        <f>HYPERLINK("#'Input - Manure sent off-site'!A1", "Manure sent off-site")</f>
        <v>Manure sent off-site</v>
      </c>
      <c r="D20" s="1" t="s">
        <v>137</v>
      </c>
      <c r="E20" s="1" cm="1">
        <f t="array" ref="E20">VEERG_8_2_1_1__1_FuelCombustionStationary_Result_CH4</f>
        <v>7.2400000000000006E-2</v>
      </c>
      <c r="F20" s="1">
        <f t="shared" si="0"/>
        <v>7.2400000000000006E-2</v>
      </c>
      <c r="G20" s="9" t="s">
        <v>6</v>
      </c>
      <c r="H20" s="1" cm="1">
        <f t="array" ref="H20">Common_Equations.Common_ConvertCH4ToCO2e(E21,_xlfn.XLOOKUP("CH4", Table_GWPData[Gas],Table_GWPData[CO2-e factor]))</f>
        <v>1.9992000000000001</v>
      </c>
      <c r="I20" s="1" cm="1">
        <f t="array" ref="I20">Common_Equations.Common_ConvertCH4ToCO2e(F21,_xlfn.XLOOKUP("CH4", Table_GWPData[Gas],Table_GWPData[CO2-e factor]))</f>
        <v>1.9992000000000001</v>
      </c>
      <c r="J20" s="9" t="s">
        <v>7</v>
      </c>
    </row>
    <row r="21" spans="1:10" ht="20.100000000000001" customHeight="1" x14ac:dyDescent="0.2">
      <c r="A21" s="5" t="str">
        <f>HYPERLINK("#'Input - Data quality'!A1", "Data quality")</f>
        <v>Data quality</v>
      </c>
      <c r="D21" s="1" t="s">
        <v>138</v>
      </c>
      <c r="E21" s="1" cm="1">
        <f t="array" ref="E21">VEERG_8_2_1_1__1_FuelCombustionStationary_Result_N2O</f>
        <v>7.1400000000000005E-2</v>
      </c>
      <c r="F21" s="1">
        <f t="shared" si="0"/>
        <v>7.1400000000000005E-2</v>
      </c>
      <c r="G21" s="9" t="s">
        <v>12</v>
      </c>
      <c r="H21" s="1" cm="1">
        <f t="array" ref="H21">Common_Equations.Common_ConvertN2OToCO2e(E22,_xlfn.XLOOKUP("N2O", Table_GWPData[Gas],Table_GWPData[CO2-e factor]))</f>
        <v>116289.43325</v>
      </c>
      <c r="I21" s="1" cm="1">
        <f t="array" ref="I21">Common_Equations.Common_ConvertN2OToCO2e(F22,_xlfn.XLOOKUP("N2O", Table_GWPData[Gas],Table_GWPData[CO2-e factor]))</f>
        <v>116289.43325</v>
      </c>
      <c r="J21" s="9" t="s">
        <v>7</v>
      </c>
    </row>
    <row r="22" spans="1:10" ht="20.100000000000001" customHeight="1" x14ac:dyDescent="0.2">
      <c r="A22" s="5" t="str">
        <f>HYPERLINK("#'Input - Fert Prod System'!A1", "Fert Prod System")</f>
        <v>Fert Prod System</v>
      </c>
      <c r="D22" s="1" t="s">
        <v>266</v>
      </c>
      <c r="E22" s="1" cm="1">
        <f t="array" ref="E22">VEERG_10_1_1_1__1_EmissionsFromWasteManagement_Scope1_Result_Method1</f>
        <v>438.82805000000002</v>
      </c>
      <c r="F22" s="1">
        <f>E22</f>
        <v>438.82805000000002</v>
      </c>
      <c r="G22" s="9" t="s">
        <v>251</v>
      </c>
      <c r="H22" s="1">
        <f>E22</f>
        <v>438.82805000000002</v>
      </c>
      <c r="I22" s="1">
        <f>F22</f>
        <v>438.82805000000002</v>
      </c>
      <c r="J22" s="9" t="s">
        <v>7</v>
      </c>
    </row>
    <row r="23" spans="1:10" ht="20.100000000000001" customHeight="1" x14ac:dyDescent="0.2">
      <c r="A23" s="5" t="str">
        <f>HYPERLINK("#'Input - Fertiliser'!A1", "Fertiliser")</f>
        <v>Fertiliser</v>
      </c>
      <c r="D23" s="85" t="s">
        <v>4</v>
      </c>
      <c r="E23" s="86"/>
      <c r="F23" s="86"/>
      <c r="G23" s="86"/>
      <c r="H23" s="85">
        <f>SUM(H9:H22)</f>
        <v>124451.50167405077</v>
      </c>
      <c r="I23" s="85">
        <f>SUM(I9:I22)</f>
        <v>124451.48057724065</v>
      </c>
      <c r="J23" s="95" t="s">
        <v>7</v>
      </c>
    </row>
    <row r="26" spans="1:10" ht="20.100000000000001" customHeight="1" x14ac:dyDescent="0.2">
      <c r="A26" s="6" t="s">
        <v>2</v>
      </c>
      <c r="D26" s="77" t="s">
        <v>236</v>
      </c>
    </row>
    <row r="27" spans="1:10" ht="20.100000000000001" customHeight="1" x14ac:dyDescent="0.2">
      <c r="A27" s="5" t="str">
        <f>HYPERLINK("#'4.6.1.1-2 Methane'!A1", "4.6.1.1-2 Manure Methane")</f>
        <v>4.6.1.1-2 Manure Methane</v>
      </c>
    </row>
    <row r="28" spans="1:10" ht="20.100000000000001" customHeight="1" x14ac:dyDescent="0.2">
      <c r="A28" s="5" t="str">
        <f>HYPERLINK("#'4.6.1.3-4 Direct N20'!A1", "4.6.1.3-4 Manure Direct N2O")</f>
        <v>4.6.1.3-4 Manure Direct N2O</v>
      </c>
      <c r="D28" s="11" t="s">
        <v>237</v>
      </c>
      <c r="E28" s="11" t="s">
        <v>8</v>
      </c>
      <c r="F28" s="11" t="s">
        <v>9</v>
      </c>
      <c r="G28" s="11" t="s">
        <v>5</v>
      </c>
      <c r="H28" s="11" t="s">
        <v>10</v>
      </c>
      <c r="I28" s="11" t="s">
        <v>11</v>
      </c>
      <c r="J28" s="11"/>
    </row>
    <row r="29" spans="1:10" ht="20.100000000000001" customHeight="1" x14ac:dyDescent="0.2">
      <c r="A29" s="5" t="str">
        <f>HYPERLINK("#'4.6.1.5-6 Atmos Dep'!A1", "4.6.1.5-6 Manure Atmos Dep")</f>
        <v>4.6.1.5-6 Manure Atmos Dep</v>
      </c>
      <c r="D29" s="1" t="str" cm="1">
        <f t="array" ref="D29">"14.1.1-2 Purchased electricity " &amp; IF(X_Cell_Electricity_CalculationMethod="Location-based (simpler)", "(Location-based)", "(Market-based)")</f>
        <v>14.1.1-2 Purchased electricity (Location-based)</v>
      </c>
      <c r="E29" s="1" cm="1">
        <f t="array" ref="E29">IF(X_Cell_Electricity_CalculationMethod="Location-based (simpler)", VEERG_14_1_1__1_LocationBasedScopeElectricityEmissions_Result_Method1, VEERG_14_1_2__1_MarketBasedScopeElectricityEmissionsVariation_Result_Method1)</f>
        <v>16.8</v>
      </c>
      <c r="F29" s="1">
        <f>E29</f>
        <v>16.8</v>
      </c>
      <c r="G29" s="9" t="s">
        <v>7</v>
      </c>
      <c r="H29" s="1">
        <f>E29</f>
        <v>16.8</v>
      </c>
      <c r="I29" s="1">
        <f>F29</f>
        <v>16.8</v>
      </c>
      <c r="J29" s="9" t="s">
        <v>7</v>
      </c>
    </row>
    <row r="30" spans="1:10" ht="20.100000000000001" customHeight="1" x14ac:dyDescent="0.2">
      <c r="A30" s="5" t="str">
        <f>HYPERLINK("#'4.6.1.7-8 Leaching and runoff'!A1", "4.6.1.7-8 Manure Leaching and runoff")</f>
        <v>4.6.1.7-8 Manure Leaching and runoff</v>
      </c>
      <c r="D30" s="85" t="s">
        <v>238</v>
      </c>
      <c r="E30" s="86"/>
      <c r="F30" s="86"/>
      <c r="G30" s="86"/>
      <c r="H30" s="85">
        <f>SUM(H29:H29)</f>
        <v>16.8</v>
      </c>
      <c r="I30" s="85">
        <f>SUM(I29:I29)</f>
        <v>16.8</v>
      </c>
      <c r="J30" s="95" t="s">
        <v>7</v>
      </c>
    </row>
    <row r="31" spans="1:10" ht="20.100000000000001" customHeight="1" x14ac:dyDescent="0.2">
      <c r="A31" s="5" t="str">
        <f>HYPERLINK("#'4.6.1.9 Manure applied to soils'!A1", "4.6.1.9 Manure applied to soils")</f>
        <v>4.6.1.9 Manure applied to soils</v>
      </c>
    </row>
    <row r="32" spans="1:10" ht="20.100000000000001" customHeight="1" x14ac:dyDescent="0.2">
      <c r="A32" s="5" t="str">
        <f>HYPERLINK("#'4.6.1.10-11 Soil direct N2O'!A1", "4.6.1.10-11 Soil direct N2O")</f>
        <v>4.6.1.10-11 Soil direct N2O</v>
      </c>
    </row>
    <row r="33" spans="1:10" ht="20.100000000000001" customHeight="1" x14ac:dyDescent="0.2">
      <c r="A33" s="5" t="str">
        <f>HYPERLINK("#'4.6.1.12-13 Soil atmos dep'!A1", "4.6.1.12-13 Soil atmos dep")</f>
        <v>4.6.1.12-13 Soil atmos dep</v>
      </c>
      <c r="D33" s="77" t="s">
        <v>239</v>
      </c>
    </row>
    <row r="34" spans="1:10" ht="20.100000000000001" customHeight="1" x14ac:dyDescent="0.2">
      <c r="A34" s="5" t="str">
        <f>HYPERLINK("#'4.6.1.14-15 Soil leach runoff'!A1", "4.6.1.14-15 Soil leach runoff")</f>
        <v>4.6.1.14-15 Soil leach runoff</v>
      </c>
    </row>
    <row r="35" spans="1:10" ht="20.100000000000001" customHeight="1" x14ac:dyDescent="0.2">
      <c r="A35" s="5" t="str">
        <f>HYPERLINK("#'8.1.1.1-2 Transport fuel'!A1", "8.1.1.1-2 Transport fuel")</f>
        <v>8.1.1.1-2 Transport fuel</v>
      </c>
      <c r="D35" s="11" t="s">
        <v>240</v>
      </c>
      <c r="E35" s="11" t="s">
        <v>8</v>
      </c>
      <c r="F35" s="11" t="s">
        <v>9</v>
      </c>
      <c r="G35" s="11" t="s">
        <v>5</v>
      </c>
      <c r="H35" s="11" t="s">
        <v>10</v>
      </c>
      <c r="I35" s="11" t="s">
        <v>11</v>
      </c>
      <c r="J35" s="11"/>
    </row>
    <row r="36" spans="1:10" ht="20.100000000000001" customHeight="1" x14ac:dyDescent="0.2">
      <c r="A36" s="5" t="str">
        <f>HYPERLINK("#'8.2.1.1-2 Stationary fuel'!A1", "8.2.1.1-2 Stationary fuel")</f>
        <v>8.2.1.1-2 Stationary fuel</v>
      </c>
      <c r="D36" s="1" t="s">
        <v>267</v>
      </c>
      <c r="E36" s="1" cm="1">
        <f t="array" ref="E36">VEERG_15_1_1_1__1_EmissionsFromPurchasedLivestock_Pigs_Result_Method1</f>
        <v>0</v>
      </c>
      <c r="F36" s="1" cm="1">
        <f t="array" ref="F36">VEERG_15_1_1_1__1_EmissionsFromPurchasedLivestock_Pigs_Result_Method2</f>
        <v>0</v>
      </c>
      <c r="G36" s="9" t="s">
        <v>7</v>
      </c>
      <c r="H36" s="1">
        <f t="shared" ref="H36:I37" si="1">E36</f>
        <v>0</v>
      </c>
      <c r="I36" s="1">
        <f t="shared" si="1"/>
        <v>0</v>
      </c>
      <c r="J36" s="9" t="s">
        <v>7</v>
      </c>
    </row>
    <row r="37" spans="1:10" ht="20.100000000000001" customHeight="1" x14ac:dyDescent="0.2">
      <c r="A37" s="5" t="str">
        <f>HYPERLINK("#'10.1.1-2 Solid waste treatment'!A1", "10.1.1.1-2 Solid waste")</f>
        <v>10.1.1.1-2 Solid waste</v>
      </c>
      <c r="D37" s="1" t="s">
        <v>268</v>
      </c>
      <c r="E37" s="1" cm="1">
        <f t="array" ref="E37">VEERG_15_2_1_1__1_EmissionsFromPurchasedFeed_Result_Method1</f>
        <v>0.78505200000000008</v>
      </c>
      <c r="F37" s="1" cm="1">
        <f t="array" ref="F37">VEERG_15_2_1_1__1_EmissionsFromPurchasedFeed_Result_Method1</f>
        <v>0.78505200000000008</v>
      </c>
      <c r="G37" s="9" t="s">
        <v>7</v>
      </c>
      <c r="H37" s="1">
        <f t="shared" si="1"/>
        <v>0.78505200000000008</v>
      </c>
      <c r="I37" s="1">
        <f t="shared" si="1"/>
        <v>0.78505200000000008</v>
      </c>
      <c r="J37" s="9" t="s">
        <v>7</v>
      </c>
    </row>
    <row r="38" spans="1:10" ht="20.100000000000001" customHeight="1" x14ac:dyDescent="0.2">
      <c r="A38" s="5" t="str">
        <f>HYPERLINK("#'14.1.1-2 Purchased electricity'!A1", "14.1.1-2 Purchased electricity")</f>
        <v>14.1.1-2 Purchased electricity</v>
      </c>
      <c r="D38" s="1" t="s">
        <v>241</v>
      </c>
      <c r="E38" s="1" t="str" cm="1">
        <f t="array" ref="E38">VEERG_15_7_1_1__1_EmissionsFromPurchasedServices_Result_Method1</f>
        <v>No data</v>
      </c>
      <c r="F38" s="1" cm="1">
        <f t="array" ref="F38">VEERG_15_7_1_1__1_EmissionsFromPurchasedServices_Result_Method2</f>
        <v>42</v>
      </c>
      <c r="G38" s="9" t="s">
        <v>7</v>
      </c>
      <c r="H38" s="1" t="str">
        <f t="shared" ref="H38:H46" si="2">E38</f>
        <v>No data</v>
      </c>
      <c r="I38" s="1">
        <f t="shared" ref="I38:I46" si="3">F38</f>
        <v>42</v>
      </c>
      <c r="J38" s="9" t="s">
        <v>7</v>
      </c>
    </row>
    <row r="39" spans="1:10" ht="20.100000000000001" customHeight="1" x14ac:dyDescent="0.2">
      <c r="A39" s="5" t="str">
        <f>HYPERLINK("#'15 Scope 3'!A1", "15 Scope 3")</f>
        <v>15 Scope 3</v>
      </c>
      <c r="D39" s="1" t="s">
        <v>242</v>
      </c>
      <c r="E39" s="1" cm="1">
        <f t="array" ref="E39">VEERG_15_10_1_1__1_OtherPurchasedGoodsAndServices_CleaningChemicals_Result_Method1</f>
        <v>0.50509999999999999</v>
      </c>
      <c r="F39" s="1" cm="1">
        <f t="array" ref="F39">VEERG_15_10_1_1__1_OtherPurchasedGoodsAndServices_CleaningChemicals_Result_Method2</f>
        <v>2.73</v>
      </c>
      <c r="G39" s="9" t="s">
        <v>7</v>
      </c>
      <c r="H39" s="1">
        <f t="shared" si="2"/>
        <v>0.50509999999999999</v>
      </c>
      <c r="I39" s="1">
        <f t="shared" si="3"/>
        <v>2.73</v>
      </c>
      <c r="J39" s="9" t="s">
        <v>7</v>
      </c>
    </row>
    <row r="40" spans="1:10" ht="20.100000000000001" customHeight="1" x14ac:dyDescent="0.2">
      <c r="A40" s="5" t="str">
        <f>HYPERLINK("#'Calcs - Manure sent off-site'!A1", "Calcs - Manure sent off-site")</f>
        <v>Calcs - Manure sent off-site</v>
      </c>
      <c r="D40" s="1" t="s">
        <v>269</v>
      </c>
      <c r="E40" s="1" cm="1">
        <f t="array" ref="E40">VEERG_15_10_1_1__1_OtherPurchasedGoodsAndServices_PharmacyChemicals_Result_Method1</f>
        <v>1.5636000000000001E-2</v>
      </c>
      <c r="F40" s="1" cm="1">
        <f t="array" ref="F40">VEERG_15_10_1_1__1_OtherPurchasedGoodsAndServices_PharmacyChemicals_Result_Method1</f>
        <v>1.5636000000000001E-2</v>
      </c>
      <c r="G40" s="9" t="s">
        <v>7</v>
      </c>
      <c r="H40" s="1">
        <f t="shared" si="2"/>
        <v>1.5636000000000001E-2</v>
      </c>
      <c r="I40" s="1">
        <f t="shared" si="3"/>
        <v>1.5636000000000001E-2</v>
      </c>
      <c r="J40" s="9" t="s">
        <v>7</v>
      </c>
    </row>
    <row r="41" spans="1:10" ht="20.100000000000001" customHeight="1" x14ac:dyDescent="0.2">
      <c r="A41" s="5" t="str">
        <f>HYPERLINK("#'5.1.1.1-2 Inorganic fert N2O'!A1", "5.1.1.1-2 Inorganic fert N2O")</f>
        <v>5.1.1.1-2 Inorganic fert N2O</v>
      </c>
      <c r="D41" s="1" t="s">
        <v>243</v>
      </c>
      <c r="E41" s="1" t="str" cm="1">
        <f t="array" ref="E41">VEERG_15_10_1_1__1_OtherPurchasedGoodsAndServices_Uncategorised_Result_Method1</f>
        <v>No data</v>
      </c>
      <c r="F41" s="1" cm="1">
        <f t="array" ref="F41">VEERG_15_10_1_1__1_OtherPurchasedGoodsAndServices_Uncategorised_Result_Method2</f>
        <v>4000</v>
      </c>
      <c r="G41" s="9" t="s">
        <v>7</v>
      </c>
      <c r="H41" s="1" t="str">
        <f t="shared" si="2"/>
        <v>No data</v>
      </c>
      <c r="I41" s="1">
        <f t="shared" si="3"/>
        <v>4000</v>
      </c>
      <c r="J41" s="9" t="s">
        <v>7</v>
      </c>
    </row>
    <row r="42" spans="1:10" ht="20.100000000000001" customHeight="1" x14ac:dyDescent="0.2">
      <c r="A42" s="5" t="str">
        <f>HYPERLINK("#'5.1.1.3-4 Inorganic fert CO2'!A1", "5.1.1.3-4 Inorganic fert CO2")</f>
        <v>5.1.1.3-4 Inorganic fert CO2</v>
      </c>
      <c r="D42" s="1" t="s">
        <v>244</v>
      </c>
      <c r="E42" s="1" cm="1">
        <f t="array" ref="E42">VEERG_15_11_1_1__1_TotalUpstreamEmissionsFromFuel_Result</f>
        <v>26.794</v>
      </c>
      <c r="F42" s="1">
        <f>E42</f>
        <v>26.794</v>
      </c>
      <c r="G42" s="9" t="s">
        <v>7</v>
      </c>
      <c r="H42" s="1">
        <f t="shared" si="2"/>
        <v>26.794</v>
      </c>
      <c r="I42" s="1">
        <f t="shared" si="3"/>
        <v>26.794</v>
      </c>
      <c r="J42" s="9" t="s">
        <v>7</v>
      </c>
    </row>
    <row r="43" spans="1:10" ht="20.100000000000001" customHeight="1" x14ac:dyDescent="0.2">
      <c r="A43" s="5" t="str">
        <f>HYPERLINK("#'5.2.1.1-2 Organic Fert N2O'!A1", "5.2.1.1-2 Organic Fert N2O")</f>
        <v>5.2.1.1-2 Organic Fert N2O</v>
      </c>
      <c r="D43" s="1" t="str" cm="1">
        <f t="array" ref="D43">"15.12.1.1 Purchased electricity " &amp; IF(X_Cell_Electricity_CalculationMethod="Location-based (simpler)", "(Location-based)", "(Market-based)")</f>
        <v>15.12.1.1 Purchased electricity (Location-based)</v>
      </c>
      <c r="E43" s="1" cm="1">
        <f t="array" ref="E43">IF(X_Cell_Electricity_CalculationMethod="Location-based (simpler)", VEERG_15_12_1_1__1_UpstreamPurchasedElectricityLocationBased_Result, VEERG_15_12_1_1__1_UpstreamPurchasedElectricityMarketBased_Result)</f>
        <v>2.7</v>
      </c>
      <c r="F43" s="1">
        <f>E43</f>
        <v>2.7</v>
      </c>
      <c r="G43" s="9" t="s">
        <v>7</v>
      </c>
      <c r="H43" s="1">
        <f t="shared" si="2"/>
        <v>2.7</v>
      </c>
      <c r="I43" s="1">
        <f t="shared" si="3"/>
        <v>2.7</v>
      </c>
      <c r="J43" s="9" t="s">
        <v>7</v>
      </c>
    </row>
    <row r="44" spans="1:10" ht="20.100000000000001" customHeight="1" x14ac:dyDescent="0.2">
      <c r="A44" s="5" t="str">
        <f>HYPERLINK("#'5.3.1.1-2 Lime CO2'!A1", "5.3.1.1-2 Lime CO2")</f>
        <v>5.3.1.1-2 Lime CO2</v>
      </c>
      <c r="D44" s="1" t="s">
        <v>246</v>
      </c>
      <c r="E44" s="1" cm="1">
        <f t="array" ref="E44">VEERG_10_1_1_1__1_EmissionsFromWasteManagement_Scope3_Result_Method1</f>
        <v>441.15000000000003</v>
      </c>
      <c r="F44" s="1">
        <f>E44</f>
        <v>441.15000000000003</v>
      </c>
      <c r="G44" s="9" t="s">
        <v>7</v>
      </c>
      <c r="H44" s="1">
        <f t="shared" si="2"/>
        <v>441.15000000000003</v>
      </c>
      <c r="I44" s="1">
        <f t="shared" si="3"/>
        <v>441.15000000000003</v>
      </c>
      <c r="J44" s="9" t="s">
        <v>7</v>
      </c>
    </row>
    <row r="45" spans="1:10" ht="20.100000000000001" customHeight="1" x14ac:dyDescent="0.2">
      <c r="A45" s="5" t="str">
        <f>HYPERLINK("#'5.4.1.1-4 Atmos deposition'!A1", "5.4.1.1-4 Atmos deposition")</f>
        <v>5.4.1.1-4 Atmos deposition</v>
      </c>
      <c r="D45" s="1" t="s">
        <v>245</v>
      </c>
      <c r="E45" s="1" t="str" cm="1">
        <f t="array" ref="E45">VEERG_15_14_1_1__1_EmbeddedEmissionsFromUpstreamFreight_Incoming_Result_Method1</f>
        <v>No data</v>
      </c>
      <c r="F45" s="1" cm="1">
        <f t="array" ref="F45">VEERG_15_14_1_1__1_EmbeddedEmissionsFromUpstreamFreight_Incoming_Result_Method2</f>
        <v>5146700</v>
      </c>
      <c r="G45" s="9" t="s">
        <v>7</v>
      </c>
      <c r="H45" s="1" t="str">
        <f t="shared" si="2"/>
        <v>No data</v>
      </c>
      <c r="I45" s="1">
        <f t="shared" si="3"/>
        <v>5146700</v>
      </c>
      <c r="J45" s="9" t="s">
        <v>7</v>
      </c>
    </row>
    <row r="46" spans="1:10" ht="20.100000000000001" customHeight="1" x14ac:dyDescent="0.2">
      <c r="A46" s="5" t="str">
        <f>HYPERLINK("#'5.5.1.1-2 Leaching and runoff'!A1", "5.5.1.1-2 Leaching and runoff")</f>
        <v>5.5.1.1-2 Leaching and runoff</v>
      </c>
      <c r="D46" s="1" t="s">
        <v>247</v>
      </c>
      <c r="E46" s="1" t="str" cm="1">
        <f t="array" ref="E46">VEERG_15_14_1_1__1_EmbeddedEmissionsFromUpstreamFreight_Outgoing_Result_Method1</f>
        <v>No data</v>
      </c>
      <c r="F46" s="1" cm="1">
        <f t="array" ref="F46">VEERG_15_14_1_1__1_EmbeddedEmissionsFromUpstreamFreight_Outgoing_Result_Method2</f>
        <v>432640</v>
      </c>
      <c r="G46" s="9" t="s">
        <v>7</v>
      </c>
      <c r="H46" s="1" t="str">
        <f t="shared" si="2"/>
        <v>No data</v>
      </c>
      <c r="I46" s="1">
        <f t="shared" si="3"/>
        <v>432640</v>
      </c>
      <c r="J46" s="9" t="s">
        <v>7</v>
      </c>
    </row>
    <row r="47" spans="1:10" ht="20.100000000000001" customHeight="1" x14ac:dyDescent="0.2">
      <c r="D47" s="85" t="s">
        <v>248</v>
      </c>
      <c r="E47" s="86"/>
      <c r="F47" s="86"/>
      <c r="G47" s="86"/>
      <c r="H47" s="85">
        <f>SUM(H36:H46)</f>
        <v>471.94978800000001</v>
      </c>
      <c r="I47" s="85">
        <f>SUM(I36:I46)</f>
        <v>5583856.1746880002</v>
      </c>
      <c r="J47" s="95" t="s">
        <v>7</v>
      </c>
    </row>
    <row r="49" spans="1:7" ht="20.100000000000001" customHeight="1" x14ac:dyDescent="0.2">
      <c r="A49" s="80" t="s">
        <v>1</v>
      </c>
    </row>
    <row r="50" spans="1:7" ht="20.100000000000001" customHeight="1" x14ac:dyDescent="0.2">
      <c r="A50" s="5" t="str">
        <f>HYPERLINK("#'Constants - Poultry'!A1", "Constants - Poultry")</f>
        <v>Constants - Poultry</v>
      </c>
      <c r="D50" s="77" t="str">
        <f>"Carbon removals from plantings for the activity period " &amp; TEXT(X_Cell_Site_StartDate, "d mmmm yyyy") &amp; " and " &amp; TEXT(X_Cell_Site_EndDate, "d mmmm yyyy")</f>
        <v>Carbon removals from plantings for the activity period 1 January 2025 and 31 December 2025</v>
      </c>
    </row>
    <row r="51" spans="1:7" ht="20.100000000000001" customHeight="1" x14ac:dyDescent="0.2">
      <c r="A51" s="5" t="str">
        <f>HYPERLINK("#'Constants - Common livestock'!A1", "Constants - Common Livestock")</f>
        <v>Constants - Common Livestock</v>
      </c>
    </row>
    <row r="52" spans="1:7" ht="20.100000000000001" customHeight="1" x14ac:dyDescent="0.2">
      <c r="A52" s="5" t="str">
        <f>HYPERLINK("#'Constants - Electricity'!A1", "Constants - Electricity")</f>
        <v>Constants - Electricity</v>
      </c>
      <c r="D52" s="85" t="s">
        <v>249</v>
      </c>
      <c r="E52" s="86">
        <f>SUM(Table_Input_Enterprise_PlantingRemovals[Removal allocated to this enterprise])</f>
        <v>0</v>
      </c>
      <c r="F52" s="95" t="s">
        <v>127</v>
      </c>
    </row>
    <row r="53" spans="1:7" ht="20.100000000000001" customHeight="1" x14ac:dyDescent="0.2">
      <c r="A53" s="5" t="str">
        <f>HYPERLINK("#'Constants - Fertiliser'!A1", "Constants - Fertiliser")</f>
        <v>Constants - Fertiliser</v>
      </c>
    </row>
    <row r="54" spans="1:7" ht="20.100000000000001" customHeight="1" x14ac:dyDescent="0.2">
      <c r="A54" s="5" t="str">
        <f>HYPERLINK("#'Constants - Fuel'!A1", "Constants - Fuel")</f>
        <v>Constants - Fuel</v>
      </c>
    </row>
    <row r="55" spans="1:7" ht="20.100000000000001" customHeight="1" x14ac:dyDescent="0.2">
      <c r="A55" s="5" t="str">
        <f>HYPERLINK("#'Constants - Scope 3'!A1", "Constants - Scope 3")</f>
        <v>Constants - Scope 3</v>
      </c>
      <c r="D55" s="77" t="str">
        <f>"Net emissions for the activity period " &amp; TEXT(X_Cell_Site_StartDate, "d mmmm yyyy") &amp; " and " &amp; TEXT(X_Cell_Site_EndDate, "d mmmm yyyy")</f>
        <v>Net emissions for the activity period 1 January 2025 and 31 December 2025</v>
      </c>
    </row>
    <row r="56" spans="1:7" ht="20.100000000000001" customHeight="1" x14ac:dyDescent="0.2">
      <c r="A56" s="5" t="str">
        <f>HYPERLINK("#'Constants - Solid Waste'!A1", "Constants - Solid Waste")</f>
        <v>Constants - Solid Waste</v>
      </c>
    </row>
    <row r="57" spans="1:7" ht="20.100000000000001" customHeight="1" x14ac:dyDescent="0.2">
      <c r="A57" s="5" t="str">
        <f>HYPERLINK("#'Constants - Common'!A1", "Constants - Common")</f>
        <v>Constants - Common</v>
      </c>
      <c r="D57" s="11"/>
      <c r="E57" s="11" t="s">
        <v>130</v>
      </c>
      <c r="F57" s="11" t="s">
        <v>131</v>
      </c>
      <c r="G57" s="11"/>
    </row>
    <row r="58" spans="1:7" ht="20.100000000000001" customHeight="1" x14ac:dyDescent="0.2">
      <c r="D58" s="94" t="s">
        <v>250</v>
      </c>
      <c r="E58" s="92">
        <f>Result_Enterprise_Scope1_Method1+Result_Enterprise_Scope2_Method1+Result_Enterprise_Scope3_Method1</f>
        <v>124940.25146205077</v>
      </c>
      <c r="F58" s="92">
        <f>Result_Enterprise_Scope1_Method2+Result_Enterprise_Scope2_Method2+Result_Enterprise_Scope3_Method2</f>
        <v>5708324.4552652407</v>
      </c>
      <c r="G58" s="93" t="s">
        <v>251</v>
      </c>
    </row>
    <row r="59" spans="1:7" ht="20.100000000000001" customHeight="1" x14ac:dyDescent="0.2">
      <c r="D59" s="94" t="s">
        <v>252</v>
      </c>
      <c r="E59" s="92">
        <f>Result_Enterprise_Gross_Method1-Result_Enterprise_Removals</f>
        <v>124940.25146205077</v>
      </c>
      <c r="F59" s="92">
        <f>Result_Enterprise_Gross_Method2-Result_Enterprise_Removals</f>
        <v>5708324.4552652407</v>
      </c>
      <c r="G59" s="93" t="s">
        <v>251</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2C70A-3829-41AD-8C72-9BB34460C4F5}">
  <sheetPr>
    <tabColor rgb="FF0C769E"/>
  </sheetPr>
  <dimension ref="A1:AJ60"/>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4" width="51.7109375" style="1" customWidth="1"/>
    <col min="5" max="13" width="30.7109375" style="1" customWidth="1"/>
    <col min="14" max="36" width="9.140625" style="1"/>
  </cols>
  <sheetData>
    <row r="1" spans="1:36" s="90" customFormat="1" ht="30" customHeight="1" x14ac:dyDescent="0.35">
      <c r="A1" s="10" t="e" vm="1">
        <v>#VALUE!</v>
      </c>
      <c r="C1" s="90" t="s">
        <v>255</v>
      </c>
    </row>
    <row r="2" spans="1:36" s="3" customFormat="1" ht="20.100000000000001" customHeight="1" x14ac:dyDescent="0.2">
      <c r="A2"/>
    </row>
    <row r="3" spans="1:36" ht="20.100000000000001" customHeight="1" x14ac:dyDescent="0.2">
      <c r="A3" s="5" t="str">
        <f>HYPERLINK("#'Home'!A1", "Home")</f>
        <v>Home</v>
      </c>
      <c r="C3" s="91"/>
      <c r="D3" s="91"/>
      <c r="E3" s="91"/>
      <c r="F3" s="91"/>
      <c r="G3" s="91"/>
      <c r="H3" s="91"/>
      <c r="I3" s="91"/>
      <c r="J3" s="91"/>
      <c r="K3" s="91"/>
      <c r="L3" s="91"/>
      <c r="M3" s="91"/>
      <c r="N3" s="91"/>
      <c r="O3" s="91"/>
      <c r="P3" s="91"/>
      <c r="Q3" s="91"/>
      <c r="R3" s="91"/>
      <c r="S3" s="91"/>
      <c r="T3" s="91"/>
      <c r="U3" s="91"/>
      <c r="V3" s="91"/>
      <c r="W3" s="91"/>
      <c r="X3" s="91"/>
      <c r="Y3" s="91"/>
      <c r="Z3" s="91"/>
      <c r="AA3" s="91"/>
      <c r="AB3" s="91"/>
      <c r="AC3" s="91"/>
      <c r="AD3" s="91"/>
      <c r="AE3" s="91"/>
      <c r="AF3" s="91"/>
      <c r="AG3" s="91"/>
      <c r="AH3" s="91"/>
      <c r="AI3" s="91"/>
      <c r="AJ3" s="91"/>
    </row>
    <row r="4" spans="1:36" ht="20.100000000000001" customHeight="1" x14ac:dyDescent="0.2">
      <c r="A4" s="5" t="str">
        <f>HYPERLINK("#'Results - Activity period'!A1", "Results - Activity period")</f>
        <v>Results - Activity period</v>
      </c>
    </row>
    <row r="5" spans="1:36" ht="20.100000000000001" customHeight="1" x14ac:dyDescent="0.2">
      <c r="A5" s="255" t="str">
        <f>HYPERLINK("#'Results - Product EI'!A1", "Results - Product Emissions Intensity")</f>
        <v>Results - Product Emissions Intensity</v>
      </c>
    </row>
    <row r="8" spans="1:36" ht="20.100000000000001" customHeight="1" x14ac:dyDescent="0.2">
      <c r="A8" s="7" t="s">
        <v>0</v>
      </c>
    </row>
    <row r="9" spans="1:36" ht="20.100000000000001" customHeight="1" x14ac:dyDescent="0.2">
      <c r="A9" s="5" t="str">
        <f>HYPERLINK("#'Input - Enterprise'!A1", "Enterprise")</f>
        <v>Enterprise</v>
      </c>
    </row>
    <row r="10" spans="1:36" ht="20.100000000000001" customHeight="1" x14ac:dyDescent="0.2">
      <c r="A10" s="5" t="str">
        <f>HYPERLINK("#'Input - Site'!A1", "Site")</f>
        <v>Site</v>
      </c>
    </row>
    <row r="11" spans="1:36" ht="20.100000000000001" customHeight="1" x14ac:dyDescent="0.2">
      <c r="A11" s="5" t="str">
        <f>HYPERLINK("#'Input - Poultry'!A1", "Poultry")</f>
        <v>Poultry</v>
      </c>
    </row>
    <row r="12" spans="1:36" ht="20.100000000000001" customHeight="1" x14ac:dyDescent="0.2">
      <c r="A12" s="5" t="str">
        <f>HYPERLINK("#'Input - Livestock sales'!A1", "Livestock sales")</f>
        <v>Livestock sales</v>
      </c>
    </row>
    <row r="13" spans="1:36" ht="20.100000000000001" customHeight="1" x14ac:dyDescent="0.2">
      <c r="A13" s="5" t="str">
        <f>HYPERLINK("#'Input - Poultry purchases'!A1", "Poultry purchases")</f>
        <v>Poultry purchases</v>
      </c>
    </row>
    <row r="14" spans="1:36" ht="20.100000000000001" customHeight="1" x14ac:dyDescent="0.2">
      <c r="A14" s="5" t="str">
        <f>HYPERLINK("#'Input - Fuel'!A1", "Fuel")</f>
        <v>Fuel</v>
      </c>
    </row>
    <row r="15" spans="1:36" ht="20.100000000000001" customHeight="1" x14ac:dyDescent="0.2">
      <c r="A15" s="5" t="str">
        <f>HYPERLINK("#'Input - Electricity'!A1", "Electricity")</f>
        <v>Electricity</v>
      </c>
    </row>
    <row r="16" spans="1:36" ht="20.100000000000001" customHeight="1" x14ac:dyDescent="0.2">
      <c r="A16" s="5" t="str">
        <f>HYPERLINK("#'Input - Common farm inputs'!A1", "Common farm inputs")</f>
        <v>Common farm inputs</v>
      </c>
    </row>
    <row r="17" spans="1:4" ht="20.100000000000001" customHeight="1" x14ac:dyDescent="0.2">
      <c r="A17" s="5" t="str">
        <f>HYPERLINK("#'Input - Livestock farm Inputs'!A1", "Livestock farm Inputs")</f>
        <v>Livestock farm Inputs</v>
      </c>
    </row>
    <row r="18" spans="1:4" ht="20.100000000000001" customHeight="1" x14ac:dyDescent="0.2">
      <c r="A18" s="5" t="str">
        <f>HYPERLINK("#'Input - Freight'!A1", "Freight")</f>
        <v>Freight</v>
      </c>
    </row>
    <row r="19" spans="1:4" ht="20.100000000000001" customHeight="1" x14ac:dyDescent="0.2">
      <c r="A19" s="5" t="str">
        <f>HYPERLINK("#'Input - Solid waste'!A1", "Solid waste")</f>
        <v>Solid waste</v>
      </c>
    </row>
    <row r="20" spans="1:4" ht="20.100000000000001" customHeight="1" x14ac:dyDescent="0.2">
      <c r="A20" s="5" t="str">
        <f>HYPERLINK("#'Input - Manure sent off-site'!A1", "Manure sent off-site")</f>
        <v>Manure sent off-site</v>
      </c>
    </row>
    <row r="21" spans="1:4" ht="20.100000000000001" customHeight="1" x14ac:dyDescent="0.2">
      <c r="A21" s="5" t="str">
        <f>HYPERLINK("#'Input - Data quality'!A1", "Data quality")</f>
        <v>Data quality</v>
      </c>
    </row>
    <row r="22" spans="1:4" ht="20.100000000000001" customHeight="1" x14ac:dyDescent="0.2">
      <c r="A22" s="5" t="str">
        <f>HYPERLINK("#'Input - Fert Prod System'!A1", "Fert Prod System")</f>
        <v>Fert Prod System</v>
      </c>
    </row>
    <row r="23" spans="1:4" ht="20.100000000000001" customHeight="1" x14ac:dyDescent="0.2">
      <c r="A23" s="5" t="str">
        <f>HYPERLINK("#'Input - Fertiliser'!A1", "Fertiliser")</f>
        <v>Fertiliser</v>
      </c>
    </row>
    <row r="26" spans="1:4" ht="20.100000000000001" customHeight="1" x14ac:dyDescent="0.2">
      <c r="A26" s="6" t="s">
        <v>2</v>
      </c>
    </row>
    <row r="27" spans="1:4" ht="20.100000000000001" customHeight="1" x14ac:dyDescent="0.2">
      <c r="A27" s="5" t="str">
        <f>HYPERLINK("#'4.6.1.1-2 Methane'!A1", "4.6.1.1-2 Manure Methane")</f>
        <v>4.6.1.1-2 Manure Methane</v>
      </c>
    </row>
    <row r="28" spans="1:4" ht="20.100000000000001" customHeight="1" x14ac:dyDescent="0.2">
      <c r="A28" s="5" t="str">
        <f>HYPERLINK("#'4.6.1.3-4 Direct N20'!A1", "4.6.1.3-4 Manure Direct N2O")</f>
        <v>4.6.1.3-4 Manure Direct N2O</v>
      </c>
    </row>
    <row r="29" spans="1:4" ht="20.100000000000001" customHeight="1" x14ac:dyDescent="0.2">
      <c r="A29" s="5" t="str">
        <f>HYPERLINK("#'4.6.1.5-6 Atmos Dep'!A1", "4.6.1.5-6 Manure Atmos Dep")</f>
        <v>4.6.1.5-6 Manure Atmos Dep</v>
      </c>
    </row>
    <row r="30" spans="1:4" ht="20.100000000000001" customHeight="1" x14ac:dyDescent="0.2">
      <c r="A30" s="5" t="str">
        <f>HYPERLINK("#'4.6.1.7-8 Leaching and runoff'!A1", "4.6.1.7-8 Manure Leaching and runoff")</f>
        <v>4.6.1.7-8 Manure Leaching and runoff</v>
      </c>
    </row>
    <row r="31" spans="1:4" ht="20.100000000000001" customHeight="1" x14ac:dyDescent="0.2">
      <c r="A31" s="5" t="str">
        <f>HYPERLINK("#'4.6.1.9 Manure applied to soils'!A1", "4.6.1.9 Manure applied to soils")</f>
        <v>4.6.1.9 Manure applied to soils</v>
      </c>
    </row>
    <row r="32" spans="1:4" ht="20.100000000000001" customHeight="1" x14ac:dyDescent="0.2">
      <c r="A32" s="5" t="str">
        <f>HYPERLINK("#'4.6.1.10-11 Soil direct N2O'!A1", "4.6.1.10-11 Soil direct N2O")</f>
        <v>4.6.1.10-11 Soil direct N2O</v>
      </c>
      <c r="D32" s="2" t="str">
        <f>"Emissions for whole production cycle running between " &amp; TEXT(X_Cell_Enterprise_ProductionTimeframeStart, "d mmmm yyyy") &amp; " and " &amp; TEXT(X_Cell_Enterprise_ProductionTimeframeEnd, "d mmmm yyyy")</f>
        <v>Emissions for whole production cycle running between 1 November 2025 and 31 March 2026</v>
      </c>
    </row>
    <row r="33" spans="1:10" ht="20.100000000000001" customHeight="1" x14ac:dyDescent="0.2">
      <c r="A33" s="5" t="str">
        <f>HYPERLINK("#'4.6.1.12-13 Soil atmos dep'!A1", "4.6.1.12-13 Soil atmos dep")</f>
        <v>4.6.1.12-13 Soil atmos dep</v>
      </c>
    </row>
    <row r="34" spans="1:10" ht="20.100000000000001" customHeight="1" x14ac:dyDescent="0.2">
      <c r="A34" s="5" t="str">
        <f>HYPERLINK("#'4.6.1.14-15 Soil leach runoff'!A1", "4.6.1.14-15 Soil leach runoff")</f>
        <v>4.6.1.14-15 Soil leach runoff</v>
      </c>
    </row>
    <row r="35" spans="1:10" ht="20.100000000000001" customHeight="1" x14ac:dyDescent="0.2">
      <c r="A35" s="5" t="str">
        <f>HYPERLINK("#'8.1.1.1-2 Transport fuel'!A1", "8.1.1.1-2 Transport fuel")</f>
        <v>8.1.1.1-2 Transport fuel</v>
      </c>
      <c r="D35" s="11"/>
      <c r="E35" s="11" t="s">
        <v>130</v>
      </c>
      <c r="F35" s="11" t="s">
        <v>131</v>
      </c>
      <c r="G35" s="11"/>
    </row>
    <row r="36" spans="1:10" ht="20.100000000000001" customHeight="1" x14ac:dyDescent="0.2">
      <c r="A36" s="5" t="str">
        <f>HYPERLINK("#'8.2.1.1-2 Stationary fuel'!A1", "8.2.1.1-2 Stationary fuel")</f>
        <v>8.2.1.1-2 Stationary fuel</v>
      </c>
      <c r="D36" s="75" t="s">
        <v>253</v>
      </c>
      <c r="E36" s="1">
        <f>Result_EmissionsForWholeProductionCycle_Gross_Method1</f>
        <v>124940.25146205077</v>
      </c>
      <c r="F36" s="1">
        <f>Result_EmissionsForWholeProductionCycle_Gross_Method2</f>
        <v>5708324.4552652407</v>
      </c>
      <c r="G36" s="9" t="s">
        <v>7</v>
      </c>
    </row>
    <row r="37" spans="1:10" ht="20.100000000000001" customHeight="1" x14ac:dyDescent="0.2">
      <c r="A37" s="5" t="str">
        <f>HYPERLINK("#'10.1.1-2 Solid waste treatment'!A1", "10.1.1.1-2 Solid waste")</f>
        <v>10.1.1.1-2 Solid waste</v>
      </c>
      <c r="D37" s="75" t="s">
        <v>254</v>
      </c>
      <c r="E37" s="1">
        <f>Result_EmissionsForWholeProductionCycle_Net_Method1</f>
        <v>124940.25146205077</v>
      </c>
      <c r="F37" s="1">
        <f>Result_EmissionsForWholeProductionCycle_Net_Method2</f>
        <v>5708324.4552652407</v>
      </c>
      <c r="G37" s="9" t="s">
        <v>7</v>
      </c>
    </row>
    <row r="38" spans="1:10" ht="20.100000000000001" customHeight="1" x14ac:dyDescent="0.2">
      <c r="A38" s="5" t="str">
        <f>HYPERLINK("#'14.1.1-2 Purchased electricity'!A1", "14.1.1-2 Purchased electricity")</f>
        <v>14.1.1-2 Purchased electricity</v>
      </c>
    </row>
    <row r="39" spans="1:10" ht="20.100000000000001" customHeight="1" x14ac:dyDescent="0.2">
      <c r="A39" s="5" t="str">
        <f>HYPERLINK("#'15 Scope 3'!A1", "15 Scope 3")</f>
        <v>15 Scope 3</v>
      </c>
    </row>
    <row r="40" spans="1:10" ht="20.100000000000001" customHeight="1" x14ac:dyDescent="0.2">
      <c r="A40" s="5" t="str">
        <f>HYPERLINK("#'Calcs - Manure sent off-site'!A1", "Calcs - Manure sent off-site")</f>
        <v>Calcs - Manure sent off-site</v>
      </c>
      <c r="D40"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1 November 2025 and 31 March 2026</v>
      </c>
    </row>
    <row r="41" spans="1:10" ht="20.100000000000001" customHeight="1" x14ac:dyDescent="0.2">
      <c r="A41" s="5" t="str">
        <f>HYPERLINK("#'5.1.1.1-2 Inorganic fert N2O'!A1", "5.1.1.1-2 Inorganic fert N2O")</f>
        <v>5.1.1.1-2 Inorganic fert N2O</v>
      </c>
    </row>
    <row r="42" spans="1:10" ht="20.100000000000001" customHeight="1" x14ac:dyDescent="0.2">
      <c r="A42" s="5" t="str">
        <f>HYPERLINK("#'5.1.1.3-4 Inorganic fert CO2'!A1", "5.1.1.3-4 Inorganic fert CO2")</f>
        <v>5.1.1.3-4 Inorganic fert CO2</v>
      </c>
      <c r="D42" s="77" t="s">
        <v>145</v>
      </c>
    </row>
    <row r="43" spans="1:10" ht="20.100000000000001" customHeight="1" x14ac:dyDescent="0.2">
      <c r="A43" s="5" t="str">
        <f>HYPERLINK("#'5.2.1.1-2 Organic Fert N2O'!A1", "5.2.1.1-2 Organic Fert N2O")</f>
        <v>5.2.1.1-2 Organic Fert N2O</v>
      </c>
      <c r="D43" s="11" t="s">
        <v>132</v>
      </c>
      <c r="E43" s="11" t="s">
        <v>121</v>
      </c>
      <c r="F43" s="11" t="s">
        <v>117</v>
      </c>
      <c r="G43" s="11" t="s">
        <v>142</v>
      </c>
      <c r="H43" s="11" t="s">
        <v>119</v>
      </c>
      <c r="I43" s="11" t="s">
        <v>120</v>
      </c>
      <c r="J43" s="11" t="s">
        <v>118</v>
      </c>
    </row>
    <row r="44" spans="1:10" ht="20.100000000000001" customHeight="1" x14ac:dyDescent="0.2">
      <c r="A44" s="5" t="str">
        <f>HYPERLINK("#'5.3.1.1-2 Lime CO2'!A1", "5.3.1.1-2 Lime CO2")</f>
        <v>5.3.1.1-2 Lime CO2</v>
      </c>
      <c r="D44" s="1" t="s">
        <v>273</v>
      </c>
      <c r="E44" s="1" t="s">
        <v>122</v>
      </c>
      <c r="F44" s="1">
        <f>X_Cell_Enterprise_BirdsSold</f>
        <v>500</v>
      </c>
      <c r="G44" s="1">
        <f>F44/(F44+F46+F48)</f>
        <v>0.97847358121330719</v>
      </c>
      <c r="H44" s="1">
        <f>($E$36/F44)*G44</f>
        <v>244.5014705715279</v>
      </c>
      <c r="I44" s="1">
        <f>($F$36/F44)*G44</f>
        <v>11170.889344941761</v>
      </c>
      <c r="J44" s="9" t="s">
        <v>292</v>
      </c>
    </row>
    <row r="45" spans="1:10" ht="20.100000000000001" customHeight="1" x14ac:dyDescent="0.2">
      <c r="A45" s="5" t="str">
        <f>HYPERLINK("#'5.4.1.1-4 Atmos deposition'!A1", "5.4.1.1-4 Atmos deposition")</f>
        <v>5.4.1.1-4 Atmos deposition</v>
      </c>
      <c r="D45" s="1" t="s">
        <v>274</v>
      </c>
      <c r="E45" s="1" t="s">
        <v>122</v>
      </c>
      <c r="F45" s="1">
        <f>F44</f>
        <v>500</v>
      </c>
      <c r="G45" s="1">
        <f>G44</f>
        <v>0.97847358121330719</v>
      </c>
      <c r="H45" s="1">
        <f>($E$37/F45)*G45</f>
        <v>244.5014705715279</v>
      </c>
      <c r="I45" s="1">
        <f>($F$37/F45)*G45</f>
        <v>11170.889344941761</v>
      </c>
      <c r="J45" s="9" t="s">
        <v>292</v>
      </c>
    </row>
    <row r="46" spans="1:10" ht="20.100000000000001" customHeight="1" x14ac:dyDescent="0.2">
      <c r="A46" s="5" t="str">
        <f>HYPERLINK("#'5.5.1.1-2 Leaching and runoff'!A1", "5.5.1.1-2 Leaching and runoff")</f>
        <v>5.5.1.1-2 Leaching and runoff</v>
      </c>
      <c r="D46" s="1" t="s">
        <v>283</v>
      </c>
      <c r="E46" s="1" t="s">
        <v>122</v>
      </c>
      <c r="F46" s="1">
        <f>X_Cell_Enterprise_EggsProduced</f>
        <v>10</v>
      </c>
      <c r="G46" s="1">
        <f>F46/(F44+F46+F48)</f>
        <v>1.9569471624266144E-2</v>
      </c>
      <c r="H46" s="1">
        <f>($E$36/F46)*G46</f>
        <v>244.5014705715279</v>
      </c>
      <c r="I46" s="1">
        <f>($F$36/F46)*G46</f>
        <v>11170.889344941763</v>
      </c>
      <c r="J46" s="9" t="s">
        <v>293</v>
      </c>
    </row>
    <row r="47" spans="1:10" ht="20.100000000000001" customHeight="1" x14ac:dyDescent="0.2">
      <c r="D47" s="1" t="s">
        <v>284</v>
      </c>
      <c r="E47" s="1" t="s">
        <v>122</v>
      </c>
      <c r="F47" s="1">
        <f>F46</f>
        <v>10</v>
      </c>
      <c r="G47" s="1">
        <f>G46</f>
        <v>1.9569471624266144E-2</v>
      </c>
      <c r="H47" s="1">
        <f>($E$37/F47)*G47</f>
        <v>244.5014705715279</v>
      </c>
      <c r="I47" s="1">
        <f>($F$37/F47)*G47</f>
        <v>11170.889344941763</v>
      </c>
      <c r="J47" s="9" t="s">
        <v>293</v>
      </c>
    </row>
    <row r="48" spans="1:10" ht="20.100000000000001" customHeight="1" x14ac:dyDescent="0.2">
      <c r="D48" s="1" t="s">
        <v>275</v>
      </c>
      <c r="E48" s="1" t="s">
        <v>123</v>
      </c>
      <c r="F48" s="1">
        <f>X_Cell_Enterprise_ManureProduced*X_Cell_Enterprise_PercentManureSold</f>
        <v>1</v>
      </c>
      <c r="G48" s="1">
        <f>F48/(F44+F46+F48)</f>
        <v>1.9569471624266144E-3</v>
      </c>
      <c r="H48" s="1">
        <f>($E$36/F48)*G48</f>
        <v>244.5014705715279</v>
      </c>
      <c r="I48" s="1">
        <f>($F$36/F48)*G48</f>
        <v>11170.889344941763</v>
      </c>
      <c r="J48" s="9" t="s">
        <v>294</v>
      </c>
    </row>
    <row r="49" spans="1:10" ht="20.100000000000001" customHeight="1" x14ac:dyDescent="0.2">
      <c r="A49" s="80" t="s">
        <v>1</v>
      </c>
      <c r="D49" s="1" t="s">
        <v>276</v>
      </c>
      <c r="E49" s="1" t="s">
        <v>123</v>
      </c>
      <c r="F49" s="1">
        <f>F48</f>
        <v>1</v>
      </c>
      <c r="G49" s="1">
        <f>G48</f>
        <v>1.9569471624266144E-3</v>
      </c>
      <c r="H49" s="96">
        <f>($E$37/F49)*G49</f>
        <v>244.5014705715279</v>
      </c>
      <c r="I49" s="96">
        <f>($F$37/F49)*G49</f>
        <v>11170.889344941763</v>
      </c>
      <c r="J49" s="9" t="s">
        <v>294</v>
      </c>
    </row>
    <row r="50" spans="1:10" ht="20.100000000000001" customHeight="1" x14ac:dyDescent="0.2">
      <c r="A50" s="5" t="str">
        <f>HYPERLINK("#'Constants - Poultry'!A1", "Constants - Poultry")</f>
        <v>Constants - Poultry</v>
      </c>
      <c r="D50" s="1" t="s">
        <v>277</v>
      </c>
      <c r="E50" s="1" t="s">
        <v>125</v>
      </c>
      <c r="F50" s="1">
        <f>X_Cell_Enterprise_ManureProduced*X_Cell_Enterprise_PercentManureFertiliserOwnFarm</f>
        <v>1</v>
      </c>
      <c r="G50" s="1" t="s">
        <v>124</v>
      </c>
      <c r="H50" s="1" t="s">
        <v>124</v>
      </c>
      <c r="I50" s="1" t="s">
        <v>124</v>
      </c>
      <c r="J50" s="9"/>
    </row>
    <row r="51" spans="1:10" ht="20.100000000000001" customHeight="1" x14ac:dyDescent="0.2">
      <c r="A51" s="5" t="str">
        <f>HYPERLINK("#'Constants - Common livestock'!A1", "Constants - Common Livestock")</f>
        <v>Constants - Common Livestock</v>
      </c>
    </row>
    <row r="52" spans="1:10" ht="20.100000000000001" customHeight="1" x14ac:dyDescent="0.2">
      <c r="A52" s="5" t="str">
        <f>HYPERLINK("#'Constants - Electricity'!A1", "Constants - Electricity")</f>
        <v>Constants - Electricity</v>
      </c>
      <c r="D52" s="77" t="s">
        <v>146</v>
      </c>
    </row>
    <row r="53" spans="1:10" ht="20.100000000000001" customHeight="1" x14ac:dyDescent="0.2">
      <c r="A53" s="5" t="str">
        <f>HYPERLINK("#'Constants - Fertiliser'!A1", "Constants - Fertiliser")</f>
        <v>Constants - Fertiliser</v>
      </c>
      <c r="D53" s="11" t="s">
        <v>132</v>
      </c>
      <c r="E53" s="11" t="s">
        <v>121</v>
      </c>
      <c r="F53" s="11" t="s">
        <v>117</v>
      </c>
      <c r="G53" s="11" t="s">
        <v>141</v>
      </c>
      <c r="H53" s="11" t="s">
        <v>143</v>
      </c>
      <c r="I53" s="11" t="s">
        <v>144</v>
      </c>
      <c r="J53" s="11" t="s">
        <v>118</v>
      </c>
    </row>
    <row r="54" spans="1:10" ht="20.100000000000001" customHeight="1" x14ac:dyDescent="0.2">
      <c r="A54" s="5" t="str">
        <f>HYPERLINK("#'Constants - Fuel'!A1", "Constants - Fuel")</f>
        <v>Constants - Fuel</v>
      </c>
      <c r="D54" s="1" t="s">
        <v>273</v>
      </c>
      <c r="E54" s="1" t="s">
        <v>122</v>
      </c>
      <c r="F54" s="1">
        <f>X_Cell_Enterprise_BirdsSold</f>
        <v>500</v>
      </c>
      <c r="G54" s="1">
        <f>X_Cell_Enterprise_PercentIncomeFromBirdsSold</f>
        <v>0.8</v>
      </c>
      <c r="H54" s="1">
        <f>$E$36*G54/F54</f>
        <v>199.90440233928126</v>
      </c>
      <c r="I54" s="1">
        <f>$F$36*G54/F54</f>
        <v>9133.3191284243858</v>
      </c>
      <c r="J54" s="9" t="s">
        <v>292</v>
      </c>
    </row>
    <row r="55" spans="1:10" ht="20.100000000000001" customHeight="1" x14ac:dyDescent="0.2">
      <c r="A55" s="5" t="str">
        <f>HYPERLINK("#'Constants - Scope 3'!A1", "Constants - Scope 3")</f>
        <v>Constants - Scope 3</v>
      </c>
      <c r="D55" s="1" t="s">
        <v>274</v>
      </c>
      <c r="E55" s="1" t="s">
        <v>122</v>
      </c>
      <c r="F55" s="1">
        <f>F54</f>
        <v>500</v>
      </c>
      <c r="G55" s="1">
        <f>G54</f>
        <v>0.8</v>
      </c>
      <c r="H55" s="1">
        <f>$E$37*G55/F55</f>
        <v>199.90440233928126</v>
      </c>
      <c r="I55" s="1">
        <f>$F$37*G55/F55</f>
        <v>9133.3191284243858</v>
      </c>
      <c r="J55" s="9" t="s">
        <v>292</v>
      </c>
    </row>
    <row r="56" spans="1:10" ht="20.100000000000001" customHeight="1" x14ac:dyDescent="0.2">
      <c r="A56" s="5" t="str">
        <f>HYPERLINK("#'Constants - Solid Waste'!A1", "Constants - Solid Waste")</f>
        <v>Constants - Solid Waste</v>
      </c>
      <c r="D56" s="1" t="s">
        <v>283</v>
      </c>
      <c r="E56" s="1" t="s">
        <v>122</v>
      </c>
      <c r="F56" s="1">
        <f>X_Cell_Enterprise_EggsProduced</f>
        <v>10</v>
      </c>
      <c r="G56" s="1">
        <f>X_Cell_Enterprise_PercentIncomeFromEggsSold</f>
        <v>0.8</v>
      </c>
      <c r="H56" s="1">
        <f>$E$36*G56/F56</f>
        <v>9995.220116964063</v>
      </c>
      <c r="I56" s="1">
        <f>$F$36*G56/F56</f>
        <v>456665.95642121928</v>
      </c>
      <c r="J56" s="9" t="s">
        <v>293</v>
      </c>
    </row>
    <row r="57" spans="1:10" ht="20.100000000000001" customHeight="1" x14ac:dyDescent="0.2">
      <c r="A57" s="5" t="str">
        <f>HYPERLINK("#'Constants - Common'!A1", "Constants - Common")</f>
        <v>Constants - Common</v>
      </c>
      <c r="D57" s="1" t="s">
        <v>284</v>
      </c>
      <c r="E57" s="1" t="s">
        <v>122</v>
      </c>
      <c r="F57" s="1">
        <f>F56</f>
        <v>10</v>
      </c>
      <c r="G57" s="1">
        <f>G56</f>
        <v>0.8</v>
      </c>
      <c r="H57" s="1">
        <f>$E$37*G57/F57</f>
        <v>9995.220116964063</v>
      </c>
      <c r="I57" s="1">
        <f>$F$37*G57/F57</f>
        <v>456665.95642121928</v>
      </c>
      <c r="J57" s="9" t="s">
        <v>293</v>
      </c>
    </row>
    <row r="58" spans="1:10" ht="20.100000000000001" customHeight="1" x14ac:dyDescent="0.2">
      <c r="D58" s="1" t="s">
        <v>275</v>
      </c>
      <c r="E58" s="1" t="s">
        <v>123</v>
      </c>
      <c r="F58" s="1">
        <f>X_Cell_Enterprise_ManureProduced*X_Cell_Enterprise_PercentManureSold</f>
        <v>1</v>
      </c>
      <c r="G58" s="1">
        <f>X_Cell_Enterprise_PercentIncomeFromManureSold</f>
        <v>0.2</v>
      </c>
      <c r="H58" s="1">
        <f>$E$36*G58/F58</f>
        <v>24988.050292410157</v>
      </c>
      <c r="I58" s="1">
        <f>$F$36*G58/F58</f>
        <v>1141664.8910530482</v>
      </c>
      <c r="J58" s="9" t="s">
        <v>294</v>
      </c>
    </row>
    <row r="59" spans="1:10" ht="20.100000000000001" customHeight="1" x14ac:dyDescent="0.2">
      <c r="D59" s="1" t="s">
        <v>276</v>
      </c>
      <c r="E59" s="1" t="s">
        <v>123</v>
      </c>
      <c r="F59" s="1">
        <f>F58</f>
        <v>1</v>
      </c>
      <c r="G59" s="1">
        <f>G58</f>
        <v>0.2</v>
      </c>
      <c r="H59" s="1">
        <f>$E$37*G59/F59</f>
        <v>24988.050292410157</v>
      </c>
      <c r="I59" s="1">
        <f>$F$37*G59/F59</f>
        <v>1141664.8910530482</v>
      </c>
      <c r="J59" s="9" t="s">
        <v>294</v>
      </c>
    </row>
    <row r="60" spans="1:10" ht="20.100000000000001" customHeight="1" x14ac:dyDescent="0.2">
      <c r="D60" s="1" t="s">
        <v>277</v>
      </c>
      <c r="E60" s="1" t="s">
        <v>125</v>
      </c>
      <c r="F60" s="1">
        <f>X_Cell_Enterprise_ManureProduced*X_Cell_Enterprise_PercentManureFertiliserOwnFarm</f>
        <v>1</v>
      </c>
      <c r="G60" s="1" t="s">
        <v>124</v>
      </c>
      <c r="H60" s="1" t="s">
        <v>124</v>
      </c>
      <c r="I60" s="1" t="s">
        <v>124</v>
      </c>
      <c r="J60" s="9"/>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A1:J80"/>
  <sheetViews>
    <sheetView showGridLines="0" zoomScaleNormal="100" workbookViewId="0">
      <pane xSplit="1" topLeftCell="B1" activePane="topRight" state="frozenSplit"/>
      <selection pane="topRight" activeCell="A56" sqref="A56"/>
      <extLst>
        <ext xmlns:xlsdti="http://schemas.microsoft.com/office/spreadsheetml/2023/showDataTypeIcons" uri="{77bfe23e-c014-4d31-8a63-9c772dbf06b6}">
          <xlsdti:showDataTypeIcons visible="0"/>
        </ext>
      </extLst>
    </sheetView>
  </sheetViews>
  <sheetFormatPr defaultRowHeight="20.100000000000001" customHeight="1" x14ac:dyDescent="0.2"/>
  <cols>
    <col min="1" max="1" width="36.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1:10" ht="30" customHeight="1" x14ac:dyDescent="0.35">
      <c r="A1" s="10" t="e" vm="1">
        <v>#VALUE!</v>
      </c>
      <c r="C1" s="27" t="s">
        <v>139</v>
      </c>
      <c r="D1" s="21"/>
      <c r="E1" s="21"/>
      <c r="F1" s="21"/>
      <c r="G1" s="21"/>
      <c r="H1" s="21"/>
      <c r="I1" s="21"/>
      <c r="J1" s="21"/>
    </row>
    <row r="2" spans="1:10" ht="20.100000000000001" customHeight="1" x14ac:dyDescent="0.2">
      <c r="C2" s="3"/>
      <c r="D2" s="3"/>
      <c r="E2" s="3"/>
      <c r="F2" s="3"/>
      <c r="G2" s="3"/>
      <c r="H2" s="3"/>
      <c r="I2" s="3"/>
      <c r="J2" s="3"/>
    </row>
    <row r="3" spans="1:10" ht="20.100000000000001" customHeight="1" x14ac:dyDescent="0.2">
      <c r="A3" s="5" t="str">
        <f>HYPERLINK("#'Home'!A1", "Home")</f>
        <v>Home</v>
      </c>
      <c r="C3" s="28"/>
      <c r="D3" s="28"/>
      <c r="E3" s="28"/>
      <c r="F3" s="28"/>
      <c r="G3" s="28"/>
      <c r="H3" s="28"/>
      <c r="I3" s="28"/>
      <c r="J3" s="28"/>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c r="D5" s="2" t="s">
        <v>87</v>
      </c>
      <c r="E5" s="24"/>
      <c r="F5" s="24"/>
      <c r="G5" s="24"/>
    </row>
    <row r="6" spans="1:10" ht="20.100000000000001" customHeight="1" x14ac:dyDescent="0.2">
      <c r="D6" s="31"/>
      <c r="E6" s="24"/>
      <c r="F6" s="24"/>
      <c r="G6" s="24"/>
    </row>
    <row r="7" spans="1:10" ht="20.100000000000001" customHeight="1" x14ac:dyDescent="0.2">
      <c r="D7" s="1" t="s">
        <v>88</v>
      </c>
      <c r="E7" s="33" t="s">
        <v>89</v>
      </c>
      <c r="F7" s="16"/>
      <c r="G7" s="24"/>
    </row>
    <row r="8" spans="1:10" ht="20.100000000000001" customHeight="1" x14ac:dyDescent="0.2">
      <c r="A8" s="7" t="s">
        <v>0</v>
      </c>
      <c r="D8" s="12" t="s">
        <v>90</v>
      </c>
      <c r="E8" s="33" t="s">
        <v>91</v>
      </c>
      <c r="F8" s="24"/>
      <c r="G8" s="24"/>
    </row>
    <row r="9" spans="1:10" ht="20.100000000000001" customHeight="1" x14ac:dyDescent="0.2">
      <c r="A9" s="100" t="str">
        <f>HYPERLINK("#'Input - Enterprise'!A1", "Enterprise")</f>
        <v>Enterprise</v>
      </c>
      <c r="D9" s="24"/>
      <c r="E9" s="24"/>
      <c r="F9" s="24"/>
      <c r="G9" s="24"/>
    </row>
    <row r="10" spans="1:10" ht="20.100000000000001" customHeight="1" x14ac:dyDescent="0.2">
      <c r="A10" s="5" t="str">
        <f>HYPERLINK("#'Input - Site'!A1", "Site")</f>
        <v>Site</v>
      </c>
      <c r="D10" s="35" t="s">
        <v>92</v>
      </c>
      <c r="E10" s="36"/>
      <c r="F10" s="37"/>
      <c r="G10" s="38"/>
    </row>
    <row r="11" spans="1:10" ht="20.100000000000001" customHeight="1" x14ac:dyDescent="0.2">
      <c r="A11" s="5" t="str">
        <f>HYPERLINK("#'Input - Poultry'!A1", "Poultry")</f>
        <v>Poultry</v>
      </c>
      <c r="D11" s="24"/>
      <c r="E11" s="24"/>
      <c r="F11" s="24"/>
      <c r="G11" s="24"/>
    </row>
    <row r="12" spans="1:10" ht="20.100000000000001" customHeight="1" x14ac:dyDescent="0.2">
      <c r="A12" s="5" t="str">
        <f>HYPERLINK("#'Input - Livestock sales'!A1", "Livestock sales")</f>
        <v>Livestock sales</v>
      </c>
      <c r="D12" s="12" t="s">
        <v>16</v>
      </c>
      <c r="E12" s="14">
        <v>45658</v>
      </c>
      <c r="F12" s="16" t="s">
        <v>93</v>
      </c>
      <c r="G12" s="24"/>
    </row>
    <row r="13" spans="1:10" ht="20.100000000000001" customHeight="1" x14ac:dyDescent="0.2">
      <c r="A13" s="5" t="str">
        <f>HYPERLINK("#'Input - Poultry purchases'!A1", "Poultry purchases")</f>
        <v>Poultry purchases</v>
      </c>
      <c r="D13" s="12" t="s">
        <v>17</v>
      </c>
      <c r="E13" s="40">
        <f>DATE(YEAR(E12)+1,MONTH(E12),DAY(E12))-1</f>
        <v>46022</v>
      </c>
      <c r="F13" s="16" t="s">
        <v>94</v>
      </c>
      <c r="G13" s="24"/>
    </row>
    <row r="14" spans="1:10" ht="20.100000000000001" customHeight="1" x14ac:dyDescent="0.2">
      <c r="A14" s="5" t="str">
        <f>HYPERLINK("#'Input - Fuel'!A1", "Fuel")</f>
        <v>Fuel</v>
      </c>
      <c r="F14" s="24"/>
      <c r="G14" s="24"/>
    </row>
    <row r="15" spans="1:10" ht="20.100000000000001" customHeight="1" x14ac:dyDescent="0.2">
      <c r="A15" s="5" t="str">
        <f>HYPERLINK("#'Input - Electricity'!A1", "Electricity")</f>
        <v>Electricity</v>
      </c>
    </row>
    <row r="16" spans="1:10" ht="20.100000000000001" customHeight="1" x14ac:dyDescent="0.2">
      <c r="A16" s="5" t="str">
        <f>HYPERLINK("#'Input - Common farm inputs'!A1", "Common farm inputs")</f>
        <v>Common farm inputs</v>
      </c>
      <c r="D16" s="2" t="s">
        <v>18</v>
      </c>
    </row>
    <row r="17" spans="1:6" ht="20.100000000000001" customHeight="1" x14ac:dyDescent="0.2">
      <c r="A17" s="5" t="str">
        <f>HYPERLINK("#'Input - Livestock farm Inputs'!A1", "Livestock farm Inputs")</f>
        <v>Livestock farm Inputs</v>
      </c>
    </row>
    <row r="18" spans="1:6" ht="20.100000000000001" customHeight="1" x14ac:dyDescent="0.2">
      <c r="A18" s="5" t="str">
        <f>HYPERLINK("#'Input - Freight'!A1", "Freight")</f>
        <v>Freight</v>
      </c>
      <c r="D18" s="1" t="s">
        <v>13</v>
      </c>
      <c r="E18" s="14">
        <v>45962</v>
      </c>
      <c r="F18" s="16" t="s">
        <v>93</v>
      </c>
    </row>
    <row r="19" spans="1:6" ht="20.100000000000001" customHeight="1" x14ac:dyDescent="0.2">
      <c r="A19" s="5" t="str">
        <f>HYPERLINK("#'Input - Solid waste'!A1", "Solid waste")</f>
        <v>Solid waste</v>
      </c>
      <c r="D19" s="1" t="s">
        <v>14</v>
      </c>
      <c r="E19" s="14">
        <v>46112</v>
      </c>
      <c r="F19" s="16" t="s">
        <v>93</v>
      </c>
    </row>
    <row r="20" spans="1:6" ht="20.100000000000001" customHeight="1" x14ac:dyDescent="0.2">
      <c r="A20" s="5" t="str">
        <f>HYPERLINK("#'Input - Manure sent off-site'!A1", "Manure sent off-site")</f>
        <v>Manure sent off-site</v>
      </c>
      <c r="D20" s="1" t="s">
        <v>15</v>
      </c>
      <c r="E20" s="15">
        <f>DATEDIF(E18,E19+1,"m")</f>
        <v>5</v>
      </c>
      <c r="F20" s="16" t="s">
        <v>116</v>
      </c>
    </row>
    <row r="21" spans="1:6" ht="20.100000000000001" customHeight="1" x14ac:dyDescent="0.2">
      <c r="A21" s="5" t="str">
        <f>HYPERLINK("#'Input - Data quality'!A1", "Data quality")</f>
        <v>Data quality</v>
      </c>
    </row>
    <row r="22" spans="1:6" ht="20.100000000000001" customHeight="1" x14ac:dyDescent="0.2">
      <c r="A22" s="5" t="str">
        <f>HYPERLINK("#'Input - Fert Prod System'!A1", "Fert Prod System")</f>
        <v>Fert Prod System</v>
      </c>
      <c r="D22" s="1" t="s">
        <v>279</v>
      </c>
      <c r="E22" s="76">
        <f>SUM(Table_Input_LivestockSales[Total liveweight sold])*10^-3</f>
        <v>500</v>
      </c>
      <c r="F22" s="16" t="s">
        <v>19</v>
      </c>
    </row>
    <row r="23" spans="1:6" ht="20.100000000000001" customHeight="1" x14ac:dyDescent="0.2">
      <c r="A23" s="5" t="str">
        <f>HYPERLINK("#'Input - Fertiliser'!A1", "Fertiliser")</f>
        <v>Fertiliser</v>
      </c>
      <c r="D23" s="1" t="s">
        <v>280</v>
      </c>
      <c r="E23" s="74">
        <v>10</v>
      </c>
      <c r="F23" s="16" t="s">
        <v>19</v>
      </c>
    </row>
    <row r="24" spans="1:6" ht="20.100000000000001" customHeight="1" x14ac:dyDescent="0.2">
      <c r="D24" s="1" t="s">
        <v>265</v>
      </c>
      <c r="E24" s="74">
        <v>10</v>
      </c>
      <c r="F24" s="16" t="s">
        <v>19</v>
      </c>
    </row>
    <row r="25" spans="1:6" ht="20.100000000000001" customHeight="1" x14ac:dyDescent="0.2">
      <c r="D25" s="1" t="s">
        <v>271</v>
      </c>
      <c r="E25" s="18">
        <v>0.1</v>
      </c>
      <c r="F25" s="16" t="s">
        <v>140</v>
      </c>
    </row>
    <row r="26" spans="1:6" ht="20.100000000000001" customHeight="1" x14ac:dyDescent="0.2">
      <c r="A26" s="6" t="s">
        <v>2</v>
      </c>
      <c r="D26" s="1" t="s">
        <v>272</v>
      </c>
      <c r="E26" s="18">
        <v>0.1</v>
      </c>
      <c r="F26" s="16" t="s">
        <v>140</v>
      </c>
    </row>
    <row r="27" spans="1:6" ht="20.100000000000001" customHeight="1" x14ac:dyDescent="0.2">
      <c r="A27" s="5" t="str">
        <f>HYPERLINK("#'4.6.1.1-2 Methane'!A1", "4.6.1.1-2 Manure Methane")</f>
        <v>4.6.1.1-2 Manure Methane</v>
      </c>
    </row>
    <row r="28" spans="1:6" ht="20.100000000000001" customHeight="1" x14ac:dyDescent="0.2">
      <c r="A28" s="5" t="str">
        <f>HYPERLINK("#'4.6.1.3-4 Direct N20'!A1", "4.6.1.3-4 Manure Direct N2O")</f>
        <v>4.6.1.3-4 Manure Direct N2O</v>
      </c>
      <c r="D28" s="1" t="s">
        <v>281</v>
      </c>
      <c r="E28" s="18">
        <v>0.8</v>
      </c>
      <c r="F28" s="16" t="s">
        <v>140</v>
      </c>
    </row>
    <row r="29" spans="1:6" ht="20.100000000000001" customHeight="1" x14ac:dyDescent="0.2">
      <c r="A29" s="5" t="str">
        <f>HYPERLINK("#'4.6.1.5-6 Atmos Dep'!A1", "4.6.1.5-6 Manure Atmos Dep")</f>
        <v>4.6.1.5-6 Manure Atmos Dep</v>
      </c>
      <c r="D29" s="1" t="s">
        <v>282</v>
      </c>
      <c r="E29" s="18">
        <v>0.8</v>
      </c>
      <c r="F29" s="16" t="s">
        <v>140</v>
      </c>
    </row>
    <row r="30" spans="1:6" ht="20.100000000000001" customHeight="1" x14ac:dyDescent="0.2">
      <c r="A30" s="5" t="str">
        <f>HYPERLINK("#'4.6.1.7-8 Leaching and runoff'!A1", "4.6.1.7-8 Manure Leaching and runoff")</f>
        <v>4.6.1.7-8 Manure Leaching and runoff</v>
      </c>
      <c r="D30" s="1" t="s">
        <v>270</v>
      </c>
      <c r="E30" s="18">
        <v>0.2</v>
      </c>
      <c r="F30" s="16" t="s">
        <v>140</v>
      </c>
    </row>
    <row r="31" spans="1:6" ht="20.100000000000001" customHeight="1" x14ac:dyDescent="0.2">
      <c r="A31" s="5" t="str">
        <f>HYPERLINK("#'4.6.1.9 Manure applied to soils'!A1", "4.6.1.9 Manure applied to soils")</f>
        <v>4.6.1.9 Manure applied to soils</v>
      </c>
    </row>
    <row r="32" spans="1:6" ht="20.100000000000001" customHeight="1" x14ac:dyDescent="0.2">
      <c r="A32" s="5" t="str">
        <f>HYPERLINK("#'4.6.1.10-11 Soil direct N2O'!A1", "4.6.1.10-11 Soil direct N2O")</f>
        <v>4.6.1.10-11 Soil direct N2O</v>
      </c>
    </row>
    <row r="33" spans="1:7" ht="20.100000000000001" customHeight="1" x14ac:dyDescent="0.2">
      <c r="A33" s="5" t="str">
        <f>HYPERLINK("#'4.6.1.12-13 Soil atmos dep'!A1", "4.6.1.12-13 Soil atmos dep")</f>
        <v>4.6.1.12-13 Soil atmos dep</v>
      </c>
      <c r="D33" s="2" t="s">
        <v>228</v>
      </c>
    </row>
    <row r="34" spans="1:7" ht="20.100000000000001" customHeight="1" x14ac:dyDescent="0.2">
      <c r="A34" s="5" t="str">
        <f>HYPERLINK("#'4.6.1.14-15 Soil leach runoff'!A1", "4.6.1.14-15 Soil leach runoff")</f>
        <v>4.6.1.14-15 Soil leach runoff</v>
      </c>
    </row>
    <row r="35" spans="1:7" ht="20.100000000000001" customHeight="1" x14ac:dyDescent="0.2">
      <c r="A35" s="5" t="str">
        <f>HYPERLINK("#'8.1.1.1-2 Transport fuel'!A1", "8.1.1.1-2 Transport fuel")</f>
        <v>8.1.1.1-2 Transport fuel</v>
      </c>
    </row>
    <row r="36" spans="1:7" ht="20.100000000000001" customHeight="1" x14ac:dyDescent="0.2">
      <c r="A36" s="5" t="str">
        <f>HYPERLINK("#'8.2.1.1-2 Stationary fuel'!A1", "8.2.1.1-2 Stationary fuel")</f>
        <v>8.2.1.1-2 Stationary fuel</v>
      </c>
      <c r="D36" s="77" t="str">
        <f>"Carbon captured from " &amp; TEXT(X_Cell_Site_StartDate, "d mmmm yyyy") &amp; " to " &amp; TEXT(X_Cell_Site_EndDate, "d, mmmm, yyyy") &amp; " from environmental plantings"</f>
        <v>Carbon captured from 1 January 2025 to 31, December, 2025 from environmental plantings</v>
      </c>
    </row>
    <row r="37" spans="1:7" ht="20.100000000000001" customHeight="1" x14ac:dyDescent="0.2">
      <c r="A37" s="5" t="str">
        <f>HYPERLINK("#'10.1.1-2 Solid waste treatment'!A1", "10.1.1.1-2 Solid waste")</f>
        <v>10.1.1.1-2 Solid waste</v>
      </c>
    </row>
    <row r="38" spans="1:7" ht="20.100000000000001" customHeight="1" x14ac:dyDescent="0.2">
      <c r="A38" s="5" t="str">
        <f>HYPERLINK("#'14.1.1-2 Purchased electricity'!A1", "14.1.1-2 Purchased electricity")</f>
        <v>14.1.1-2 Purchased electricity</v>
      </c>
      <c r="D38" s="19" t="s">
        <v>229</v>
      </c>
      <c r="E38" s="19" t="s">
        <v>230</v>
      </c>
      <c r="F38" s="19" t="s">
        <v>231</v>
      </c>
      <c r="G38" s="78" t="s">
        <v>232</v>
      </c>
    </row>
    <row r="39" spans="1:7" ht="20.100000000000001" customHeight="1" x14ac:dyDescent="0.2">
      <c r="A39" s="5" t="str">
        <f>HYPERLINK("#'15 Scope 3'!A1", "15 Scope 3")</f>
        <v>15 Scope 3</v>
      </c>
      <c r="D39" s="33"/>
      <c r="E39" s="74"/>
      <c r="F39" s="18"/>
      <c r="G39" s="1">
        <f>Table_Input_Enterprise_PlantingRemovals[[#This Row],[Total removed CO2]]*Table_Input_Enterprise_PlantingRemovals[[#This Row],[Percent allocated to this enterprise]]</f>
        <v>0</v>
      </c>
    </row>
    <row r="40" spans="1:7" ht="20.100000000000001" customHeight="1" x14ac:dyDescent="0.2">
      <c r="A40" s="5" t="str">
        <f>HYPERLINK("#'Calcs - Manure sent off-site'!A1", "Calcs - Manure sent off-site")</f>
        <v>Calcs - Manure sent off-site</v>
      </c>
    </row>
    <row r="41" spans="1:7" ht="20.100000000000001" customHeight="1" x14ac:dyDescent="0.2">
      <c r="A41" s="5" t="str">
        <f>HYPERLINK("#'5.1.1.1-2 Inorganic fert N2O'!A1", "5.1.1.1-2 Inorganic fert N2O")</f>
        <v>5.1.1.1-2 Inorganic fert N2O</v>
      </c>
    </row>
    <row r="42" spans="1:7" ht="20.100000000000001" customHeight="1" x14ac:dyDescent="0.2">
      <c r="A42" s="5" t="str">
        <f>HYPERLINK("#'5.1.1.3-4 Inorganic fert CO2'!A1", "5.1.1.3-4 Inorganic fert CO2")</f>
        <v>5.1.1.3-4 Inorganic fert CO2</v>
      </c>
    </row>
    <row r="43" spans="1:7" ht="20.100000000000001" customHeight="1" x14ac:dyDescent="0.2">
      <c r="A43" s="5" t="str">
        <f>HYPERLINK("#'5.2.1.1-2 Organic Fert N2O'!A1", "5.2.1.1-2 Organic Fert N2O")</f>
        <v>5.2.1.1-2 Organic Fert N2O</v>
      </c>
      <c r="D43" s="2" t="s">
        <v>233</v>
      </c>
    </row>
    <row r="44" spans="1:7" ht="20.100000000000001" customHeight="1" x14ac:dyDescent="0.2">
      <c r="A44" s="5" t="str">
        <f>HYPERLINK("#'5.3.1.1-2 Lime CO2'!A1", "5.3.1.1-2 Lime CO2")</f>
        <v>5.3.1.1-2 Lime CO2</v>
      </c>
    </row>
    <row r="45" spans="1:7" ht="20.100000000000001" customHeight="1" x14ac:dyDescent="0.2">
      <c r="A45" s="5" t="str">
        <f>HYPERLINK("#'5.4.1.1-4 Atmos deposition'!A1", "5.4.1.1-4 Atmos deposition")</f>
        <v>5.4.1.1-4 Atmos deposition</v>
      </c>
      <c r="D45" s="77"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1 November 2025 to 31 March 2026</v>
      </c>
    </row>
    <row r="46" spans="1:7" ht="20.100000000000001" customHeight="1" x14ac:dyDescent="0.2">
      <c r="A46" s="5" t="str">
        <f>HYPERLINK("#'5.5.1.1-2 Leaching and runoff'!A1", "5.5.1.1-2 Leaching and runoff")</f>
        <v>5.5.1.1-2 Leaching and runoff</v>
      </c>
    </row>
    <row r="47" spans="1:7" ht="20.100000000000001" customHeight="1" x14ac:dyDescent="0.2">
      <c r="D47" s="87" t="str" cm="1">
        <f t="array" ref="D47">"There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2 emissions calculation periods that need to be completed before total product emissions can be determined.</v>
      </c>
    </row>
    <row r="48" spans="1:7" ht="20.100000000000001" customHeight="1" x14ac:dyDescent="0.2">
      <c r="D48" s="1" t="s">
        <v>234</v>
      </c>
    </row>
    <row r="49" spans="1:7" ht="20.100000000000001" customHeight="1" x14ac:dyDescent="0.2">
      <c r="A49" s="80" t="s">
        <v>1</v>
      </c>
    </row>
    <row r="50" spans="1:7" ht="20.100000000000001" customHeight="1" x14ac:dyDescent="0.2">
      <c r="A50" s="5" t="str">
        <f>HYPERLINK("#'Constants - Poultry'!A1", "Constants - Poultry")</f>
        <v>Constants - Poultry</v>
      </c>
      <c r="D50" s="78" t="s">
        <v>115</v>
      </c>
      <c r="E50" s="78" t="s">
        <v>10</v>
      </c>
      <c r="F50" s="78" t="s">
        <v>11</v>
      </c>
    </row>
    <row r="51" spans="1:7" ht="20.100000000000001" customHeight="1" x14ac:dyDescent="0.2">
      <c r="A51" s="5" t="str">
        <f>HYPERLINK("#'Constants - Common livestock'!A1", "Constants - Common Livestock")</f>
        <v>Constants - Common Livestock</v>
      </c>
      <c r="D51" s="1" t="str" cm="1">
        <f t="array" ref="D51:D52">Common_InputFunctions.getOverlappingReportingPeriods(X_Cell_Enterprise_ProductionTimeframeStart,X_Cell_Enterprise_ProductionTimeframeEnd,X_Cell_Site_StartDate)</f>
        <v>01 Jan 2025 to 31 Dec 2025 (This reporting cycle)</v>
      </c>
      <c r="E51" s="74">
        <f>IF(ISBLANK($D51), 0, IF(ISNUMBER(SEARCH("reporting", $D51)), Result_Enterprise_Gross_Method1, "Enter value"))</f>
        <v>124940.25146205077</v>
      </c>
      <c r="F51" s="74">
        <f>IF(ISBLANK($D51), 0, IF(ISNUMBER(SEARCH("reporting", $D51)), Result_Enterprise_Gross_Method2, "Enter value"))</f>
        <v>5708324.4552652407</v>
      </c>
      <c r="G51" s="9" t="s">
        <v>7</v>
      </c>
    </row>
    <row r="52" spans="1:7" ht="20.100000000000001" customHeight="1" x14ac:dyDescent="0.2">
      <c r="A52" s="5" t="str">
        <f>HYPERLINK("#'Constants - Electricity'!A1", "Constants - Electricity")</f>
        <v>Constants - Electricity</v>
      </c>
      <c r="D52" s="1" t="str">
        <v>01 Jan 2026 to 31 Dec 2026</v>
      </c>
      <c r="E52" s="74" t="str">
        <f>IF(ISBLANK($D52), 0, IF(ISNUMBER(SEARCH("reporting", $D52)), Result_Enterprise_Gross_Method1, "Enter value"))</f>
        <v>Enter value</v>
      </c>
      <c r="F52" s="74" t="str">
        <f>IF(ISBLANK($D52), 0, IF(ISNUMBER(SEARCH("reporting", $D52)), Result_Enterprise_Gross_Method2, "Enter value"))</f>
        <v>Enter value</v>
      </c>
      <c r="G52" s="9" t="s">
        <v>7</v>
      </c>
    </row>
    <row r="53" spans="1:7" ht="20.100000000000001" customHeight="1" x14ac:dyDescent="0.2">
      <c r="A53" s="5" t="str">
        <f>HYPERLINK("#'Constants - Fertiliser'!A1", "Constants - Fertiliser")</f>
        <v>Constants - Fertiliser</v>
      </c>
      <c r="E53" s="74">
        <f>IF(ISBLANK($D53), 0, IF(ISNUMBER(SEARCH("reporting", $D53)), Result_Enterprise_Gross_Method1, "Enter value"))</f>
        <v>0</v>
      </c>
      <c r="F53" s="74">
        <f>IF(ISBLANK($D53), 0, IF(ISNUMBER(SEARCH("reporting", $D53)), Result_Enterprise_Gross_Method2, "Enter value"))</f>
        <v>0</v>
      </c>
      <c r="G53" s="9" t="s">
        <v>7</v>
      </c>
    </row>
    <row r="54" spans="1:7" ht="20.100000000000001" customHeight="1" x14ac:dyDescent="0.2">
      <c r="A54" s="5" t="str">
        <f>HYPERLINK("#'Constants - Fuel'!A1", "Constants - Fuel")</f>
        <v>Constants - Fuel</v>
      </c>
      <c r="E54" s="74">
        <f>IF(ISBLANK($D54), 0, IF(ISNUMBER(SEARCH("reporting", $D54)), Result_Enterprise_Gross_Method1, "Enter value"))</f>
        <v>0</v>
      </c>
      <c r="F54" s="74">
        <f>IF(ISBLANK($D54), 0, IF(ISNUMBER(SEARCH("reporting", $D54)), Result_Enterprise_Gross_Method2, "Enter value"))</f>
        <v>0</v>
      </c>
      <c r="G54" s="9" t="s">
        <v>7</v>
      </c>
    </row>
    <row r="55" spans="1:7" ht="20.100000000000001" customHeight="1" x14ac:dyDescent="0.2">
      <c r="A55" s="5" t="str">
        <f>HYPERLINK("#'Constants - Scope 3'!A1", "Constants - Scope 3")</f>
        <v>Constants - Scope 3</v>
      </c>
      <c r="E55" s="74">
        <f>IF(ISBLANK($D55), 0, IF(ISNUMBER(SEARCH("reporting", $D55)), Result_Enterprise_Gross_Method1, "Enter value"))</f>
        <v>0</v>
      </c>
      <c r="F55" s="74">
        <f>IF(ISBLANK($D55), 0, IF(ISNUMBER(SEARCH("reporting", $D55)), Result_Enterprise_Gross_Method2, "Enter value"))</f>
        <v>0</v>
      </c>
      <c r="G55" s="9" t="s">
        <v>7</v>
      </c>
    </row>
    <row r="56" spans="1:7" ht="20.100000000000001" customHeight="1" x14ac:dyDescent="0.2">
      <c r="A56" s="5" t="str">
        <f>HYPERLINK("#'Constants - Solid Waste'!A1", "Constants - Solid Waste")</f>
        <v>Constants - Solid Waste</v>
      </c>
      <c r="D56" s="88" t="s">
        <v>128</v>
      </c>
      <c r="E56" s="83">
        <f>SUM(E51:E55)</f>
        <v>124940.25146205077</v>
      </c>
      <c r="F56" s="83">
        <f>SUM(F51:F55)</f>
        <v>5708324.4552652407</v>
      </c>
      <c r="G56" s="89" t="s">
        <v>7</v>
      </c>
    </row>
    <row r="57" spans="1:7" ht="20.100000000000001" customHeight="1" x14ac:dyDescent="0.2">
      <c r="A57" s="5" t="str">
        <f>HYPERLINK("#'Constants - Common'!A1", "Constants - Common")</f>
        <v>Constants - Common</v>
      </c>
    </row>
    <row r="61" spans="1:7" ht="20.100000000000001" customHeight="1" x14ac:dyDescent="0.2">
      <c r="D61" s="77"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1 November 2025 and 31 March 2026</v>
      </c>
    </row>
    <row r="63" spans="1:7" ht="20.100000000000001" customHeight="1" x14ac:dyDescent="0.2">
      <c r="D63" s="78" t="s">
        <v>115</v>
      </c>
      <c r="E63" s="78" t="s">
        <v>126</v>
      </c>
      <c r="F63" s="78"/>
    </row>
    <row r="64" spans="1:7" ht="20.100000000000001" customHeight="1" x14ac:dyDescent="0.2">
      <c r="D64" s="1" t="str" cm="1">
        <f t="array" ref="D64:D65">Common_InputFunctions.getOverlappingReportingPeriods(X_Cell_Enterprise_ProductionTimeframeStart,X_Cell_Enterprise_ProductionTimeframeEnd,X_Cell_Site_StartDate)</f>
        <v>01 Jan 2025 to 31 Dec 2025 (This reporting cycle)</v>
      </c>
      <c r="E64" s="74">
        <f>IF(ISBLANK($D64), 0, IF(ISNUMBER(SEARCH("reporting", $D64)), SUM(Table_Input_Enterprise_PlantingRemovals[Removal allocated to this enterprise]), "Enter value"))</f>
        <v>0</v>
      </c>
      <c r="F64" s="9" t="s">
        <v>127</v>
      </c>
    </row>
    <row r="65" spans="1:7" ht="20.100000000000001" customHeight="1" x14ac:dyDescent="0.2">
      <c r="D65" s="1" t="str">
        <v>01 Jan 2026 to 31 Dec 2026</v>
      </c>
      <c r="E65" s="74" t="str">
        <f>IF(ISBLANK($D65), 0, IF(ISNUMBER(SEARCH("reporting", $D65)), SUM(Table_Input_Enterprise_PlantingRemovals[Removal allocated to this enterprise]), "Enter value"))</f>
        <v>Enter value</v>
      </c>
      <c r="F65" s="9" t="s">
        <v>127</v>
      </c>
    </row>
    <row r="66" spans="1:7" ht="20.100000000000001" customHeight="1" x14ac:dyDescent="0.2">
      <c r="E66" s="74">
        <f>IF(ISBLANK($D66), 0, IF(ISNUMBER(SEARCH("reporting", $D66)), SUM(Table_Input_Enterprise_PlantingRemovals[Removal allocated to this enterprise]), "Enter value"))</f>
        <v>0</v>
      </c>
      <c r="F66" s="9" t="s">
        <v>127</v>
      </c>
    </row>
    <row r="67" spans="1:7" ht="20.100000000000001" customHeight="1" x14ac:dyDescent="0.2">
      <c r="E67" s="74">
        <f>IF(ISBLANK($D67), 0, IF(ISNUMBER(SEARCH("reporting", $D67)), SUM(Table_Input_Enterprise_PlantingRemovals[Removal allocated to this enterprise]), "Enter value"))</f>
        <v>0</v>
      </c>
      <c r="F67" s="9" t="s">
        <v>127</v>
      </c>
    </row>
    <row r="68" spans="1:7" ht="20.100000000000001" customHeight="1" x14ac:dyDescent="0.2">
      <c r="A68" s="79" t="str">
        <f>HYPERLINK("#A1", "▲ Back to top")</f>
        <v>▲ Back to top</v>
      </c>
      <c r="E68" s="74">
        <f>IF(ISBLANK($D68), 0, IF(ISNUMBER(SEARCH("reporting", $D68)), SUM(Table_Input_Enterprise_PlantingRemovals[Removal allocated to this enterprise]), "Enter value"))</f>
        <v>0</v>
      </c>
      <c r="F68" s="9" t="s">
        <v>127</v>
      </c>
    </row>
    <row r="69" spans="1:7" ht="20.100000000000001" customHeight="1" x14ac:dyDescent="0.2">
      <c r="D69" s="88" t="s">
        <v>129</v>
      </c>
      <c r="E69" s="83">
        <f>SUM(E64:E68)</f>
        <v>0</v>
      </c>
      <c r="F69" s="89" t="s">
        <v>127</v>
      </c>
    </row>
    <row r="72" spans="1:7" ht="20.100000000000001" customHeight="1" x14ac:dyDescent="0.2">
      <c r="D72" s="77" t="str">
        <f>"Net emissions from other activity periods in the production timeframe " &amp; TEXT(X_Cell_Enterprise_ProductionTimeframeStart, "d mmmm yyyy") &amp; " to " &amp; TEXT(X_Cell_Enterprise_ProductionTimeframeEnd, "d mmmm yyyy")</f>
        <v>Net emissions from other activity periods in the production timeframe 1 November 2025 to 31 March 2026</v>
      </c>
    </row>
    <row r="74" spans="1:7" ht="20.100000000000001" customHeight="1" x14ac:dyDescent="0.2">
      <c r="D74" s="78" t="s">
        <v>115</v>
      </c>
      <c r="E74" s="78" t="s">
        <v>10</v>
      </c>
      <c r="F74" s="78" t="s">
        <v>11</v>
      </c>
    </row>
    <row r="75" spans="1:7" ht="20.100000000000001" customHeight="1" x14ac:dyDescent="0.2">
      <c r="D75" s="1" t="str" cm="1">
        <f t="array" ref="D75:D76">Common_InputFunctions.getOverlappingReportingPeriods(X_Cell_Enterprise_ProductionTimeframeStart,X_Cell_Enterprise_ProductionTimeframeEnd,X_Cell_Site_StartDate)</f>
        <v>01 Jan 2025 to 31 Dec 2025 (This reporting cycle)</v>
      </c>
      <c r="E75" s="74">
        <f>IF(ISBLANK($D75), 0, IF(ISNUMBER(SEARCH("reporting", $D75)), E51-$E$64, "Enter value"))</f>
        <v>124940.25146205077</v>
      </c>
      <c r="F75" s="74">
        <f>IF(ISBLANK($D75), 0, IF(ISNUMBER(SEARCH("reporting", $D75)), F51-$E$64, "Enter value"))</f>
        <v>5708324.4552652407</v>
      </c>
      <c r="G75" s="9" t="s">
        <v>7</v>
      </c>
    </row>
    <row r="76" spans="1:7" ht="20.100000000000001" customHeight="1" x14ac:dyDescent="0.2">
      <c r="D76" s="1" t="str">
        <v>01 Jan 2026 to 31 Dec 2026</v>
      </c>
      <c r="E76" s="74" t="str">
        <f>IF(ISBLANK($D76), 0, IF(ISNUMBER(SEARCH("reporting", $D76)), E52-$E$65, "Enter value"))</f>
        <v>Enter value</v>
      </c>
      <c r="F76" s="74" t="str">
        <f>IF(ISBLANK($D76), 0, IF(ISNUMBER(SEARCH("reporting", $D76)), F52-$E$65, "Enter value"))</f>
        <v>Enter value</v>
      </c>
      <c r="G76" s="9" t="s">
        <v>7</v>
      </c>
    </row>
    <row r="77" spans="1:7" ht="20.100000000000001" customHeight="1" x14ac:dyDescent="0.2">
      <c r="E77" s="74">
        <f>IF(ISBLANK($D77), 0, IF(ISNUMBER(SEARCH("reporting", $D77)), E53-$E$66, "Enter value"))</f>
        <v>0</v>
      </c>
      <c r="F77" s="74">
        <f>IF(ISBLANK($D77), 0, IF(ISNUMBER(SEARCH("reporting", $D77)), F53-$E$66, "Enter value"))</f>
        <v>0</v>
      </c>
      <c r="G77" s="9" t="s">
        <v>7</v>
      </c>
    </row>
    <row r="78" spans="1:7" ht="20.100000000000001" customHeight="1" x14ac:dyDescent="0.2">
      <c r="E78" s="74">
        <f>IF(ISBLANK($D78), 0, IF(ISNUMBER(SEARCH("reporting", $D78)), E54-$E$67, "Enter value"))</f>
        <v>0</v>
      </c>
      <c r="F78" s="74">
        <f>IF(ISBLANK($D78), 0, IF(ISNUMBER(SEARCH("reporting", $D78)), F54-$E$67, "Enter value"))</f>
        <v>0</v>
      </c>
      <c r="G78" s="9" t="s">
        <v>7</v>
      </c>
    </row>
    <row r="79" spans="1:7" ht="20.100000000000001" customHeight="1" x14ac:dyDescent="0.2">
      <c r="E79" s="74">
        <f>IF(ISBLANK($D79), 0, IF(ISNUMBER(SEARCH("reporting", $D79)), E55-$E$68, "Enter value"))</f>
        <v>0</v>
      </c>
      <c r="F79" s="74">
        <f>IF(ISBLANK($D79), 0, IF(ISNUMBER(SEARCH("reporting", $D79)), F55-$E$68, "Enter value"))</f>
        <v>0</v>
      </c>
      <c r="G79" s="9" t="s">
        <v>7</v>
      </c>
    </row>
    <row r="80" spans="1:7" ht="20.100000000000001" customHeight="1" x14ac:dyDescent="0.2">
      <c r="D80" s="88" t="s">
        <v>128</v>
      </c>
      <c r="E80" s="83">
        <f>SUM(E75:E79)</f>
        <v>124940.25146205077</v>
      </c>
      <c r="F80" s="83">
        <f>SUM(F75:F79)</f>
        <v>5708324.4552652407</v>
      </c>
      <c r="G80" s="89" t="s">
        <v>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95"/>
  <sheetViews>
    <sheetView showGridLines="0" zoomScaleNormal="100" workbookViewId="0">
      <pane xSplit="1" topLeftCell="B1" activePane="topRight" state="frozenSplit"/>
      <selection pane="topRight" activeCell="A56" sqref="A56"/>
    </sheetView>
  </sheetViews>
  <sheetFormatPr defaultColWidth="9.140625" defaultRowHeight="20.100000000000001" customHeight="1" x14ac:dyDescent="0.2"/>
  <cols>
    <col min="1" max="1" width="36.7109375" style="4" customWidth="1"/>
    <col min="2" max="2" width="4.7109375" style="21" customWidth="1"/>
    <col min="3" max="3" width="4.7109375" style="24" customWidth="1"/>
    <col min="4" max="4" width="60.7109375" style="24" customWidth="1"/>
    <col min="5" max="5" width="50.7109375" style="24" customWidth="1"/>
    <col min="6" max="11" width="28.7109375" style="24" customWidth="1"/>
    <col min="12" max="25" width="28.7109375" style="21" customWidth="1"/>
    <col min="26" max="27" width="9.140625" style="21"/>
    <col min="28" max="16384" width="9.140625" style="24"/>
  </cols>
  <sheetData>
    <row r="1" spans="1:24" s="21" customFormat="1" ht="30" customHeight="1" x14ac:dyDescent="0.35">
      <c r="A1" s="10" t="e" vm="1">
        <v>#VALUE!</v>
      </c>
      <c r="C1" s="27" t="s">
        <v>86</v>
      </c>
    </row>
    <row r="2" spans="1:24" s="21" customFormat="1" ht="20.100000000000001" customHeight="1" x14ac:dyDescent="0.2">
      <c r="A2"/>
      <c r="C2" s="3"/>
      <c r="D2" s="3"/>
      <c r="E2" s="3"/>
      <c r="F2" s="3"/>
      <c r="G2" s="3"/>
      <c r="H2" s="3"/>
      <c r="I2" s="3"/>
      <c r="J2" s="3"/>
    </row>
    <row r="3" spans="1:24" ht="20.100000000000001" customHeight="1" x14ac:dyDescent="0.2">
      <c r="A3" s="5" t="str">
        <f>HYPERLINK("#'Home'!A1", "Home")</f>
        <v>Home</v>
      </c>
      <c r="C3" s="28"/>
      <c r="D3" s="28"/>
      <c r="E3" s="28"/>
      <c r="F3" s="28"/>
      <c r="G3" s="28"/>
      <c r="H3" s="28"/>
      <c r="I3" s="28"/>
      <c r="J3" s="28"/>
      <c r="K3" s="28"/>
      <c r="M3" s="23"/>
      <c r="N3" s="23"/>
      <c r="O3" s="23"/>
      <c r="P3" s="23"/>
      <c r="Q3" s="23"/>
      <c r="R3" s="23"/>
      <c r="S3" s="23"/>
      <c r="T3" s="23"/>
      <c r="U3" s="23"/>
      <c r="V3" s="23"/>
      <c r="W3" s="23"/>
      <c r="X3" s="23"/>
    </row>
    <row r="4" spans="1:24" ht="20.100000000000001" customHeight="1" x14ac:dyDescent="0.2">
      <c r="A4" s="5" t="str">
        <f>HYPERLINK("#'Results - Activity period'!A1", "Results - Activity period")</f>
        <v>Results - Activity period</v>
      </c>
      <c r="C4" s="29"/>
      <c r="D4" s="29"/>
      <c r="E4" s="29"/>
      <c r="F4" s="29"/>
      <c r="G4" s="29"/>
      <c r="H4" s="29"/>
      <c r="I4" s="29"/>
      <c r="J4" s="29"/>
      <c r="K4" s="29"/>
    </row>
    <row r="5" spans="1:24" ht="20.100000000000001" customHeight="1" x14ac:dyDescent="0.2">
      <c r="A5" s="5" t="str">
        <f>HYPERLINK("#'Results - Product EI'!A1", "Results - Product Emissions Intensity")</f>
        <v>Results - Product Emissions Intensity</v>
      </c>
      <c r="D5" s="2" t="s">
        <v>95</v>
      </c>
      <c r="N5" s="30"/>
    </row>
    <row r="6" spans="1:24" ht="20.100000000000001" customHeight="1" x14ac:dyDescent="0.2">
      <c r="A6"/>
      <c r="N6" s="32"/>
    </row>
    <row r="7" spans="1:24" ht="20.100000000000001" customHeight="1" x14ac:dyDescent="0.2">
      <c r="A7"/>
      <c r="D7" s="42" t="s">
        <v>96</v>
      </c>
      <c r="E7" s="43"/>
      <c r="F7" s="43"/>
      <c r="G7" s="44"/>
    </row>
    <row r="8" spans="1:24" ht="20.100000000000001" customHeight="1" x14ac:dyDescent="0.2">
      <c r="A8" s="7" t="s">
        <v>0</v>
      </c>
      <c r="D8" s="45" t="s">
        <v>97</v>
      </c>
      <c r="E8" s="46"/>
      <c r="F8" s="46"/>
      <c r="G8" s="47"/>
    </row>
    <row r="9" spans="1:24" ht="20.100000000000001" customHeight="1" x14ac:dyDescent="0.2">
      <c r="A9" s="5" t="str">
        <f>HYPERLINK("#'Input - Enterprise'!A1", "Enterprise")</f>
        <v>Enterprise</v>
      </c>
      <c r="D9" s="1"/>
      <c r="E9" s="48"/>
      <c r="F9" s="16"/>
      <c r="N9" s="34"/>
    </row>
    <row r="10" spans="1:24" ht="20.100000000000001" customHeight="1" x14ac:dyDescent="0.2">
      <c r="A10" s="100" t="str">
        <f>HYPERLINK("#'Input - Site'!A1", "Site")</f>
        <v>Site</v>
      </c>
      <c r="D10" s="1" t="s">
        <v>98</v>
      </c>
      <c r="E10" s="13" t="s">
        <v>99</v>
      </c>
      <c r="F10" s="16" t="s">
        <v>100</v>
      </c>
      <c r="N10" s="34"/>
    </row>
    <row r="11" spans="1:24" ht="20.100000000000001" customHeight="1" x14ac:dyDescent="0.2">
      <c r="A11" s="5" t="str">
        <f>HYPERLINK("#'Input - Poultry'!A1", "Poultry")</f>
        <v>Poultry</v>
      </c>
      <c r="D11" s="1" t="s">
        <v>101</v>
      </c>
      <c r="E11" s="13" t="s">
        <v>102</v>
      </c>
      <c r="F11" s="16" t="s">
        <v>100</v>
      </c>
      <c r="G11" s="1"/>
      <c r="N11" s="39"/>
    </row>
    <row r="12" spans="1:24" ht="20.100000000000001" customHeight="1" x14ac:dyDescent="0.2">
      <c r="A12" s="5" t="str">
        <f>HYPERLINK("#'Input - Livestock sales'!A1", "Livestock sales")</f>
        <v>Livestock sales</v>
      </c>
      <c r="D12" s="1" t="s">
        <v>103</v>
      </c>
      <c r="E12" s="13" t="s">
        <v>104</v>
      </c>
      <c r="F12" s="16" t="s">
        <v>100</v>
      </c>
    </row>
    <row r="13" spans="1:24" ht="20.100000000000001" customHeight="1" x14ac:dyDescent="0.2">
      <c r="A13" s="5" t="str">
        <f>HYPERLINK("#'Input - Poultry purchases'!A1", "Poultry purchases")</f>
        <v>Poultry purchases</v>
      </c>
      <c r="D13" s="1" t="s">
        <v>36</v>
      </c>
      <c r="E13" s="33">
        <v>307.7</v>
      </c>
      <c r="F13" s="16" t="s">
        <v>105</v>
      </c>
      <c r="N13" s="41"/>
      <c r="O13" s="41"/>
    </row>
    <row r="14" spans="1:24" ht="20.100000000000001" customHeight="1" x14ac:dyDescent="0.2">
      <c r="A14" s="5" t="str">
        <f>HYPERLINK("#'Input - Fuel'!A1", "Fuel")</f>
        <v>Fuel</v>
      </c>
      <c r="D14" s="1" t="s">
        <v>106</v>
      </c>
      <c r="E14" s="33">
        <v>18</v>
      </c>
      <c r="F14" s="16" t="s">
        <v>107</v>
      </c>
      <c r="N14" s="41"/>
      <c r="O14" s="41"/>
    </row>
    <row r="15" spans="1:24" ht="20.100000000000001" customHeight="1" x14ac:dyDescent="0.2">
      <c r="A15" s="5" t="str">
        <f>HYPERLINK("#'Input - Electricity'!A1", "Electricity")</f>
        <v>Electricity</v>
      </c>
      <c r="D15" s="1" t="s">
        <v>108</v>
      </c>
      <c r="E15" s="33">
        <v>601</v>
      </c>
      <c r="F15" s="16" t="s">
        <v>109</v>
      </c>
      <c r="N15" s="41"/>
      <c r="O15" s="41"/>
    </row>
    <row r="16" spans="1:24" ht="20.100000000000001" customHeight="1" x14ac:dyDescent="0.2">
      <c r="A16" s="5" t="str">
        <f>HYPERLINK("#'Input - Common farm inputs'!A1", "Common farm inputs")</f>
        <v>Common farm inputs</v>
      </c>
      <c r="D16" s="12" t="s">
        <v>110</v>
      </c>
      <c r="E16" s="33">
        <v>1326</v>
      </c>
      <c r="F16" s="16" t="s">
        <v>109</v>
      </c>
      <c r="N16" s="41"/>
      <c r="O16" s="41"/>
    </row>
    <row r="17" spans="1:25" ht="20.100000000000001" customHeight="1" x14ac:dyDescent="0.2">
      <c r="A17" s="5" t="str">
        <f>HYPERLINK("#'Input - Livestock farm Inputs'!A1", "Livestock farm Inputs")</f>
        <v>Livestock farm Inputs</v>
      </c>
      <c r="D17" s="1" t="s">
        <v>111</v>
      </c>
      <c r="E17" s="33">
        <v>7</v>
      </c>
      <c r="F17" s="16" t="s">
        <v>112</v>
      </c>
    </row>
    <row r="18" spans="1:25" ht="20.100000000000001" customHeight="1" x14ac:dyDescent="0.2">
      <c r="A18" s="5" t="str">
        <f>HYPERLINK("#'Input - Freight'!A1", "Freight")</f>
        <v>Freight</v>
      </c>
      <c r="D18" s="12" t="s">
        <v>113</v>
      </c>
      <c r="E18" s="15">
        <f>E15/E16</f>
        <v>0.45324283559577677</v>
      </c>
      <c r="F18" s="16"/>
    </row>
    <row r="19" spans="1:25" ht="20.100000000000001" customHeight="1" x14ac:dyDescent="0.2">
      <c r="A19" s="5" t="str">
        <f>HYPERLINK("#'Input - Solid waste'!A1", "Solid waste")</f>
        <v>Solid waste</v>
      </c>
      <c r="D19" s="12" t="s">
        <v>64</v>
      </c>
      <c r="E19" s="15" t="str">
        <f>Common_InputFunctions.Utility_LookupItemFromMinMax(E15,Table_SourceData_RainfallZones[Min rainfall],Table_SourceData_RainfallZones[Max rainfall],Table_SourceData_RainfallZones[Rainfall Zone])</f>
        <v>High rainfall</v>
      </c>
      <c r="G19" s="49"/>
      <c r="N19" s="30"/>
    </row>
    <row r="20" spans="1:25" ht="20.100000000000001" customHeight="1" x14ac:dyDescent="0.2">
      <c r="A20" s="5" t="str">
        <f>HYPERLINK("#'Input - Manure sent off-site'!A1", "Manure sent off-site")</f>
        <v>Manure sent off-site</v>
      </c>
      <c r="D20" s="1" t="s">
        <v>31</v>
      </c>
      <c r="E20" s="15"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48"/>
      <c r="N20" s="32"/>
    </row>
    <row r="21" spans="1:25" ht="20.100000000000001" customHeight="1" x14ac:dyDescent="0.2">
      <c r="A21" s="5" t="str">
        <f>HYPERLINK("#'Input - Data quality'!A1", "Data quality")</f>
        <v>Data quality</v>
      </c>
      <c r="D21" s="1" t="s">
        <v>114</v>
      </c>
      <c r="E21" s="15" t="str">
        <f>Common_InputFunctions.Utility_LookupValueInTable($E$20,Table_SourceData_WetDryZones[Climate zone],Table_SourceData_WetDryZones[Wet or Dry Zone])</f>
        <v>Dry climate zone</v>
      </c>
      <c r="F21" s="1"/>
      <c r="G21" s="48"/>
    </row>
    <row r="22" spans="1:25" ht="20.100000000000001" customHeight="1" x14ac:dyDescent="0.2">
      <c r="A22" s="5" t="str">
        <f>HYPERLINK("#'Input - Fert Prod System'!A1", "Fert Prod System")</f>
        <v>Fert Prod System</v>
      </c>
      <c r="D22" s="1" t="s">
        <v>68</v>
      </c>
      <c r="E22" s="15" t="str">
        <f>Common_InputFunctions.Utility_LookupItemFromMinMax(E14,Table_SourceData_TemperatureZones[Min MAT],Table_SourceData_TemperatureZones[Max MAT],Table_SourceData_TemperatureZones[Temperature Zone])</f>
        <v>Temperate</v>
      </c>
      <c r="G22" s="52"/>
    </row>
    <row r="23" spans="1:25" ht="20.100000000000001" customHeight="1" x14ac:dyDescent="0.2">
      <c r="A23" s="5" t="str">
        <f>HYPERLINK("#'Input - Fertiliser'!A1", "Fertiliser")</f>
        <v>Fertiliser</v>
      </c>
    </row>
    <row r="24" spans="1:25" ht="20.100000000000001" customHeight="1" x14ac:dyDescent="0.2">
      <c r="A24"/>
    </row>
    <row r="25" spans="1:25" ht="20.100000000000001" customHeight="1" x14ac:dyDescent="0.2">
      <c r="A25"/>
      <c r="N25" s="32"/>
    </row>
    <row r="26" spans="1:25" ht="20.100000000000001" customHeight="1" x14ac:dyDescent="0.2">
      <c r="A26" s="6" t="s">
        <v>2</v>
      </c>
    </row>
    <row r="27" spans="1:25" ht="20.100000000000001" customHeight="1" x14ac:dyDescent="0.2">
      <c r="A27" s="5" t="str">
        <f>HYPERLINK("#'4.6.1.1-2 Methane'!A1", "4.6.1.1-2 Manure Methane")</f>
        <v>4.6.1.1-2 Manure Methane</v>
      </c>
    </row>
    <row r="28" spans="1:25" ht="20.100000000000001" customHeight="1" x14ac:dyDescent="0.2">
      <c r="A28" s="5" t="str">
        <f>HYPERLINK("#'4.6.1.3-4 Direct N20'!A1", "4.6.1.3-4 Manure Direct N2O")</f>
        <v>4.6.1.3-4 Manure Direct N2O</v>
      </c>
    </row>
    <row r="29" spans="1:25" ht="20.100000000000001" customHeight="1" x14ac:dyDescent="0.2">
      <c r="A29" s="5" t="str">
        <f>HYPERLINK("#'4.6.1.5-6 Atmos Dep'!A1", "4.6.1.5-6 Manure Atmos Dep")</f>
        <v>4.6.1.5-6 Manure Atmos Dep</v>
      </c>
    </row>
    <row r="30" spans="1:25" ht="20.100000000000001" customHeight="1" x14ac:dyDescent="0.2">
      <c r="A30" s="5" t="str">
        <f>HYPERLINK("#'4.6.1.7-8 Leaching and runoff'!A1", "4.6.1.7-8 Manure Leaching and runoff")</f>
        <v>4.6.1.7-8 Manure Leaching and runoff</v>
      </c>
      <c r="L30" s="50"/>
      <c r="M30" s="50"/>
      <c r="N30" s="50"/>
      <c r="O30" s="50"/>
      <c r="P30" s="50"/>
      <c r="Q30" s="50"/>
      <c r="R30" s="50"/>
      <c r="S30" s="50"/>
      <c r="T30" s="50"/>
      <c r="U30" s="50"/>
      <c r="V30" s="50"/>
      <c r="W30" s="50"/>
      <c r="X30" s="50"/>
      <c r="Y30" s="50"/>
    </row>
    <row r="31" spans="1:25" ht="20.100000000000001" customHeight="1" x14ac:dyDescent="0.2">
      <c r="A31" s="5" t="str">
        <f>HYPERLINK("#'4.6.1.9 Manure applied to soils'!A1", "4.6.1.9 Manure applied to soils")</f>
        <v>4.6.1.9 Manure applied to soils</v>
      </c>
      <c r="L31" s="51"/>
      <c r="M31" s="51"/>
      <c r="N31" s="51"/>
      <c r="O31" s="51"/>
      <c r="P31" s="51"/>
      <c r="Q31" s="51"/>
      <c r="R31" s="51"/>
      <c r="S31" s="51"/>
      <c r="T31" s="51"/>
      <c r="U31" s="51"/>
      <c r="V31" s="51"/>
      <c r="W31" s="51"/>
      <c r="X31" s="51"/>
      <c r="Y31" s="51"/>
    </row>
    <row r="32" spans="1:25" ht="20.100000000000001" customHeight="1" x14ac:dyDescent="0.2">
      <c r="A32" s="5" t="str">
        <f>HYPERLINK("#'4.6.1.10-11 Soil direct N2O'!A1", "4.6.1.10-11 Soil direct N2O")</f>
        <v>4.6.1.10-11 Soil direct N2O</v>
      </c>
      <c r="L32" s="51"/>
      <c r="M32" s="51"/>
      <c r="N32" s="51"/>
      <c r="O32" s="51"/>
      <c r="P32" s="51"/>
      <c r="Q32" s="51"/>
      <c r="R32" s="51"/>
      <c r="S32" s="51"/>
      <c r="T32" s="51"/>
      <c r="U32" s="51"/>
      <c r="V32" s="51"/>
      <c r="W32" s="51"/>
      <c r="X32" s="51"/>
      <c r="Y32" s="51"/>
    </row>
    <row r="33" spans="1:25" ht="20.100000000000001" customHeight="1" x14ac:dyDescent="0.2">
      <c r="A33" s="5" t="str">
        <f>HYPERLINK("#'4.6.1.12-13 Soil atmos dep'!A1", "4.6.1.12-13 Soil atmos dep")</f>
        <v>4.6.1.12-13 Soil atmos dep</v>
      </c>
      <c r="L33" s="51"/>
      <c r="M33" s="51"/>
      <c r="N33" s="51"/>
      <c r="O33" s="51"/>
      <c r="P33" s="51"/>
      <c r="Q33" s="51"/>
      <c r="R33" s="51"/>
      <c r="S33" s="51"/>
      <c r="T33" s="51"/>
      <c r="U33" s="51"/>
      <c r="V33" s="51"/>
      <c r="W33" s="51"/>
      <c r="X33" s="51"/>
      <c r="Y33" s="51"/>
    </row>
    <row r="34" spans="1:25" ht="20.100000000000001" customHeight="1" x14ac:dyDescent="0.2">
      <c r="A34" s="5" t="str">
        <f>HYPERLINK("#'4.6.1.14-15 Soil leach runoff'!A1", "4.6.1.14-15 Soil leach runoff")</f>
        <v>4.6.1.14-15 Soil leach runoff</v>
      </c>
      <c r="J34" s="53"/>
      <c r="K34" s="54"/>
      <c r="L34" s="51"/>
      <c r="M34" s="51"/>
      <c r="N34" s="51"/>
      <c r="O34" s="51"/>
      <c r="P34" s="51"/>
      <c r="Q34" s="51"/>
      <c r="R34" s="51"/>
      <c r="S34" s="51"/>
      <c r="T34" s="51"/>
      <c r="U34" s="51"/>
      <c r="V34" s="51"/>
      <c r="W34" s="51"/>
      <c r="X34" s="51"/>
      <c r="Y34" s="51"/>
    </row>
    <row r="35" spans="1:25" ht="20.100000000000001" customHeight="1" x14ac:dyDescent="0.2">
      <c r="A35" s="5" t="str">
        <f>HYPERLINK("#'8.1.1.1-2 Transport fuel'!A1", "8.1.1.1-2 Transport fuel")</f>
        <v>8.1.1.1-2 Transport fuel</v>
      </c>
      <c r="J35" s="53"/>
      <c r="K35" s="54"/>
      <c r="L35" s="51"/>
      <c r="M35" s="51"/>
      <c r="N35" s="51"/>
      <c r="O35" s="51"/>
      <c r="P35" s="51"/>
      <c r="Q35" s="51"/>
      <c r="R35" s="51"/>
      <c r="S35" s="51"/>
      <c r="T35" s="51"/>
      <c r="U35" s="51"/>
      <c r="V35" s="51"/>
      <c r="W35" s="51"/>
      <c r="X35" s="51"/>
      <c r="Y35" s="51"/>
    </row>
    <row r="36" spans="1:25" ht="20.100000000000001" customHeight="1" x14ac:dyDescent="0.2">
      <c r="A36" s="5" t="str">
        <f>HYPERLINK("#'8.2.1.1-2 Stationary fuel'!A1", "8.2.1.1-2 Stationary fuel")</f>
        <v>8.2.1.1-2 Stationary fuel</v>
      </c>
      <c r="D36" s="55"/>
      <c r="E36" s="55"/>
      <c r="F36" s="56"/>
      <c r="G36" s="53"/>
      <c r="H36" s="53"/>
      <c r="I36" s="57"/>
      <c r="J36" s="53"/>
      <c r="K36" s="54"/>
      <c r="L36" s="51"/>
      <c r="M36" s="51"/>
      <c r="N36" s="51"/>
      <c r="O36" s="51"/>
      <c r="P36" s="51"/>
      <c r="Q36" s="51"/>
      <c r="R36" s="51"/>
      <c r="S36" s="51"/>
      <c r="T36" s="51"/>
      <c r="U36" s="51"/>
      <c r="V36" s="51"/>
      <c r="W36" s="51"/>
      <c r="X36" s="51"/>
      <c r="Y36" s="51"/>
    </row>
    <row r="37" spans="1:25" ht="20.100000000000001" customHeight="1" x14ac:dyDescent="0.2">
      <c r="A37" s="5" t="str">
        <f>HYPERLINK("#'10.1.1-2 Solid waste treatment'!A1", "10.1.1.1-2 Solid waste")</f>
        <v>10.1.1.1-2 Solid waste</v>
      </c>
      <c r="D37" s="55"/>
      <c r="E37" s="55"/>
      <c r="F37" s="56"/>
      <c r="G37" s="53"/>
      <c r="H37" s="53"/>
      <c r="I37" s="57"/>
      <c r="J37" s="53"/>
      <c r="K37" s="54"/>
      <c r="L37" s="51"/>
      <c r="M37" s="51"/>
      <c r="N37" s="51"/>
      <c r="O37" s="51"/>
      <c r="P37" s="51"/>
      <c r="Q37" s="51"/>
      <c r="R37" s="51"/>
      <c r="S37" s="51"/>
      <c r="T37" s="51"/>
      <c r="U37" s="51"/>
      <c r="V37" s="51"/>
      <c r="W37" s="51"/>
      <c r="X37" s="51"/>
      <c r="Y37" s="51"/>
    </row>
    <row r="38" spans="1:25" ht="20.100000000000001" customHeight="1" x14ac:dyDescent="0.2">
      <c r="A38" s="5" t="str">
        <f>HYPERLINK("#'14.1.1-2 Purchased electricity'!A1", "14.1.1-2 Purchased electricity")</f>
        <v>14.1.1-2 Purchased electricity</v>
      </c>
      <c r="D38" s="55"/>
      <c r="E38" s="55"/>
      <c r="F38" s="56"/>
      <c r="G38" s="53"/>
      <c r="H38" s="53"/>
      <c r="I38" s="57"/>
      <c r="J38" s="53"/>
      <c r="K38" s="54"/>
      <c r="L38" s="51"/>
      <c r="M38" s="51"/>
      <c r="N38" s="51"/>
      <c r="O38" s="51"/>
      <c r="P38" s="51"/>
      <c r="Q38" s="51"/>
      <c r="R38" s="51"/>
      <c r="S38" s="51"/>
      <c r="T38" s="51"/>
      <c r="U38" s="51"/>
      <c r="V38" s="51"/>
      <c r="W38" s="51"/>
      <c r="X38" s="51"/>
      <c r="Y38" s="51"/>
    </row>
    <row r="39" spans="1:25" ht="20.100000000000001" customHeight="1" x14ac:dyDescent="0.2">
      <c r="A39" s="5" t="str">
        <f>HYPERLINK("#'15 Scope 3'!A1", "15 Scope 3")</f>
        <v>15 Scope 3</v>
      </c>
      <c r="D39" s="55"/>
      <c r="E39" s="55"/>
      <c r="F39" s="56"/>
      <c r="G39" s="53"/>
      <c r="H39" s="53"/>
      <c r="I39" s="57"/>
      <c r="J39" s="53"/>
      <c r="K39" s="54"/>
      <c r="L39" s="51"/>
      <c r="M39" s="51"/>
      <c r="N39" s="51"/>
      <c r="O39" s="51"/>
      <c r="P39" s="51"/>
      <c r="Q39" s="51"/>
      <c r="R39" s="51"/>
      <c r="S39" s="51"/>
      <c r="T39" s="51"/>
      <c r="U39" s="51"/>
      <c r="V39" s="51"/>
      <c r="W39" s="51"/>
      <c r="X39" s="51"/>
      <c r="Y39" s="51"/>
    </row>
    <row r="40" spans="1:25" ht="20.100000000000001" customHeight="1" x14ac:dyDescent="0.2">
      <c r="A40" s="5" t="str">
        <f>HYPERLINK("#'Calcs - Manure sent off-site'!A1", "Calcs - Manure sent off-site")</f>
        <v>Calcs - Manure sent off-site</v>
      </c>
      <c r="D40" s="58"/>
      <c r="E40" s="58"/>
      <c r="F40" s="58"/>
      <c r="G40" s="59"/>
      <c r="H40" s="60"/>
      <c r="I40" s="60"/>
      <c r="J40" s="60"/>
      <c r="K40" s="60"/>
      <c r="L40" s="61"/>
      <c r="M40" s="61"/>
      <c r="N40" s="61"/>
      <c r="O40" s="61"/>
      <c r="P40" s="61"/>
      <c r="Q40" s="61"/>
      <c r="R40" s="61"/>
      <c r="S40" s="61"/>
      <c r="T40" s="61"/>
      <c r="U40" s="61"/>
      <c r="V40" s="61"/>
      <c r="W40" s="61"/>
      <c r="X40" s="61"/>
      <c r="Y40" s="61"/>
    </row>
    <row r="41" spans="1:25" ht="20.100000000000001" customHeight="1" x14ac:dyDescent="0.2">
      <c r="A41" s="5" t="str">
        <f>HYPERLINK("#'5.1.1.1-2 Inorganic fert N2O'!A1", "5.1.1.1-2 Inorganic fert N2O")</f>
        <v>5.1.1.1-2 Inorganic fert N2O</v>
      </c>
    </row>
    <row r="42" spans="1:25" ht="20.100000000000001" customHeight="1" x14ac:dyDescent="0.2">
      <c r="A42" s="5" t="str">
        <f>HYPERLINK("#'5.1.1.3-4 Inorganic fert CO2'!A1", "5.1.1.3-4 Inorganic fert CO2")</f>
        <v>5.1.1.3-4 Inorganic fert CO2</v>
      </c>
    </row>
    <row r="43" spans="1:25" ht="20.100000000000001" customHeight="1" x14ac:dyDescent="0.2">
      <c r="A43" s="5" t="str">
        <f>HYPERLINK("#'5.2.1.1-2 Organic Fert N2O'!A1", "5.2.1.1-2 Organic Fert N2O")</f>
        <v>5.2.1.1-2 Organic Fert N2O</v>
      </c>
    </row>
    <row r="44" spans="1:25" ht="20.100000000000001" customHeight="1" x14ac:dyDescent="0.2">
      <c r="A44" s="5" t="str">
        <f>HYPERLINK("#'5.3.1.1-2 Lime CO2'!A1", "5.3.1.1-2 Lime CO2")</f>
        <v>5.3.1.1-2 Lime CO2</v>
      </c>
    </row>
    <row r="45" spans="1:25" ht="20.100000000000001" customHeight="1" x14ac:dyDescent="0.2">
      <c r="A45" s="5" t="str">
        <f>HYPERLINK("#'5.4.1.1-4 Atmos deposition'!A1", "5.4.1.1-4 Atmos deposition")</f>
        <v>5.4.1.1-4 Atmos deposition</v>
      </c>
      <c r="D45" s="2"/>
    </row>
    <row r="46" spans="1:25" ht="20.100000000000001" customHeight="1" x14ac:dyDescent="0.2">
      <c r="A46" s="5" t="str">
        <f>HYPERLINK("#'5.5.1.1-2 Leaching and runoff'!A1", "5.5.1.1-2 Leaching and runoff")</f>
        <v>5.5.1.1-2 Leaching and runoff</v>
      </c>
      <c r="D46" s="2"/>
    </row>
    <row r="47" spans="1:25" ht="20.100000000000001" customHeight="1" x14ac:dyDescent="0.2">
      <c r="A47"/>
      <c r="D47" s="62"/>
      <c r="E47" s="62"/>
      <c r="F47" s="62"/>
      <c r="G47" s="62"/>
      <c r="H47" s="62"/>
    </row>
    <row r="48" spans="1:25" ht="20.100000000000001" customHeight="1" x14ac:dyDescent="0.2">
      <c r="A48"/>
      <c r="D48" s="63"/>
      <c r="E48" s="63"/>
      <c r="F48" s="64"/>
      <c r="G48" s="64"/>
      <c r="H48" s="63"/>
    </row>
    <row r="49" spans="1:8" ht="20.100000000000001" customHeight="1" x14ac:dyDescent="0.2">
      <c r="A49" s="80" t="s">
        <v>1</v>
      </c>
      <c r="D49" s="63"/>
      <c r="E49" s="63"/>
      <c r="F49" s="64"/>
      <c r="G49" s="64"/>
      <c r="H49" s="63"/>
    </row>
    <row r="50" spans="1:8" ht="20.100000000000001" customHeight="1" x14ac:dyDescent="0.2">
      <c r="A50" s="5" t="str">
        <f>HYPERLINK("#'Constants - Poultry'!A1", "Constants - Poultry")</f>
        <v>Constants - Poultry</v>
      </c>
      <c r="D50" s="63"/>
      <c r="E50" s="63"/>
      <c r="F50" s="64"/>
      <c r="G50" s="64"/>
      <c r="H50" s="63"/>
    </row>
    <row r="51" spans="1:8" ht="20.100000000000001" customHeight="1" x14ac:dyDescent="0.2">
      <c r="A51" s="5" t="str">
        <f>HYPERLINK("#'Constants - Common livestock'!A1", "Constants - Common Livestock")</f>
        <v>Constants - Common Livestock</v>
      </c>
      <c r="D51" s="65"/>
      <c r="E51" s="66"/>
      <c r="F51" s="66"/>
      <c r="G51" s="66"/>
      <c r="H51" s="67"/>
    </row>
    <row r="52" spans="1:8" ht="20.100000000000001" customHeight="1" x14ac:dyDescent="0.2">
      <c r="A52" s="5" t="str">
        <f>HYPERLINK("#'Constants - Electricity'!A1", "Constants - Electricity")</f>
        <v>Constants - Electricity</v>
      </c>
    </row>
    <row r="53" spans="1:8" ht="20.100000000000001" customHeight="1" x14ac:dyDescent="0.2">
      <c r="A53" s="5" t="str">
        <f>HYPERLINK("#'Constants - Fertiliser'!A1", "Constants - Fertiliser")</f>
        <v>Constants - Fertiliser</v>
      </c>
    </row>
    <row r="54" spans="1:8" ht="20.100000000000001" customHeight="1" x14ac:dyDescent="0.2">
      <c r="A54" s="5" t="str">
        <f>HYPERLINK("#'Constants - Fuel'!A1", "Constants - Fuel")</f>
        <v>Constants - Fuel</v>
      </c>
      <c r="G54" s="68"/>
    </row>
    <row r="55" spans="1:8" ht="20.100000000000001" customHeight="1" x14ac:dyDescent="0.2">
      <c r="A55" s="5" t="str">
        <f>HYPERLINK("#'Constants - Scope 3'!A1", "Constants - Scope 3")</f>
        <v>Constants - Scope 3</v>
      </c>
      <c r="D55" s="2"/>
    </row>
    <row r="56" spans="1:8" ht="20.100000000000001" customHeight="1" x14ac:dyDescent="0.2">
      <c r="A56" s="5" t="str">
        <f>HYPERLINK("#'Constants - Solid Waste'!A1", "Constants - Solid Waste")</f>
        <v>Constants - Solid Waste</v>
      </c>
    </row>
    <row r="57" spans="1:8" ht="20.100000000000001" customHeight="1" x14ac:dyDescent="0.2">
      <c r="A57" s="5" t="str">
        <f>HYPERLINK("#'Constants - Common'!A1", "Constants - Common")</f>
        <v>Constants - Common</v>
      </c>
      <c r="F57" s="69"/>
    </row>
    <row r="58" spans="1:8" ht="20.100000000000001" customHeight="1" x14ac:dyDescent="0.2">
      <c r="A58"/>
      <c r="E58" s="70"/>
    </row>
    <row r="59" spans="1:8" ht="20.100000000000001" customHeight="1" x14ac:dyDescent="0.2">
      <c r="A59"/>
      <c r="E59" s="70"/>
    </row>
    <row r="60" spans="1:8" ht="20.100000000000001" customHeight="1" x14ac:dyDescent="0.2">
      <c r="A60"/>
      <c r="E60" s="71"/>
    </row>
    <row r="61" spans="1:8" ht="20.100000000000001" customHeight="1" x14ac:dyDescent="0.2">
      <c r="A61"/>
    </row>
    <row r="62" spans="1:8" ht="20.100000000000001" customHeight="1" x14ac:dyDescent="0.2">
      <c r="A62"/>
    </row>
    <row r="63" spans="1:8" ht="20.100000000000001" customHeight="1" x14ac:dyDescent="0.2">
      <c r="A63"/>
    </row>
    <row r="64" spans="1:8" ht="20.100000000000001" customHeight="1" x14ac:dyDescent="0.2">
      <c r="A64"/>
      <c r="D64" s="1"/>
      <c r="E64" s="70"/>
    </row>
    <row r="65" spans="1:9" ht="20.100000000000001" customHeight="1" x14ac:dyDescent="0.2">
      <c r="A65"/>
      <c r="D65" s="1"/>
      <c r="E65" s="70"/>
    </row>
    <row r="66" spans="1:9" ht="20.100000000000001" customHeight="1" x14ac:dyDescent="0.2">
      <c r="A66"/>
      <c r="D66" s="1"/>
      <c r="E66" s="71"/>
    </row>
    <row r="67" spans="1:9" ht="20.100000000000001" customHeight="1" x14ac:dyDescent="0.2">
      <c r="A67"/>
    </row>
    <row r="68" spans="1:9" ht="20.100000000000001" customHeight="1" x14ac:dyDescent="0.2">
      <c r="A68"/>
    </row>
    <row r="69" spans="1:9" ht="20.100000000000001" customHeight="1" x14ac:dyDescent="0.2">
      <c r="A69"/>
      <c r="D69" s="72"/>
      <c r="E69" s="72"/>
      <c r="F69" s="72"/>
      <c r="G69" s="72"/>
      <c r="H69" s="72"/>
      <c r="I69" s="72"/>
    </row>
    <row r="70" spans="1:9" ht="20.100000000000001" customHeight="1" x14ac:dyDescent="0.2">
      <c r="A70"/>
      <c r="D70" s="72"/>
      <c r="E70" s="72"/>
      <c r="F70" s="72"/>
      <c r="G70" s="72"/>
      <c r="H70" s="72"/>
      <c r="I70" s="72"/>
    </row>
    <row r="71" spans="1:9" ht="20.100000000000001" customHeight="1" x14ac:dyDescent="0.2">
      <c r="A71"/>
      <c r="D71" s="72"/>
      <c r="E71" s="72"/>
      <c r="F71" s="72"/>
      <c r="G71" s="72"/>
      <c r="H71" s="72"/>
      <c r="I71" s="72"/>
    </row>
    <row r="72" spans="1:9" ht="20.100000000000001" customHeight="1" x14ac:dyDescent="0.2">
      <c r="A72"/>
      <c r="D72" s="72"/>
      <c r="E72" s="72"/>
      <c r="F72" s="72"/>
      <c r="G72" s="72"/>
      <c r="H72" s="72"/>
      <c r="I72" s="72"/>
    </row>
    <row r="73" spans="1:9" ht="20.100000000000001" customHeight="1" x14ac:dyDescent="0.2">
      <c r="A73"/>
    </row>
    <row r="74" spans="1:9" ht="20.100000000000001" customHeight="1" x14ac:dyDescent="0.2">
      <c r="A74"/>
    </row>
    <row r="75" spans="1:9" ht="20.100000000000001" customHeight="1" x14ac:dyDescent="0.2">
      <c r="A75"/>
    </row>
    <row r="76" spans="1:9" ht="20.100000000000001" customHeight="1" x14ac:dyDescent="0.2">
      <c r="A76"/>
    </row>
    <row r="77" spans="1:9" ht="20.100000000000001" customHeight="1" x14ac:dyDescent="0.2">
      <c r="A77"/>
    </row>
    <row r="78" spans="1:9" ht="20.100000000000001" customHeight="1" x14ac:dyDescent="0.2">
      <c r="A78"/>
      <c r="D78" s="73"/>
    </row>
    <row r="79" spans="1:9" ht="20.100000000000001" customHeight="1" x14ac:dyDescent="0.2">
      <c r="A79"/>
      <c r="D79" s="73"/>
    </row>
    <row r="80" spans="1:9" ht="20.100000000000001" customHeight="1" x14ac:dyDescent="0.2">
      <c r="A80"/>
      <c r="D80" s="73"/>
    </row>
    <row r="81" spans="1:4" ht="20.100000000000001" customHeight="1" x14ac:dyDescent="0.2">
      <c r="A81"/>
      <c r="D81" s="73"/>
    </row>
    <row r="82" spans="1:4" ht="20.100000000000001" customHeight="1" x14ac:dyDescent="0.2">
      <c r="A82"/>
      <c r="D82" s="73"/>
    </row>
    <row r="83" spans="1:4" ht="20.100000000000001" customHeight="1" x14ac:dyDescent="0.2">
      <c r="A83"/>
    </row>
    <row r="84" spans="1:4" ht="20.100000000000001" customHeight="1" x14ac:dyDescent="0.2">
      <c r="A84"/>
    </row>
    <row r="85" spans="1:4" ht="20.100000000000001" customHeight="1" x14ac:dyDescent="0.2">
      <c r="A85"/>
    </row>
    <row r="86" spans="1:4" ht="20.100000000000001" customHeight="1" x14ac:dyDescent="0.2">
      <c r="A86"/>
    </row>
    <row r="87" spans="1:4" ht="20.100000000000001" customHeight="1" x14ac:dyDescent="0.2">
      <c r="A87"/>
    </row>
    <row r="88" spans="1:4" ht="20.100000000000001" customHeight="1" x14ac:dyDescent="0.2">
      <c r="A88"/>
    </row>
    <row r="89" spans="1:4" ht="20.100000000000001" customHeight="1" x14ac:dyDescent="0.2">
      <c r="A89"/>
    </row>
    <row r="90" spans="1:4" ht="20.100000000000001" customHeight="1" x14ac:dyDescent="0.2">
      <c r="A90"/>
    </row>
    <row r="91" spans="1:4" ht="20.100000000000001" customHeight="1" x14ac:dyDescent="0.2">
      <c r="A91"/>
    </row>
    <row r="92" spans="1:4" ht="20.100000000000001" customHeight="1" x14ac:dyDescent="0.2">
      <c r="A92"/>
    </row>
    <row r="93" spans="1:4" ht="20.100000000000001" customHeight="1" x14ac:dyDescent="0.2">
      <c r="A93"/>
    </row>
    <row r="94" spans="1:4" ht="20.100000000000001" customHeight="1" x14ac:dyDescent="0.2">
      <c r="A94"/>
    </row>
    <row r="95" spans="1:4" ht="20.100000000000001" customHeight="1" x14ac:dyDescent="0.2">
      <c r="A95"/>
    </row>
    <row r="96" spans="1:4" ht="20.100000000000001" customHeight="1" x14ac:dyDescent="0.2">
      <c r="A96"/>
    </row>
    <row r="97" spans="1:1" ht="20.100000000000001" customHeight="1" x14ac:dyDescent="0.2">
      <c r="A97"/>
    </row>
    <row r="98" spans="1:1" ht="20.100000000000001" customHeight="1" x14ac:dyDescent="0.2">
      <c r="A98"/>
    </row>
    <row r="99" spans="1:1" ht="20.100000000000001" customHeight="1" x14ac:dyDescent="0.2">
      <c r="A99"/>
    </row>
    <row r="100" spans="1:1" ht="20.100000000000001" customHeight="1" x14ac:dyDescent="0.2">
      <c r="A100"/>
    </row>
    <row r="101" spans="1:1" ht="20.100000000000001" customHeight="1" x14ac:dyDescent="0.2">
      <c r="A101"/>
    </row>
    <row r="102" spans="1:1" ht="20.100000000000001" customHeight="1" x14ac:dyDescent="0.2">
      <c r="A102"/>
    </row>
    <row r="103" spans="1:1" ht="20.100000000000001" customHeight="1" x14ac:dyDescent="0.2">
      <c r="A103"/>
    </row>
    <row r="104" spans="1:1" ht="20.100000000000001" customHeight="1" x14ac:dyDescent="0.2">
      <c r="A104"/>
    </row>
    <row r="105" spans="1:1" ht="20.100000000000001" customHeight="1" x14ac:dyDescent="0.2">
      <c r="A105"/>
    </row>
    <row r="106" spans="1:1" ht="20.100000000000001" customHeight="1" x14ac:dyDescent="0.2">
      <c r="A106"/>
    </row>
    <row r="107" spans="1:1" ht="20.100000000000001" customHeight="1" x14ac:dyDescent="0.2">
      <c r="A107"/>
    </row>
    <row r="108" spans="1:1" ht="20.100000000000001" customHeight="1" x14ac:dyDescent="0.2">
      <c r="A108"/>
    </row>
    <row r="109" spans="1:1" ht="20.100000000000001" customHeight="1" x14ac:dyDescent="0.2">
      <c r="A109"/>
    </row>
    <row r="110" spans="1:1" ht="20.100000000000001" customHeight="1" x14ac:dyDescent="0.2">
      <c r="A110"/>
    </row>
    <row r="111" spans="1:1" ht="20.100000000000001" customHeight="1" x14ac:dyDescent="0.2">
      <c r="A111"/>
    </row>
    <row r="112" spans="1:1" ht="20.100000000000001" customHeight="1" x14ac:dyDescent="0.2">
      <c r="A112"/>
    </row>
    <row r="113" spans="1:1" ht="20.100000000000001" customHeight="1" x14ac:dyDescent="0.2">
      <c r="A113"/>
    </row>
    <row r="114" spans="1:1" ht="20.100000000000001" customHeight="1" x14ac:dyDescent="0.2">
      <c r="A114"/>
    </row>
    <row r="115" spans="1:1" ht="20.100000000000001" customHeight="1" x14ac:dyDescent="0.2">
      <c r="A115"/>
    </row>
    <row r="116" spans="1:1" ht="20.100000000000001" customHeight="1" x14ac:dyDescent="0.2">
      <c r="A116"/>
    </row>
    <row r="117" spans="1:1" ht="20.100000000000001" customHeight="1" x14ac:dyDescent="0.2">
      <c r="A117"/>
    </row>
    <row r="118" spans="1:1" ht="20.100000000000001" customHeight="1" x14ac:dyDescent="0.2">
      <c r="A118"/>
    </row>
    <row r="119" spans="1:1" ht="20.100000000000001" customHeight="1" x14ac:dyDescent="0.2">
      <c r="A119"/>
    </row>
    <row r="120" spans="1:1" ht="20.100000000000001" customHeight="1" x14ac:dyDescent="0.2">
      <c r="A120"/>
    </row>
    <row r="121" spans="1:1" ht="20.100000000000001" customHeight="1" x14ac:dyDescent="0.2">
      <c r="A121"/>
    </row>
    <row r="122" spans="1:1" ht="20.100000000000001" customHeight="1" x14ac:dyDescent="0.2">
      <c r="A122"/>
    </row>
    <row r="123" spans="1:1" ht="20.100000000000001" customHeight="1" x14ac:dyDescent="0.2">
      <c r="A123"/>
    </row>
    <row r="124" spans="1:1" ht="20.100000000000001" customHeight="1" x14ac:dyDescent="0.2">
      <c r="A124"/>
    </row>
    <row r="125" spans="1:1" ht="20.100000000000001" customHeight="1" x14ac:dyDescent="0.2">
      <c r="A125"/>
    </row>
    <row r="126" spans="1:1" ht="20.100000000000001" customHeight="1" x14ac:dyDescent="0.2">
      <c r="A126"/>
    </row>
    <row r="127" spans="1:1" ht="20.100000000000001" customHeight="1" x14ac:dyDescent="0.2">
      <c r="A127"/>
    </row>
    <row r="128" spans="1:1" ht="20.100000000000001" customHeight="1" x14ac:dyDescent="0.2">
      <c r="A128"/>
    </row>
    <row r="129" spans="1:1" ht="20.100000000000001" customHeight="1" x14ac:dyDescent="0.2">
      <c r="A129"/>
    </row>
    <row r="130" spans="1:1" ht="20.100000000000001" customHeight="1" x14ac:dyDescent="0.2">
      <c r="A130"/>
    </row>
    <row r="131" spans="1:1" ht="20.100000000000001" customHeight="1" x14ac:dyDescent="0.2">
      <c r="A131"/>
    </row>
    <row r="132" spans="1:1" ht="20.100000000000001" customHeight="1" x14ac:dyDescent="0.2">
      <c r="A132"/>
    </row>
    <row r="133" spans="1:1" ht="20.100000000000001" customHeight="1" x14ac:dyDescent="0.2">
      <c r="A133"/>
    </row>
    <row r="134" spans="1:1" ht="20.100000000000001" customHeight="1" x14ac:dyDescent="0.2">
      <c r="A134"/>
    </row>
    <row r="135" spans="1:1" ht="20.100000000000001" customHeight="1" x14ac:dyDescent="0.2">
      <c r="A135"/>
    </row>
    <row r="136" spans="1:1" ht="20.100000000000001" customHeight="1" x14ac:dyDescent="0.2">
      <c r="A136"/>
    </row>
    <row r="137" spans="1:1" ht="20.100000000000001" customHeight="1" x14ac:dyDescent="0.2">
      <c r="A137"/>
    </row>
    <row r="138" spans="1:1" ht="20.100000000000001" customHeight="1" x14ac:dyDescent="0.2">
      <c r="A138"/>
    </row>
    <row r="139" spans="1:1" ht="20.100000000000001" customHeight="1" x14ac:dyDescent="0.2">
      <c r="A139"/>
    </row>
    <row r="140" spans="1:1" ht="20.100000000000001" customHeight="1" x14ac:dyDescent="0.2">
      <c r="A140"/>
    </row>
    <row r="141" spans="1:1" ht="20.100000000000001" customHeight="1" x14ac:dyDescent="0.2">
      <c r="A141"/>
    </row>
    <row r="142" spans="1:1" ht="20.100000000000001" customHeight="1" x14ac:dyDescent="0.2">
      <c r="A142"/>
    </row>
    <row r="143" spans="1:1" ht="20.100000000000001" customHeight="1" x14ac:dyDescent="0.2">
      <c r="A143"/>
    </row>
    <row r="144" spans="1:1"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row r="161" spans="1:1" ht="20.100000000000001" customHeight="1" x14ac:dyDescent="0.2">
      <c r="A161"/>
    </row>
    <row r="162" spans="1:1" ht="20.100000000000001" customHeight="1" x14ac:dyDescent="0.2">
      <c r="A162"/>
    </row>
    <row r="163" spans="1:1" ht="20.100000000000001" customHeight="1" x14ac:dyDescent="0.2">
      <c r="A163"/>
    </row>
    <row r="164" spans="1:1" ht="20.100000000000001" customHeight="1" x14ac:dyDescent="0.2">
      <c r="A164"/>
    </row>
    <row r="165" spans="1:1" ht="20.100000000000001" customHeight="1" x14ac:dyDescent="0.2">
      <c r="A165"/>
    </row>
    <row r="166" spans="1:1" ht="20.100000000000001" customHeight="1" x14ac:dyDescent="0.2">
      <c r="A166"/>
    </row>
    <row r="167" spans="1:1" ht="20.100000000000001" customHeight="1" x14ac:dyDescent="0.2">
      <c r="A167"/>
    </row>
    <row r="168" spans="1:1" ht="20.100000000000001" customHeight="1" x14ac:dyDescent="0.2">
      <c r="A168"/>
    </row>
    <row r="169" spans="1:1" ht="20.100000000000001" customHeight="1" x14ac:dyDescent="0.2">
      <c r="A169"/>
    </row>
    <row r="170" spans="1:1" ht="20.100000000000001" customHeight="1" x14ac:dyDescent="0.2">
      <c r="A170"/>
    </row>
    <row r="171" spans="1:1" ht="20.100000000000001" customHeight="1" x14ac:dyDescent="0.2">
      <c r="A171"/>
    </row>
    <row r="172" spans="1:1" ht="20.100000000000001" customHeight="1" x14ac:dyDescent="0.2">
      <c r="A172"/>
    </row>
    <row r="173" spans="1:1" ht="20.100000000000001" customHeight="1" x14ac:dyDescent="0.2">
      <c r="A173"/>
    </row>
    <row r="174" spans="1:1" ht="20.100000000000001" customHeight="1" x14ac:dyDescent="0.2">
      <c r="A174"/>
    </row>
    <row r="175" spans="1:1" ht="20.100000000000001" customHeight="1" x14ac:dyDescent="0.2">
      <c r="A175"/>
    </row>
    <row r="176" spans="1:1" ht="20.100000000000001" customHeight="1" x14ac:dyDescent="0.2">
      <c r="A176"/>
    </row>
    <row r="177" spans="1:1" ht="20.100000000000001" customHeight="1" x14ac:dyDescent="0.2">
      <c r="A177"/>
    </row>
    <row r="178" spans="1:1" ht="20.100000000000001" customHeight="1" x14ac:dyDescent="0.2">
      <c r="A178"/>
    </row>
    <row r="179" spans="1:1" ht="20.100000000000001" customHeight="1" x14ac:dyDescent="0.2">
      <c r="A179"/>
    </row>
    <row r="180" spans="1:1" ht="20.100000000000001" customHeight="1" x14ac:dyDescent="0.2">
      <c r="A180"/>
    </row>
    <row r="181" spans="1:1" ht="20.100000000000001" customHeight="1" x14ac:dyDescent="0.2">
      <c r="A181"/>
    </row>
    <row r="182" spans="1:1" ht="20.100000000000001" customHeight="1" x14ac:dyDescent="0.2">
      <c r="A182"/>
    </row>
    <row r="183" spans="1:1" ht="20.100000000000001" customHeight="1" x14ac:dyDescent="0.2">
      <c r="A183"/>
    </row>
    <row r="184" spans="1:1" ht="20.100000000000001" customHeight="1" x14ac:dyDescent="0.2">
      <c r="A184"/>
    </row>
    <row r="185" spans="1:1" ht="20.100000000000001" customHeight="1" x14ac:dyDescent="0.2">
      <c r="A185"/>
    </row>
    <row r="186" spans="1:1" ht="20.100000000000001" customHeight="1" x14ac:dyDescent="0.2">
      <c r="A186"/>
    </row>
    <row r="187" spans="1:1" ht="20.100000000000001" customHeight="1" x14ac:dyDescent="0.2">
      <c r="A187"/>
    </row>
    <row r="188" spans="1:1" ht="20.100000000000001" customHeight="1" x14ac:dyDescent="0.2">
      <c r="A188"/>
    </row>
    <row r="189" spans="1:1" ht="20.100000000000001" customHeight="1" x14ac:dyDescent="0.2">
      <c r="A189"/>
    </row>
    <row r="190" spans="1:1" ht="20.100000000000001" customHeight="1" x14ac:dyDescent="0.2">
      <c r="A190"/>
    </row>
    <row r="191" spans="1:1" ht="20.100000000000001" customHeight="1" x14ac:dyDescent="0.2">
      <c r="A191"/>
    </row>
    <row r="192" spans="1:1" ht="20.100000000000001" customHeight="1" x14ac:dyDescent="0.2">
      <c r="A192"/>
    </row>
    <row r="193" spans="1:1" ht="20.100000000000001" customHeight="1" x14ac:dyDescent="0.2">
      <c r="A193"/>
    </row>
    <row r="194" spans="1:1" ht="20.100000000000001" customHeight="1" x14ac:dyDescent="0.2">
      <c r="A194"/>
    </row>
    <row r="195" spans="1:1" ht="20.100000000000001" customHeight="1" x14ac:dyDescent="0.2">
      <c r="A195"/>
    </row>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779A6-02C9-46DC-A75A-C1255A11B253}">
  <sheetPr>
    <tabColor theme="5" tint="-0.249977111117893"/>
  </sheetPr>
  <dimension ref="A1:W356"/>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4" width="73.28515625" style="1" customWidth="1"/>
    <col min="5" max="8" width="30.7109375" style="1" customWidth="1"/>
    <col min="9" max="10" width="15.28515625" style="1" customWidth="1"/>
    <col min="11" max="12" width="30.7109375" style="1" customWidth="1"/>
    <col min="13" max="13" width="27.140625" style="1" customWidth="1"/>
    <col min="14" max="14" width="4.7109375" style="1" customWidth="1"/>
    <col min="15" max="16" width="4.7109375" style="98" customWidth="1"/>
    <col min="17" max="22" width="30.7109375" style="98" customWidth="1"/>
    <col min="23" max="23" width="4.7109375" style="98" customWidth="1"/>
  </cols>
  <sheetData>
    <row r="1" spans="1:23" s="10" customFormat="1" ht="30" customHeight="1" x14ac:dyDescent="0.35">
      <c r="A1" s="10" t="e" vm="1">
        <v>#VALUE!</v>
      </c>
      <c r="C1" s="10" t="s">
        <v>295</v>
      </c>
      <c r="O1" s="98"/>
      <c r="P1" s="98"/>
      <c r="Q1" s="98"/>
      <c r="R1" s="98"/>
      <c r="S1" s="98"/>
      <c r="T1" s="98"/>
      <c r="U1" s="98"/>
      <c r="V1" s="98"/>
      <c r="W1" s="98"/>
    </row>
    <row r="2" spans="1:23" s="3" customFormat="1" ht="20.100000000000001" customHeight="1" x14ac:dyDescent="0.2">
      <c r="A2"/>
      <c r="O2" s="98"/>
      <c r="P2" s="98"/>
      <c r="Q2" s="98"/>
      <c r="R2" s="98"/>
      <c r="S2" s="98"/>
      <c r="T2" s="98"/>
      <c r="U2" s="98"/>
      <c r="V2" s="98"/>
      <c r="W2" s="98"/>
    </row>
    <row r="3" spans="1:23" ht="20.100000000000001" customHeight="1" x14ac:dyDescent="0.2">
      <c r="A3" s="5" t="str">
        <f>HYPERLINK("#'Home'!A1", "Home")</f>
        <v>Home</v>
      </c>
      <c r="C3" s="28"/>
      <c r="D3" s="28"/>
      <c r="E3" s="28"/>
      <c r="F3" s="28"/>
      <c r="G3" s="28"/>
      <c r="H3" s="28"/>
      <c r="I3" s="28"/>
      <c r="J3" s="28"/>
      <c r="K3" s="28"/>
      <c r="L3" s="28"/>
      <c r="M3" s="28"/>
      <c r="N3" s="28"/>
    </row>
    <row r="4" spans="1:23" ht="20.100000000000001" customHeight="1" x14ac:dyDescent="0.2">
      <c r="A4" s="5" t="str">
        <f>HYPERLINK("#'Results - Activity period'!A1", "Results - Activity period")</f>
        <v>Results - Activity period</v>
      </c>
    </row>
    <row r="5" spans="1:23" ht="20.100000000000001" customHeight="1" x14ac:dyDescent="0.2">
      <c r="A5" s="5" t="str">
        <f>HYPERLINK("#'Results - Product EI'!A1", "Results - Product Emissions Intensity")</f>
        <v>Results - Product Emissions Intensity</v>
      </c>
      <c r="D5" s="42" t="s">
        <v>296</v>
      </c>
      <c r="E5" s="43"/>
      <c r="F5" s="43"/>
      <c r="G5" s="43"/>
      <c r="H5" s="44"/>
      <c r="N5" s="24"/>
      <c r="R5" s="21"/>
    </row>
    <row r="6" spans="1:23" ht="20.100000000000001" customHeight="1" x14ac:dyDescent="0.2">
      <c r="D6" s="45"/>
      <c r="E6" s="46"/>
      <c r="F6" s="46"/>
      <c r="G6" s="46"/>
      <c r="H6" s="47"/>
      <c r="N6" s="24"/>
      <c r="R6" s="21"/>
    </row>
    <row r="7" spans="1:23" ht="20.100000000000001" customHeight="1" x14ac:dyDescent="0.2">
      <c r="N7" s="24"/>
      <c r="R7" s="21"/>
    </row>
    <row r="8" spans="1:23" ht="20.100000000000001" customHeight="1" x14ac:dyDescent="0.2">
      <c r="A8" s="7" t="s">
        <v>0</v>
      </c>
      <c r="N8" s="24"/>
      <c r="R8" s="21"/>
    </row>
    <row r="9" spans="1:23" ht="20.100000000000001" customHeight="1" x14ac:dyDescent="0.2">
      <c r="A9" s="5" t="str">
        <f>HYPERLINK("#'Input - Enterprise'!A1", "Enterprise")</f>
        <v>Enterprise</v>
      </c>
      <c r="E9" s="99" t="s">
        <v>297</v>
      </c>
      <c r="F9" s="99" t="s">
        <v>298</v>
      </c>
      <c r="G9" s="99" t="s">
        <v>299</v>
      </c>
      <c r="H9" s="99" t="s">
        <v>300</v>
      </c>
      <c r="R9" s="21"/>
    </row>
    <row r="10" spans="1:23" ht="20.100000000000001" customHeight="1" x14ac:dyDescent="0.2">
      <c r="A10" s="5" t="str">
        <f>HYPERLINK("#'Input - Site'!A1", "Site")</f>
        <v>Site</v>
      </c>
      <c r="D10" s="1" t="str">
        <f>"Average duration of stay between " &amp; TEXT(X_Cell_Site_StartDate, "dd mmm yy") &amp; " and " &amp; TEXT(X_Cell_Site_EndDate, "dd mmm yy")</f>
        <v>Average duration of stay between 01 Jan 25 and 31 Dec 25</v>
      </c>
      <c r="E10" s="74">
        <v>365</v>
      </c>
      <c r="F10" s="74">
        <v>365</v>
      </c>
      <c r="G10" s="74">
        <v>365</v>
      </c>
      <c r="H10" s="74">
        <v>365</v>
      </c>
      <c r="I10" s="16" t="s">
        <v>112</v>
      </c>
      <c r="J10" s="16"/>
      <c r="R10" s="21"/>
    </row>
    <row r="11" spans="1:23" ht="20.100000000000001" customHeight="1" x14ac:dyDescent="0.2">
      <c r="A11" s="100" t="str">
        <f>HYPERLINK("#'Input - Poultry'!A1", "Poultry")</f>
        <v>Poultry</v>
      </c>
      <c r="D11" s="1" t="str">
        <f>"Average number of birds between " &amp; TEXT(X_Cell_Site_StartDate, "dd mmm yy") &amp; " and " &amp; TEXT(X_Cell_Site_EndDate, "dd mmm yy")</f>
        <v>Average number of birds between 01 Jan 25 and 31 Dec 25</v>
      </c>
      <c r="E11" s="74">
        <v>100</v>
      </c>
      <c r="F11" s="74">
        <v>100</v>
      </c>
      <c r="G11" s="74">
        <v>100</v>
      </c>
      <c r="H11" s="74">
        <v>100</v>
      </c>
      <c r="I11" s="16" t="s">
        <v>301</v>
      </c>
      <c r="J11" s="16"/>
      <c r="R11" s="21"/>
    </row>
    <row r="12" spans="1:23" ht="20.100000000000001" customHeight="1" x14ac:dyDescent="0.2">
      <c r="A12" s="5" t="str">
        <f>HYPERLINK("#'Input - Livestock sales'!A1", "Livestock sales")</f>
        <v>Livestock sales</v>
      </c>
      <c r="R12" s="21"/>
    </row>
    <row r="13" spans="1:23" ht="20.100000000000001" customHeight="1" x14ac:dyDescent="0.2">
      <c r="A13" s="5" t="str">
        <f>HYPERLINK("#'Input - Poultry purchases'!A1", "Poultry purchases")</f>
        <v>Poultry purchases</v>
      </c>
      <c r="D13" s="2" t="s">
        <v>302</v>
      </c>
      <c r="R13" s="41"/>
    </row>
    <row r="14" spans="1:23" ht="20.100000000000001" customHeight="1" x14ac:dyDescent="0.2">
      <c r="A14" s="5" t="str">
        <f>HYPERLINK("#'Input - Fuel'!A1", "Fuel")</f>
        <v>Fuel</v>
      </c>
      <c r="R14" s="41"/>
    </row>
    <row r="15" spans="1:23" ht="20.100000000000001" customHeight="1" x14ac:dyDescent="0.2">
      <c r="A15" s="5" t="str">
        <f>HYPERLINK("#'Input - Electricity'!A1", "Electricity")</f>
        <v>Electricity</v>
      </c>
      <c r="D15" s="101" t="s">
        <v>303</v>
      </c>
      <c r="E15" s="99" t="s">
        <v>297</v>
      </c>
      <c r="F15" s="99" t="s">
        <v>298</v>
      </c>
      <c r="G15" s="99" t="s">
        <v>299</v>
      </c>
      <c r="H15" s="99" t="s">
        <v>300</v>
      </c>
      <c r="R15" s="41"/>
    </row>
    <row r="16" spans="1:23" ht="20.100000000000001" customHeight="1" x14ac:dyDescent="0.2">
      <c r="A16" s="5" t="str">
        <f>HYPERLINK("#'Input - Common farm inputs'!A1", "Common farm inputs")</f>
        <v>Common farm inputs</v>
      </c>
      <c r="D16" s="1" t="s">
        <v>304</v>
      </c>
      <c r="E16" s="15">
        <f>'Constants - Poultry'!E9</f>
        <v>8.5999999999999993E-2</v>
      </c>
      <c r="F16" s="15">
        <f>'Constants - Poultry'!F9</f>
        <v>9.2999999999999999E-2</v>
      </c>
      <c r="G16" s="15">
        <f>'Constants - Poultry'!G9</f>
        <v>0.10299999999999999</v>
      </c>
      <c r="H16" s="15">
        <f>'Constants - Poultry'!H9</f>
        <v>9.2999999999999999E-2</v>
      </c>
      <c r="I16" s="16" t="s">
        <v>305</v>
      </c>
      <c r="J16" s="16"/>
      <c r="R16" s="41"/>
    </row>
    <row r="17" spans="1:18" ht="20.100000000000001" customHeight="1" x14ac:dyDescent="0.2">
      <c r="A17" s="5" t="str">
        <f>HYPERLINK("#'Input - Livestock farm Inputs'!A1", "Livestock farm Inputs")</f>
        <v>Livestock farm Inputs</v>
      </c>
      <c r="D17" s="1" t="s">
        <v>306</v>
      </c>
      <c r="E17" s="15">
        <f>'Constants - Poultry'!E10</f>
        <v>0.8</v>
      </c>
      <c r="F17" s="15">
        <f>'Constants - Poultry'!F10</f>
        <v>0.8</v>
      </c>
      <c r="G17" s="15">
        <f>'Constants - Poultry'!G10</f>
        <v>0.8</v>
      </c>
      <c r="H17" s="15">
        <f>'Constants - Poultry'!H10</f>
        <v>0.8</v>
      </c>
      <c r="I17" s="16" t="s">
        <v>307</v>
      </c>
      <c r="J17" s="16"/>
      <c r="R17" s="21"/>
    </row>
    <row r="18" spans="1:18" ht="20.100000000000001" customHeight="1" x14ac:dyDescent="0.2">
      <c r="A18" s="5" t="str">
        <f>HYPERLINK("#'Input - Freight'!A1", "Freight")</f>
        <v>Freight</v>
      </c>
      <c r="D18" s="1" t="s">
        <v>308</v>
      </c>
      <c r="E18" s="15">
        <f>'Constants - Poultry'!E11</f>
        <v>0.19</v>
      </c>
      <c r="F18" s="15">
        <f>'Constants - Poultry'!F11</f>
        <v>0.23</v>
      </c>
      <c r="G18" s="15">
        <f>'Constants - Poultry'!G11</f>
        <v>0.19</v>
      </c>
      <c r="H18" s="15">
        <f>'Constants - Poultry'!H11</f>
        <v>0.23</v>
      </c>
      <c r="I18" s="16" t="s">
        <v>307</v>
      </c>
      <c r="J18" s="16"/>
      <c r="K18" s="16"/>
      <c r="R18" s="21"/>
    </row>
    <row r="19" spans="1:18" ht="20.100000000000001" customHeight="1" x14ac:dyDescent="0.2">
      <c r="A19" s="5" t="str">
        <f>HYPERLINK("#'Input - Solid waste'!A1", "Solid waste")</f>
        <v>Solid waste</v>
      </c>
      <c r="R19" s="21"/>
    </row>
    <row r="20" spans="1:18" ht="20.100000000000001" customHeight="1" x14ac:dyDescent="0.2">
      <c r="A20" s="5" t="str">
        <f>HYPERLINK("#'Input - Manure sent off-site'!A1", "Manure sent off-site")</f>
        <v>Manure sent off-site</v>
      </c>
      <c r="D20" s="101" t="s">
        <v>309</v>
      </c>
      <c r="E20" s="99" t="s">
        <v>297</v>
      </c>
      <c r="F20" s="99" t="s">
        <v>298</v>
      </c>
      <c r="G20" s="99" t="s">
        <v>299</v>
      </c>
      <c r="H20" s="99" t="s">
        <v>300</v>
      </c>
      <c r="R20" s="21"/>
    </row>
    <row r="21" spans="1:18" ht="20.100000000000001" customHeight="1" x14ac:dyDescent="0.2">
      <c r="A21" s="5" t="str">
        <f>HYPERLINK("#'Input - Data quality'!A1", "Data quality")</f>
        <v>Data quality</v>
      </c>
      <c r="D21" s="1" t="s">
        <v>304</v>
      </c>
      <c r="E21" s="74">
        <f>'Constants - Poultry'!E9</f>
        <v>8.5999999999999993E-2</v>
      </c>
      <c r="F21" s="74">
        <f>'Constants - Poultry'!F9</f>
        <v>9.2999999999999999E-2</v>
      </c>
      <c r="G21" s="74">
        <f>'Constants - Poultry'!G9</f>
        <v>0.10299999999999999</v>
      </c>
      <c r="H21" s="74">
        <f>'Constants - Poultry'!H9</f>
        <v>9.2999999999999999E-2</v>
      </c>
      <c r="I21" s="16" t="s">
        <v>305</v>
      </c>
      <c r="J21" s="16"/>
      <c r="R21" s="21"/>
    </row>
    <row r="22" spans="1:18" ht="20.100000000000001" customHeight="1" x14ac:dyDescent="0.2">
      <c r="A22" s="5" t="str">
        <f>HYPERLINK("#'Input - Fert Prod System'!A1", "Fert Prod System")</f>
        <v>Fert Prod System</v>
      </c>
      <c r="D22" s="1" t="s">
        <v>306</v>
      </c>
      <c r="E22" s="74">
        <f>'Constants - Poultry'!E10</f>
        <v>0.8</v>
      </c>
      <c r="F22" s="74">
        <f>'Constants - Poultry'!F10</f>
        <v>0.8</v>
      </c>
      <c r="G22" s="74">
        <f>'Constants - Poultry'!G10</f>
        <v>0.8</v>
      </c>
      <c r="H22" s="74">
        <f>'Constants - Poultry'!H10</f>
        <v>0.8</v>
      </c>
      <c r="I22" s="16" t="s">
        <v>307</v>
      </c>
      <c r="J22" s="16"/>
      <c r="R22" s="21"/>
    </row>
    <row r="23" spans="1:18" ht="20.100000000000001" customHeight="1" x14ac:dyDescent="0.2">
      <c r="A23" s="5" t="str">
        <f>HYPERLINK("#'Input - Fertiliser'!A1", "Fertiliser")</f>
        <v>Fertiliser</v>
      </c>
      <c r="D23" s="1" t="s">
        <v>308</v>
      </c>
      <c r="E23" s="74">
        <f>'Constants - Poultry'!E11</f>
        <v>0.19</v>
      </c>
      <c r="F23" s="74">
        <f>'Constants - Poultry'!F11</f>
        <v>0.23</v>
      </c>
      <c r="G23" s="74">
        <f>'Constants - Poultry'!G11</f>
        <v>0.19</v>
      </c>
      <c r="H23" s="74">
        <f>'Constants - Poultry'!H11</f>
        <v>0.23</v>
      </c>
      <c r="I23" s="16" t="s">
        <v>307</v>
      </c>
      <c r="J23" s="16"/>
      <c r="R23" s="21"/>
    </row>
    <row r="24" spans="1:18" ht="20.100000000000001" customHeight="1" x14ac:dyDescent="0.2">
      <c r="R24" s="21"/>
    </row>
    <row r="25" spans="1:18" ht="20.100000000000001" customHeight="1" x14ac:dyDescent="0.2">
      <c r="D25" s="2" t="s">
        <v>310</v>
      </c>
      <c r="R25" s="21"/>
    </row>
    <row r="26" spans="1:18" ht="20.100000000000001" customHeight="1" x14ac:dyDescent="0.2">
      <c r="A26" s="6" t="s">
        <v>2</v>
      </c>
      <c r="R26" s="21"/>
    </row>
    <row r="27" spans="1:18" ht="20.100000000000001" customHeight="1" x14ac:dyDescent="0.2">
      <c r="A27" s="5" t="str">
        <f>HYPERLINK("#'4.6.1.1-2 Methane'!A1", "4.6.1.1-2 Manure Methane")</f>
        <v>4.6.1.1-2 Manure Methane</v>
      </c>
      <c r="D27" s="1" t="s">
        <v>311</v>
      </c>
      <c r="E27" s="13" t="s">
        <v>312</v>
      </c>
      <c r="F27" s="16" t="s">
        <v>100</v>
      </c>
      <c r="G27" s="1" t="s">
        <v>313</v>
      </c>
      <c r="R27" s="21"/>
    </row>
    <row r="28" spans="1:18" ht="20.100000000000001" customHeight="1" x14ac:dyDescent="0.2">
      <c r="A28" s="5" t="str">
        <f>HYPERLINK("#'4.6.1.3-4 Direct N20'!A1", "4.6.1.3-4 Manure Direct N2O")</f>
        <v>4.6.1.3-4 Manure Direct N2O</v>
      </c>
      <c r="R28" s="21"/>
    </row>
    <row r="29" spans="1:18" ht="20.100000000000001" customHeight="1" x14ac:dyDescent="0.2">
      <c r="A29" s="5" t="str">
        <f>HYPERLINK("#'4.6.1.5-6 Atmos Dep'!A1", "4.6.1.5-6 Manure Atmos Dep")</f>
        <v>4.6.1.5-6 Manure Atmos Dep</v>
      </c>
      <c r="D29" s="101" t="s">
        <v>314</v>
      </c>
      <c r="E29" s="99" t="s">
        <v>297</v>
      </c>
      <c r="F29" s="99" t="s">
        <v>298</v>
      </c>
      <c r="G29" s="99" t="s">
        <v>299</v>
      </c>
      <c r="H29" s="99" t="s">
        <v>300</v>
      </c>
      <c r="R29" s="21"/>
    </row>
    <row r="30" spans="1:18" ht="20.100000000000001" customHeight="1" x14ac:dyDescent="0.2">
      <c r="A30" s="5" t="str">
        <f>HYPERLINK("#'4.6.1.7-8 Leaching and runoff'!A1", "4.6.1.7-8 Manure Leaching and runoff")</f>
        <v>4.6.1.7-8 Manure Leaching and runoff</v>
      </c>
      <c r="D30" s="102" t="str">
        <f>'Constants - Poultry'!G29</f>
        <v>Poultry manure with bedding</v>
      </c>
      <c r="E30" s="18">
        <v>0.3</v>
      </c>
      <c r="F30" s="18">
        <v>0.3</v>
      </c>
      <c r="G30" s="18">
        <v>0.3</v>
      </c>
      <c r="H30" s="18">
        <v>0.3</v>
      </c>
      <c r="I30" s="16" t="s">
        <v>315</v>
      </c>
      <c r="J30" s="16"/>
      <c r="R30" s="21"/>
    </row>
    <row r="31" spans="1:18" ht="20.100000000000001" customHeight="1" x14ac:dyDescent="0.2">
      <c r="A31" s="5" t="str">
        <f>HYPERLINK("#'4.6.1.9 Manure applied to soils'!A1", "4.6.1.9 Manure applied to soils")</f>
        <v>4.6.1.9 Manure applied to soils</v>
      </c>
      <c r="D31" s="102" t="str">
        <f>'Constants - Poultry'!G30</f>
        <v>Belt manure removal</v>
      </c>
      <c r="E31" s="18">
        <v>0.3</v>
      </c>
      <c r="F31" s="18">
        <v>0.3</v>
      </c>
      <c r="G31" s="18">
        <v>0.3</v>
      </c>
      <c r="H31" s="18">
        <v>0.3</v>
      </c>
      <c r="I31" s="16" t="s">
        <v>315</v>
      </c>
      <c r="J31" s="16"/>
      <c r="R31" s="21"/>
    </row>
    <row r="32" spans="1:18" ht="20.100000000000001" customHeight="1" x14ac:dyDescent="0.2">
      <c r="A32" s="5" t="str">
        <f>HYPERLINK("#'4.6.1.10-11 Soil direct N2O'!A1", "4.6.1.10-11 Soil direct N2O")</f>
        <v>4.6.1.10-11 Soil direct N2O</v>
      </c>
      <c r="D32" s="102" t="str">
        <f>'Constants - Poultry'!G31</f>
        <v>Manure stored in house</v>
      </c>
      <c r="E32" s="18">
        <v>0.3</v>
      </c>
      <c r="F32" s="18">
        <v>0.3</v>
      </c>
      <c r="G32" s="18">
        <v>0.3</v>
      </c>
      <c r="H32" s="18">
        <v>0.3</v>
      </c>
      <c r="I32" s="16" t="s">
        <v>315</v>
      </c>
      <c r="J32" s="16"/>
      <c r="R32" s="21"/>
    </row>
    <row r="33" spans="1:18" ht="20.100000000000001" customHeight="1" x14ac:dyDescent="0.2">
      <c r="A33" s="5" t="str">
        <f>HYPERLINK("#'4.6.1.12-13 Soil atmos dep'!A1", "4.6.1.12-13 Soil atmos dep")</f>
        <v>4.6.1.12-13 Soil atmos dep</v>
      </c>
      <c r="D33" s="102" t="str">
        <f>'Constants - Poultry'!G32</f>
        <v>Pasture range and paddock</v>
      </c>
      <c r="E33" s="18">
        <v>0.1</v>
      </c>
      <c r="F33" s="18">
        <v>0.1</v>
      </c>
      <c r="G33" s="18">
        <v>0.1</v>
      </c>
      <c r="H33" s="18">
        <v>0.1</v>
      </c>
      <c r="I33" s="16" t="s">
        <v>315</v>
      </c>
      <c r="J33" s="16"/>
      <c r="R33" s="21"/>
    </row>
    <row r="34" spans="1:18" ht="20.100000000000001" customHeight="1" x14ac:dyDescent="0.2">
      <c r="A34" s="5" t="str">
        <f>HYPERLINK("#'4.6.1.14-15 Soil leach runoff'!A1", "4.6.1.14-15 Soil leach runoff")</f>
        <v>4.6.1.14-15 Soil leach runoff</v>
      </c>
      <c r="D34" s="103" t="s">
        <v>316</v>
      </c>
      <c r="E34" s="104">
        <f>SUM(E30,E31,E32,E33)</f>
        <v>0.99999999999999989</v>
      </c>
      <c r="F34" s="104">
        <f>SUM(F30,F31,F32,F33)</f>
        <v>0.99999999999999989</v>
      </c>
      <c r="G34" s="104">
        <f>SUM(G30,G31,G32,G33)</f>
        <v>0.99999999999999989</v>
      </c>
      <c r="H34" s="104">
        <f>SUM(H30,H31,H32,H33)</f>
        <v>0.99999999999999989</v>
      </c>
      <c r="I34" s="16"/>
      <c r="J34" s="16"/>
      <c r="R34" s="21"/>
    </row>
    <row r="35" spans="1:18" ht="20.100000000000001" customHeight="1" x14ac:dyDescent="0.2">
      <c r="A35" s="5" t="str">
        <f>HYPERLINK("#'8.1.1.1-2 Transport fuel'!A1", "8.1.1.1-2 Transport fuel")</f>
        <v>8.1.1.1-2 Transport fuel</v>
      </c>
      <c r="D35" s="105" t="s">
        <v>317</v>
      </c>
      <c r="R35" s="21"/>
    </row>
    <row r="36" spans="1:18" ht="20.100000000000001" customHeight="1" x14ac:dyDescent="0.2">
      <c r="A36" s="5" t="str">
        <f>HYPERLINK("#'8.2.1.1-2 Stationary fuel'!A1", "8.2.1.1-2 Stationary fuel")</f>
        <v>8.2.1.1-2 Stationary fuel</v>
      </c>
      <c r="D36" s="106" t="s">
        <v>318</v>
      </c>
      <c r="E36" s="99" t="s">
        <v>297</v>
      </c>
      <c r="F36" s="99" t="s">
        <v>298</v>
      </c>
      <c r="G36" s="99" t="s">
        <v>299</v>
      </c>
      <c r="H36" s="99" t="s">
        <v>300</v>
      </c>
      <c r="I36" s="107" t="s">
        <v>319</v>
      </c>
      <c r="J36" s="107"/>
      <c r="K36" s="101" t="s">
        <v>320</v>
      </c>
      <c r="L36" s="101"/>
      <c r="M36" s="78"/>
      <c r="R36" s="21"/>
    </row>
    <row r="37" spans="1:18" ht="20.100000000000001" customHeight="1" x14ac:dyDescent="0.2">
      <c r="A37" s="5" t="str">
        <f>HYPERLINK("#'10.1.1-2 Solid waste treatment'!A1", "10.1.1.1-2 Solid waste")</f>
        <v>10.1.1.1-2 Solid waste</v>
      </c>
      <c r="D37" s="108" t="str">
        <f>"From stage 1: " &amp; $D$30</f>
        <v>From stage 1: Poultry manure with bedding</v>
      </c>
      <c r="E37" s="87" t="str">
        <f>IF(SUM(E30:H30)&gt;0,"Manure was sent to this MMS, please complete this section.","No manure was sent to this MMS. Leave this section blank.")</f>
        <v>Manure was sent to this MMS, please complete this section.</v>
      </c>
      <c r="K37" s="109" t="s">
        <v>321</v>
      </c>
      <c r="L37" s="109" t="s">
        <v>322</v>
      </c>
      <c r="M37" s="109" t="s">
        <v>323</v>
      </c>
      <c r="R37" s="21"/>
    </row>
    <row r="38" spans="1:18" ht="20.100000000000001" customHeight="1" x14ac:dyDescent="0.2">
      <c r="A38" s="5" t="str">
        <f>HYPERLINK("#'14.1.1-2 Purchased electricity'!A1", "14.1.1-2 Purchased electricity")</f>
        <v>14.1.1-2 Purchased electricity</v>
      </c>
      <c r="D38" s="110" t="str">
        <f>'Constants - Poultry'!$J$29</f>
        <v>Solid storage</v>
      </c>
      <c r="E38" s="18">
        <v>0.2</v>
      </c>
      <c r="F38" s="18">
        <v>0.2</v>
      </c>
      <c r="G38" s="18">
        <v>0.2</v>
      </c>
      <c r="H38" s="18">
        <v>0.2</v>
      </c>
      <c r="I38" s="16" t="s">
        <v>315</v>
      </c>
      <c r="J38" s="16"/>
      <c r="K38" s="18">
        <v>0.25</v>
      </c>
      <c r="L38" s="18">
        <v>0.25</v>
      </c>
      <c r="M38" s="104">
        <f t="shared" ref="M38:M42" si="0">1-SUM(K38:L38)</f>
        <v>0.5</v>
      </c>
      <c r="R38" s="21"/>
    </row>
    <row r="39" spans="1:18" ht="20.100000000000001" customHeight="1" x14ac:dyDescent="0.2">
      <c r="A39" s="5" t="str">
        <f>HYPERLINK("#'15 Scope 3'!A1", "15 Scope 3")</f>
        <v>15 Scope 3</v>
      </c>
      <c r="D39" s="110" t="str">
        <f>'Constants - Poultry'!$J$30</f>
        <v>Composting (passive windrow)</v>
      </c>
      <c r="E39" s="18">
        <v>0.2</v>
      </c>
      <c r="F39" s="18">
        <v>0.2</v>
      </c>
      <c r="G39" s="18">
        <v>0.2</v>
      </c>
      <c r="H39" s="18">
        <v>0.2</v>
      </c>
      <c r="I39" s="16" t="s">
        <v>315</v>
      </c>
      <c r="J39" s="16"/>
      <c r="K39" s="18">
        <v>0.25</v>
      </c>
      <c r="L39" s="18">
        <v>0.25</v>
      </c>
      <c r="M39" s="104">
        <f t="shared" si="0"/>
        <v>0.5</v>
      </c>
      <c r="R39" s="21"/>
    </row>
    <row r="40" spans="1:18" ht="20.100000000000001" customHeight="1" x14ac:dyDescent="0.2">
      <c r="A40" s="5" t="str">
        <f>HYPERLINK("#'Calcs - Manure sent off-site'!A1", "Calcs - Manure sent off-site")</f>
        <v>Calcs - Manure sent off-site</v>
      </c>
      <c r="D40" s="110" t="str">
        <f>'Constants - Poultry'!$J$31</f>
        <v>Digester / covered lagoons</v>
      </c>
      <c r="E40" s="18">
        <v>0.2</v>
      </c>
      <c r="F40" s="18">
        <v>0.2</v>
      </c>
      <c r="G40" s="18">
        <v>0.2</v>
      </c>
      <c r="H40" s="18">
        <v>0.2</v>
      </c>
      <c r="I40" s="16" t="s">
        <v>315</v>
      </c>
      <c r="J40" s="16"/>
      <c r="K40" s="18">
        <v>0.25</v>
      </c>
      <c r="L40" s="18">
        <v>0.25</v>
      </c>
      <c r="M40" s="104">
        <f t="shared" si="0"/>
        <v>0.5</v>
      </c>
      <c r="R40" s="21"/>
    </row>
    <row r="41" spans="1:18" ht="20.100000000000001" customHeight="1" x14ac:dyDescent="0.2">
      <c r="A41" s="5" t="str">
        <f>HYPERLINK("#'5.1.1.1-2 Inorganic fert N2O'!A1", "5.1.1.1-2 Inorganic fert N2O")</f>
        <v>5.1.1.1-2 Inorganic fert N2O</v>
      </c>
      <c r="D41" s="110" t="str">
        <f>'Constants - Poultry'!$J$32</f>
        <v>Direct processing</v>
      </c>
      <c r="E41" s="18">
        <v>0.2</v>
      </c>
      <c r="F41" s="18">
        <v>0.2</v>
      </c>
      <c r="G41" s="18">
        <v>0.2</v>
      </c>
      <c r="H41" s="18">
        <v>0.2</v>
      </c>
      <c r="I41" s="16" t="s">
        <v>315</v>
      </c>
      <c r="J41" s="16"/>
      <c r="K41" s="18">
        <v>0.25</v>
      </c>
      <c r="L41" s="18">
        <v>0.25</v>
      </c>
      <c r="M41" s="104">
        <f t="shared" si="0"/>
        <v>0.5</v>
      </c>
      <c r="R41" s="21"/>
    </row>
    <row r="42" spans="1:18" ht="20.100000000000001" customHeight="1" x14ac:dyDescent="0.2">
      <c r="A42" s="5" t="str">
        <f>HYPERLINK("#'5.1.1.3-4 Inorganic fert CO2'!A1", "5.1.1.3-4 Inorganic fert CO2")</f>
        <v>5.1.1.3-4 Inorganic fert CO2</v>
      </c>
      <c r="D42" s="110" t="str">
        <f>'Constants - Poultry'!$J$33</f>
        <v>Direct application</v>
      </c>
      <c r="E42" s="104">
        <f>1-SUM(E38:E41)</f>
        <v>0.19999999999999996</v>
      </c>
      <c r="F42" s="104">
        <f t="shared" ref="F42:H42" si="1">1-SUM(F38:F41)</f>
        <v>0.19999999999999996</v>
      </c>
      <c r="G42" s="104">
        <f t="shared" si="1"/>
        <v>0.19999999999999996</v>
      </c>
      <c r="H42" s="104">
        <f t="shared" si="1"/>
        <v>0.19999999999999996</v>
      </c>
      <c r="I42" s="16" t="s">
        <v>315</v>
      </c>
      <c r="J42" s="16"/>
      <c r="K42" s="104">
        <v>0</v>
      </c>
      <c r="L42" s="104">
        <v>0</v>
      </c>
      <c r="M42" s="104">
        <f t="shared" si="0"/>
        <v>1</v>
      </c>
      <c r="R42" s="21"/>
    </row>
    <row r="43" spans="1:18" ht="20.100000000000001" customHeight="1" x14ac:dyDescent="0.2">
      <c r="A43" s="5" t="str">
        <f>HYPERLINK("#'5.2.1.1-2 Organic Fert N2O'!A1", "5.2.1.1-2 Organic Fert N2O")</f>
        <v>5.2.1.1-2 Organic Fert N2O</v>
      </c>
      <c r="D43" s="111"/>
      <c r="F43" s="16"/>
      <c r="R43" s="21"/>
    </row>
    <row r="44" spans="1:18" ht="20.100000000000001" customHeight="1" x14ac:dyDescent="0.2">
      <c r="A44" s="5" t="str">
        <f>HYPERLINK("#'5.3.1.1-2 Lime CO2'!A1", "5.3.1.1-2 Lime CO2")</f>
        <v>5.3.1.1-2 Lime CO2</v>
      </c>
      <c r="D44" s="108" t="str">
        <f>"From stage 1: " &amp; $D$31</f>
        <v>From stage 1: Belt manure removal</v>
      </c>
      <c r="E44" s="87" t="str">
        <f>IF(SUM(E31:H31)&gt;0,"Manure was sent to this MMS, please complete this section.","No manure was sent to this MMS. Leave this section blank.")</f>
        <v>Manure was sent to this MMS, please complete this section.</v>
      </c>
      <c r="K44" s="109" t="s">
        <v>321</v>
      </c>
      <c r="L44" s="109" t="s">
        <v>322</v>
      </c>
      <c r="M44" s="109" t="s">
        <v>323</v>
      </c>
      <c r="R44" s="21"/>
    </row>
    <row r="45" spans="1:18" ht="20.100000000000001" customHeight="1" x14ac:dyDescent="0.2">
      <c r="A45" s="5" t="str">
        <f>HYPERLINK("#'5.4.1.1-4 Atmos deposition'!A1", "5.4.1.1-4 Atmos deposition")</f>
        <v>5.4.1.1-4 Atmos deposition</v>
      </c>
      <c r="D45" s="110" t="str">
        <f>'Constants - Poultry'!$J$29</f>
        <v>Solid storage</v>
      </c>
      <c r="E45" s="18">
        <v>0.2</v>
      </c>
      <c r="F45" s="18">
        <v>0.2</v>
      </c>
      <c r="G45" s="18">
        <v>0.2</v>
      </c>
      <c r="H45" s="18">
        <v>0.2</v>
      </c>
      <c r="I45" s="16" t="s">
        <v>315</v>
      </c>
      <c r="J45" s="16"/>
      <c r="K45" s="18">
        <v>0.25</v>
      </c>
      <c r="L45" s="18">
        <v>0.25</v>
      </c>
      <c r="M45" s="104">
        <f>1-SUM(K45:L45)</f>
        <v>0.5</v>
      </c>
      <c r="R45" s="21"/>
    </row>
    <row r="46" spans="1:18" ht="20.100000000000001" customHeight="1" x14ac:dyDescent="0.2">
      <c r="A46" s="5" t="str">
        <f>HYPERLINK("#'5.5.1.1-2 Leaching and runoff'!A1", "5.5.1.1-2 Leaching and runoff")</f>
        <v>5.5.1.1-2 Leaching and runoff</v>
      </c>
      <c r="D46" s="110" t="str">
        <f>'Constants - Poultry'!$J$30</f>
        <v>Composting (passive windrow)</v>
      </c>
      <c r="E46" s="18">
        <v>0.2</v>
      </c>
      <c r="F46" s="18">
        <v>0.2</v>
      </c>
      <c r="G46" s="18">
        <v>0.2</v>
      </c>
      <c r="H46" s="18">
        <v>0.2</v>
      </c>
      <c r="I46" s="16" t="s">
        <v>315</v>
      </c>
      <c r="J46" s="16"/>
      <c r="K46" s="18">
        <v>0.25</v>
      </c>
      <c r="L46" s="18">
        <v>0.25</v>
      </c>
      <c r="M46" s="104">
        <f t="shared" ref="M46:M49" si="2">1-SUM(K46:L46)</f>
        <v>0.5</v>
      </c>
      <c r="R46" s="21"/>
    </row>
    <row r="47" spans="1:18" ht="20.100000000000001" customHeight="1" x14ac:dyDescent="0.2">
      <c r="D47" s="110" t="str">
        <f>'Constants - Poultry'!$J$31</f>
        <v>Digester / covered lagoons</v>
      </c>
      <c r="E47" s="18">
        <v>0.2</v>
      </c>
      <c r="F47" s="18">
        <v>0.2</v>
      </c>
      <c r="G47" s="18">
        <v>0.2</v>
      </c>
      <c r="H47" s="18">
        <v>0.2</v>
      </c>
      <c r="I47" s="16" t="s">
        <v>315</v>
      </c>
      <c r="J47" s="16"/>
      <c r="K47" s="18">
        <v>0.25</v>
      </c>
      <c r="L47" s="18">
        <v>0.25</v>
      </c>
      <c r="M47" s="104">
        <f t="shared" si="2"/>
        <v>0.5</v>
      </c>
      <c r="R47" s="21"/>
    </row>
    <row r="48" spans="1:18" ht="20.100000000000001" customHeight="1" x14ac:dyDescent="0.2">
      <c r="D48" s="110" t="str">
        <f>'Constants - Poultry'!$J$32</f>
        <v>Direct processing</v>
      </c>
      <c r="E48" s="18">
        <v>0.2</v>
      </c>
      <c r="F48" s="18">
        <v>0.2</v>
      </c>
      <c r="G48" s="18">
        <v>0.2</v>
      </c>
      <c r="H48" s="18">
        <v>0.2</v>
      </c>
      <c r="I48" s="16" t="s">
        <v>315</v>
      </c>
      <c r="J48" s="16"/>
      <c r="K48" s="18">
        <v>0.25</v>
      </c>
      <c r="L48" s="18">
        <v>0.25</v>
      </c>
      <c r="M48" s="104">
        <f t="shared" si="2"/>
        <v>0.5</v>
      </c>
      <c r="R48" s="21"/>
    </row>
    <row r="49" spans="1:18" ht="20.100000000000001" customHeight="1" x14ac:dyDescent="0.2">
      <c r="A49" s="80" t="s">
        <v>1</v>
      </c>
      <c r="D49" s="110" t="str">
        <f>'Constants - Poultry'!$J$33</f>
        <v>Direct application</v>
      </c>
      <c r="E49" s="104">
        <f>1-SUM(E45:E48)</f>
        <v>0.19999999999999996</v>
      </c>
      <c r="F49" s="104">
        <f t="shared" ref="F49:H49" si="3">1-SUM(F45:F48)</f>
        <v>0.19999999999999996</v>
      </c>
      <c r="G49" s="104">
        <f t="shared" si="3"/>
        <v>0.19999999999999996</v>
      </c>
      <c r="H49" s="104">
        <f t="shared" si="3"/>
        <v>0.19999999999999996</v>
      </c>
      <c r="K49" s="104">
        <v>0</v>
      </c>
      <c r="L49" s="104">
        <v>0</v>
      </c>
      <c r="M49" s="104">
        <f t="shared" si="2"/>
        <v>1</v>
      </c>
      <c r="R49" s="21"/>
    </row>
    <row r="50" spans="1:18" ht="20.100000000000001" customHeight="1" x14ac:dyDescent="0.2">
      <c r="A50" s="5" t="str">
        <f>HYPERLINK("#'Constants - Poultry'!A1", "Constants - Poultry")</f>
        <v>Constants - Poultry</v>
      </c>
      <c r="R50" s="21"/>
    </row>
    <row r="51" spans="1:18" ht="20.100000000000001" customHeight="1" x14ac:dyDescent="0.2">
      <c r="A51" s="5" t="str">
        <f>HYPERLINK("#'Constants - Common livestock'!A1", "Constants - Common Livestock")</f>
        <v>Constants - Common Livestock</v>
      </c>
      <c r="D51" s="108" t="str">
        <f>"From stage 1: " &amp; $D$32</f>
        <v>From stage 1: Manure stored in house</v>
      </c>
      <c r="E51" s="87" t="str">
        <f>IF(SUM(E32:H32)&gt;0,"Manure was sent to this MMS, please complete this section.","No manure was sent to this MMS. Leave this section blank.")</f>
        <v>Manure was sent to this MMS, please complete this section.</v>
      </c>
      <c r="K51" s="109" t="s">
        <v>321</v>
      </c>
      <c r="L51" s="109" t="s">
        <v>322</v>
      </c>
      <c r="M51" s="109" t="s">
        <v>323</v>
      </c>
      <c r="R51" s="21"/>
    </row>
    <row r="52" spans="1:18" ht="20.100000000000001" customHeight="1" x14ac:dyDescent="0.2">
      <c r="A52" s="5" t="str">
        <f>HYPERLINK("#'Constants - Electricity'!A1", "Constants - Electricity")</f>
        <v>Constants - Electricity</v>
      </c>
      <c r="D52" s="110" t="str">
        <f>'Constants - Poultry'!$J$29</f>
        <v>Solid storage</v>
      </c>
      <c r="E52" s="18">
        <v>0.2</v>
      </c>
      <c r="F52" s="18">
        <v>0.2</v>
      </c>
      <c r="G52" s="18">
        <v>0.2</v>
      </c>
      <c r="H52" s="18">
        <v>0.2</v>
      </c>
      <c r="I52" s="16" t="s">
        <v>315</v>
      </c>
      <c r="J52" s="16"/>
      <c r="K52" s="18">
        <v>0.25</v>
      </c>
      <c r="L52" s="18">
        <v>0.25</v>
      </c>
      <c r="M52" s="104">
        <f>1-SUM(K52:L52)</f>
        <v>0.5</v>
      </c>
      <c r="R52" s="21"/>
    </row>
    <row r="53" spans="1:18" ht="20.100000000000001" customHeight="1" x14ac:dyDescent="0.2">
      <c r="A53" s="5" t="str">
        <f>HYPERLINK("#'Constants - Fertiliser'!A1", "Constants - Fertiliser")</f>
        <v>Constants - Fertiliser</v>
      </c>
      <c r="D53" s="110" t="str">
        <f>'Constants - Poultry'!$J$30</f>
        <v>Composting (passive windrow)</v>
      </c>
      <c r="E53" s="18">
        <v>0.2</v>
      </c>
      <c r="F53" s="18">
        <v>0.2</v>
      </c>
      <c r="G53" s="18">
        <v>0.2</v>
      </c>
      <c r="H53" s="18">
        <v>0.2</v>
      </c>
      <c r="I53" s="16" t="s">
        <v>315</v>
      </c>
      <c r="J53" s="16"/>
      <c r="K53" s="18">
        <v>0.25</v>
      </c>
      <c r="L53" s="18">
        <v>0.25</v>
      </c>
      <c r="M53" s="104">
        <f>1-SUM(K53:L53)</f>
        <v>0.5</v>
      </c>
      <c r="R53" s="21"/>
    </row>
    <row r="54" spans="1:18" ht="20.100000000000001" customHeight="1" x14ac:dyDescent="0.2">
      <c r="A54" s="5" t="str">
        <f>HYPERLINK("#'Constants - Fuel'!A1", "Constants - Fuel")</f>
        <v>Constants - Fuel</v>
      </c>
      <c r="D54" s="110" t="str">
        <f>'Constants - Poultry'!$J$31</f>
        <v>Digester / covered lagoons</v>
      </c>
      <c r="E54" s="18">
        <v>0.2</v>
      </c>
      <c r="F54" s="18">
        <v>0.2</v>
      </c>
      <c r="G54" s="18">
        <v>0.2</v>
      </c>
      <c r="H54" s="18">
        <v>0.2</v>
      </c>
      <c r="I54" s="16" t="s">
        <v>315</v>
      </c>
      <c r="J54" s="16"/>
      <c r="K54" s="18">
        <v>0.25</v>
      </c>
      <c r="L54" s="18">
        <v>0.25</v>
      </c>
      <c r="M54" s="104">
        <f>1-SUM(K54:L54)</f>
        <v>0.5</v>
      </c>
      <c r="R54" s="21"/>
    </row>
    <row r="55" spans="1:18" ht="20.100000000000001" customHeight="1" x14ac:dyDescent="0.2">
      <c r="A55" s="5" t="str">
        <f>HYPERLINK("#'Constants - Scope 3'!A1", "Constants - Scope 3")</f>
        <v>Constants - Scope 3</v>
      </c>
      <c r="D55" s="110" t="str">
        <f>'Constants - Poultry'!$J$32</f>
        <v>Direct processing</v>
      </c>
      <c r="E55" s="18">
        <v>0.2</v>
      </c>
      <c r="F55" s="18">
        <v>0.2</v>
      </c>
      <c r="G55" s="18">
        <v>0.2</v>
      </c>
      <c r="H55" s="18">
        <v>0.2</v>
      </c>
      <c r="I55" s="16" t="s">
        <v>315</v>
      </c>
      <c r="J55" s="16"/>
      <c r="K55" s="18">
        <v>0.25</v>
      </c>
      <c r="L55" s="18">
        <v>0.25</v>
      </c>
      <c r="M55" s="104">
        <f t="shared" ref="M55:M56" si="4">1-SUM(K55:L55)</f>
        <v>0.5</v>
      </c>
      <c r="R55" s="21"/>
    </row>
    <row r="56" spans="1:18" ht="20.100000000000001" customHeight="1" x14ac:dyDescent="0.2">
      <c r="A56" s="5" t="str">
        <f>HYPERLINK("#'Constants - Solid Waste'!A1", "Constants - Solid Waste")</f>
        <v>Constants - Solid Waste</v>
      </c>
      <c r="D56" s="110" t="str">
        <f>'Constants - Poultry'!$J$33</f>
        <v>Direct application</v>
      </c>
      <c r="E56" s="104">
        <f>1-SUM(E52:E55)</f>
        <v>0.19999999999999996</v>
      </c>
      <c r="F56" s="104">
        <f t="shared" ref="F56:H56" si="5">1-SUM(F52:F55)</f>
        <v>0.19999999999999996</v>
      </c>
      <c r="G56" s="104">
        <f t="shared" si="5"/>
        <v>0.19999999999999996</v>
      </c>
      <c r="H56" s="104">
        <f t="shared" si="5"/>
        <v>0.19999999999999996</v>
      </c>
      <c r="I56" s="16" t="s">
        <v>315</v>
      </c>
      <c r="J56" s="16"/>
      <c r="K56" s="104">
        <v>0</v>
      </c>
      <c r="L56" s="104">
        <v>0</v>
      </c>
      <c r="M56" s="104">
        <f t="shared" si="4"/>
        <v>1</v>
      </c>
      <c r="R56" s="21"/>
    </row>
    <row r="57" spans="1:18" ht="20.100000000000001" customHeight="1" x14ac:dyDescent="0.2">
      <c r="A57" s="5" t="str">
        <f>HYPERLINK("#'Constants - Common'!A1", "Constants - Common")</f>
        <v>Constants - Common</v>
      </c>
      <c r="R57" s="21"/>
    </row>
    <row r="58" spans="1:18" ht="20.100000000000001" customHeight="1" x14ac:dyDescent="0.2">
      <c r="D58" s="103"/>
      <c r="R58" s="21"/>
    </row>
    <row r="59" spans="1:18" ht="20.100000000000001" customHeight="1" x14ac:dyDescent="0.2">
      <c r="D59" s="1" t="s">
        <v>324</v>
      </c>
      <c r="E59" s="13" t="s">
        <v>325</v>
      </c>
      <c r="F59" s="16" t="s">
        <v>100</v>
      </c>
      <c r="R59" s="21"/>
    </row>
    <row r="60" spans="1:18" ht="20.100000000000001" customHeight="1" x14ac:dyDescent="0.2">
      <c r="E60" s="13" t="s">
        <v>326</v>
      </c>
      <c r="F60" s="16" t="s">
        <v>100</v>
      </c>
      <c r="R60" s="21"/>
    </row>
    <row r="61" spans="1:18" ht="20.100000000000001" customHeight="1" x14ac:dyDescent="0.2">
      <c r="R61" s="21"/>
    </row>
    <row r="62" spans="1:18" ht="20.100000000000001" customHeight="1" x14ac:dyDescent="0.2">
      <c r="R62" s="21"/>
    </row>
    <row r="63" spans="1:18" ht="20.100000000000001" customHeight="1" x14ac:dyDescent="0.2">
      <c r="R63" s="21"/>
    </row>
    <row r="64" spans="1:18" ht="20.100000000000001" customHeight="1" x14ac:dyDescent="0.2">
      <c r="R64" s="21"/>
    </row>
    <row r="65" spans="18:18" ht="20.100000000000001" customHeight="1" x14ac:dyDescent="0.2">
      <c r="R65" s="21"/>
    </row>
    <row r="66" spans="18:18" ht="20.100000000000001" customHeight="1" x14ac:dyDescent="0.2">
      <c r="R66" s="21"/>
    </row>
    <row r="67" spans="18:18" ht="20.100000000000001" customHeight="1" x14ac:dyDescent="0.2">
      <c r="R67" s="21"/>
    </row>
    <row r="68" spans="18:18" ht="20.100000000000001" customHeight="1" x14ac:dyDescent="0.2">
      <c r="R68" s="21"/>
    </row>
    <row r="69" spans="18:18" ht="20.100000000000001" customHeight="1" x14ac:dyDescent="0.2">
      <c r="R69" s="21"/>
    </row>
    <row r="70" spans="18:18" ht="20.100000000000001" customHeight="1" x14ac:dyDescent="0.2">
      <c r="R70" s="21"/>
    </row>
    <row r="71" spans="18:18" ht="20.100000000000001" customHeight="1" x14ac:dyDescent="0.2">
      <c r="R71" s="21"/>
    </row>
    <row r="72" spans="18:18" ht="20.100000000000001" customHeight="1" x14ac:dyDescent="0.2">
      <c r="R72" s="21"/>
    </row>
    <row r="73" spans="18:18" ht="20.100000000000001" customHeight="1" x14ac:dyDescent="0.2">
      <c r="R73" s="21"/>
    </row>
    <row r="74" spans="18:18" ht="20.100000000000001" customHeight="1" x14ac:dyDescent="0.2">
      <c r="R74" s="21"/>
    </row>
    <row r="75" spans="18:18" ht="20.100000000000001" customHeight="1" x14ac:dyDescent="0.2">
      <c r="R75" s="21"/>
    </row>
    <row r="76" spans="18:18" ht="20.100000000000001" customHeight="1" x14ac:dyDescent="0.2">
      <c r="R76" s="21"/>
    </row>
    <row r="77" spans="18:18" ht="20.100000000000001" customHeight="1" x14ac:dyDescent="0.2">
      <c r="R77" s="21"/>
    </row>
    <row r="78" spans="18:18" ht="20.100000000000001" customHeight="1" x14ac:dyDescent="0.2">
      <c r="R78" s="21"/>
    </row>
    <row r="79" spans="18:18" ht="20.100000000000001" customHeight="1" x14ac:dyDescent="0.2">
      <c r="R79" s="21"/>
    </row>
    <row r="80" spans="18:18" ht="20.100000000000001" customHeight="1" x14ac:dyDescent="0.2">
      <c r="R80" s="21"/>
    </row>
    <row r="81" spans="18:18" ht="20.100000000000001" customHeight="1" x14ac:dyDescent="0.2">
      <c r="R81" s="21"/>
    </row>
    <row r="82" spans="18:18" ht="20.100000000000001" customHeight="1" x14ac:dyDescent="0.2">
      <c r="R82" s="21"/>
    </row>
    <row r="83" spans="18:18" ht="20.100000000000001" customHeight="1" x14ac:dyDescent="0.2">
      <c r="R83" s="21"/>
    </row>
    <row r="84" spans="18:18" ht="20.100000000000001" customHeight="1" x14ac:dyDescent="0.2">
      <c r="R84" s="21"/>
    </row>
    <row r="85" spans="18:18" ht="20.100000000000001" customHeight="1" x14ac:dyDescent="0.2">
      <c r="R85" s="21"/>
    </row>
    <row r="86" spans="18:18" ht="20.100000000000001" customHeight="1" x14ac:dyDescent="0.2">
      <c r="R86" s="21"/>
    </row>
    <row r="87" spans="18:18" ht="20.100000000000001" customHeight="1" x14ac:dyDescent="0.2">
      <c r="R87" s="21"/>
    </row>
    <row r="88" spans="18:18" ht="20.100000000000001" customHeight="1" x14ac:dyDescent="0.2">
      <c r="R88" s="21"/>
    </row>
    <row r="89" spans="18:18" ht="20.100000000000001" customHeight="1" x14ac:dyDescent="0.2">
      <c r="R89" s="21"/>
    </row>
    <row r="90" spans="18:18" ht="20.100000000000001" customHeight="1" x14ac:dyDescent="0.2">
      <c r="R90" s="21"/>
    </row>
    <row r="91" spans="18:18" ht="20.100000000000001" customHeight="1" x14ac:dyDescent="0.2">
      <c r="R91" s="21"/>
    </row>
    <row r="92" spans="18:18" ht="20.100000000000001" customHeight="1" x14ac:dyDescent="0.2">
      <c r="R92" s="21"/>
    </row>
    <row r="93" spans="18:18" ht="20.100000000000001" customHeight="1" x14ac:dyDescent="0.2">
      <c r="R93" s="21"/>
    </row>
    <row r="94" spans="18:18" ht="20.100000000000001" customHeight="1" x14ac:dyDescent="0.2">
      <c r="R94" s="21"/>
    </row>
    <row r="95" spans="18:18" ht="20.100000000000001" customHeight="1" x14ac:dyDescent="0.2">
      <c r="R95" s="21"/>
    </row>
    <row r="96" spans="18:18" ht="20.100000000000001" customHeight="1" x14ac:dyDescent="0.2">
      <c r="R96" s="21"/>
    </row>
    <row r="97" spans="14:18" ht="20.100000000000001" customHeight="1" x14ac:dyDescent="0.2">
      <c r="R97" s="21"/>
    </row>
    <row r="98" spans="14:18" ht="20.100000000000001" customHeight="1" x14ac:dyDescent="0.2">
      <c r="R98" s="21"/>
    </row>
    <row r="99" spans="14:18" ht="20.100000000000001" customHeight="1" x14ac:dyDescent="0.2">
      <c r="R99" s="21"/>
    </row>
    <row r="100" spans="14:18" ht="20.100000000000001" customHeight="1" x14ac:dyDescent="0.2">
      <c r="R100" s="21"/>
    </row>
    <row r="101" spans="14:18" ht="20.100000000000001" customHeight="1" x14ac:dyDescent="0.2">
      <c r="R101" s="21"/>
    </row>
    <row r="102" spans="14:18" ht="20.100000000000001" customHeight="1" x14ac:dyDescent="0.2">
      <c r="R102" s="21"/>
    </row>
    <row r="103" spans="14:18" ht="20.100000000000001" customHeight="1" x14ac:dyDescent="0.2">
      <c r="R103" s="21"/>
    </row>
    <row r="104" spans="14:18" ht="20.100000000000001" customHeight="1" x14ac:dyDescent="0.2">
      <c r="R104" s="21"/>
    </row>
    <row r="105" spans="14:18" ht="20.100000000000001" customHeight="1" x14ac:dyDescent="0.2">
      <c r="R105" s="21"/>
    </row>
    <row r="106" spans="14:18" ht="20.100000000000001" customHeight="1" x14ac:dyDescent="0.2">
      <c r="R106" s="21"/>
    </row>
    <row r="108" spans="14:18" ht="20.100000000000001" customHeight="1" x14ac:dyDescent="0.2">
      <c r="N108" s="24"/>
    </row>
    <row r="109" spans="14:18" ht="20.100000000000001" customHeight="1" x14ac:dyDescent="0.2">
      <c r="N109" s="24"/>
    </row>
    <row r="110" spans="14:18" ht="20.100000000000001" customHeight="1" x14ac:dyDescent="0.2">
      <c r="N110" s="24"/>
    </row>
    <row r="111" spans="14:18" ht="20.100000000000001" customHeight="1" x14ac:dyDescent="0.2">
      <c r="N111" s="24"/>
    </row>
    <row r="112" spans="14:18" ht="20.100000000000001" customHeight="1" x14ac:dyDescent="0.2">
      <c r="N112" s="24"/>
    </row>
    <row r="113" spans="14:14" ht="20.100000000000001" customHeight="1" x14ac:dyDescent="0.2">
      <c r="N113" s="24"/>
    </row>
    <row r="114" spans="14:14" ht="20.100000000000001" customHeight="1" x14ac:dyDescent="0.2">
      <c r="N114" s="24"/>
    </row>
    <row r="115" spans="14:14" ht="20.100000000000001" customHeight="1" x14ac:dyDescent="0.2">
      <c r="N115" s="24"/>
    </row>
    <row r="116" spans="14:14" ht="20.100000000000001" customHeight="1" x14ac:dyDescent="0.2">
      <c r="N116" s="24"/>
    </row>
    <row r="117" spans="14:14" ht="20.100000000000001" customHeight="1" x14ac:dyDescent="0.2">
      <c r="N117" s="24"/>
    </row>
    <row r="118" spans="14:14" ht="20.100000000000001" customHeight="1" x14ac:dyDescent="0.2">
      <c r="N118" s="24"/>
    </row>
    <row r="119" spans="14:14" ht="20.100000000000001" customHeight="1" x14ac:dyDescent="0.2">
      <c r="N119" s="24"/>
    </row>
    <row r="120" spans="14:14" ht="20.100000000000001" customHeight="1" x14ac:dyDescent="0.2">
      <c r="N120" s="24"/>
    </row>
    <row r="121" spans="14:14" ht="20.100000000000001" customHeight="1" x14ac:dyDescent="0.2">
      <c r="N121" s="24"/>
    </row>
    <row r="122" spans="14:14" ht="20.100000000000001" customHeight="1" x14ac:dyDescent="0.2">
      <c r="N122" s="24"/>
    </row>
    <row r="123" spans="14:14" ht="20.100000000000001" customHeight="1" x14ac:dyDescent="0.2">
      <c r="N123" s="24"/>
    </row>
    <row r="124" spans="14:14" ht="20.100000000000001" customHeight="1" x14ac:dyDescent="0.2">
      <c r="N124" s="24"/>
    </row>
    <row r="125" spans="14:14" ht="20.100000000000001" customHeight="1" x14ac:dyDescent="0.2">
      <c r="N125" s="24"/>
    </row>
    <row r="126" spans="14:14" ht="20.100000000000001" customHeight="1" x14ac:dyDescent="0.2">
      <c r="N126" s="24"/>
    </row>
    <row r="127" spans="14:14" ht="20.100000000000001" customHeight="1" x14ac:dyDescent="0.2">
      <c r="N127" s="24"/>
    </row>
    <row r="128" spans="14:14" ht="20.100000000000001" customHeight="1" x14ac:dyDescent="0.2">
      <c r="N128" s="24"/>
    </row>
    <row r="129" spans="14:14" ht="20.100000000000001" customHeight="1" x14ac:dyDescent="0.2">
      <c r="N129" s="24"/>
    </row>
    <row r="206" spans="13:13" ht="20.100000000000001" customHeight="1" x14ac:dyDescent="0.2">
      <c r="M206" s="16"/>
    </row>
    <row r="207" spans="13:13" ht="20.100000000000001" customHeight="1" x14ac:dyDescent="0.2">
      <c r="M207" s="16"/>
    </row>
    <row r="208" spans="13:13" ht="20.100000000000001" customHeight="1" x14ac:dyDescent="0.2">
      <c r="M208" s="16"/>
    </row>
    <row r="209" spans="13:13" ht="20.100000000000001" customHeight="1" x14ac:dyDescent="0.2">
      <c r="M209" s="16"/>
    </row>
    <row r="210" spans="13:13" ht="20.100000000000001" customHeight="1" x14ac:dyDescent="0.2">
      <c r="M210" s="16"/>
    </row>
    <row r="212" spans="13:13" ht="20.100000000000001" customHeight="1" x14ac:dyDescent="0.2">
      <c r="M212" s="16"/>
    </row>
    <row r="214" spans="13:13" ht="20.100000000000001" customHeight="1" x14ac:dyDescent="0.2">
      <c r="M214" s="16"/>
    </row>
    <row r="215" spans="13:13" ht="20.100000000000001" customHeight="1" x14ac:dyDescent="0.2">
      <c r="M215" s="16"/>
    </row>
    <row r="216" spans="13:13" ht="20.100000000000001" customHeight="1" x14ac:dyDescent="0.2">
      <c r="M216" s="16"/>
    </row>
    <row r="217" spans="13:13" ht="20.100000000000001" customHeight="1" x14ac:dyDescent="0.2">
      <c r="M217" s="16"/>
    </row>
    <row r="219" spans="13:13" ht="20.100000000000001" customHeight="1" x14ac:dyDescent="0.2">
      <c r="M219" s="16"/>
    </row>
    <row r="227" spans="13:13" ht="20.100000000000001" customHeight="1" x14ac:dyDescent="0.2">
      <c r="M227" s="16"/>
    </row>
    <row r="228" spans="13:13" ht="20.100000000000001" customHeight="1" x14ac:dyDescent="0.2">
      <c r="M228" s="16"/>
    </row>
    <row r="229" spans="13:13" ht="20.100000000000001" customHeight="1" x14ac:dyDescent="0.2">
      <c r="M229" s="16"/>
    </row>
    <row r="232" spans="13:13" ht="20.100000000000001" customHeight="1" x14ac:dyDescent="0.2">
      <c r="M232" s="16"/>
    </row>
    <row r="233" spans="13:13" ht="20.100000000000001" customHeight="1" x14ac:dyDescent="0.2">
      <c r="M233" s="16"/>
    </row>
    <row r="234" spans="13:13" ht="20.100000000000001" customHeight="1" x14ac:dyDescent="0.2">
      <c r="M234" s="16"/>
    </row>
    <row r="237" spans="13:13" ht="20.100000000000001" customHeight="1" x14ac:dyDescent="0.2">
      <c r="M237" s="16"/>
    </row>
    <row r="238" spans="13:13" ht="20.100000000000001" customHeight="1" x14ac:dyDescent="0.2">
      <c r="M238" s="16"/>
    </row>
    <row r="239" spans="13:13" ht="20.100000000000001" customHeight="1" x14ac:dyDescent="0.2">
      <c r="M239" s="16"/>
    </row>
    <row r="242" spans="12:13" ht="20.100000000000001" customHeight="1" x14ac:dyDescent="0.2">
      <c r="M242" s="16"/>
    </row>
    <row r="243" spans="12:13" ht="20.100000000000001" customHeight="1" x14ac:dyDescent="0.2">
      <c r="L243" s="16"/>
      <c r="M243" s="16"/>
    </row>
    <row r="244" spans="12:13" ht="20.100000000000001" customHeight="1" x14ac:dyDescent="0.2">
      <c r="M244" s="16"/>
    </row>
    <row r="248" spans="12:13" ht="20.100000000000001" customHeight="1" x14ac:dyDescent="0.2">
      <c r="L248" s="16"/>
    </row>
    <row r="251" spans="12:13" ht="20.100000000000001" customHeight="1" x14ac:dyDescent="0.2">
      <c r="M251" s="16"/>
    </row>
    <row r="252" spans="12:13" ht="20.100000000000001" customHeight="1" x14ac:dyDescent="0.2">
      <c r="M252" s="16"/>
    </row>
    <row r="253" spans="12:13" ht="20.100000000000001" customHeight="1" x14ac:dyDescent="0.2">
      <c r="L253" s="16"/>
      <c r="M253" s="16"/>
    </row>
    <row r="256" spans="12:13" ht="20.100000000000001" customHeight="1" x14ac:dyDescent="0.2">
      <c r="M256" s="16"/>
    </row>
    <row r="257" spans="12:13" ht="20.100000000000001" customHeight="1" x14ac:dyDescent="0.2">
      <c r="M257" s="16"/>
    </row>
    <row r="258" spans="12:13" ht="20.100000000000001" customHeight="1" x14ac:dyDescent="0.2">
      <c r="L258" s="16"/>
      <c r="M258" s="16"/>
    </row>
    <row r="259" spans="12:13" ht="20.100000000000001" customHeight="1" x14ac:dyDescent="0.2">
      <c r="L259" s="16"/>
    </row>
    <row r="260" spans="12:13" ht="20.100000000000001" customHeight="1" x14ac:dyDescent="0.2">
      <c r="L260" s="16"/>
    </row>
    <row r="261" spans="12:13" ht="20.100000000000001" customHeight="1" x14ac:dyDescent="0.2">
      <c r="L261" s="16"/>
      <c r="M261" s="16"/>
    </row>
    <row r="262" spans="12:13" ht="20.100000000000001" customHeight="1" x14ac:dyDescent="0.2">
      <c r="L262" s="16"/>
      <c r="M262" s="16"/>
    </row>
    <row r="263" spans="12:13" ht="20.100000000000001" customHeight="1" x14ac:dyDescent="0.2">
      <c r="M263" s="16"/>
    </row>
    <row r="264" spans="12:13" ht="20.100000000000001" customHeight="1" x14ac:dyDescent="0.2">
      <c r="L264" s="16"/>
    </row>
    <row r="266" spans="12:13" ht="20.100000000000001" customHeight="1" x14ac:dyDescent="0.2">
      <c r="L266" s="16"/>
      <c r="M266" s="16"/>
    </row>
    <row r="267" spans="12:13" ht="20.100000000000001" customHeight="1" x14ac:dyDescent="0.2">
      <c r="L267" s="16"/>
      <c r="M267" s="16"/>
    </row>
    <row r="268" spans="12:13" ht="20.100000000000001" customHeight="1" x14ac:dyDescent="0.2">
      <c r="L268" s="16"/>
      <c r="M268" s="16"/>
    </row>
    <row r="269" spans="12:13" ht="20.100000000000001" customHeight="1" x14ac:dyDescent="0.2">
      <c r="L269" s="16"/>
    </row>
    <row r="271" spans="12:13" ht="20.100000000000001" customHeight="1" x14ac:dyDescent="0.2">
      <c r="L271" s="16"/>
    </row>
    <row r="277" spans="12:12" ht="20.100000000000001" customHeight="1" x14ac:dyDescent="0.2">
      <c r="L277" s="16"/>
    </row>
    <row r="282" spans="12:12" ht="20.100000000000001" customHeight="1" x14ac:dyDescent="0.2">
      <c r="L282" s="16"/>
    </row>
    <row r="287" spans="12:12" ht="20.100000000000001" customHeight="1" x14ac:dyDescent="0.2">
      <c r="L287" s="16"/>
    </row>
    <row r="292" spans="12:12" ht="20.100000000000001" customHeight="1" x14ac:dyDescent="0.2">
      <c r="L292" s="16"/>
    </row>
    <row r="293" spans="12:12" ht="20.100000000000001" customHeight="1" x14ac:dyDescent="0.2">
      <c r="L293" s="16"/>
    </row>
    <row r="294" spans="12:12" ht="20.100000000000001" customHeight="1" x14ac:dyDescent="0.2">
      <c r="L294" s="16"/>
    </row>
    <row r="295" spans="12:12" ht="20.100000000000001" customHeight="1" x14ac:dyDescent="0.2">
      <c r="L295" s="16"/>
    </row>
    <row r="296" spans="12:12" ht="20.100000000000001" customHeight="1" x14ac:dyDescent="0.2">
      <c r="L296" s="16"/>
    </row>
    <row r="298" spans="12:12" ht="20.100000000000001" customHeight="1" x14ac:dyDescent="0.2">
      <c r="L298" s="16"/>
    </row>
    <row r="300" spans="12:12" ht="20.100000000000001" customHeight="1" x14ac:dyDescent="0.2">
      <c r="L300" s="16"/>
    </row>
    <row r="301" spans="12:12" ht="20.100000000000001" customHeight="1" x14ac:dyDescent="0.2">
      <c r="L301" s="16"/>
    </row>
    <row r="302" spans="12:12" ht="20.100000000000001" customHeight="1" x14ac:dyDescent="0.2">
      <c r="L302" s="16"/>
    </row>
    <row r="303" spans="12:12" ht="20.100000000000001" customHeight="1" x14ac:dyDescent="0.2">
      <c r="L303" s="16"/>
    </row>
    <row r="305" spans="12:12" ht="20.100000000000001" customHeight="1" x14ac:dyDescent="0.2">
      <c r="L305" s="16"/>
    </row>
    <row r="313" spans="12:12" ht="20.100000000000001" customHeight="1" x14ac:dyDescent="0.2">
      <c r="L313" s="16"/>
    </row>
    <row r="314" spans="12:12" ht="20.100000000000001" customHeight="1" x14ac:dyDescent="0.2">
      <c r="L314" s="16"/>
    </row>
    <row r="315" spans="12:12" ht="20.100000000000001" customHeight="1" x14ac:dyDescent="0.2">
      <c r="L315" s="16"/>
    </row>
    <row r="318" spans="12:12" ht="20.100000000000001" customHeight="1" x14ac:dyDescent="0.2">
      <c r="L318" s="16"/>
    </row>
    <row r="319" spans="12:12" ht="20.100000000000001" customHeight="1" x14ac:dyDescent="0.2">
      <c r="L319" s="16"/>
    </row>
    <row r="320" spans="12:12" ht="20.100000000000001" customHeight="1" x14ac:dyDescent="0.2">
      <c r="L320" s="16"/>
    </row>
    <row r="323" spans="12:12" ht="20.100000000000001" customHeight="1" x14ac:dyDescent="0.2">
      <c r="L323" s="16"/>
    </row>
    <row r="324" spans="12:12" ht="20.100000000000001" customHeight="1" x14ac:dyDescent="0.2">
      <c r="L324" s="16"/>
    </row>
    <row r="325" spans="12:12" ht="20.100000000000001" customHeight="1" x14ac:dyDescent="0.2">
      <c r="L325" s="16"/>
    </row>
    <row r="328" spans="12:12" ht="20.100000000000001" customHeight="1" x14ac:dyDescent="0.2">
      <c r="L328" s="16"/>
    </row>
    <row r="329" spans="12:12" ht="20.100000000000001" customHeight="1" x14ac:dyDescent="0.2">
      <c r="L329" s="16"/>
    </row>
    <row r="330" spans="12:12" ht="20.100000000000001" customHeight="1" x14ac:dyDescent="0.2">
      <c r="L330" s="16"/>
    </row>
    <row r="337" spans="12:12" ht="20.100000000000001" customHeight="1" x14ac:dyDescent="0.2">
      <c r="L337" s="16"/>
    </row>
    <row r="338" spans="12:12" ht="20.100000000000001" customHeight="1" x14ac:dyDescent="0.2">
      <c r="L338" s="16"/>
    </row>
    <row r="339" spans="12:12" ht="20.100000000000001" customHeight="1" x14ac:dyDescent="0.2">
      <c r="L339" s="16"/>
    </row>
    <row r="342" spans="12:12" ht="20.100000000000001" customHeight="1" x14ac:dyDescent="0.2">
      <c r="L342" s="16"/>
    </row>
    <row r="343" spans="12:12" ht="20.100000000000001" customHeight="1" x14ac:dyDescent="0.2">
      <c r="L343" s="16"/>
    </row>
    <row r="344" spans="12:12" ht="20.100000000000001" customHeight="1" x14ac:dyDescent="0.2">
      <c r="L344" s="16"/>
    </row>
    <row r="347" spans="12:12" ht="20.100000000000001" customHeight="1" x14ac:dyDescent="0.2">
      <c r="L347" s="16"/>
    </row>
    <row r="348" spans="12:12" ht="20.100000000000001" customHeight="1" x14ac:dyDescent="0.2">
      <c r="L348" s="16"/>
    </row>
    <row r="349" spans="12:12" ht="20.100000000000001" customHeight="1" x14ac:dyDescent="0.2">
      <c r="L349" s="16"/>
    </row>
    <row r="352" spans="12:12" ht="20.100000000000001" customHeight="1" x14ac:dyDescent="0.2">
      <c r="L352" s="16"/>
    </row>
    <row r="353" spans="4:12" ht="20.100000000000001" customHeight="1" x14ac:dyDescent="0.2">
      <c r="L353" s="16"/>
    </row>
    <row r="354" spans="4:12" ht="20.100000000000001" customHeight="1" x14ac:dyDescent="0.2">
      <c r="L354" s="16"/>
    </row>
    <row r="356" spans="4:12" ht="20.100000000000001" customHeight="1" x14ac:dyDescent="0.2">
      <c r="D356" s="87"/>
    </row>
  </sheetData>
  <conditionalFormatting sqref="E205:G205">
    <cfRule type="cellIs" dxfId="109" priority="23" operator="lessThan">
      <formula>0</formula>
    </cfRule>
  </conditionalFormatting>
  <conditionalFormatting sqref="F43">
    <cfRule type="cellIs" dxfId="108" priority="21" operator="lessThan">
      <formula>0</formula>
    </cfRule>
  </conditionalFormatting>
  <conditionalFormatting sqref="F121:F122">
    <cfRule type="cellIs" dxfId="107" priority="18" operator="lessThan">
      <formula>0</formula>
    </cfRule>
  </conditionalFormatting>
  <conditionalFormatting sqref="F133:F134">
    <cfRule type="cellIs" dxfId="106" priority="17" operator="lessThan">
      <formula>0</formula>
    </cfRule>
  </conditionalFormatting>
  <conditionalFormatting sqref="F145:F146">
    <cfRule type="cellIs" dxfId="105" priority="16" operator="lessThan">
      <formula>0</formula>
    </cfRule>
  </conditionalFormatting>
  <conditionalFormatting sqref="F157:F158">
    <cfRule type="cellIs" dxfId="104" priority="15" operator="lessThan">
      <formula>0</formula>
    </cfRule>
  </conditionalFormatting>
  <conditionalFormatting sqref="F245:F246">
    <cfRule type="cellIs" dxfId="103" priority="29" operator="lessThan">
      <formula>0</formula>
    </cfRule>
  </conditionalFormatting>
  <conditionalFormatting sqref="F250:F251">
    <cfRule type="cellIs" dxfId="102" priority="28" operator="lessThan">
      <formula>0</formula>
    </cfRule>
  </conditionalFormatting>
  <conditionalFormatting sqref="F255:F256">
    <cfRule type="cellIs" dxfId="101" priority="27" operator="lessThan">
      <formula>0</formula>
    </cfRule>
  </conditionalFormatting>
  <conditionalFormatting sqref="F279:F280">
    <cfRule type="cellIs" dxfId="100" priority="26" operator="lessThan">
      <formula>0</formula>
    </cfRule>
  </conditionalFormatting>
  <conditionalFormatting sqref="F284:F285">
    <cfRule type="cellIs" dxfId="99" priority="25" operator="lessThan">
      <formula>0</formula>
    </cfRule>
  </conditionalFormatting>
  <conditionalFormatting sqref="F289:F290">
    <cfRule type="cellIs" dxfId="98" priority="24" operator="lessThan">
      <formula>0</formula>
    </cfRule>
  </conditionalFormatting>
  <conditionalFormatting sqref="I30:J34">
    <cfRule type="cellIs" dxfId="97" priority="20" operator="lessThan">
      <formula>0</formula>
    </cfRule>
  </conditionalFormatting>
  <conditionalFormatting sqref="I38:J42 O43:P43 I60:J60 N101 I119:K119 L180:M180 L184:M185 L188:M189 L194:M195 L198:M198 I199:M199 I205:M205">
    <cfRule type="cellIs" dxfId="96" priority="22" operator="lessThan">
      <formula>0</formula>
    </cfRule>
  </conditionalFormatting>
  <conditionalFormatting sqref="I45:J49">
    <cfRule type="cellIs" dxfId="95" priority="5" operator="lessThan">
      <formula>0</formula>
    </cfRule>
  </conditionalFormatting>
  <conditionalFormatting sqref="I52:J56">
    <cfRule type="cellIs" dxfId="94" priority="4" operator="lessThan">
      <formula>0</formula>
    </cfRule>
  </conditionalFormatting>
  <conditionalFormatting sqref="I71:J73">
    <cfRule type="cellIs" dxfId="93" priority="3" operator="lessThan">
      <formula>0</formula>
    </cfRule>
  </conditionalFormatting>
  <conditionalFormatting sqref="I77:J80">
    <cfRule type="cellIs" dxfId="92" priority="2" operator="lessThan">
      <formula>0</formula>
    </cfRule>
  </conditionalFormatting>
  <conditionalFormatting sqref="I84:J88">
    <cfRule type="cellIs" dxfId="91" priority="1" operator="lessThan">
      <formula>0</formula>
    </cfRule>
  </conditionalFormatting>
  <conditionalFormatting sqref="K147">
    <cfRule type="cellIs" dxfId="90" priority="19" operator="lessThan">
      <formula>0</formula>
    </cfRule>
  </conditionalFormatting>
  <conditionalFormatting sqref="M113:M116">
    <cfRule type="cellIs" dxfId="89" priority="9" operator="lessThan">
      <formula>0</formula>
    </cfRule>
  </conditionalFormatting>
  <conditionalFormatting sqref="M119">
    <cfRule type="cellIs" dxfId="88" priority="14" operator="lessThan">
      <formula>0</formula>
    </cfRule>
  </conditionalFormatting>
  <conditionalFormatting sqref="M125:M128">
    <cfRule type="cellIs" dxfId="87" priority="8" operator="lessThan">
      <formula>0</formula>
    </cfRule>
  </conditionalFormatting>
  <conditionalFormatting sqref="M131">
    <cfRule type="cellIs" dxfId="86" priority="13" operator="lessThan">
      <formula>0</formula>
    </cfRule>
  </conditionalFormatting>
  <conditionalFormatting sqref="M137:M140">
    <cfRule type="cellIs" dxfId="85" priority="7" operator="lessThan">
      <formula>0</formula>
    </cfRule>
  </conditionalFormatting>
  <conditionalFormatting sqref="M143">
    <cfRule type="cellIs" dxfId="84" priority="12" operator="lessThan">
      <formula>0</formula>
    </cfRule>
  </conditionalFormatting>
  <conditionalFormatting sqref="M149:M152">
    <cfRule type="cellIs" dxfId="83" priority="6" operator="lessThan">
      <formula>0</formula>
    </cfRule>
  </conditionalFormatting>
  <conditionalFormatting sqref="M155">
    <cfRule type="cellIs" dxfId="82" priority="11" operator="lessThan">
      <formula>0</formula>
    </cfRule>
  </conditionalFormatting>
  <conditionalFormatting sqref="M159:M160">
    <cfRule type="cellIs" dxfId="81" priority="10" operator="lessThan">
      <formula>0</formula>
    </cfRule>
  </conditionalFormatting>
  <conditionalFormatting sqref="M206:M210 M212 M214:M217 M219 K223:K225 K228:K230 K243:L243 K248:L248 K253:L253 K258:L262 K264:L264 K266:L269 K271:L271 K277:L277 K282:L282 K287:L287 K292:L296 K298:L298 K300:L303 K305:L305">
    <cfRule type="cellIs" dxfId="80" priority="30" operator="lessThan">
      <formula>0</formula>
    </cfRule>
  </conditionalFormatting>
  <dataValidations count="6">
    <dataValidation type="list" allowBlank="1" showInputMessage="1" showErrorMessage="1" sqref="E59" xr:uid="{828866B3-0261-4075-A61A-401E26B9830A}">
      <formula1>INDIRECT("Table_SourceData_Poultry_CropProdSystems[Production system]")</formula1>
    </dataValidation>
    <dataValidation type="list" allowBlank="1" showInputMessage="1" showErrorMessage="1" sqref="E60" xr:uid="{704D7D62-527D-4890-8254-A4FB62AFE04B}">
      <formula1>INDIRECT("Table_SourceData_Poultry_IrrigationMethods[Irrigation method]")</formula1>
    </dataValidation>
    <dataValidation type="list" allowBlank="1" showInputMessage="1" showErrorMessage="1" sqref="E27" xr:uid="{AC9EC354-D483-43D9-B64B-6857B601D973}">
      <formula1>INDIRECT("Table_SourceData_Poultry_ProductionSystems[Production system]")</formula1>
    </dataValidation>
    <dataValidation type="list" allowBlank="1" showInputMessage="1" showErrorMessage="1" sqref="E244 E249 E254 E288 E283 E278 E156 E144 E120 E132" xr:uid="{DEA7D15C-CC08-4C07-A945-D2CD968B94DE}">
      <formula1>"Yes, No"</formula1>
    </dataValidation>
    <dataValidation type="list" allowBlank="1" showInputMessage="1" showErrorMessage="1" sqref="E220" xr:uid="{742322E9-733B-4421-9C2E-55D00A083900}">
      <formula1>INDIRECT("Table_SourceData_Dairy_ProductionSystemTemplates[Area]")</formula1>
    </dataValidation>
    <dataValidation type="list" allowBlank="1" showInputMessage="1" showErrorMessage="1" sqref="D272" xr:uid="{45864E39-CC43-4BC3-A574-A79F4ED0663A}">
      <formula1>INDIRECT("Table_SourceData_PoultryMMSStage1[MMS]")</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7456F-5DAA-43BC-BE26-A839273D2E88}">
  <sheetPr>
    <tabColor rgb="FFCC6600"/>
  </sheetPr>
  <dimension ref="A1:M57"/>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12" width="30.7109375" style="1" customWidth="1"/>
    <col min="13" max="13" width="4.7109375" style="1" customWidth="1"/>
  </cols>
  <sheetData>
    <row r="1" spans="1:13" s="10" customFormat="1" ht="30" customHeight="1" x14ac:dyDescent="0.35">
      <c r="C1" s="10" t="s">
        <v>257</v>
      </c>
    </row>
    <row r="2" spans="1:13" s="3" customFormat="1" ht="20.100000000000001" customHeight="1" x14ac:dyDescent="0.2">
      <c r="A2"/>
    </row>
    <row r="3" spans="1:13" ht="20.100000000000001" customHeight="1" x14ac:dyDescent="0.2">
      <c r="A3" s="5" t="str">
        <f>HYPERLINK("#'Home'!A1", "Home")</f>
        <v>Home</v>
      </c>
      <c r="C3" s="28"/>
      <c r="D3" s="28"/>
      <c r="E3" s="28"/>
      <c r="F3" s="28"/>
      <c r="G3" s="28"/>
      <c r="H3" s="28"/>
      <c r="I3" s="28"/>
      <c r="J3" s="28"/>
      <c r="K3" s="28"/>
      <c r="L3" s="28"/>
      <c r="M3" s="28"/>
    </row>
    <row r="4" spans="1:13" ht="20.100000000000001" customHeight="1" x14ac:dyDescent="0.2">
      <c r="A4" s="5" t="str">
        <f>HYPERLINK("#'Results - Activity period'!A1", "Results - Activity period")</f>
        <v>Results - Activity period</v>
      </c>
    </row>
    <row r="5" spans="1:13" ht="20.100000000000001" customHeight="1" x14ac:dyDescent="0.2">
      <c r="A5" s="5" t="str">
        <f>HYPERLINK("#'Results - Product EI'!A1", "Results - Product Emissions Intensity")</f>
        <v>Results - Product Emissions Intensity</v>
      </c>
      <c r="D5" s="87" t="s">
        <v>258</v>
      </c>
    </row>
    <row r="6" spans="1:13" ht="20.100000000000001" customHeight="1" x14ac:dyDescent="0.2">
      <c r="D6" s="19" t="s">
        <v>259</v>
      </c>
      <c r="E6" s="19" t="s">
        <v>260</v>
      </c>
      <c r="F6" s="19" t="s">
        <v>261</v>
      </c>
      <c r="G6" s="19" t="s">
        <v>262</v>
      </c>
      <c r="H6" s="19" t="s">
        <v>263</v>
      </c>
      <c r="I6" s="19" t="s">
        <v>264</v>
      </c>
    </row>
    <row r="7" spans="1:13" ht="20.100000000000001" customHeight="1" x14ac:dyDescent="0.2">
      <c r="D7" s="33"/>
      <c r="E7" s="13"/>
      <c r="F7" s="97">
        <v>45566</v>
      </c>
      <c r="G7" s="19">
        <v>1000</v>
      </c>
      <c r="H7" s="19">
        <v>500</v>
      </c>
      <c r="I7" s="15">
        <f t="shared" ref="I7:I16" si="0">G7*H7</f>
        <v>500000</v>
      </c>
    </row>
    <row r="8" spans="1:13" ht="20.100000000000001" customHeight="1" x14ac:dyDescent="0.2">
      <c r="A8" s="7" t="s">
        <v>0</v>
      </c>
      <c r="D8" s="33"/>
      <c r="E8" s="13"/>
      <c r="F8" s="97"/>
      <c r="G8" s="19"/>
      <c r="H8" s="19"/>
      <c r="I8" s="15">
        <f t="shared" si="0"/>
        <v>0</v>
      </c>
    </row>
    <row r="9" spans="1:13" ht="20.100000000000001" customHeight="1" x14ac:dyDescent="0.2">
      <c r="A9" s="5" t="str">
        <f>HYPERLINK("#'Input - Enterprise'!A1", "Enterprise")</f>
        <v>Enterprise</v>
      </c>
      <c r="D9" s="33"/>
      <c r="E9" s="13"/>
      <c r="F9" s="97"/>
      <c r="G9" s="19"/>
      <c r="H9" s="19"/>
      <c r="I9" s="15">
        <f t="shared" si="0"/>
        <v>0</v>
      </c>
    </row>
    <row r="10" spans="1:13" ht="20.100000000000001" customHeight="1" x14ac:dyDescent="0.2">
      <c r="A10" s="5" t="str">
        <f>HYPERLINK("#'Input - Site'!A1", "Site")</f>
        <v>Site</v>
      </c>
      <c r="D10" s="33"/>
      <c r="E10" s="13"/>
      <c r="F10" s="97"/>
      <c r="G10" s="19"/>
      <c r="H10" s="19"/>
      <c r="I10" s="15">
        <f t="shared" si="0"/>
        <v>0</v>
      </c>
    </row>
    <row r="11" spans="1:13" ht="20.100000000000001" customHeight="1" x14ac:dyDescent="0.2">
      <c r="A11" s="5" t="str">
        <f>HYPERLINK("#'Input - Poultry'!A1", "Poultry")</f>
        <v>Poultry</v>
      </c>
      <c r="D11" s="33"/>
      <c r="E11" s="13"/>
      <c r="F11" s="97"/>
      <c r="G11" s="19"/>
      <c r="H11" s="19"/>
      <c r="I11" s="15">
        <f t="shared" si="0"/>
        <v>0</v>
      </c>
    </row>
    <row r="12" spans="1:13" ht="20.100000000000001" customHeight="1" x14ac:dyDescent="0.2">
      <c r="A12" s="100" t="str">
        <f>HYPERLINK("#'Input - Livestock sales'!A1", "Livestock sales")</f>
        <v>Livestock sales</v>
      </c>
      <c r="D12" s="33"/>
      <c r="E12" s="13"/>
      <c r="F12" s="97"/>
      <c r="G12" s="19"/>
      <c r="H12" s="19"/>
      <c r="I12" s="15">
        <f t="shared" si="0"/>
        <v>0</v>
      </c>
    </row>
    <row r="13" spans="1:13" ht="20.100000000000001" customHeight="1" x14ac:dyDescent="0.2">
      <c r="A13" s="5" t="str">
        <f>HYPERLINK("#'Input - Poultry purchases'!A1", "Poultry purchases")</f>
        <v>Poultry purchases</v>
      </c>
      <c r="D13" s="33"/>
      <c r="E13" s="13"/>
      <c r="F13" s="97"/>
      <c r="G13" s="19"/>
      <c r="H13" s="19"/>
      <c r="I13" s="15">
        <f t="shared" si="0"/>
        <v>0</v>
      </c>
    </row>
    <row r="14" spans="1:13" ht="20.100000000000001" customHeight="1" x14ac:dyDescent="0.2">
      <c r="A14" s="5" t="str">
        <f>HYPERLINK("#'Input - Fuel'!A1", "Fuel")</f>
        <v>Fuel</v>
      </c>
      <c r="D14" s="33"/>
      <c r="E14" s="13"/>
      <c r="F14" s="97"/>
      <c r="G14" s="19"/>
      <c r="H14" s="19"/>
      <c r="I14" s="15">
        <f t="shared" si="0"/>
        <v>0</v>
      </c>
    </row>
    <row r="15" spans="1:13" ht="20.100000000000001" customHeight="1" x14ac:dyDescent="0.2">
      <c r="A15" s="5" t="str">
        <f>HYPERLINK("#'Input - Electricity'!A1", "Electricity")</f>
        <v>Electricity</v>
      </c>
      <c r="D15" s="33"/>
      <c r="E15" s="13"/>
      <c r="F15" s="97"/>
      <c r="G15" s="19"/>
      <c r="H15" s="19"/>
      <c r="I15" s="15">
        <f t="shared" si="0"/>
        <v>0</v>
      </c>
    </row>
    <row r="16" spans="1:13" ht="20.100000000000001" customHeight="1" x14ac:dyDescent="0.2">
      <c r="A16" s="5" t="str">
        <f>HYPERLINK("#'Input - Common farm inputs'!A1", "Common farm inputs")</f>
        <v>Common farm inputs</v>
      </c>
      <c r="D16" s="33"/>
      <c r="E16" s="13"/>
      <c r="F16" s="97"/>
      <c r="G16" s="19"/>
      <c r="H16" s="19"/>
      <c r="I16" s="15">
        <f t="shared" si="0"/>
        <v>0</v>
      </c>
    </row>
    <row r="17" spans="1:1" ht="20.100000000000001" customHeight="1" x14ac:dyDescent="0.2">
      <c r="A17" s="5" t="str">
        <f>HYPERLINK("#'Input - Livestock farm Inputs'!A1", "Livestock farm Inputs")</f>
        <v>Livestock farm Inputs</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5" t="str">
        <f>HYPERLINK("#'Input - Manure sent off-site'!A1", "Manure sent off-site")</f>
        <v>Manure sent off-site</v>
      </c>
    </row>
    <row r="21" spans="1:1" ht="20.100000000000001" customHeight="1" x14ac:dyDescent="0.2">
      <c r="A21" s="5" t="str">
        <f>HYPERLINK("#'Input - Data quality'!A1", "Data quality")</f>
        <v>Data quality</v>
      </c>
    </row>
    <row r="22" spans="1:1" ht="20.100000000000001" customHeight="1" x14ac:dyDescent="0.2">
      <c r="A22" s="5" t="str">
        <f>HYPERLINK("#'Input - Fert Prod System'!A1", "Fert Prod System")</f>
        <v>Fert Prod System</v>
      </c>
    </row>
    <row r="23" spans="1:1" ht="20.100000000000001" customHeight="1" x14ac:dyDescent="0.2">
      <c r="A23" s="5" t="str">
        <f>HYPERLINK("#'Input - Fertiliser'!A1", "Fertiliser")</f>
        <v>Fertiliser</v>
      </c>
    </row>
    <row r="26" spans="1:1" ht="20.100000000000001" customHeight="1" x14ac:dyDescent="0.2">
      <c r="A26" s="6" t="s">
        <v>2</v>
      </c>
    </row>
    <row r="27" spans="1:1" ht="20.100000000000001" customHeight="1" x14ac:dyDescent="0.2">
      <c r="A27" s="5" t="str">
        <f>HYPERLINK("#'4.6.1.1-2 Methane'!A1", "4.6.1.1-2 Manure Methane")</f>
        <v>4.6.1.1-2 Manure Methane</v>
      </c>
    </row>
    <row r="28" spans="1:1" ht="20.100000000000001" customHeight="1" x14ac:dyDescent="0.2">
      <c r="A28" s="5" t="str">
        <f>HYPERLINK("#'4.6.1.3-4 Direct N20'!A1", "4.6.1.3-4 Manure Direct N2O")</f>
        <v>4.6.1.3-4 Manure Direct N2O</v>
      </c>
    </row>
    <row r="29" spans="1:1" ht="20.100000000000001" customHeight="1" x14ac:dyDescent="0.2">
      <c r="A29" s="5" t="str">
        <f>HYPERLINK("#'4.6.1.5-6 Atmos Dep'!A1", "4.6.1.5-6 Manure Atmos Dep")</f>
        <v>4.6.1.5-6 Manure Atmos Dep</v>
      </c>
    </row>
    <row r="30" spans="1:1" ht="20.100000000000001" customHeight="1" x14ac:dyDescent="0.2">
      <c r="A30" s="5" t="str">
        <f>HYPERLINK("#'4.6.1.7-8 Leaching and runoff'!A1", "4.6.1.7-8 Manure Leaching and runoff")</f>
        <v>4.6.1.7-8 Manure Leaching and runoff</v>
      </c>
    </row>
    <row r="31" spans="1:1" ht="20.100000000000001" customHeight="1" x14ac:dyDescent="0.2">
      <c r="A31" s="5" t="str">
        <f>HYPERLINK("#'4.6.1.9 Manure applied to soils'!A1", "4.6.1.9 Manure applied to soils")</f>
        <v>4.6.1.9 Manure applied to soils</v>
      </c>
    </row>
    <row r="32" spans="1:1" ht="20.100000000000001" customHeight="1" x14ac:dyDescent="0.2">
      <c r="A32" s="5" t="str">
        <f>HYPERLINK("#'4.6.1.10-11 Soil direct N2O'!A1", "4.6.1.10-11 Soil direct N2O")</f>
        <v>4.6.1.10-11 Soil direct N2O</v>
      </c>
    </row>
    <row r="33" spans="1:1" ht="20.100000000000001" customHeight="1" x14ac:dyDescent="0.2">
      <c r="A33" s="5" t="str">
        <f>HYPERLINK("#'4.6.1.12-13 Soil atmos dep'!A1", "4.6.1.12-13 Soil atmos dep")</f>
        <v>4.6.1.12-13 Soil atmos dep</v>
      </c>
    </row>
    <row r="34" spans="1:1" ht="20.100000000000001" customHeight="1" x14ac:dyDescent="0.2">
      <c r="A34" s="5" t="str">
        <f>HYPERLINK("#'4.6.1.14-15 Soil leach runoff'!A1", "4.6.1.14-15 Soil leach runoff")</f>
        <v>4.6.1.14-15 Soil leach runoff</v>
      </c>
    </row>
    <row r="35" spans="1:1" ht="20.100000000000001" customHeight="1" x14ac:dyDescent="0.2">
      <c r="A35" s="5" t="str">
        <f>HYPERLINK("#'8.1.1.1-2 Transport fuel'!A1", "8.1.1.1-2 Transport fuel")</f>
        <v>8.1.1.1-2 Transport fuel</v>
      </c>
    </row>
    <row r="36" spans="1:1" ht="20.100000000000001" customHeight="1" x14ac:dyDescent="0.2">
      <c r="A36" s="5" t="str">
        <f>HYPERLINK("#'8.2.1.1-2 Stationary fuel'!A1", "8.2.1.1-2 Stationary fuel")</f>
        <v>8.2.1.1-2 Stationary fuel</v>
      </c>
    </row>
    <row r="37" spans="1:1" ht="20.100000000000001" customHeight="1" x14ac:dyDescent="0.2">
      <c r="A37" s="5" t="str">
        <f>HYPERLINK("#'10.1.1-2 Solid waste treatment'!A1", "10.1.1.1-2 Solid waste")</f>
        <v>10.1.1.1-2 Solid waste</v>
      </c>
    </row>
    <row r="38" spans="1:1" ht="20.100000000000001" customHeight="1" x14ac:dyDescent="0.2">
      <c r="A38" s="5" t="str">
        <f>HYPERLINK("#'14.1.1-2 Purchased electricity'!A1", "14.1.1-2 Purchased electricity")</f>
        <v>14.1.1-2 Purchased electricity</v>
      </c>
    </row>
    <row r="39" spans="1:1" ht="20.100000000000001" customHeight="1" x14ac:dyDescent="0.2">
      <c r="A39" s="5" t="str">
        <f>HYPERLINK("#'15 Scope 3'!A1", "15 Scope 3")</f>
        <v>15 Scope 3</v>
      </c>
    </row>
    <row r="40" spans="1:1" ht="20.100000000000001" customHeight="1" x14ac:dyDescent="0.2">
      <c r="A40" s="5" t="str">
        <f>HYPERLINK("#'Calcs - Manure sent off-site'!A1", "Calcs - Manure sent off-site")</f>
        <v>Calcs - Manure sent off-site</v>
      </c>
    </row>
    <row r="41" spans="1:1" ht="20.100000000000001" customHeight="1" x14ac:dyDescent="0.2">
      <c r="A41" s="5" t="str">
        <f>HYPERLINK("#'5.1.1.1-2 Inorganic fert N2O'!A1", "5.1.1.1-2 Inorganic fert N2O")</f>
        <v>5.1.1.1-2 Inorganic fert N2O</v>
      </c>
    </row>
    <row r="42" spans="1:1" ht="20.100000000000001" customHeight="1" x14ac:dyDescent="0.2">
      <c r="A42" s="5" t="str">
        <f>HYPERLINK("#'5.1.1.3-4 Inorganic fert CO2'!A1", "5.1.1.3-4 Inorganic fert CO2")</f>
        <v>5.1.1.3-4 Inorganic fert CO2</v>
      </c>
    </row>
    <row r="43" spans="1:1" ht="20.100000000000001" customHeight="1" x14ac:dyDescent="0.2">
      <c r="A43" s="5" t="str">
        <f>HYPERLINK("#'5.2.1.1-2 Organic Fert N2O'!A1", "5.2.1.1-2 Organic Fert N2O")</f>
        <v>5.2.1.1-2 Organic Fert N2O</v>
      </c>
    </row>
    <row r="44" spans="1:1" ht="20.100000000000001" customHeight="1" x14ac:dyDescent="0.2">
      <c r="A44" s="5" t="str">
        <f>HYPERLINK("#'5.3.1.1-2 Lime CO2'!A1", "5.3.1.1-2 Lime CO2")</f>
        <v>5.3.1.1-2 Lime CO2</v>
      </c>
    </row>
    <row r="45" spans="1:1" ht="20.100000000000001" customHeight="1" x14ac:dyDescent="0.2">
      <c r="A45" s="5" t="str">
        <f>HYPERLINK("#'5.4.1.1-4 Atmos deposition'!A1", "5.4.1.1-4 Atmos deposition")</f>
        <v>5.4.1.1-4 Atmos deposition</v>
      </c>
    </row>
    <row r="46" spans="1:1" ht="20.100000000000001" customHeight="1" x14ac:dyDescent="0.2">
      <c r="A46" s="5" t="str">
        <f>HYPERLINK("#'5.5.1.1-2 Leaching and runoff'!A1", "5.5.1.1-2 Leaching and runoff")</f>
        <v>5.5.1.1-2 Leaching and runoff</v>
      </c>
    </row>
    <row r="49" spans="1:1" ht="20.100000000000001" customHeight="1" x14ac:dyDescent="0.2">
      <c r="A49" s="80" t="s">
        <v>1</v>
      </c>
    </row>
    <row r="50" spans="1:1" ht="20.100000000000001" customHeight="1" x14ac:dyDescent="0.2">
      <c r="A50" s="5" t="str">
        <f>HYPERLINK("#'Constants - Poultry'!A1", "Constants - Poultry")</f>
        <v>Constants - Poultry</v>
      </c>
    </row>
    <row r="51" spans="1:1" ht="20.100000000000001" customHeight="1" x14ac:dyDescent="0.2">
      <c r="A51" s="5" t="str">
        <f>HYPERLINK("#'Constants - Common livestock'!A1", "Constants - Common Livestock")</f>
        <v>Constants - Common Livestock</v>
      </c>
    </row>
    <row r="52" spans="1:1" ht="20.100000000000001" customHeight="1" x14ac:dyDescent="0.2">
      <c r="A52" s="5" t="str">
        <f>HYPERLINK("#'Constants - Electricity'!A1", "Constants - Electricity")</f>
        <v>Constants - Electricity</v>
      </c>
    </row>
    <row r="53" spans="1:1" ht="20.100000000000001" customHeight="1" x14ac:dyDescent="0.2">
      <c r="A53" s="5" t="str">
        <f>HYPERLINK("#'Constants - Fertiliser'!A1", "Constants - Fertiliser")</f>
        <v>Constants - Fertiliser</v>
      </c>
    </row>
    <row r="54" spans="1:1" ht="20.100000000000001" customHeight="1" x14ac:dyDescent="0.2">
      <c r="A54" s="5" t="str">
        <f>HYPERLINK("#'Constants - Fuel'!A1", "Constants - Fuel")</f>
        <v>Constants - Fuel</v>
      </c>
    </row>
    <row r="55" spans="1:1" ht="20.100000000000001" customHeight="1" x14ac:dyDescent="0.2">
      <c r="A55" s="5" t="str">
        <f>HYPERLINK("#'Constants - Scope 3'!A1", "Constants - Scope 3")</f>
        <v>Constants - Scope 3</v>
      </c>
    </row>
    <row r="56" spans="1:1" ht="20.100000000000001" customHeight="1" x14ac:dyDescent="0.2">
      <c r="A56" s="5" t="str">
        <f>HYPERLINK("#'Constants - Solid Waste'!A1", "Constants - Solid Waste")</f>
        <v>Constants - Solid Waste</v>
      </c>
    </row>
    <row r="57" spans="1:1" ht="20.100000000000001" customHeight="1" x14ac:dyDescent="0.2">
      <c r="A57" s="5" t="str">
        <f>HYPERLINK("#'Constants - Common'!A1", "Constants - Common")</f>
        <v>Constants - Common</v>
      </c>
    </row>
  </sheetData>
  <dataValidations count="1">
    <dataValidation type="list" allowBlank="1" showInputMessage="1" showErrorMessage="1" sqref="E7:E16" xr:uid="{083DF14A-00E2-452A-8599-A053B3BDEC80}">
      <formula1>INDIRECT("Table_SourceData_Poultry_Liveweights[Livestock class j]")</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C4084-AD36-4017-A252-C4A79AA601B8}">
  <sheetPr>
    <tabColor theme="5" tint="-0.249977111117893"/>
  </sheetPr>
  <dimension ref="A1:J57"/>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5703125" customWidth="1"/>
    <col min="3" max="3" width="4.5703125" style="1" customWidth="1"/>
    <col min="4" max="9" width="30.5703125" style="1" customWidth="1"/>
    <col min="10" max="10" width="4.5703125" style="1" customWidth="1"/>
  </cols>
  <sheetData>
    <row r="1" spans="1:10" ht="30" customHeight="1" x14ac:dyDescent="0.35">
      <c r="A1" s="10" t="e" vm="1">
        <v>#VALUE!</v>
      </c>
      <c r="C1" s="10" t="s">
        <v>940</v>
      </c>
      <c r="D1" s="10"/>
      <c r="E1" s="10"/>
      <c r="F1" s="10"/>
      <c r="G1" s="10"/>
      <c r="H1" s="10"/>
      <c r="I1" s="10"/>
      <c r="J1" s="10"/>
    </row>
    <row r="2" spans="1:10" ht="20.100000000000001" customHeight="1" x14ac:dyDescent="0.2">
      <c r="C2" s="3"/>
      <c r="D2" s="3"/>
      <c r="E2" s="3"/>
      <c r="F2" s="3"/>
      <c r="G2" s="3"/>
      <c r="H2" s="3"/>
      <c r="I2" s="3"/>
      <c r="J2" s="3"/>
    </row>
    <row r="3" spans="1:10" ht="20.100000000000001" customHeight="1" x14ac:dyDescent="0.2">
      <c r="A3" s="5" t="str">
        <f>HYPERLINK("#'Home'!A1", "Home")</f>
        <v>Home</v>
      </c>
      <c r="C3" s="28"/>
      <c r="D3" s="28"/>
      <c r="E3" s="28"/>
      <c r="F3" s="28"/>
      <c r="G3" s="28"/>
      <c r="H3" s="28"/>
      <c r="I3" s="28"/>
      <c r="J3" s="28"/>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c r="D5" s="87" t="s">
        <v>941</v>
      </c>
      <c r="E5" s="239"/>
      <c r="F5" s="239"/>
      <c r="G5" s="239"/>
      <c r="H5" s="239"/>
    </row>
    <row r="6" spans="1:10" ht="20.100000000000001" customHeight="1" x14ac:dyDescent="0.2">
      <c r="D6" s="240" t="s">
        <v>259</v>
      </c>
      <c r="E6" s="240" t="s">
        <v>260</v>
      </c>
      <c r="F6" s="240" t="s">
        <v>942</v>
      </c>
      <c r="G6" s="240" t="s">
        <v>943</v>
      </c>
      <c r="H6" s="240" t="s">
        <v>944</v>
      </c>
    </row>
    <row r="7" spans="1:10" ht="20.100000000000001" customHeight="1" x14ac:dyDescent="0.2">
      <c r="D7" s="33" t="s">
        <v>945</v>
      </c>
      <c r="E7" s="13" t="s">
        <v>946</v>
      </c>
      <c r="F7" s="74">
        <v>100</v>
      </c>
      <c r="G7" s="15" cm="1">
        <f t="array" ref="G7">Common_InputFunctions.Utility_LookupValueInTableNumber(Table_Input_LivestockPurchases_Poultry[[#This Row],[Class (select)]], Table_SourceData_Poultry_Liveweights[Livestock class j],Table_SourceData_Poultry_Liveweights[Average liveweight (kg)])</f>
        <v>1.3</v>
      </c>
      <c r="H7" s="74">
        <v>1.3</v>
      </c>
    </row>
    <row r="8" spans="1:10" ht="20.100000000000001" customHeight="1" x14ac:dyDescent="0.2">
      <c r="A8" s="7" t="s">
        <v>0</v>
      </c>
      <c r="D8" s="33" t="s">
        <v>947</v>
      </c>
      <c r="E8" s="84" t="s">
        <v>948</v>
      </c>
      <c r="F8" s="74">
        <v>100</v>
      </c>
      <c r="G8" s="15" cm="1">
        <f t="array" ref="G8">Common_InputFunctions.Utility_LookupValueInTableNumber(Table_Input_LivestockPurchases_Poultry[[#This Row],[Class (select)]], Table_SourceData_Poultry_Liveweights[Livestock class j],Table_SourceData_Poultry_Liveweights[Average liveweight (kg)])</f>
        <v>1.4</v>
      </c>
      <c r="H8" s="74">
        <v>1.4</v>
      </c>
    </row>
    <row r="9" spans="1:10" ht="20.100000000000001" customHeight="1" x14ac:dyDescent="0.2">
      <c r="A9" s="5" t="str">
        <f>HYPERLINK("#'Input - Enterprise'!A1", "Enterprise")</f>
        <v>Enterprise</v>
      </c>
      <c r="D9" s="33"/>
      <c r="E9" s="84"/>
      <c r="F9" s="74"/>
      <c r="G9" s="15" cm="1">
        <f t="array" ref="G9">Common_InputFunctions.Utility_LookupValueInTableNumber(Table_Input_LivestockPurchases_Poultry[[#This Row],[Class (select)]], Table_SourceData_Poultry_Liveweights[Livestock class j],Table_SourceData_Poultry_Liveweights[Average liveweight (kg)])</f>
        <v>0</v>
      </c>
      <c r="H9" s="74"/>
    </row>
    <row r="10" spans="1:10" ht="20.100000000000001" customHeight="1" x14ac:dyDescent="0.2">
      <c r="A10" s="5" t="str">
        <f>HYPERLINK("#'Input - Site'!A1", "Site")</f>
        <v>Site</v>
      </c>
      <c r="D10" s="33"/>
      <c r="E10" s="84"/>
      <c r="F10" s="74"/>
      <c r="G10" s="15" cm="1">
        <f t="array" ref="G10">Common_InputFunctions.Utility_LookupValueInTableNumber(Table_Input_LivestockPurchases_Poultry[[#This Row],[Class (select)]], Table_SourceData_Poultry_Liveweights[Livestock class j],Table_SourceData_Poultry_Liveweights[Average liveweight (kg)])</f>
        <v>0</v>
      </c>
      <c r="H10" s="74"/>
    </row>
    <row r="11" spans="1:10" ht="20.100000000000001" customHeight="1" x14ac:dyDescent="0.2">
      <c r="A11" s="5" t="str">
        <f>HYPERLINK("#'Input - Poultry'!A1", "Poultry")</f>
        <v>Poultry</v>
      </c>
      <c r="D11" s="33"/>
      <c r="E11" s="84"/>
      <c r="F11" s="74"/>
      <c r="G11" s="15" cm="1">
        <f t="array" ref="G11">Common_InputFunctions.Utility_LookupValueInTableNumber(Table_Input_LivestockPurchases_Poultry[[#This Row],[Class (select)]], Table_SourceData_Poultry_Liveweights[Livestock class j],Table_SourceData_Poultry_Liveweights[Average liveweight (kg)])</f>
        <v>0</v>
      </c>
      <c r="H11" s="74"/>
    </row>
    <row r="12" spans="1:10" ht="20.100000000000001" customHeight="1" x14ac:dyDescent="0.2">
      <c r="A12" s="5" t="str">
        <f>HYPERLINK("#'Input - Livestock sales'!A1", "Livestock sales")</f>
        <v>Livestock sales</v>
      </c>
      <c r="D12" s="33"/>
      <c r="E12" s="84"/>
      <c r="F12" s="74"/>
      <c r="G12" s="15" cm="1">
        <f t="array" ref="G12">Common_InputFunctions.Utility_LookupValueInTableNumber(Table_Input_LivestockPurchases_Poultry[[#This Row],[Class (select)]], Table_SourceData_Poultry_Liveweights[Livestock class j],Table_SourceData_Poultry_Liveweights[Average liveweight (kg)])</f>
        <v>0</v>
      </c>
      <c r="H12" s="74"/>
    </row>
    <row r="13" spans="1:10" ht="20.100000000000001" customHeight="1" x14ac:dyDescent="0.2">
      <c r="A13" s="100" t="str">
        <f>HYPERLINK("#'Input - Poultry purchases'!A1", "Poultry purchases")</f>
        <v>Poultry purchases</v>
      </c>
      <c r="D13" s="33"/>
      <c r="E13" s="84"/>
      <c r="F13" s="74"/>
      <c r="G13" s="15" cm="1">
        <f t="array" ref="G13">Common_InputFunctions.Utility_LookupValueInTableNumber(Table_Input_LivestockPurchases_Poultry[[#This Row],[Class (select)]], Table_SourceData_Poultry_Liveweights[Livestock class j],Table_SourceData_Poultry_Liveweights[Average liveweight (kg)])</f>
        <v>0</v>
      </c>
      <c r="H13" s="74"/>
    </row>
    <row r="14" spans="1:10" ht="20.100000000000001" customHeight="1" x14ac:dyDescent="0.2">
      <c r="A14" s="5" t="str">
        <f>HYPERLINK("#'Input - Fuel'!A1", "Fuel")</f>
        <v>Fuel</v>
      </c>
      <c r="D14" s="33"/>
      <c r="E14" s="84"/>
      <c r="F14" s="74"/>
      <c r="G14" s="15" cm="1">
        <f t="array" ref="G14">Common_InputFunctions.Utility_LookupValueInTableNumber(Table_Input_LivestockPurchases_Poultry[[#This Row],[Class (select)]], Table_SourceData_Poultry_Liveweights[Livestock class j],Table_SourceData_Poultry_Liveweights[Average liveweight (kg)])</f>
        <v>0</v>
      </c>
      <c r="H14" s="74"/>
    </row>
    <row r="15" spans="1:10" ht="20.100000000000001" customHeight="1" x14ac:dyDescent="0.2">
      <c r="A15" s="5" t="str">
        <f>HYPERLINK("#'Input - Electricity'!A1", "Electricity")</f>
        <v>Electricity</v>
      </c>
      <c r="D15" s="33"/>
      <c r="E15" s="84"/>
      <c r="F15" s="74"/>
      <c r="G15" s="15" cm="1">
        <f t="array" ref="G15">Common_InputFunctions.Utility_LookupValueInTableNumber(Table_Input_LivestockPurchases_Poultry[[#This Row],[Class (select)]], Table_SourceData_Poultry_Liveweights[Livestock class j],Table_SourceData_Poultry_Liveweights[Average liveweight (kg)])</f>
        <v>0</v>
      </c>
      <c r="H15" s="74"/>
    </row>
    <row r="16" spans="1:10" ht="20.100000000000001" customHeight="1" x14ac:dyDescent="0.2">
      <c r="A16" s="5" t="str">
        <f>HYPERLINK("#'Input - Common farm inputs'!A1", "Common farm inputs")</f>
        <v>Common farm inputs</v>
      </c>
      <c r="D16" s="33"/>
      <c r="E16" s="84"/>
      <c r="F16" s="74"/>
      <c r="G16" s="15" cm="1">
        <f t="array" ref="G16">Common_InputFunctions.Utility_LookupValueInTableNumber(Table_Input_LivestockPurchases_Poultry[[#This Row],[Class (select)]], Table_SourceData_Poultry_Liveweights[Livestock class j],Table_SourceData_Poultry_Liveweights[Average liveweight (kg)])</f>
        <v>0</v>
      </c>
      <c r="H16" s="74"/>
    </row>
    <row r="17" spans="1:1" ht="20.100000000000001" customHeight="1" x14ac:dyDescent="0.2">
      <c r="A17" s="5" t="str">
        <f>HYPERLINK("#'Input - Livestock farm Inputs'!A1", "Livestock farm Inputs")</f>
        <v>Livestock farm Inputs</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5" t="str">
        <f>HYPERLINK("#'Input - Manure sent off-site'!A1", "Manure sent off-site")</f>
        <v>Manure sent off-site</v>
      </c>
    </row>
    <row r="21" spans="1:1" ht="20.100000000000001" customHeight="1" x14ac:dyDescent="0.2">
      <c r="A21" s="5" t="str">
        <f>HYPERLINK("#'Input - Data quality'!A1", "Data quality")</f>
        <v>Data quality</v>
      </c>
    </row>
    <row r="22" spans="1:1" ht="20.100000000000001" customHeight="1" x14ac:dyDescent="0.2">
      <c r="A22" s="5" t="str">
        <f>HYPERLINK("#'Input - Fert Prod System'!A1", "Fert Prod System")</f>
        <v>Fert Prod System</v>
      </c>
    </row>
    <row r="23" spans="1:1" ht="20.100000000000001" customHeight="1" x14ac:dyDescent="0.2">
      <c r="A23" s="5" t="str">
        <f>HYPERLINK("#'Input - Fertiliser'!A1", "Fertiliser")</f>
        <v>Fertiliser</v>
      </c>
    </row>
    <row r="26" spans="1:1" ht="20.100000000000001" customHeight="1" x14ac:dyDescent="0.2">
      <c r="A26" s="6" t="s">
        <v>2</v>
      </c>
    </row>
    <row r="27" spans="1:1" ht="20.100000000000001" customHeight="1" x14ac:dyDescent="0.2">
      <c r="A27" s="5" t="str">
        <f>HYPERLINK("#'4.6.1.1-2 Methane'!A1", "4.6.1.1-2 Manure Methane")</f>
        <v>4.6.1.1-2 Manure Methane</v>
      </c>
    </row>
    <row r="28" spans="1:1" ht="20.100000000000001" customHeight="1" x14ac:dyDescent="0.2">
      <c r="A28" s="5" t="str">
        <f>HYPERLINK("#'4.6.1.3-4 Direct N20'!A1", "4.6.1.3-4 Manure Direct N2O")</f>
        <v>4.6.1.3-4 Manure Direct N2O</v>
      </c>
    </row>
    <row r="29" spans="1:1" ht="20.100000000000001" customHeight="1" x14ac:dyDescent="0.2">
      <c r="A29" s="5" t="str">
        <f>HYPERLINK("#'4.6.1.5-6 Atmos Dep'!A1", "4.6.1.5-6 Manure Atmos Dep")</f>
        <v>4.6.1.5-6 Manure Atmos Dep</v>
      </c>
    </row>
    <row r="30" spans="1:1" ht="20.100000000000001" customHeight="1" x14ac:dyDescent="0.2">
      <c r="A30" s="5" t="str">
        <f>HYPERLINK("#'4.6.1.7-8 Leaching and runoff'!A1", "4.6.1.7-8 Manure Leaching and runoff")</f>
        <v>4.6.1.7-8 Manure Leaching and runoff</v>
      </c>
    </row>
    <row r="31" spans="1:1" ht="20.100000000000001" customHeight="1" x14ac:dyDescent="0.2">
      <c r="A31" s="5" t="str">
        <f>HYPERLINK("#'4.6.1.9 Manure applied to soils'!A1", "4.6.1.9 Manure applied to soils")</f>
        <v>4.6.1.9 Manure applied to soils</v>
      </c>
    </row>
    <row r="32" spans="1:1" ht="20.100000000000001" customHeight="1" x14ac:dyDescent="0.2">
      <c r="A32" s="5" t="str">
        <f>HYPERLINK("#'4.6.1.10-11 Soil direct N2O'!A1", "4.6.1.10-11 Soil direct N2O")</f>
        <v>4.6.1.10-11 Soil direct N2O</v>
      </c>
    </row>
    <row r="33" spans="1:1" ht="20.100000000000001" customHeight="1" x14ac:dyDescent="0.2">
      <c r="A33" s="5" t="str">
        <f>HYPERLINK("#'4.6.1.12-13 Soil atmos dep'!A1", "4.6.1.12-13 Soil atmos dep")</f>
        <v>4.6.1.12-13 Soil atmos dep</v>
      </c>
    </row>
    <row r="34" spans="1:1" ht="20.100000000000001" customHeight="1" x14ac:dyDescent="0.2">
      <c r="A34" s="5" t="str">
        <f>HYPERLINK("#'4.6.1.14-15 Soil leach runoff'!A1", "4.6.1.14-15 Soil leach runoff")</f>
        <v>4.6.1.14-15 Soil leach runoff</v>
      </c>
    </row>
    <row r="35" spans="1:1" ht="20.100000000000001" customHeight="1" x14ac:dyDescent="0.2">
      <c r="A35" s="5" t="str">
        <f>HYPERLINK("#'8.1.1.1-2 Transport fuel'!A1", "8.1.1.1-2 Transport fuel")</f>
        <v>8.1.1.1-2 Transport fuel</v>
      </c>
    </row>
    <row r="36" spans="1:1" ht="20.100000000000001" customHeight="1" x14ac:dyDescent="0.2">
      <c r="A36" s="5" t="str">
        <f>HYPERLINK("#'8.2.1.1-2 Stationary fuel'!A1", "8.2.1.1-2 Stationary fuel")</f>
        <v>8.2.1.1-2 Stationary fuel</v>
      </c>
    </row>
    <row r="37" spans="1:1" ht="20.100000000000001" customHeight="1" x14ac:dyDescent="0.2">
      <c r="A37" s="5" t="str">
        <f>HYPERLINK("#'10.1.1-2 Solid waste treatment'!A1", "10.1.1.1-2 Solid waste")</f>
        <v>10.1.1.1-2 Solid waste</v>
      </c>
    </row>
    <row r="38" spans="1:1" ht="20.100000000000001" customHeight="1" x14ac:dyDescent="0.2">
      <c r="A38" s="5" t="str">
        <f>HYPERLINK("#'14.1.1-2 Purchased electricity'!A1", "14.1.1-2 Purchased electricity")</f>
        <v>14.1.1-2 Purchased electricity</v>
      </c>
    </row>
    <row r="39" spans="1:1" ht="20.100000000000001" customHeight="1" x14ac:dyDescent="0.2">
      <c r="A39" s="5" t="str">
        <f>HYPERLINK("#'15 Scope 3'!A1", "15 Scope 3")</f>
        <v>15 Scope 3</v>
      </c>
    </row>
    <row r="40" spans="1:1" ht="20.100000000000001" customHeight="1" x14ac:dyDescent="0.2">
      <c r="A40" s="5" t="str">
        <f>HYPERLINK("#'Calcs - Manure sent off-site'!A1", "Calcs - Manure sent off-site")</f>
        <v>Calcs - Manure sent off-site</v>
      </c>
    </row>
    <row r="41" spans="1:1" ht="20.100000000000001" customHeight="1" x14ac:dyDescent="0.2">
      <c r="A41" s="5" t="str">
        <f>HYPERLINK("#'5.1.1.1-2 Inorganic fert N2O'!A1", "5.1.1.1-2 Inorganic fert N2O")</f>
        <v>5.1.1.1-2 Inorganic fert N2O</v>
      </c>
    </row>
    <row r="42" spans="1:1" ht="20.100000000000001" customHeight="1" x14ac:dyDescent="0.2">
      <c r="A42" s="5" t="str">
        <f>HYPERLINK("#'5.1.1.3-4 Inorganic fert CO2'!A1", "5.1.1.3-4 Inorganic fert CO2")</f>
        <v>5.1.1.3-4 Inorganic fert CO2</v>
      </c>
    </row>
    <row r="43" spans="1:1" ht="20.100000000000001" customHeight="1" x14ac:dyDescent="0.2">
      <c r="A43" s="5" t="str">
        <f>HYPERLINK("#'5.2.1.1-2 Organic Fert N2O'!A1", "5.2.1.1-2 Organic Fert N2O")</f>
        <v>5.2.1.1-2 Organic Fert N2O</v>
      </c>
    </row>
    <row r="44" spans="1:1" ht="20.100000000000001" customHeight="1" x14ac:dyDescent="0.2">
      <c r="A44" s="5" t="str">
        <f>HYPERLINK("#'5.3.1.1-2 Lime CO2'!A1", "5.3.1.1-2 Lime CO2")</f>
        <v>5.3.1.1-2 Lime CO2</v>
      </c>
    </row>
    <row r="45" spans="1:1" ht="20.100000000000001" customHeight="1" x14ac:dyDescent="0.2">
      <c r="A45" s="5" t="str">
        <f>HYPERLINK("#'5.4.1.1-4 Atmos deposition'!A1", "5.4.1.1-4 Atmos deposition")</f>
        <v>5.4.1.1-4 Atmos deposition</v>
      </c>
    </row>
    <row r="46" spans="1:1" ht="20.100000000000001" customHeight="1" x14ac:dyDescent="0.2">
      <c r="A46" s="5" t="str">
        <f>HYPERLINK("#'5.5.1.1-2 Leaching and runoff'!A1", "5.5.1.1-2 Leaching and runoff")</f>
        <v>5.5.1.1-2 Leaching and runoff</v>
      </c>
    </row>
    <row r="49" spans="1:1" ht="20.100000000000001" customHeight="1" x14ac:dyDescent="0.2">
      <c r="A49" s="80" t="s">
        <v>1</v>
      </c>
    </row>
    <row r="50" spans="1:1" ht="20.100000000000001" customHeight="1" x14ac:dyDescent="0.2">
      <c r="A50" s="5" t="str">
        <f>HYPERLINK("#'Constants - Poultry'!A1", "Constants - Poultry")</f>
        <v>Constants - Poultry</v>
      </c>
    </row>
    <row r="51" spans="1:1" ht="20.100000000000001" customHeight="1" x14ac:dyDescent="0.2">
      <c r="A51" s="5" t="str">
        <f>HYPERLINK("#'Constants - Common livestock'!A1", "Constants - Common Livestock")</f>
        <v>Constants - Common Livestock</v>
      </c>
    </row>
    <row r="52" spans="1:1" ht="20.100000000000001" customHeight="1" x14ac:dyDescent="0.2">
      <c r="A52" s="5" t="str">
        <f>HYPERLINK("#'Constants - Electricity'!A1", "Constants - Electricity")</f>
        <v>Constants - Electricity</v>
      </c>
    </row>
    <row r="53" spans="1:1" ht="20.100000000000001" customHeight="1" x14ac:dyDescent="0.2">
      <c r="A53" s="5" t="str">
        <f>HYPERLINK("#'Constants - Fertiliser'!A1", "Constants - Fertiliser")</f>
        <v>Constants - Fertiliser</v>
      </c>
    </row>
    <row r="54" spans="1:1" ht="20.100000000000001" customHeight="1" x14ac:dyDescent="0.2">
      <c r="A54" s="5" t="str">
        <f>HYPERLINK("#'Constants - Fuel'!A1", "Constants - Fuel")</f>
        <v>Constants - Fuel</v>
      </c>
    </row>
    <row r="55" spans="1:1" ht="20.100000000000001" customHeight="1" x14ac:dyDescent="0.2">
      <c r="A55" s="5" t="str">
        <f>HYPERLINK("#'Constants - Scope 3'!A1", "Constants - Scope 3")</f>
        <v>Constants - Scope 3</v>
      </c>
    </row>
    <row r="56" spans="1:1" ht="20.100000000000001" customHeight="1" x14ac:dyDescent="0.2">
      <c r="A56" s="5" t="str">
        <f>HYPERLINK("#'Constants - Solid Waste'!A1", "Constants - Solid Waste")</f>
        <v>Constants - Solid Waste</v>
      </c>
    </row>
    <row r="57" spans="1:1" ht="20.100000000000001" customHeight="1" x14ac:dyDescent="0.2">
      <c r="A57" s="5" t="str">
        <f>HYPERLINK("#'Constants - Common'!A1", "Constants - Common")</f>
        <v>Constants - Common</v>
      </c>
    </row>
  </sheetData>
  <dataValidations count="1">
    <dataValidation type="list" allowBlank="1" showInputMessage="1" showErrorMessage="1" sqref="E7:E16" xr:uid="{6CC7E677-7466-4D69-83A4-0E0032A4E7BC}">
      <formula1>INDIRECT("Table_SourceData_Poultry_Liveweights[Livestock class j]")</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B5F5D-9901-40F4-BA3B-CE8D21AB2C80}">
  <sheetPr>
    <tabColor theme="5" tint="-0.249977111117893"/>
  </sheetPr>
  <dimension ref="A1:K346"/>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10" customFormat="1" ht="30" customHeight="1" x14ac:dyDescent="0.35">
      <c r="A1" s="10" t="e" vm="1">
        <v>#VALUE!</v>
      </c>
      <c r="C1" s="10" t="s">
        <v>583</v>
      </c>
    </row>
    <row r="2" spans="1:11" s="3" customFormat="1" ht="20.100000000000001" customHeight="1" x14ac:dyDescent="0.2">
      <c r="A2"/>
    </row>
    <row r="3" spans="1:11" ht="20.100000000000001" customHeight="1" x14ac:dyDescent="0.2">
      <c r="A3" s="5" t="str">
        <f>HYPERLINK("#'Home'!A1", "Home")</f>
        <v>Home</v>
      </c>
      <c r="C3" s="28"/>
      <c r="D3" s="28"/>
      <c r="E3" s="28"/>
      <c r="F3" s="28"/>
      <c r="G3" s="28"/>
      <c r="H3" s="28"/>
      <c r="I3" s="28"/>
      <c r="J3" s="28"/>
      <c r="K3" s="28"/>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2" t="s">
        <v>584</v>
      </c>
      <c r="E5" s="24"/>
      <c r="F5" s="24"/>
      <c r="G5" s="24"/>
      <c r="H5" s="24"/>
    </row>
    <row r="6" spans="1:11" ht="20.100000000000001" customHeight="1" x14ac:dyDescent="0.2">
      <c r="D6" s="8"/>
      <c r="E6" s="8"/>
      <c r="F6" s="8"/>
      <c r="G6" s="8"/>
      <c r="H6" s="8"/>
      <c r="I6" s="8"/>
      <c r="J6" s="8"/>
    </row>
    <row r="7" spans="1:11" ht="20.100000000000001" customHeight="1" x14ac:dyDescent="0.2">
      <c r="D7" s="1" t="s">
        <v>585</v>
      </c>
    </row>
    <row r="8" spans="1:11" ht="20.100000000000001" customHeight="1" x14ac:dyDescent="0.2">
      <c r="A8" s="7" t="s">
        <v>0</v>
      </c>
      <c r="D8" s="1" t="s">
        <v>586</v>
      </c>
    </row>
    <row r="9" spans="1:11" ht="20.100000000000001" customHeight="1" x14ac:dyDescent="0.2">
      <c r="A9" s="5" t="str">
        <f>HYPERLINK("#'Input - Enterprise'!A1", "Enterprise")</f>
        <v>Enterprise</v>
      </c>
      <c r="D9" s="1" t="s">
        <v>587</v>
      </c>
    </row>
    <row r="10" spans="1:11" ht="20.100000000000001" customHeight="1" x14ac:dyDescent="0.2">
      <c r="A10" s="5" t="str">
        <f>HYPERLINK("#'Input - Site'!A1", "Site")</f>
        <v>Site</v>
      </c>
    </row>
    <row r="11" spans="1:11" ht="20.100000000000001" customHeight="1" x14ac:dyDescent="0.2">
      <c r="A11" s="5" t="str">
        <f>HYPERLINK("#'Input - Poultry'!A1", "Poultry")</f>
        <v>Poultry</v>
      </c>
      <c r="D11" s="1" t="s">
        <v>588</v>
      </c>
      <c r="E11" s="13" t="s">
        <v>589</v>
      </c>
      <c r="F11" s="16" t="s">
        <v>100</v>
      </c>
    </row>
    <row r="12" spans="1:11" ht="20.100000000000001" customHeight="1" x14ac:dyDescent="0.2">
      <c r="A12" s="5" t="str">
        <f>HYPERLINK("#'Input - Livestock sales'!A1", "Livestock sales")</f>
        <v>Livestock sales</v>
      </c>
    </row>
    <row r="13" spans="1:11" ht="20.100000000000001" customHeight="1" x14ac:dyDescent="0.2">
      <c r="A13" s="5" t="str">
        <f>HYPERLINK("#'Input - Poultry purchases'!A1", "Poultry purchases")</f>
        <v>Poultry purchases</v>
      </c>
      <c r="D13" s="131" t="s">
        <v>556</v>
      </c>
      <c r="E13" s="43"/>
      <c r="F13" s="43"/>
      <c r="G13" s="43"/>
      <c r="H13" s="44"/>
    </row>
    <row r="14" spans="1:11" ht="20.100000000000001" customHeight="1" x14ac:dyDescent="0.2">
      <c r="A14" s="100" t="str">
        <f>HYPERLINK("#'Input - Fuel'!A1", "Fuel")</f>
        <v>Fuel</v>
      </c>
      <c r="D14" s="45" t="s">
        <v>590</v>
      </c>
      <c r="E14" s="46"/>
      <c r="F14" s="46"/>
      <c r="G14" s="46"/>
      <c r="H14" s="47"/>
    </row>
    <row r="15" spans="1:11" ht="20.100000000000001" customHeight="1" x14ac:dyDescent="0.2">
      <c r="A15" s="5" t="str">
        <f>HYPERLINK("#'Input - Electricity'!A1", "Electricity")</f>
        <v>Electricity</v>
      </c>
      <c r="D15" s="8"/>
      <c r="E15" s="8"/>
      <c r="F15" s="8"/>
      <c r="G15" s="8"/>
      <c r="H15" s="8"/>
      <c r="I15" s="8"/>
      <c r="J15" s="8"/>
    </row>
    <row r="16" spans="1:11" ht="20.100000000000001" customHeight="1" x14ac:dyDescent="0.2">
      <c r="A16" s="5" t="str">
        <f>HYPERLINK("#'Input - Common farm inputs'!A1", "Common farm inputs")</f>
        <v>Common farm inputs</v>
      </c>
      <c r="D16" s="78" t="s">
        <v>591</v>
      </c>
      <c r="E16" s="78" t="s">
        <v>592</v>
      </c>
      <c r="F16" s="78" t="s">
        <v>593</v>
      </c>
      <c r="G16" s="78" t="s">
        <v>594</v>
      </c>
      <c r="H16" s="78" t="s">
        <v>595</v>
      </c>
      <c r="I16" s="78" t="s">
        <v>596</v>
      </c>
      <c r="J16" s="78" t="s">
        <v>597</v>
      </c>
    </row>
    <row r="17" spans="1:10" ht="20.100000000000001" customHeight="1" x14ac:dyDescent="0.2">
      <c r="A17" s="5" t="str">
        <f>HYPERLINK("#'Input - Livestock farm Inputs'!A1", "Livestock farm Inputs")</f>
        <v>Livestock farm Inputs</v>
      </c>
      <c r="D17" s="13" t="s">
        <v>598</v>
      </c>
      <c r="E17" s="13" t="s">
        <v>599</v>
      </c>
      <c r="F17" s="149">
        <v>100</v>
      </c>
      <c r="G17" s="15" t="str" cm="1">
        <f t="array" ref="G17">Common_InputFunctions.Utility_LookupValueInTable(Table_Input_Fuel[[#This Row],[Fuel type (select)]],Table_FuelTypes_Units[Fuel type], Table_FuelTypes_Units[Input Unit])</f>
        <v>GJ</v>
      </c>
      <c r="H17" s="150">
        <f>1</f>
        <v>1</v>
      </c>
      <c r="I17" s="15">
        <f>Table_Input_Fuel[[#This Row],[Amount purchased]]*Table_Input_Fuel[[#This Row],[Percent consumed]]*IF(Table_Input_Fuel[[#This Row],[Amount unit]]="L", 10^-3, 1)</f>
        <v>100</v>
      </c>
      <c r="J17" s="15" t="str" cm="1">
        <f t="array" ref="J17">Common_InputFunctions.Utility_LookupValueInTable(Table_Input_Fuel[[#This Row],[Fuel type (select)]],Table_FuelTypes_Units[Fuel type], Table_FuelTypes_Units[Unit])</f>
        <v>GJ</v>
      </c>
    </row>
    <row r="18" spans="1:10" ht="20.100000000000001" customHeight="1" x14ac:dyDescent="0.2">
      <c r="A18" s="5" t="str">
        <f>HYPERLINK("#'Input - Freight'!A1", "Freight")</f>
        <v>Freight</v>
      </c>
      <c r="D18" s="13" t="s">
        <v>598</v>
      </c>
      <c r="E18" s="13" t="s">
        <v>600</v>
      </c>
      <c r="F18" s="149">
        <v>10000</v>
      </c>
      <c r="G18" s="15" t="str" cm="1">
        <f t="array" ref="G18">Common_InputFunctions.Utility_LookupValueInTable(Table_Input_Fuel[[#This Row],[Fuel type (select)]],Table_FuelTypes_Units[Fuel type], Table_FuelTypes_Units[Input Unit])</f>
        <v>L</v>
      </c>
      <c r="H18" s="151">
        <f>1</f>
        <v>1</v>
      </c>
      <c r="I18" s="15">
        <f>Table_Input_Fuel[[#This Row],[Amount purchased]]*Table_Input_Fuel[[#This Row],[Percent consumed]]*IF(Table_Input_Fuel[[#This Row],[Amount unit]]="L", 10^-3, 1)</f>
        <v>10</v>
      </c>
      <c r="J18" s="15" t="str" cm="1">
        <f t="array" ref="J18">Common_InputFunctions.Utility_LookupValueInTable(Table_Input_Fuel[[#This Row],[Fuel type (select)]],Table_FuelTypes_Units[Fuel type], Table_FuelTypes_Units[Unit])</f>
        <v>kL</v>
      </c>
    </row>
    <row r="19" spans="1:10" ht="20.100000000000001" customHeight="1" x14ac:dyDescent="0.2">
      <c r="A19" s="5" t="str">
        <f>HYPERLINK("#'Input - Solid waste'!A1", "Solid waste")</f>
        <v>Solid waste</v>
      </c>
      <c r="D19" s="13" t="s">
        <v>601</v>
      </c>
      <c r="E19" s="13" t="s">
        <v>602</v>
      </c>
      <c r="F19" s="149">
        <v>10000</v>
      </c>
      <c r="G19" s="15" t="str" cm="1">
        <f t="array" ref="G19">Common_InputFunctions.Utility_LookupValueInTable(Table_Input_Fuel[[#This Row],[Fuel type (select)]],Table_FuelTypes_Units[Fuel type], Table_FuelTypes_Units[Input Unit])</f>
        <v>L</v>
      </c>
      <c r="H19" s="151">
        <f>1</f>
        <v>1</v>
      </c>
      <c r="I19" s="15">
        <f>Table_Input_Fuel[[#This Row],[Amount purchased]]*Table_Input_Fuel[[#This Row],[Percent consumed]]*IF(Table_Input_Fuel[[#This Row],[Amount unit]]="L", 10^-3, 1)</f>
        <v>10</v>
      </c>
      <c r="J19" s="15" t="str" cm="1">
        <f t="array" ref="J19">Common_InputFunctions.Utility_LookupValueInTable(Table_Input_Fuel[[#This Row],[Fuel type (select)]],Table_FuelTypes_Units[Fuel type], Table_FuelTypes_Units[Unit])</f>
        <v>kL</v>
      </c>
    </row>
    <row r="20" spans="1:10" ht="20.100000000000001" customHeight="1" x14ac:dyDescent="0.2">
      <c r="A20" s="5" t="str">
        <f>HYPERLINK("#'Input - Manure sent off-site'!A1", "Manure sent off-site")</f>
        <v>Manure sent off-site</v>
      </c>
      <c r="D20" s="13" t="s">
        <v>603</v>
      </c>
      <c r="E20" s="13" t="s">
        <v>602</v>
      </c>
      <c r="F20" s="149">
        <v>10000</v>
      </c>
      <c r="G20" s="15" t="str" cm="1">
        <f t="array" ref="G20">Common_InputFunctions.Utility_LookupValueInTable(Table_Input_Fuel[[#This Row],[Fuel type (select)]],Table_FuelTypes_Units[Fuel type], Table_FuelTypes_Units[Input Unit])</f>
        <v>L</v>
      </c>
      <c r="H20" s="151">
        <f>1</f>
        <v>1</v>
      </c>
      <c r="I20" s="15">
        <f>Table_Input_Fuel[[#This Row],[Amount purchased]]*Table_Input_Fuel[[#This Row],[Percent consumed]]*IF(Table_Input_Fuel[[#This Row],[Amount unit]]="L", 10^-3, 1)</f>
        <v>10</v>
      </c>
      <c r="J20" s="15" t="str" cm="1">
        <f t="array" ref="J20">Common_InputFunctions.Utility_LookupValueInTable(Table_Input_Fuel[[#This Row],[Fuel type (select)]],Table_FuelTypes_Units[Fuel type], Table_FuelTypes_Units[Unit])</f>
        <v>kL</v>
      </c>
    </row>
    <row r="21" spans="1:10" ht="20.100000000000001" customHeight="1" x14ac:dyDescent="0.2">
      <c r="A21" s="5" t="str">
        <f>HYPERLINK("#'Input - Data quality'!A1", "Data quality")</f>
        <v>Data quality</v>
      </c>
      <c r="D21" s="84" t="s">
        <v>604</v>
      </c>
      <c r="E21" s="84" t="s">
        <v>605</v>
      </c>
      <c r="F21" s="149">
        <v>10000</v>
      </c>
      <c r="G21" s="152" t="str" cm="1">
        <f t="array" ref="G21">Common_InputFunctions.Utility_LookupValueInTable(Table_Input_Fuel[[#This Row],[Fuel type (select)]],Table_FuelTypes_Units[Fuel type], Table_FuelTypes_Units[Input Unit])</f>
        <v>L</v>
      </c>
      <c r="H21" s="153">
        <f>1</f>
        <v>1</v>
      </c>
      <c r="I21" s="152">
        <f>Table_Input_Fuel[[#This Row],[Amount purchased]]*Table_Input_Fuel[[#This Row],[Percent consumed]]*IF(Table_Input_Fuel[[#This Row],[Amount unit]]="L", 10^-3, 1)</f>
        <v>10</v>
      </c>
      <c r="J21" s="15" t="str" cm="1">
        <f t="array" ref="J21">Common_InputFunctions.Utility_LookupValueInTable(Table_Input_Fuel[[#This Row],[Fuel type (select)]],Table_FuelTypes_Units[Fuel type], Table_FuelTypes_Units[Unit])</f>
        <v>kL</v>
      </c>
    </row>
    <row r="22" spans="1:10" ht="20.100000000000001" customHeight="1" x14ac:dyDescent="0.2">
      <c r="A22" s="5" t="str">
        <f>HYPERLINK("#'Input - Fert Prod System'!A1", "Fert Prod System")</f>
        <v>Fert Prod System</v>
      </c>
    </row>
    <row r="23" spans="1:10" ht="20.100000000000001" customHeight="1" x14ac:dyDescent="0.2">
      <c r="A23" s="5" t="str">
        <f>HYPERLINK("#'Input - Fertiliser'!A1", "Fertiliser")</f>
        <v>Fertiliser</v>
      </c>
    </row>
    <row r="26" spans="1:10" ht="20.100000000000001" customHeight="1" x14ac:dyDescent="0.2">
      <c r="A26" s="6" t="s">
        <v>2</v>
      </c>
    </row>
    <row r="27" spans="1:10" ht="20.100000000000001" customHeight="1" x14ac:dyDescent="0.2">
      <c r="A27" s="5" t="str">
        <f>HYPERLINK("#'4.6.1.1-2 Methane'!A1", "4.6.1.1-2 Manure Methane")</f>
        <v>4.6.1.1-2 Manure Methane</v>
      </c>
    </row>
    <row r="28" spans="1:10" ht="20.100000000000001" customHeight="1" x14ac:dyDescent="0.2">
      <c r="A28" s="5" t="str">
        <f>HYPERLINK("#'4.6.1.3-4 Direct N20'!A1", "4.6.1.3-4 Manure Direct N2O")</f>
        <v>4.6.1.3-4 Manure Direct N2O</v>
      </c>
    </row>
    <row r="29" spans="1:10" ht="20.100000000000001" customHeight="1" x14ac:dyDescent="0.2">
      <c r="A29" s="5" t="str">
        <f>HYPERLINK("#'4.6.1.5-6 Atmos Dep'!A1", "4.6.1.5-6 Manure Atmos Dep")</f>
        <v>4.6.1.5-6 Manure Atmos Dep</v>
      </c>
    </row>
    <row r="30" spans="1:10" ht="20.100000000000001" customHeight="1" x14ac:dyDescent="0.2">
      <c r="A30" s="5" t="str">
        <f>HYPERLINK("#'4.6.1.7-8 Leaching and runoff'!A1", "4.6.1.7-8 Manure Leaching and runoff")</f>
        <v>4.6.1.7-8 Manure Leaching and runoff</v>
      </c>
    </row>
    <row r="31" spans="1:10" ht="20.100000000000001" customHeight="1" x14ac:dyDescent="0.2">
      <c r="A31" s="5" t="str">
        <f>HYPERLINK("#'4.6.1.9 Manure applied to soils'!A1", "4.6.1.9 Manure applied to soils")</f>
        <v>4.6.1.9 Manure applied to soils</v>
      </c>
    </row>
    <row r="32" spans="1:10" ht="20.100000000000001" customHeight="1" x14ac:dyDescent="0.2">
      <c r="A32" s="5" t="str">
        <f>HYPERLINK("#'4.6.1.10-11 Soil direct N2O'!A1", "4.6.1.10-11 Soil direct N2O")</f>
        <v>4.6.1.10-11 Soil direct N2O</v>
      </c>
    </row>
    <row r="33" spans="1:11" ht="20.100000000000001" customHeight="1" x14ac:dyDescent="0.2">
      <c r="A33" s="5" t="str">
        <f>HYPERLINK("#'4.6.1.12-13 Soil atmos dep'!A1", "4.6.1.12-13 Soil atmos dep")</f>
        <v>4.6.1.12-13 Soil atmos dep</v>
      </c>
    </row>
    <row r="34" spans="1:11" ht="20.100000000000001" customHeight="1" x14ac:dyDescent="0.2">
      <c r="A34" s="5" t="str">
        <f>HYPERLINK("#'4.6.1.14-15 Soil leach runoff'!A1", "4.6.1.14-15 Soil leach runoff")</f>
        <v>4.6.1.14-15 Soil leach runoff</v>
      </c>
    </row>
    <row r="35" spans="1:11" ht="20.100000000000001" customHeight="1" x14ac:dyDescent="0.2">
      <c r="A35" s="5" t="str">
        <f>HYPERLINK("#'8.1.1.1-2 Transport fuel'!A1", "8.1.1.1-2 Transport fuel")</f>
        <v>8.1.1.1-2 Transport fuel</v>
      </c>
    </row>
    <row r="36" spans="1:11" ht="20.100000000000001" customHeight="1" x14ac:dyDescent="0.2">
      <c r="A36" s="5" t="str">
        <f>HYPERLINK("#'8.2.1.1-2 Stationary fuel'!A1", "8.2.1.1-2 Stationary fuel")</f>
        <v>8.2.1.1-2 Stationary fuel</v>
      </c>
    </row>
    <row r="37" spans="1:11" ht="20.100000000000001" customHeight="1" x14ac:dyDescent="0.2">
      <c r="A37" s="5" t="str">
        <f>HYPERLINK("#'10.1.1-2 Solid waste treatment'!A1", "10.1.1.1-2 Solid waste")</f>
        <v>10.1.1.1-2 Solid waste</v>
      </c>
    </row>
    <row r="38" spans="1:11" ht="20.100000000000001" customHeight="1" x14ac:dyDescent="0.2">
      <c r="A38" s="5" t="str">
        <f>HYPERLINK("#'14.1.1-2 Purchased electricity'!A1", "14.1.1-2 Purchased electricity")</f>
        <v>14.1.1-2 Purchased electricity</v>
      </c>
      <c r="C38" s="142"/>
      <c r="K38" s="142"/>
    </row>
    <row r="39" spans="1:11" ht="20.100000000000001" customHeight="1" x14ac:dyDescent="0.2">
      <c r="A39" s="5" t="str">
        <f>HYPERLINK("#'15 Scope 3'!A1", "15 Scope 3")</f>
        <v>15 Scope 3</v>
      </c>
      <c r="C39" s="142"/>
      <c r="K39" s="142"/>
    </row>
    <row r="40" spans="1:11" s="140" customFormat="1" ht="20.100000000000001" customHeight="1" x14ac:dyDescent="0.2">
      <c r="A40" s="5" t="str">
        <f>HYPERLINK("#'Calcs - Manure sent off-site'!A1", "Calcs - Manure sent off-site")</f>
        <v>Calcs - Manure sent off-site</v>
      </c>
      <c r="C40" s="1"/>
      <c r="D40" s="1"/>
      <c r="E40" s="1"/>
      <c r="F40" s="1"/>
      <c r="G40" s="1"/>
      <c r="H40" s="1"/>
      <c r="I40" s="1"/>
      <c r="J40" s="1"/>
      <c r="K40" s="1"/>
    </row>
    <row r="41" spans="1:11" s="140" customFormat="1" ht="20.100000000000001" customHeight="1" x14ac:dyDescent="0.2">
      <c r="A41" s="5" t="str">
        <f>HYPERLINK("#'5.1.1.1-2 Inorganic fert N2O'!A1", "5.1.1.1-2 Inorganic fert N2O")</f>
        <v>5.1.1.1-2 Inorganic fert N2O</v>
      </c>
      <c r="C41" s="1"/>
      <c r="D41" s="1"/>
      <c r="E41" s="1"/>
      <c r="F41" s="1"/>
      <c r="G41" s="1"/>
      <c r="H41" s="1"/>
      <c r="I41" s="1"/>
      <c r="J41" s="1"/>
      <c r="K41" s="1"/>
    </row>
    <row r="42" spans="1:11" ht="20.100000000000001" customHeight="1" x14ac:dyDescent="0.2">
      <c r="A42" s="5" t="str">
        <f>HYPERLINK("#'5.1.1.3-4 Inorganic fert CO2'!A1", "5.1.1.3-4 Inorganic fert CO2")</f>
        <v>5.1.1.3-4 Inorganic fert CO2</v>
      </c>
    </row>
    <row r="43" spans="1:11" ht="20.100000000000001" customHeight="1" x14ac:dyDescent="0.2">
      <c r="A43" s="5" t="str">
        <f>HYPERLINK("#'5.2.1.1-2 Organic Fert N2O'!A1", "5.2.1.1-2 Organic Fert N2O")</f>
        <v>5.2.1.1-2 Organic Fert N2O</v>
      </c>
    </row>
    <row r="44" spans="1:11" ht="20.100000000000001" customHeight="1" x14ac:dyDescent="0.2">
      <c r="A44" s="5" t="str">
        <f>HYPERLINK("#'5.3.1.1-2 Lime CO2'!A1", "5.3.1.1-2 Lime CO2")</f>
        <v>5.3.1.1-2 Lime CO2</v>
      </c>
    </row>
    <row r="45" spans="1:11" ht="20.100000000000001" customHeight="1" x14ac:dyDescent="0.2">
      <c r="A45" s="5" t="str">
        <f>HYPERLINK("#'5.4.1.1-4 Atmos deposition'!A1", "5.4.1.1-4 Atmos deposition")</f>
        <v>5.4.1.1-4 Atmos deposition</v>
      </c>
    </row>
    <row r="46" spans="1:11" ht="20.100000000000001" customHeight="1" x14ac:dyDescent="0.2">
      <c r="A46" s="5" t="str">
        <f>HYPERLINK("#'5.5.1.1-2 Leaching and runoff'!A1", "5.5.1.1-2 Leaching and runoff")</f>
        <v>5.5.1.1-2 Leaching and runoff</v>
      </c>
    </row>
    <row r="49" spans="1:1" ht="20.100000000000001" customHeight="1" x14ac:dyDescent="0.2">
      <c r="A49" s="80" t="s">
        <v>1</v>
      </c>
    </row>
    <row r="50" spans="1:1" ht="20.100000000000001" customHeight="1" x14ac:dyDescent="0.2">
      <c r="A50" s="5" t="str">
        <f>HYPERLINK("#'Constants - Poultry'!A1", "Constants - Poultry")</f>
        <v>Constants - Poultry</v>
      </c>
    </row>
    <row r="51" spans="1:1" ht="20.100000000000001" customHeight="1" x14ac:dyDescent="0.2">
      <c r="A51" s="5" t="str">
        <f>HYPERLINK("#'Constants - Common livestock'!A1", "Constants - Common Livestock")</f>
        <v>Constants - Common Livestock</v>
      </c>
    </row>
    <row r="52" spans="1:1" ht="20.100000000000001" customHeight="1" x14ac:dyDescent="0.2">
      <c r="A52" s="5" t="str">
        <f>HYPERLINK("#'Constants - Electricity'!A1", "Constants - Electricity")</f>
        <v>Constants - Electricity</v>
      </c>
    </row>
    <row r="53" spans="1:1" ht="20.100000000000001" customHeight="1" x14ac:dyDescent="0.2">
      <c r="A53" s="5" t="str">
        <f>HYPERLINK("#'Constants - Fertiliser'!A1", "Constants - Fertiliser")</f>
        <v>Constants - Fertiliser</v>
      </c>
    </row>
    <row r="54" spans="1:1" ht="20.100000000000001" customHeight="1" x14ac:dyDescent="0.2">
      <c r="A54" s="5" t="str">
        <f>HYPERLINK("#'Constants - Fuel'!A1", "Constants - Fuel")</f>
        <v>Constants - Fuel</v>
      </c>
    </row>
    <row r="55" spans="1:1" ht="20.100000000000001" customHeight="1" x14ac:dyDescent="0.2">
      <c r="A55" s="5" t="str">
        <f>HYPERLINK("#'Constants - Scope 3'!A1", "Constants - Scope 3")</f>
        <v>Constants - Scope 3</v>
      </c>
    </row>
    <row r="56" spans="1:1" ht="20.100000000000001" customHeight="1" x14ac:dyDescent="0.2">
      <c r="A56" s="5" t="str">
        <f>HYPERLINK("#'Constants - Solid Waste'!A1", "Constants - Solid Waste")</f>
        <v>Constants - Solid Waste</v>
      </c>
    </row>
    <row r="57" spans="1:1" ht="20.100000000000001" customHeight="1" x14ac:dyDescent="0.2">
      <c r="A57" s="5" t="str">
        <f>HYPERLINK("#'Constants - Common'!A1", "Constants - Common")</f>
        <v>Constants - Common</v>
      </c>
    </row>
    <row r="346" spans="4:4" ht="20.100000000000001" customHeight="1" x14ac:dyDescent="0.2">
      <c r="D346" s="87"/>
    </row>
  </sheetData>
  <conditionalFormatting sqref="F32">
    <cfRule type="cellIs" dxfId="79" priority="9" operator="lessThan">
      <formula>0</formula>
    </cfRule>
  </conditionalFormatting>
  <conditionalFormatting sqref="F111:F112">
    <cfRule type="cellIs" dxfId="78" priority="8" operator="lessThan">
      <formula>0</formula>
    </cfRule>
  </conditionalFormatting>
  <conditionalFormatting sqref="F123:F124">
    <cfRule type="cellIs" dxfId="77" priority="7" operator="lessThan">
      <formula>0</formula>
    </cfRule>
  </conditionalFormatting>
  <conditionalFormatting sqref="F135:F136">
    <cfRule type="cellIs" dxfId="76" priority="6" operator="lessThan">
      <formula>0</formula>
    </cfRule>
  </conditionalFormatting>
  <conditionalFormatting sqref="F147:F148">
    <cfRule type="cellIs" dxfId="75" priority="5" operator="lessThan">
      <formula>0</formula>
    </cfRule>
  </conditionalFormatting>
  <conditionalFormatting sqref="F235:F236">
    <cfRule type="cellIs" dxfId="74" priority="17" operator="lessThan">
      <formula>0</formula>
    </cfRule>
  </conditionalFormatting>
  <conditionalFormatting sqref="F240:F241">
    <cfRule type="cellIs" dxfId="73" priority="16" operator="lessThan">
      <formula>0</formula>
    </cfRule>
  </conditionalFormatting>
  <conditionalFormatting sqref="F245:F246">
    <cfRule type="cellIs" dxfId="72" priority="15" operator="lessThan">
      <formula>0</formula>
    </cfRule>
  </conditionalFormatting>
  <conditionalFormatting sqref="F269:F270">
    <cfRule type="cellIs" dxfId="71" priority="14" operator="lessThan">
      <formula>0</formula>
    </cfRule>
  </conditionalFormatting>
  <conditionalFormatting sqref="F274:F275">
    <cfRule type="cellIs" dxfId="70" priority="13" operator="lessThan">
      <formula>0</formula>
    </cfRule>
  </conditionalFormatting>
  <conditionalFormatting sqref="F279:F280">
    <cfRule type="cellIs" dxfId="69" priority="12" operator="lessThan">
      <formula>0</formula>
    </cfRule>
  </conditionalFormatting>
  <conditionalFormatting sqref="I26:J27 H28:H30 I31:J31 I33:J35 I37:J38 I189:J189 E195:G195 I195:J195">
    <cfRule type="cellIs" dxfId="68" priority="11" operator="lessThan">
      <formula>0</formula>
    </cfRule>
  </conditionalFormatting>
  <conditionalFormatting sqref="I42:J46">
    <cfRule type="cellIs" dxfId="67" priority="4" operator="lessThan">
      <formula>0</formula>
    </cfRule>
  </conditionalFormatting>
  <conditionalFormatting sqref="I50:J50 I109:J109">
    <cfRule type="cellIs" dxfId="66" priority="10" operator="lessThan">
      <formula>0</formula>
    </cfRule>
  </conditionalFormatting>
  <conditionalFormatting sqref="I61:J63">
    <cfRule type="cellIs" dxfId="65" priority="3" operator="lessThan">
      <formula>0</formula>
    </cfRule>
  </conditionalFormatting>
  <conditionalFormatting sqref="I67:J70">
    <cfRule type="cellIs" dxfId="64" priority="2" operator="lessThan">
      <formula>0</formula>
    </cfRule>
  </conditionalFormatting>
  <conditionalFormatting sqref="I74:J78">
    <cfRule type="cellIs" dxfId="63" priority="1" operator="lessThan">
      <formula>0</formula>
    </cfRule>
  </conditionalFormatting>
  <dataValidations count="9">
    <dataValidation type="list" allowBlank="1" showInputMessage="1" showErrorMessage="1" sqref="E17:E21" xr:uid="{CEE0CDD6-645D-42A8-B53E-73F9F5319A71}">
      <formula1>_xlfn.TRIMRANGE(INDIRECT("Table_FuelTypesPerUse["&amp;D17&amp;"]"))</formula1>
    </dataValidation>
    <dataValidation type="list" allowBlank="1" showInputMessage="1" showErrorMessage="1" sqref="D17:D21" xr:uid="{EDF239C2-12CC-4CAD-82BB-ECDE95CD1A31}">
      <formula1>INDIRECT("Table_FuelTypesPerUse[#Headers]")</formula1>
    </dataValidation>
    <dataValidation type="list" allowBlank="1" showInputMessage="1" showErrorMessage="1" sqref="E11" xr:uid="{62C8EFC2-23EB-4938-ACD8-FA8FD9CF73C6}">
      <formula1>"Metro, Non-metro"</formula1>
    </dataValidation>
    <dataValidation type="list" allowBlank="1" showInputMessage="1" showErrorMessage="1" sqref="D29:D30" xr:uid="{A739ED1E-6D66-4DFD-B88A-B89BA7CD75BD}">
      <formula1>INDIRECT("Table_SourceData_OrganicFertiliserTypes[Organic fertiliser type]")</formula1>
    </dataValidation>
    <dataValidation type="list" allowBlank="1" showInputMessage="1" showErrorMessage="1" sqref="E49" xr:uid="{A46EB160-88A0-43D2-9C66-BCF3D8C89B11}">
      <formula1>INDIRECT("Table_SourceData_Swine_CropProdSystems[Production system]")</formula1>
    </dataValidation>
    <dataValidation type="list" allowBlank="1" showInputMessage="1" showErrorMessage="1" sqref="E50" xr:uid="{EDD2A58F-ECA2-4263-9A74-F7B9DB216A49}">
      <formula1>INDIRECT("Table_SourceData_Swine_IrrigationMethods[Irrigation method]")</formula1>
    </dataValidation>
    <dataValidation type="list" allowBlank="1" showInputMessage="1" showErrorMessage="1" sqref="E234 E239 E244 E278 E273 E268 E146 E134 E110 E122" xr:uid="{F7FC4817-430C-4589-8C1E-BA21714DB978}">
      <formula1>"Yes, No"</formula1>
    </dataValidation>
    <dataValidation type="list" allowBlank="1" showInputMessage="1" showErrorMessage="1" sqref="E210" xr:uid="{51AA4B25-0B56-463E-8385-81F6CE52DF6F}">
      <formula1>INDIRECT("Table_SourceData_Dairy_ProductionSystemTemplates[Area]")</formula1>
    </dataValidation>
    <dataValidation type="list" allowBlank="1" showInputMessage="1" showErrorMessage="1" sqref="D262" xr:uid="{3F97C871-84AC-4A5C-BFB9-39234FD08A6D}">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2510B-057E-49F4-8B42-579655062673}">
  <sheetPr>
    <tabColor theme="5" tint="-0.249977111117893"/>
  </sheetPr>
  <dimension ref="A1:L365"/>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537</v>
      </c>
    </row>
    <row r="2" spans="1:10" s="3" customFormat="1" ht="20.100000000000001" customHeight="1" x14ac:dyDescent="0.2">
      <c r="A2"/>
    </row>
    <row r="3" spans="1:10" ht="20.100000000000001" customHeight="1" x14ac:dyDescent="0.2">
      <c r="A3" s="5" t="str">
        <f>HYPERLINK("#'Home'!A1", "Home")</f>
        <v>Home</v>
      </c>
      <c r="C3" s="28"/>
      <c r="D3" s="28"/>
      <c r="E3" s="28"/>
      <c r="F3" s="28"/>
      <c r="G3" s="28"/>
      <c r="H3" s="28"/>
      <c r="I3" s="28"/>
      <c r="J3" s="28"/>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c r="D5" s="1" t="s">
        <v>538</v>
      </c>
      <c r="E5" s="13" t="s">
        <v>539</v>
      </c>
      <c r="F5" s="16" t="s">
        <v>100</v>
      </c>
    </row>
    <row r="6" spans="1:10" ht="20.100000000000001" customHeight="1" x14ac:dyDescent="0.2">
      <c r="E6" s="87" t="str">
        <f>IF(X_Cell_Electricity_CalculationMethod="Location-based (simpler)", "Complete the fields in the Location-based section", "Complete the fields in the Market-based section")</f>
        <v>Complete the fields in the Location-based section</v>
      </c>
    </row>
    <row r="8" spans="1:10" ht="20.100000000000001" customHeight="1" x14ac:dyDescent="0.2">
      <c r="A8" s="7" t="s">
        <v>0</v>
      </c>
      <c r="C8" s="83"/>
      <c r="D8" s="83"/>
      <c r="E8" s="83"/>
      <c r="F8" s="83"/>
      <c r="G8" s="83"/>
      <c r="H8" s="83"/>
      <c r="I8" s="83"/>
      <c r="J8" s="83"/>
    </row>
    <row r="9" spans="1:10" ht="20.100000000000001" customHeight="1" x14ac:dyDescent="0.2">
      <c r="A9" s="5" t="str">
        <f>HYPERLINK("#'Input - Enterprise'!A1", "Enterprise")</f>
        <v>Enterprise</v>
      </c>
      <c r="D9" s="2" t="s">
        <v>540</v>
      </c>
    </row>
    <row r="10" spans="1:10" ht="20.100000000000001" customHeight="1" x14ac:dyDescent="0.2">
      <c r="A10" s="5" t="str">
        <f>HYPERLINK("#'Input - Site'!A1", "Site")</f>
        <v>Site</v>
      </c>
    </row>
    <row r="11" spans="1:10" ht="20.100000000000001" customHeight="1" x14ac:dyDescent="0.2">
      <c r="A11" s="5" t="str">
        <f>HYPERLINK("#'Input - Poultry'!A1", "Poultry")</f>
        <v>Poultry</v>
      </c>
      <c r="D11" s="77" t="s">
        <v>541</v>
      </c>
    </row>
    <row r="12" spans="1:10" ht="20.100000000000001" customHeight="1" x14ac:dyDescent="0.2">
      <c r="A12" s="5" t="str">
        <f>HYPERLINK("#'Input - Livestock sales'!A1", "Livestock sales")</f>
        <v>Livestock sales</v>
      </c>
    </row>
    <row r="13" spans="1:10" ht="20.100000000000001" customHeight="1" x14ac:dyDescent="0.2">
      <c r="A13" s="5" t="str">
        <f>HYPERLINK("#'Input - Poultry purchases'!A1", "Poultry purchases")</f>
        <v>Poultry purchases</v>
      </c>
      <c r="D13" s="35" t="s">
        <v>542</v>
      </c>
      <c r="E13" s="38"/>
      <c r="F13" s="8"/>
    </row>
    <row r="14" spans="1:10" ht="20.100000000000001" customHeight="1" x14ac:dyDescent="0.2">
      <c r="A14" s="5" t="str">
        <f>HYPERLINK("#'Input - Fuel'!A1", "Fuel")</f>
        <v>Fuel</v>
      </c>
      <c r="D14" s="8"/>
      <c r="E14" s="8"/>
      <c r="F14" s="8"/>
    </row>
    <row r="15" spans="1:10" ht="20.100000000000001" customHeight="1" x14ac:dyDescent="0.2">
      <c r="A15" s="100" t="str">
        <f>HYPERLINK("#'Input - Electricity'!A1", "Electricity")</f>
        <v>Electricity</v>
      </c>
      <c r="D15" s="1" t="s">
        <v>543</v>
      </c>
      <c r="E15" s="138">
        <v>30000</v>
      </c>
      <c r="F15" s="16" t="s">
        <v>544</v>
      </c>
    </row>
    <row r="16" spans="1:10" ht="20.100000000000001" customHeight="1" x14ac:dyDescent="0.2">
      <c r="A16" s="5" t="str">
        <f>HYPERLINK("#'Input - Common farm inputs'!A1", "Common farm inputs")</f>
        <v>Common farm inputs</v>
      </c>
      <c r="D16" s="1" t="s">
        <v>545</v>
      </c>
      <c r="E16" s="15" t="str">
        <f>IF(X_Cell_Site_State="Western Australia", X_Cell_Site_Region, X_Cell_Site_State)</f>
        <v>Western Australia - Outback (South)</v>
      </c>
      <c r="F16" s="8"/>
    </row>
    <row r="17" spans="1:11" ht="20.100000000000001" customHeight="1" x14ac:dyDescent="0.2">
      <c r="A17" s="5" t="str">
        <f>HYPERLINK("#'Input - Livestock farm Inputs'!A1", "Livestock farm Inputs")</f>
        <v>Livestock farm Inputs</v>
      </c>
      <c r="D17" s="1" t="s">
        <v>546</v>
      </c>
      <c r="E17" s="13" t="s">
        <v>547</v>
      </c>
      <c r="F17" s="16" t="s">
        <v>100</v>
      </c>
    </row>
    <row r="18" spans="1:11" ht="20.100000000000001" customHeight="1" x14ac:dyDescent="0.2">
      <c r="A18" s="5" t="str">
        <f>HYPERLINK("#'Input - Freight'!A1", "Freight")</f>
        <v>Freight</v>
      </c>
    </row>
    <row r="19" spans="1:11" ht="20.100000000000001" customHeight="1" x14ac:dyDescent="0.2">
      <c r="A19" s="5" t="str">
        <f>HYPERLINK("#'Input - Solid waste'!A1", "Solid waste")</f>
        <v>Solid waste</v>
      </c>
    </row>
    <row r="20" spans="1:11" ht="20.100000000000001" customHeight="1" x14ac:dyDescent="0.2">
      <c r="A20" s="5" t="str">
        <f>HYPERLINK("#'Input - Manure sent off-site'!A1", "Manure sent off-site")</f>
        <v>Manure sent off-site</v>
      </c>
      <c r="C20" s="83"/>
      <c r="D20" s="83"/>
      <c r="E20" s="83"/>
      <c r="F20" s="83"/>
      <c r="G20" s="83"/>
      <c r="H20" s="83"/>
      <c r="I20" s="83"/>
      <c r="J20" s="83"/>
    </row>
    <row r="21" spans="1:11" ht="20.100000000000001" customHeight="1" x14ac:dyDescent="0.2">
      <c r="A21" s="5" t="str">
        <f>HYPERLINK("#'Input - Data quality'!A1", "Data quality")</f>
        <v>Data quality</v>
      </c>
      <c r="D21" s="2" t="s">
        <v>548</v>
      </c>
    </row>
    <row r="22" spans="1:11" ht="20.100000000000001" customHeight="1" x14ac:dyDescent="0.2">
      <c r="A22" s="5" t="str">
        <f>HYPERLINK("#'Input - Fert Prod System'!A1", "Fert Prod System")</f>
        <v>Fert Prod System</v>
      </c>
      <c r="E22" s="87" t="str">
        <f>IF(E16="ACT", "", "ALERT: Your farm is not in the ACT, so the JRPP is not applicable")</f>
        <v>ALERT: Your farm is not in the ACT, so the JRPP is not applicable</v>
      </c>
    </row>
    <row r="23" spans="1:11" ht="20.100000000000001" customHeight="1" x14ac:dyDescent="0.2">
      <c r="A23" s="5" t="str">
        <f>HYPERLINK("#'Input - Fertiliser'!A1", "Fertiliser")</f>
        <v>Fertiliser</v>
      </c>
      <c r="D23" s="1" t="s">
        <v>549</v>
      </c>
      <c r="E23" s="138">
        <v>30000</v>
      </c>
      <c r="F23" s="16" t="s">
        <v>544</v>
      </c>
    </row>
    <row r="24" spans="1:11" ht="20.100000000000001" customHeight="1" x14ac:dyDescent="0.2">
      <c r="D24" s="1" t="s">
        <v>550</v>
      </c>
      <c r="E24" s="18">
        <v>0.1</v>
      </c>
      <c r="F24" s="16" t="s">
        <v>140</v>
      </c>
    </row>
    <row r="25" spans="1:11" ht="20.100000000000001" customHeight="1" x14ac:dyDescent="0.2">
      <c r="D25" s="1" t="s">
        <v>551</v>
      </c>
      <c r="E25" s="18">
        <v>0.1</v>
      </c>
      <c r="F25" s="16" t="s">
        <v>140</v>
      </c>
    </row>
    <row r="26" spans="1:11" ht="20.100000000000001" customHeight="1" x14ac:dyDescent="0.2">
      <c r="A26" s="6" t="s">
        <v>2</v>
      </c>
    </row>
    <row r="27" spans="1:11" ht="20.100000000000001" customHeight="1" x14ac:dyDescent="0.2">
      <c r="A27" s="5" t="str">
        <f>HYPERLINK("#'4.6.1.1-2 Methane'!A1", "4.6.1.1-2 Manure Methane")</f>
        <v>4.6.1.1-2 Manure Methane</v>
      </c>
      <c r="D27" s="1" t="s">
        <v>552</v>
      </c>
      <c r="E27" s="138">
        <v>10000</v>
      </c>
      <c r="F27" s="16" t="s">
        <v>544</v>
      </c>
    </row>
    <row r="28" spans="1:11" ht="20.100000000000001" customHeight="1" x14ac:dyDescent="0.2">
      <c r="A28" s="5" t="str">
        <f>HYPERLINK("#'4.6.1.3-4 Direct N20'!A1", "4.6.1.3-4 Manure Direct N2O")</f>
        <v>4.6.1.3-4 Manure Direct N2O</v>
      </c>
    </row>
    <row r="29" spans="1:11" ht="20.100000000000001" customHeight="1" x14ac:dyDescent="0.2">
      <c r="A29" s="5" t="str">
        <f>HYPERLINK("#'4.6.1.5-6 Atmos Dep'!A1", "4.6.1.5-6 Manure Atmos Dep")</f>
        <v>4.6.1.5-6 Manure Atmos Dep</v>
      </c>
      <c r="D29" s="1" t="s">
        <v>553</v>
      </c>
      <c r="E29" s="139" t="str">
        <f>TEXT(X_Cell_Site_StartDate, "dd mmm yyyy")</f>
        <v>01 Jan 2025</v>
      </c>
      <c r="K29" s="140"/>
    </row>
    <row r="30" spans="1:11" ht="20.100000000000001" customHeight="1" x14ac:dyDescent="0.2">
      <c r="A30" s="5" t="str">
        <f>HYPERLINK("#'4.6.1.7-8 Leaching and runoff'!A1", "4.6.1.7-8 Manure Leaching and runoff")</f>
        <v>4.6.1.7-8 Manure Leaching and runoff</v>
      </c>
      <c r="D30" s="1" t="s">
        <v>554</v>
      </c>
      <c r="E30" s="139" t="str">
        <f>TEXT(X_Cell_Site_EndDate, "dd mmm yyyy")</f>
        <v>31 Dec 2025</v>
      </c>
      <c r="K30" s="140"/>
    </row>
    <row r="31" spans="1:11" ht="20.100000000000001" customHeight="1" x14ac:dyDescent="0.2">
      <c r="A31" s="5" t="str">
        <f>HYPERLINK("#'4.6.1.9 Manure applied to soils'!A1", "4.6.1.9 Manure applied to soils")</f>
        <v>4.6.1.9 Manure applied to soils</v>
      </c>
      <c r="K31" s="140"/>
    </row>
    <row r="32" spans="1:11" ht="20.100000000000001" customHeight="1" x14ac:dyDescent="0.2">
      <c r="A32" s="5" t="str">
        <f>HYPERLINK("#'4.6.1.10-11 Soil direct N2O'!A1", "4.6.1.10-11 Soil direct N2O")</f>
        <v>4.6.1.10-11 Soil direct N2O</v>
      </c>
      <c r="D32" s="77" t="s">
        <v>555</v>
      </c>
      <c r="K32" s="140"/>
    </row>
    <row r="33" spans="1:12" ht="20.100000000000001" customHeight="1" x14ac:dyDescent="0.2">
      <c r="A33" s="5" t="str">
        <f>HYPERLINK("#'4.6.1.12-13 Soil atmos dep'!A1", "4.6.1.12-13 Soil atmos dep")</f>
        <v>4.6.1.12-13 Soil atmos dep</v>
      </c>
      <c r="K33" s="140"/>
    </row>
    <row r="34" spans="1:12" ht="20.100000000000001" customHeight="1" x14ac:dyDescent="0.2">
      <c r="A34" s="5" t="str">
        <f>HYPERLINK("#'4.6.1.14-15 Soil leach runoff'!A1", "4.6.1.14-15 Soil leach runoff")</f>
        <v>4.6.1.14-15 Soil leach runoff</v>
      </c>
      <c r="D34" s="35" t="s">
        <v>556</v>
      </c>
      <c r="E34" s="38"/>
      <c r="K34" s="140"/>
    </row>
    <row r="35" spans="1:12" ht="20.100000000000001" customHeight="1" x14ac:dyDescent="0.2">
      <c r="A35" s="5" t="str">
        <f>HYPERLINK("#'8.1.1.1-2 Transport fuel'!A1", "8.1.1.1-2 Transport fuel")</f>
        <v>8.1.1.1-2 Transport fuel</v>
      </c>
    </row>
    <row r="36" spans="1:12" ht="20.100000000000001" customHeight="1" x14ac:dyDescent="0.2">
      <c r="A36" s="5" t="str">
        <f>HYPERLINK("#'8.2.1.1-2 Stationary fuel'!A1", "8.2.1.1-2 Stationary fuel")</f>
        <v>8.2.1.1-2 Stationary fuel</v>
      </c>
      <c r="D36" s="78" t="s">
        <v>156</v>
      </c>
      <c r="E36" s="78" t="s">
        <v>557</v>
      </c>
      <c r="F36" s="78" t="s">
        <v>558</v>
      </c>
      <c r="G36" s="78" t="s">
        <v>559</v>
      </c>
      <c r="H36" s="78" t="s">
        <v>560</v>
      </c>
      <c r="I36" s="78" t="s">
        <v>561</v>
      </c>
      <c r="L36" s="140"/>
    </row>
    <row r="37" spans="1:12" ht="20.100000000000001" customHeight="1" x14ac:dyDescent="0.2">
      <c r="A37" s="5" t="str">
        <f>HYPERLINK("#'10.1.1-2 Solid waste treatment'!A1", "10.1.1.1-2 Solid waste")</f>
        <v>10.1.1.1-2 Solid waste</v>
      </c>
      <c r="D37" s="19" t="s">
        <v>562</v>
      </c>
      <c r="E37" s="13" t="s">
        <v>563</v>
      </c>
      <c r="F37" s="141">
        <v>44185</v>
      </c>
      <c r="G37" s="19">
        <v>12</v>
      </c>
      <c r="H37" s="15">
        <f>Table_Input_RECSurrendered[[#This Row],[Number of certificates]]</f>
        <v>12</v>
      </c>
      <c r="I37" s="15" t="str">
        <f>IF(DATEDIF(Table_Input_RECSurrendered[[#This Row],[Generation date]],DATEVALUE($E$30),"M")&gt;36,"Ineligible - older than 36 months","Elegible")</f>
        <v>Ineligible - older than 36 months</v>
      </c>
      <c r="L37" s="140"/>
    </row>
    <row r="38" spans="1:12" ht="20.100000000000001" customHeight="1" x14ac:dyDescent="0.2">
      <c r="A38" s="5" t="str">
        <f>HYPERLINK("#'14.1.1-2 Purchased electricity'!A1", "14.1.1-2 Purchased electricity")</f>
        <v>14.1.1-2 Purchased electricity</v>
      </c>
      <c r="D38" s="19" t="s">
        <v>564</v>
      </c>
      <c r="E38" s="13" t="s">
        <v>565</v>
      </c>
      <c r="F38" s="141">
        <v>44575</v>
      </c>
      <c r="G38" s="19">
        <v>5</v>
      </c>
      <c r="H38" s="15">
        <f>Table_Input_RECSurrendered[[#This Row],[Number of certificates]]</f>
        <v>5</v>
      </c>
      <c r="I38" s="15" t="str">
        <f>IF(DATEDIF(Table_Input_RECSurrendered[[#This Row],[Generation date]],DATEVALUE($E$30),"M")&gt;36,"Ineligible - older than 36 months","Elegible")</f>
        <v>Ineligible - older than 36 months</v>
      </c>
    </row>
    <row r="39" spans="1:12" ht="20.100000000000001" customHeight="1" x14ac:dyDescent="0.2">
      <c r="A39" s="5" t="str">
        <f>HYPERLINK("#'15 Scope 3'!A1", "15 Scope 3")</f>
        <v>15 Scope 3</v>
      </c>
      <c r="D39" s="19" t="s">
        <v>566</v>
      </c>
      <c r="E39" s="13" t="s">
        <v>563</v>
      </c>
      <c r="F39" s="141">
        <v>45438</v>
      </c>
      <c r="G39" s="19">
        <v>5</v>
      </c>
      <c r="H39" s="15">
        <f>Table_Input_RECSurrendered[[#This Row],[Number of certificates]]</f>
        <v>5</v>
      </c>
      <c r="I39" s="15" t="str">
        <f>IF(DATEDIF(Table_Input_RECSurrendered[[#This Row],[Generation date]],DATEVALUE($E$30),"M")&gt;36,"Ineligible - older than 36 months","Elegible")</f>
        <v>Elegible</v>
      </c>
    </row>
    <row r="40" spans="1:12" s="140" customFormat="1" ht="20.100000000000001" customHeight="1" x14ac:dyDescent="0.2">
      <c r="A40" s="5" t="str">
        <f>HYPERLINK("#'Calcs - Manure sent off-site'!A1", "Calcs - Manure sent off-site")</f>
        <v>Calcs - Manure sent off-site</v>
      </c>
      <c r="C40" s="1"/>
      <c r="D40" s="1"/>
      <c r="E40" s="1"/>
      <c r="F40" s="1"/>
      <c r="G40" s="1"/>
      <c r="H40" s="1"/>
      <c r="I40" s="1"/>
      <c r="J40" s="1"/>
    </row>
    <row r="41" spans="1:12" s="140" customFormat="1" ht="20.100000000000001" customHeight="1" x14ac:dyDescent="0.2">
      <c r="A41" s="5" t="str">
        <f>HYPERLINK("#'5.1.1.1-2 Inorganic fert N2O'!A1", "5.1.1.1-2 Inorganic fert N2O")</f>
        <v>5.1.1.1-2 Inorganic fert N2O</v>
      </c>
      <c r="C41" s="1"/>
      <c r="D41" s="1" t="s">
        <v>567</v>
      </c>
      <c r="E41" s="15">
        <f>SUMIF(Table_Input_RECSurrendered[Elegibility], "Elegible", Table_Input_RECSurrendered[MWh])</f>
        <v>5</v>
      </c>
      <c r="F41" s="16" t="s">
        <v>560</v>
      </c>
      <c r="G41" s="1"/>
      <c r="H41" s="1"/>
      <c r="I41" s="1"/>
      <c r="J41" s="1"/>
      <c r="L41" s="140" t="s">
        <v>313</v>
      </c>
    </row>
    <row r="42" spans="1:12" ht="20.100000000000001" customHeight="1" x14ac:dyDescent="0.2">
      <c r="A42" s="5" t="str">
        <f>HYPERLINK("#'5.1.1.3-4 Inorganic fert CO2'!A1", "5.1.1.3-4 Inorganic fert CO2")</f>
        <v>5.1.1.3-4 Inorganic fert CO2</v>
      </c>
      <c r="C42" s="142"/>
    </row>
    <row r="43" spans="1:12" ht="20.100000000000001" customHeight="1" x14ac:dyDescent="0.2">
      <c r="A43" s="5" t="str">
        <f>HYPERLINK("#'5.2.1.1-2 Organic Fert N2O'!A1", "5.2.1.1-2 Organic Fert N2O")</f>
        <v>5.2.1.1-2 Organic Fert N2O</v>
      </c>
      <c r="C43" s="142"/>
      <c r="D43" s="77" t="s">
        <v>568</v>
      </c>
      <c r="J43" s="142"/>
    </row>
    <row r="44" spans="1:12" ht="20.100000000000001" customHeight="1" x14ac:dyDescent="0.2">
      <c r="A44" s="5" t="str">
        <f>HYPERLINK("#'5.3.1.1-2 Lime CO2'!A1", "5.3.1.1-2 Lime CO2")</f>
        <v>5.3.1.1-2 Lime CO2</v>
      </c>
    </row>
    <row r="45" spans="1:12" ht="20.100000000000001" customHeight="1" x14ac:dyDescent="0.2">
      <c r="A45" s="5" t="str">
        <f>HYPERLINK("#'5.4.1.1-4 Atmos deposition'!A1", "5.4.1.1-4 Atmos deposition")</f>
        <v>5.4.1.1-4 Atmos deposition</v>
      </c>
      <c r="D45" s="78" t="s">
        <v>156</v>
      </c>
      <c r="E45" s="78" t="s">
        <v>569</v>
      </c>
      <c r="F45" s="78" t="s">
        <v>558</v>
      </c>
      <c r="G45" s="78" t="s">
        <v>559</v>
      </c>
      <c r="H45" s="78" t="s">
        <v>560</v>
      </c>
      <c r="I45" s="78" t="s">
        <v>561</v>
      </c>
    </row>
    <row r="46" spans="1:12" ht="20.100000000000001" customHeight="1" x14ac:dyDescent="0.2">
      <c r="A46" s="5" t="str">
        <f>HYPERLINK("#'5.5.1.1-2 Leaching and runoff'!A1", "5.5.1.1-2 Leaching and runoff")</f>
        <v>5.5.1.1-2 Leaching and runoff</v>
      </c>
      <c r="D46" s="19" t="s">
        <v>570</v>
      </c>
      <c r="E46" s="143" t="str">
        <f>"Issued for generated electricity"</f>
        <v>Issued for generated electricity</v>
      </c>
      <c r="F46" s="141">
        <v>44697</v>
      </c>
      <c r="G46" s="19">
        <v>10</v>
      </c>
      <c r="H46" s="15">
        <f>Table_Input_RECConsumedByEntity[[#This Row],[Number of certificates]]</f>
        <v>10</v>
      </c>
      <c r="I46" s="15"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
      <c r="D47" s="19" t="s">
        <v>571</v>
      </c>
      <c r="E47" s="143" t="str">
        <f>"Issued for generated electricity"</f>
        <v>Issued for generated electricity</v>
      </c>
      <c r="F47" s="141">
        <v>45483</v>
      </c>
      <c r="G47" s="19">
        <v>4</v>
      </c>
      <c r="H47" s="15">
        <f>Table_Input_RECConsumedByEntity[[#This Row],[Number of certificates]]</f>
        <v>4</v>
      </c>
      <c r="I47" s="15" t="str">
        <f>IF(AND(Table_Input_RECConsumedByEntity[[#This Row],[Generation date]]&gt;=DATEVALUE($E$29), Table_Input_RECConsumedByEntity[[#This Row],[Generation date]]&lt;= DATEVALUE($E$30)), "Elegible", "Ineligible - outside reporting year")</f>
        <v>Ineligible - outside reporting year</v>
      </c>
    </row>
    <row r="48" spans="1:12" ht="20.100000000000001" customHeight="1" x14ac:dyDescent="0.2">
      <c r="D48" s="144">
        <v>45597</v>
      </c>
      <c r="E48" s="143" t="str">
        <f>"Issued for generated electricity"</f>
        <v>Issued for generated electricity</v>
      </c>
      <c r="F48" s="141">
        <v>45607</v>
      </c>
      <c r="G48" s="19">
        <v>7</v>
      </c>
      <c r="H48" s="15">
        <f>Table_Input_RECConsumedByEntity[[#This Row],[Number of certificates]]</f>
        <v>7</v>
      </c>
      <c r="I48" s="15" t="str">
        <f>IF(AND(Table_Input_RECConsumedByEntity[[#This Row],[Generation date]]&gt;=DATEVALUE($E$29), Table_Input_RECConsumedByEntity[[#This Row],[Generation date]]&lt;= DATEVALUE($E$30)), "Elegible", "Ineligible - outside reporting year")</f>
        <v>Ineligible - outside reporting year</v>
      </c>
    </row>
    <row r="49" spans="1:6" ht="20.100000000000001" customHeight="1" x14ac:dyDescent="0.2">
      <c r="A49" s="80" t="s">
        <v>1</v>
      </c>
    </row>
    <row r="50" spans="1:6" ht="20.100000000000001" customHeight="1" x14ac:dyDescent="0.2">
      <c r="A50" s="5" t="str">
        <f>HYPERLINK("#'Constants - Poultry'!A1", "Constants - Poultry")</f>
        <v>Constants - Poultry</v>
      </c>
      <c r="D50" s="1" t="s">
        <v>572</v>
      </c>
      <c r="E50" s="15">
        <f>SUMIF(Table_Input_RECConsumedByEntity[Elegibility], "Elegible", Table_Input_RECConsumedByEntity[Number of certificates])</f>
        <v>0</v>
      </c>
      <c r="F50" s="16" t="s">
        <v>560</v>
      </c>
    </row>
    <row r="51" spans="1:6" ht="20.100000000000001" customHeight="1" x14ac:dyDescent="0.2">
      <c r="A51" s="5" t="str">
        <f>HYPERLINK("#'Constants - Common livestock'!A1", "Constants - Common Livestock")</f>
        <v>Constants - Common Livestock</v>
      </c>
    </row>
    <row r="52" spans="1:6" ht="20.100000000000001" customHeight="1" x14ac:dyDescent="0.2">
      <c r="A52" s="5" t="str">
        <f>HYPERLINK("#'Constants - Electricity'!A1", "Constants - Electricity")</f>
        <v>Constants - Electricity</v>
      </c>
    </row>
    <row r="53" spans="1:6" ht="20.100000000000001" customHeight="1" x14ac:dyDescent="0.2">
      <c r="A53" s="5" t="str">
        <f>HYPERLINK("#'Constants - Fertiliser'!A1", "Constants - Fertiliser")</f>
        <v>Constants - Fertiliser</v>
      </c>
    </row>
    <row r="54" spans="1:6" ht="20.100000000000001" customHeight="1" x14ac:dyDescent="0.2">
      <c r="A54" s="5" t="str">
        <f>HYPERLINK("#'Constants - Fuel'!A1", "Constants - Fuel")</f>
        <v>Constants - Fuel</v>
      </c>
    </row>
    <row r="55" spans="1:6" ht="20.100000000000001" customHeight="1" x14ac:dyDescent="0.2">
      <c r="A55" s="5" t="str">
        <f>HYPERLINK("#'Constants - Scope 3'!A1", "Constants - Scope 3")</f>
        <v>Constants - Scope 3</v>
      </c>
      <c r="D55" s="145"/>
    </row>
    <row r="56" spans="1:6" ht="20.100000000000001" customHeight="1" x14ac:dyDescent="0.2">
      <c r="A56" s="5" t="str">
        <f>HYPERLINK("#'Constants - Solid Waste'!A1", "Constants - Solid Waste")</f>
        <v>Constants - Solid Waste</v>
      </c>
      <c r="D56" s="145"/>
    </row>
    <row r="57" spans="1:6" ht="20.100000000000001" customHeight="1" x14ac:dyDescent="0.2">
      <c r="A57" s="5" t="str">
        <f>HYPERLINK("#'Constants - Common'!A1", "Constants - Common")</f>
        <v>Constants - Common</v>
      </c>
    </row>
    <row r="365" spans="4:4" ht="20.100000000000001" customHeight="1" x14ac:dyDescent="0.2">
      <c r="D365" s="87"/>
    </row>
  </sheetData>
  <conditionalFormatting sqref="F130:F131">
    <cfRule type="cellIs" dxfId="62" priority="8" operator="lessThan">
      <formula>0</formula>
    </cfRule>
  </conditionalFormatting>
  <conditionalFormatting sqref="F142:F143">
    <cfRule type="cellIs" dxfId="61" priority="7" operator="lessThan">
      <formula>0</formula>
    </cfRule>
  </conditionalFormatting>
  <conditionalFormatting sqref="F154:F155">
    <cfRule type="cellIs" dxfId="60" priority="6" operator="lessThan">
      <formula>0</formula>
    </cfRule>
  </conditionalFormatting>
  <conditionalFormatting sqref="F166:F167">
    <cfRule type="cellIs" dxfId="59" priority="5" operator="lessThan">
      <formula>0</formula>
    </cfRule>
  </conditionalFormatting>
  <conditionalFormatting sqref="F254:F255">
    <cfRule type="cellIs" dxfId="58" priority="17" operator="lessThan">
      <formula>0</formula>
    </cfRule>
  </conditionalFormatting>
  <conditionalFormatting sqref="F259:F260">
    <cfRule type="cellIs" dxfId="57" priority="16" operator="lessThan">
      <formula>0</formula>
    </cfRule>
  </conditionalFormatting>
  <conditionalFormatting sqref="F264:F265">
    <cfRule type="cellIs" dxfId="56" priority="15" operator="lessThan">
      <formula>0</formula>
    </cfRule>
  </conditionalFormatting>
  <conditionalFormatting sqref="F288:F289">
    <cfRule type="cellIs" dxfId="55" priority="14" operator="lessThan">
      <formula>0</formula>
    </cfRule>
  </conditionalFormatting>
  <conditionalFormatting sqref="F293:F294">
    <cfRule type="cellIs" dxfId="54" priority="13" operator="lessThan">
      <formula>0</formula>
    </cfRule>
  </conditionalFormatting>
  <conditionalFormatting sqref="F298:F299">
    <cfRule type="cellIs" dxfId="53" priority="12" operator="lessThan">
      <formula>0</formula>
    </cfRule>
  </conditionalFormatting>
  <conditionalFormatting sqref="I59:I63">
    <cfRule type="cellIs" dxfId="52" priority="4" operator="lessThan">
      <formula>0</formula>
    </cfRule>
  </conditionalFormatting>
  <conditionalFormatting sqref="I67 I126">
    <cfRule type="cellIs" dxfId="51" priority="10" operator="lessThan">
      <formula>0</formula>
    </cfRule>
  </conditionalFormatting>
  <conditionalFormatting sqref="I78:I80">
    <cfRule type="cellIs" dxfId="50" priority="3" operator="lessThan">
      <formula>0</formula>
    </cfRule>
  </conditionalFormatting>
  <conditionalFormatting sqref="I84:I87">
    <cfRule type="cellIs" dxfId="49" priority="2" operator="lessThan">
      <formula>0</formula>
    </cfRule>
  </conditionalFormatting>
  <conditionalFormatting sqref="I91:I95">
    <cfRule type="cellIs" dxfId="48" priority="1" operator="lessThan">
      <formula>0</formula>
    </cfRule>
  </conditionalFormatting>
  <conditionalFormatting sqref="J35 I49:I50 H51:H53 I52 I54:I55 I206 I212 E214:G214">
    <cfRule type="cellIs" dxfId="47" priority="11" operator="lessThan">
      <formula>0</formula>
    </cfRule>
  </conditionalFormatting>
  <conditionalFormatting sqref="J39 I40 J41 I43">
    <cfRule type="cellIs" dxfId="46" priority="9" operator="lessThan">
      <formula>0</formula>
    </cfRule>
  </conditionalFormatting>
  <dataValidations count="7">
    <dataValidation type="list" allowBlank="1" showInputMessage="1" showErrorMessage="1" sqref="E5" xr:uid="{0D73C73E-4446-4E06-9C1F-65C5225192CD}">
      <formula1>"Location-based (simpler), Market-based (more complex)"</formula1>
    </dataValidation>
    <dataValidation type="list" allowBlank="1" showInputMessage="1" showErrorMessage="1" sqref="E37:E39" xr:uid="{6E81BBC3-5DBA-447C-98D9-6DF07E014F73}">
      <formula1>"Purchased certificate, Issued for generated electricity"</formula1>
    </dataValidation>
    <dataValidation type="list" allowBlank="1" showInputMessage="1" showErrorMessage="1" sqref="E17" xr:uid="{DCDBB97D-AD1A-42A6-B939-BCF00BEDB377}">
      <formula1>INDIRECT("Table_SourceData_ElectricityEFs[State, Territory or grid description]")</formula1>
    </dataValidation>
    <dataValidation type="list" allowBlank="1" showInputMessage="1" showErrorMessage="1" sqref="E69" xr:uid="{FF433614-E23C-443D-81A8-24017E4B3E0D}">
      <formula1>INDIRECT("Table_SourceData_Swine_IrrigationMethods[Irrigation method]")</formula1>
    </dataValidation>
    <dataValidation type="list" allowBlank="1" showInputMessage="1" showErrorMessage="1" sqref="E253 E258 E263 E297 E292 E287 E165 E153 E129 E141" xr:uid="{20794D9E-899C-4C29-A33A-D765EF126065}">
      <formula1>"Yes, No"</formula1>
    </dataValidation>
    <dataValidation type="list" allowBlank="1" showInputMessage="1" showErrorMessage="1" sqref="E229" xr:uid="{A65ED031-310F-4526-A08E-65721B07451A}">
      <formula1>INDIRECT("Table_SourceData_Dairy_ProductionSystemTemplates[Area]")</formula1>
    </dataValidation>
    <dataValidation type="list" allowBlank="1" showInputMessage="1" showErrorMessage="1" sqref="D281" xr:uid="{B8146611-5755-4CF9-8CCB-5DC166F414A8}">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C8A65-00CE-4822-816C-E1D4C5679B11}">
  <sheetPr>
    <tabColor theme="5" tint="-0.249977111117893"/>
  </sheetPr>
  <dimension ref="A1:S195"/>
  <sheetViews>
    <sheetView showGridLines="0" zoomScaleNormal="100" workbookViewId="0">
      <pane xSplit="1" topLeftCell="B1" activePane="topRight" state="frozenSplit"/>
      <selection pane="topRight" activeCell="A56" sqref="A56"/>
    </sheetView>
  </sheetViews>
  <sheetFormatPr defaultColWidth="9" defaultRowHeight="20.100000000000001" customHeight="1" x14ac:dyDescent="0.2"/>
  <cols>
    <col min="1" max="1" width="36.7109375" style="241" customWidth="1"/>
    <col min="2" max="2" width="4.140625" style="241" customWidth="1"/>
    <col min="3" max="3" width="4.140625" style="239" customWidth="1"/>
    <col min="4" max="4" width="41.28515625" style="239" customWidth="1"/>
    <col min="5" max="10" width="26.85546875" style="239" customWidth="1"/>
    <col min="11" max="18" width="30.5703125" style="1" customWidth="1"/>
    <col min="19" max="19" width="4.5703125" style="1" customWidth="1"/>
    <col min="20" max="16384" width="9" style="241"/>
  </cols>
  <sheetData>
    <row r="1" spans="1:19" ht="30" customHeight="1" x14ac:dyDescent="0.35">
      <c r="A1" s="10" t="e" vm="1">
        <v>#VALUE!</v>
      </c>
      <c r="C1" s="27" t="s">
        <v>949</v>
      </c>
      <c r="D1" s="21"/>
      <c r="E1" s="21"/>
      <c r="F1" s="21"/>
      <c r="G1" s="21"/>
      <c r="H1" s="21"/>
      <c r="I1" s="21"/>
      <c r="J1" s="21"/>
      <c r="K1" s="21"/>
      <c r="L1" s="21"/>
      <c r="M1" s="21"/>
      <c r="N1" s="21"/>
      <c r="O1" s="21"/>
      <c r="P1" s="21"/>
      <c r="Q1" s="21"/>
      <c r="R1" s="21"/>
      <c r="S1" s="21"/>
    </row>
    <row r="2" spans="1:19" ht="20.100000000000001" customHeight="1" x14ac:dyDescent="0.2">
      <c r="A2"/>
      <c r="C2" s="3"/>
      <c r="D2" s="3"/>
      <c r="E2" s="3"/>
      <c r="F2" s="3"/>
      <c r="G2" s="3"/>
      <c r="H2" s="3"/>
      <c r="I2" s="3"/>
      <c r="J2" s="3"/>
      <c r="K2" s="3"/>
      <c r="L2" s="3"/>
      <c r="M2" s="3"/>
      <c r="N2" s="3"/>
      <c r="O2" s="3"/>
      <c r="P2" s="3"/>
      <c r="Q2" s="3"/>
      <c r="R2" s="3"/>
      <c r="S2" s="3"/>
    </row>
    <row r="3" spans="1:19" ht="20.100000000000001" customHeight="1" x14ac:dyDescent="0.2">
      <c r="A3" s="5" t="str">
        <f>HYPERLINK("#'Home'!A1", "Home")</f>
        <v>Home</v>
      </c>
      <c r="C3" s="28"/>
      <c r="D3" s="28"/>
      <c r="E3" s="28"/>
      <c r="F3" s="28"/>
      <c r="G3" s="28"/>
      <c r="H3" s="28"/>
      <c r="I3" s="28"/>
      <c r="J3" s="28"/>
      <c r="K3" s="28"/>
      <c r="L3" s="28"/>
      <c r="M3" s="28"/>
      <c r="N3" s="28"/>
      <c r="O3" s="28"/>
      <c r="P3" s="28"/>
      <c r="Q3" s="28"/>
      <c r="R3" s="28"/>
      <c r="S3" s="28"/>
    </row>
    <row r="4" spans="1:19" ht="20.100000000000001" customHeight="1" x14ac:dyDescent="0.2">
      <c r="A4" s="5" t="str">
        <f>HYPERLINK("#'Results - Activity period'!A1", "Results - Activity period")</f>
        <v>Results - Activity period</v>
      </c>
      <c r="C4" s="24"/>
      <c r="D4" s="24"/>
      <c r="E4" s="24"/>
      <c r="F4" s="24"/>
      <c r="G4" s="24"/>
      <c r="H4" s="24"/>
      <c r="I4" s="24"/>
      <c r="J4" s="24"/>
    </row>
    <row r="5" spans="1:19" ht="20.100000000000001" customHeight="1" x14ac:dyDescent="0.2">
      <c r="A5" s="5" t="str">
        <f>HYPERLINK("#'Results - Product EI'!A1", "Results - Product Emissions Intensity")</f>
        <v>Results - Product Emissions Intensity</v>
      </c>
      <c r="C5" s="1"/>
      <c r="D5" s="2" t="s">
        <v>950</v>
      </c>
      <c r="E5" s="24"/>
      <c r="F5" s="24"/>
      <c r="G5" s="24"/>
      <c r="H5" s="24"/>
      <c r="I5" s="24"/>
      <c r="J5" s="24"/>
    </row>
    <row r="6" spans="1:19" ht="20.100000000000001" customHeight="1" x14ac:dyDescent="0.2">
      <c r="A6"/>
      <c r="C6" s="1"/>
    </row>
    <row r="7" spans="1:19" ht="20.100000000000001" customHeight="1" x14ac:dyDescent="0.2">
      <c r="A7"/>
      <c r="C7" s="1"/>
      <c r="D7" s="78" t="s">
        <v>951</v>
      </c>
      <c r="E7" s="78" t="s">
        <v>952</v>
      </c>
      <c r="F7" s="78" t="s">
        <v>953</v>
      </c>
    </row>
    <row r="8" spans="1:19" ht="20.100000000000001" customHeight="1" x14ac:dyDescent="0.2">
      <c r="A8" s="7" t="s">
        <v>0</v>
      </c>
      <c r="C8" s="1"/>
      <c r="D8" s="33" t="s">
        <v>954</v>
      </c>
      <c r="E8" s="13" t="s">
        <v>955</v>
      </c>
      <c r="F8" s="74">
        <v>100</v>
      </c>
    </row>
    <row r="9" spans="1:19" ht="20.100000000000001" customHeight="1" x14ac:dyDescent="0.2">
      <c r="A9" s="5" t="str">
        <f>HYPERLINK("#'Input - Enterprise'!A1", "Enterprise")</f>
        <v>Enterprise</v>
      </c>
      <c r="C9" s="1"/>
      <c r="D9" s="33" t="s">
        <v>956</v>
      </c>
      <c r="E9" s="84" t="s">
        <v>957</v>
      </c>
      <c r="F9" s="242">
        <v>100</v>
      </c>
    </row>
    <row r="10" spans="1:19" ht="20.100000000000001" customHeight="1" x14ac:dyDescent="0.2">
      <c r="A10" s="5" t="str">
        <f>HYPERLINK("#'Input - Site'!A1", "Site")</f>
        <v>Site</v>
      </c>
      <c r="D10" s="33" t="s">
        <v>958</v>
      </c>
      <c r="E10" s="84" t="s">
        <v>959</v>
      </c>
      <c r="F10" s="242">
        <v>100</v>
      </c>
    </row>
    <row r="11" spans="1:19" ht="20.100000000000001" customHeight="1" x14ac:dyDescent="0.2">
      <c r="A11" s="5" t="str">
        <f>HYPERLINK("#'Input - Poultry'!A1", "Poultry")</f>
        <v>Poultry</v>
      </c>
      <c r="D11" s="33" t="s">
        <v>958</v>
      </c>
      <c r="E11" s="84" t="s">
        <v>959</v>
      </c>
      <c r="F11" s="242">
        <v>100</v>
      </c>
    </row>
    <row r="12" spans="1:19" ht="20.100000000000001" customHeight="1" x14ac:dyDescent="0.2">
      <c r="A12" s="5" t="str">
        <f>HYPERLINK("#'Input - Livestock sales'!A1", "Livestock sales")</f>
        <v>Livestock sales</v>
      </c>
      <c r="C12" s="1"/>
      <c r="D12" s="33" t="s">
        <v>954</v>
      </c>
      <c r="E12" s="84" t="s">
        <v>955</v>
      </c>
      <c r="F12" s="242">
        <v>100</v>
      </c>
    </row>
    <row r="13" spans="1:19" ht="20.100000000000001" customHeight="1" x14ac:dyDescent="0.2">
      <c r="A13" s="5" t="str">
        <f>HYPERLINK("#'Input - Poultry purchases'!A1", "Poultry purchases")</f>
        <v>Poultry purchases</v>
      </c>
      <c r="C13" s="1"/>
      <c r="D13" s="33" t="s">
        <v>954</v>
      </c>
      <c r="E13" s="84" t="s">
        <v>955</v>
      </c>
      <c r="F13" s="242">
        <v>100</v>
      </c>
    </row>
    <row r="14" spans="1:19" ht="20.100000000000001" customHeight="1" x14ac:dyDescent="0.2">
      <c r="A14" s="5" t="str">
        <f>HYPERLINK("#'Input - Fuel'!A1", "Fuel")</f>
        <v>Fuel</v>
      </c>
      <c r="D14" s="33"/>
      <c r="E14" s="13"/>
      <c r="F14" s="74"/>
    </row>
    <row r="15" spans="1:19" ht="20.100000000000001" customHeight="1" x14ac:dyDescent="0.2">
      <c r="A15" s="5" t="str">
        <f>HYPERLINK("#'Input - Electricity'!A1", "Electricity")</f>
        <v>Electricity</v>
      </c>
      <c r="D15" s="33"/>
      <c r="E15" s="13"/>
      <c r="F15" s="74"/>
    </row>
    <row r="16" spans="1:19" ht="20.100000000000001" customHeight="1" x14ac:dyDescent="0.2">
      <c r="A16" s="100" t="str">
        <f>HYPERLINK("#'Input - Common farm inputs'!A1", "Common farm inputs")</f>
        <v>Common farm inputs</v>
      </c>
      <c r="D16" s="33"/>
      <c r="E16" s="13"/>
      <c r="F16" s="74"/>
    </row>
    <row r="17" spans="1:10" ht="20.100000000000001" customHeight="1" x14ac:dyDescent="0.2">
      <c r="A17" s="5" t="str">
        <f>HYPERLINK("#'Input - Livestock farm Inputs'!A1", "Livestock farm Inputs")</f>
        <v>Livestock farm Inputs</v>
      </c>
      <c r="C17" s="1"/>
      <c r="D17" s="33"/>
      <c r="E17" s="13"/>
      <c r="F17" s="74"/>
    </row>
    <row r="18" spans="1:10" ht="20.100000000000001" customHeight="1" x14ac:dyDescent="0.2">
      <c r="A18" s="5" t="str">
        <f>HYPERLINK("#'Input - Freight'!A1", "Freight")</f>
        <v>Freight</v>
      </c>
      <c r="C18" s="1"/>
    </row>
    <row r="19" spans="1:10" ht="20.100000000000001" customHeight="1" x14ac:dyDescent="0.2">
      <c r="A19" s="5" t="str">
        <f>HYPERLINK("#'Input - Solid waste'!A1", "Solid waste")</f>
        <v>Solid waste</v>
      </c>
    </row>
    <row r="20" spans="1:10" ht="20.100000000000001" customHeight="1" x14ac:dyDescent="0.2">
      <c r="A20" s="5" t="str">
        <f>HYPERLINK("#'Input - Manure sent off-site'!A1", "Manure sent off-site")</f>
        <v>Manure sent off-site</v>
      </c>
      <c r="D20" s="2" t="s">
        <v>960</v>
      </c>
    </row>
    <row r="21" spans="1:10" ht="20.100000000000001" customHeight="1" x14ac:dyDescent="0.2">
      <c r="A21" s="5" t="str">
        <f>HYPERLINK("#'Input - Data quality'!A1", "Data quality")</f>
        <v>Data quality</v>
      </c>
      <c r="D21" s="25"/>
      <c r="I21" s="24"/>
      <c r="J21" s="24"/>
    </row>
    <row r="22" spans="1:10" ht="20.100000000000001" customHeight="1" x14ac:dyDescent="0.2">
      <c r="A22" s="5" t="str">
        <f>HYPERLINK("#'Input - Fert Prod System'!A1", "Fert Prod System")</f>
        <v>Fert Prod System</v>
      </c>
      <c r="D22" s="243" t="s">
        <v>961</v>
      </c>
      <c r="E22" s="243" t="s">
        <v>962</v>
      </c>
      <c r="F22" s="243" t="s">
        <v>963</v>
      </c>
      <c r="G22" s="243" t="s">
        <v>594</v>
      </c>
    </row>
    <row r="23" spans="1:10" ht="20.100000000000001" customHeight="1" x14ac:dyDescent="0.2">
      <c r="A23" s="5" t="str">
        <f>HYPERLINK("#'Input - Fertiliser'!A1", "Fertiliser")</f>
        <v>Fertiliser</v>
      </c>
      <c r="D23" s="33" t="s">
        <v>964</v>
      </c>
      <c r="E23" s="33" t="s">
        <v>965</v>
      </c>
      <c r="F23" s="74">
        <v>10000</v>
      </c>
      <c r="G23" s="13" t="s">
        <v>966</v>
      </c>
    </row>
    <row r="24" spans="1:10" ht="20.100000000000001" customHeight="1" x14ac:dyDescent="0.2">
      <c r="A24"/>
      <c r="D24" s="33" t="s">
        <v>967</v>
      </c>
      <c r="E24" s="33" t="s">
        <v>968</v>
      </c>
      <c r="F24" s="74">
        <v>1000</v>
      </c>
      <c r="G24" s="13" t="s">
        <v>969</v>
      </c>
    </row>
    <row r="25" spans="1:10" ht="20.100000000000001" customHeight="1" x14ac:dyDescent="0.2">
      <c r="A25"/>
      <c r="C25" s="1"/>
      <c r="D25" s="33"/>
      <c r="E25" s="33"/>
      <c r="F25" s="74"/>
      <c r="G25" s="13"/>
    </row>
    <row r="26" spans="1:10" ht="20.100000000000001" customHeight="1" x14ac:dyDescent="0.2">
      <c r="A26" s="6" t="s">
        <v>2</v>
      </c>
      <c r="C26" s="1"/>
      <c r="D26" s="33"/>
      <c r="E26" s="33"/>
      <c r="F26" s="74"/>
      <c r="G26" s="13"/>
    </row>
    <row r="27" spans="1:10" ht="20.100000000000001" customHeight="1" x14ac:dyDescent="0.2">
      <c r="A27" s="5" t="str">
        <f>HYPERLINK("#'4.6.1.1-2 Methane'!A1", "4.6.1.1-2 Manure Methane")</f>
        <v>4.6.1.1-2 Manure Methane</v>
      </c>
      <c r="C27" s="1"/>
      <c r="D27" s="33"/>
      <c r="E27" s="33"/>
      <c r="F27" s="74"/>
      <c r="G27" s="13"/>
    </row>
    <row r="28" spans="1:10" ht="20.100000000000001" customHeight="1" x14ac:dyDescent="0.2">
      <c r="A28" s="5" t="str">
        <f>HYPERLINK("#'4.6.1.3-4 Direct N20'!A1", "4.6.1.3-4 Manure Direct N2O")</f>
        <v>4.6.1.3-4 Manure Direct N2O</v>
      </c>
      <c r="D28" s="33"/>
      <c r="E28" s="33"/>
      <c r="F28" s="74"/>
      <c r="G28" s="13"/>
    </row>
    <row r="29" spans="1:10" ht="20.100000000000001" customHeight="1" x14ac:dyDescent="0.2">
      <c r="A29" s="5" t="str">
        <f>HYPERLINK("#'4.6.1.5-6 Atmos Dep'!A1", "4.6.1.5-6 Manure Atmos Dep")</f>
        <v>4.6.1.5-6 Manure Atmos Dep</v>
      </c>
      <c r="D29" s="33"/>
      <c r="E29" s="33"/>
      <c r="F29" s="74"/>
      <c r="G29" s="13"/>
    </row>
    <row r="30" spans="1:10" ht="20.100000000000001" customHeight="1" x14ac:dyDescent="0.2">
      <c r="A30" s="5" t="str">
        <f>HYPERLINK("#'4.6.1.7-8 Leaching and runoff'!A1", "4.6.1.7-8 Manure Leaching and runoff")</f>
        <v>4.6.1.7-8 Manure Leaching and runoff</v>
      </c>
      <c r="D30" s="33"/>
      <c r="E30" s="33"/>
      <c r="F30" s="74"/>
      <c r="G30" s="13"/>
    </row>
    <row r="31" spans="1:10" ht="20.100000000000001" customHeight="1" x14ac:dyDescent="0.2">
      <c r="A31" s="5" t="str">
        <f>HYPERLINK("#'4.6.1.9 Manure applied to soils'!A1", "4.6.1.9 Manure applied to soils")</f>
        <v>4.6.1.9 Manure applied to soils</v>
      </c>
      <c r="D31" s="33"/>
      <c r="E31" s="33"/>
      <c r="F31" s="74"/>
      <c r="G31" s="13"/>
    </row>
    <row r="32" spans="1:10" ht="20.100000000000001" customHeight="1" x14ac:dyDescent="0.2">
      <c r="A32" s="5" t="str">
        <f>HYPERLINK("#'4.6.1.10-11 Soil direct N2O'!A1", "4.6.1.10-11 Soil direct N2O")</f>
        <v>4.6.1.10-11 Soil direct N2O</v>
      </c>
      <c r="D32" s="33"/>
      <c r="E32" s="33"/>
      <c r="F32" s="74"/>
      <c r="G32" s="13"/>
    </row>
    <row r="33" spans="1:6" ht="20.100000000000001" customHeight="1" x14ac:dyDescent="0.2">
      <c r="A33" s="5" t="str">
        <f>HYPERLINK("#'4.6.1.12-13 Soil atmos dep'!A1", "4.6.1.12-13 Soil atmos dep")</f>
        <v>4.6.1.12-13 Soil atmos dep</v>
      </c>
    </row>
    <row r="34" spans="1:6" ht="20.100000000000001" customHeight="1" x14ac:dyDescent="0.2">
      <c r="A34" s="5" t="str">
        <f>HYPERLINK("#'4.6.1.14-15 Soil leach runoff'!A1", "4.6.1.14-15 Soil leach runoff")</f>
        <v>4.6.1.14-15 Soil leach runoff</v>
      </c>
    </row>
    <row r="35" spans="1:6" ht="20.100000000000001" customHeight="1" x14ac:dyDescent="0.2">
      <c r="A35" s="5" t="str">
        <f>HYPERLINK("#'8.1.1.1-2 Transport fuel'!A1", "8.1.1.1-2 Transport fuel")</f>
        <v>8.1.1.1-2 Transport fuel</v>
      </c>
      <c r="D35" s="2" t="s">
        <v>970</v>
      </c>
    </row>
    <row r="36" spans="1:6" ht="20.100000000000001" customHeight="1" x14ac:dyDescent="0.2">
      <c r="A36" s="5" t="str">
        <f>HYPERLINK("#'8.2.1.1-2 Stationary fuel'!A1", "8.2.1.1-2 Stationary fuel")</f>
        <v>8.2.1.1-2 Stationary fuel</v>
      </c>
      <c r="D36" s="25"/>
    </row>
    <row r="37" spans="1:6" ht="20.100000000000001" customHeight="1" x14ac:dyDescent="0.2">
      <c r="A37" s="5" t="str">
        <f>HYPERLINK("#'10.1.1-2 Solid waste treatment'!A1", "10.1.1.1-2 Solid waste")</f>
        <v>10.1.1.1-2 Solid waste</v>
      </c>
      <c r="D37" s="78" t="s">
        <v>971</v>
      </c>
      <c r="E37" s="78" t="s">
        <v>878</v>
      </c>
      <c r="F37" s="78" t="s">
        <v>594</v>
      </c>
    </row>
    <row r="38" spans="1:6" ht="20.100000000000001" customHeight="1" x14ac:dyDescent="0.2">
      <c r="A38" s="5" t="str">
        <f>HYPERLINK("#'14.1.1-2 Purchased electricity'!A1", "14.1.1-2 Purchased electricity")</f>
        <v>14.1.1-2 Purchased electricity</v>
      </c>
      <c r="D38" s="33" t="s">
        <v>972</v>
      </c>
      <c r="E38" s="74">
        <v>1000</v>
      </c>
      <c r="F38" s="33" t="s">
        <v>757</v>
      </c>
    </row>
    <row r="39" spans="1:6" ht="20.100000000000001" customHeight="1" x14ac:dyDescent="0.2">
      <c r="A39" s="5" t="str">
        <f>HYPERLINK("#'15 Scope 3'!A1", "15 Scope 3")</f>
        <v>15 Scope 3</v>
      </c>
      <c r="D39" s="33"/>
      <c r="E39" s="74"/>
      <c r="F39" s="33"/>
    </row>
    <row r="40" spans="1:6" ht="20.100000000000001" customHeight="1" x14ac:dyDescent="0.2">
      <c r="A40" s="5" t="str">
        <f>HYPERLINK("#'Calcs - Manure sent off-site'!A1", "Calcs - Manure sent off-site")</f>
        <v>Calcs - Manure sent off-site</v>
      </c>
      <c r="D40" s="33"/>
      <c r="E40" s="74"/>
      <c r="F40" s="33"/>
    </row>
    <row r="41" spans="1:6" ht="20.100000000000001" customHeight="1" x14ac:dyDescent="0.2">
      <c r="A41" s="5" t="str">
        <f>HYPERLINK("#'5.1.1.1-2 Inorganic fert N2O'!A1", "5.1.1.1-2 Inorganic fert N2O")</f>
        <v>5.1.1.1-2 Inorganic fert N2O</v>
      </c>
      <c r="D41" s="33"/>
      <c r="E41" s="74"/>
      <c r="F41" s="33"/>
    </row>
    <row r="42" spans="1:6" ht="20.100000000000001" customHeight="1" x14ac:dyDescent="0.2">
      <c r="A42" s="5" t="str">
        <f>HYPERLINK("#'5.1.1.3-4 Inorganic fert CO2'!A1", "5.1.1.3-4 Inorganic fert CO2")</f>
        <v>5.1.1.3-4 Inorganic fert CO2</v>
      </c>
      <c r="D42" s="33"/>
      <c r="E42" s="74"/>
      <c r="F42" s="33"/>
    </row>
    <row r="43" spans="1:6" ht="20.100000000000001" customHeight="1" x14ac:dyDescent="0.2">
      <c r="A43" s="5" t="str">
        <f>HYPERLINK("#'5.2.1.1-2 Organic Fert N2O'!A1", "5.2.1.1-2 Organic Fert N2O")</f>
        <v>5.2.1.1-2 Organic Fert N2O</v>
      </c>
      <c r="D43" s="33"/>
      <c r="E43" s="74"/>
      <c r="F43" s="33"/>
    </row>
    <row r="44" spans="1:6" ht="20.100000000000001" customHeight="1" x14ac:dyDescent="0.2">
      <c r="A44" s="5" t="str">
        <f>HYPERLINK("#'5.3.1.1-2 Lime CO2'!A1", "5.3.1.1-2 Lime CO2")</f>
        <v>5.3.1.1-2 Lime CO2</v>
      </c>
      <c r="C44" s="1"/>
      <c r="D44" s="33"/>
      <c r="E44" s="74"/>
      <c r="F44" s="33"/>
    </row>
    <row r="45" spans="1:6" ht="20.100000000000001" customHeight="1" x14ac:dyDescent="0.2">
      <c r="A45" s="5" t="str">
        <f>HYPERLINK("#'5.4.1.1-4 Atmos deposition'!A1", "5.4.1.1-4 Atmos deposition")</f>
        <v>5.4.1.1-4 Atmos deposition</v>
      </c>
      <c r="C45" s="1"/>
      <c r="D45" s="33"/>
      <c r="E45" s="74"/>
      <c r="F45" s="33"/>
    </row>
    <row r="46" spans="1:6" ht="20.100000000000001" customHeight="1" x14ac:dyDescent="0.2">
      <c r="A46" s="5" t="str">
        <f>HYPERLINK("#'5.5.1.1-2 Leaching and runoff'!A1", "5.5.1.1-2 Leaching and runoff")</f>
        <v>5.5.1.1-2 Leaching and runoff</v>
      </c>
      <c r="C46" s="1"/>
      <c r="D46" s="33"/>
      <c r="E46" s="74"/>
      <c r="F46" s="33"/>
    </row>
    <row r="47" spans="1:6" ht="20.100000000000001" customHeight="1" x14ac:dyDescent="0.2">
      <c r="A47"/>
      <c r="C47" s="1"/>
      <c r="D47" s="33"/>
      <c r="E47" s="74"/>
      <c r="F47" s="33"/>
    </row>
    <row r="48" spans="1:6" ht="20.100000000000001" customHeight="1" x14ac:dyDescent="0.2">
      <c r="A48"/>
      <c r="C48" s="1"/>
    </row>
    <row r="49" spans="1:3" ht="20.100000000000001" customHeight="1" x14ac:dyDescent="0.2">
      <c r="A49" s="80" t="s">
        <v>1</v>
      </c>
      <c r="C49" s="1"/>
    </row>
    <row r="50" spans="1:3" ht="20.100000000000001" customHeight="1" x14ac:dyDescent="0.2">
      <c r="A50" s="5" t="str">
        <f>HYPERLINK("#'Constants - Poultry'!A1", "Constants - Poultry")</f>
        <v>Constants - Poultry</v>
      </c>
    </row>
    <row r="51" spans="1:3" ht="20.100000000000001" customHeight="1" x14ac:dyDescent="0.2">
      <c r="A51" s="5" t="str">
        <f>HYPERLINK("#'Constants - Common livestock'!A1", "Constants - Common Livestock")</f>
        <v>Constants - Common Livestock</v>
      </c>
    </row>
    <row r="52" spans="1:3" ht="20.100000000000001" customHeight="1" x14ac:dyDescent="0.2">
      <c r="A52" s="5" t="str">
        <f>HYPERLINK("#'Constants - Electricity'!A1", "Constants - Electricity")</f>
        <v>Constants - Electricity</v>
      </c>
    </row>
    <row r="53" spans="1:3" ht="20.100000000000001" customHeight="1" x14ac:dyDescent="0.2">
      <c r="A53" s="5" t="str">
        <f>HYPERLINK("#'Constants - Fertiliser'!A1", "Constants - Fertiliser")</f>
        <v>Constants - Fertiliser</v>
      </c>
    </row>
    <row r="54" spans="1:3" ht="20.100000000000001" customHeight="1" x14ac:dyDescent="0.2">
      <c r="A54" s="5" t="str">
        <f>HYPERLINK("#'Constants - Fuel'!A1", "Constants - Fuel")</f>
        <v>Constants - Fuel</v>
      </c>
    </row>
    <row r="55" spans="1:3" ht="20.100000000000001" customHeight="1" x14ac:dyDescent="0.2">
      <c r="A55" s="5" t="str">
        <f>HYPERLINK("#'Constants - Scope 3'!A1", "Constants - Scope 3")</f>
        <v>Constants - Scope 3</v>
      </c>
    </row>
    <row r="56" spans="1:3" ht="20.100000000000001" customHeight="1" x14ac:dyDescent="0.2">
      <c r="A56" s="5" t="str">
        <f>HYPERLINK("#'Constants - Solid Waste'!A1", "Constants - Solid Waste")</f>
        <v>Constants - Solid Waste</v>
      </c>
    </row>
    <row r="57" spans="1:3" ht="20.100000000000001" customHeight="1" x14ac:dyDescent="0.2">
      <c r="A57" s="5" t="str">
        <f>HYPERLINK("#'Constants - Common'!A1", "Constants - Common")</f>
        <v>Constants - Common</v>
      </c>
    </row>
    <row r="58" spans="1:3" ht="20.100000000000001" customHeight="1" x14ac:dyDescent="0.2">
      <c r="A58"/>
    </row>
    <row r="59" spans="1:3" ht="20.100000000000001" customHeight="1" x14ac:dyDescent="0.2">
      <c r="A59"/>
    </row>
    <row r="60" spans="1:3" ht="20.100000000000001" customHeight="1" x14ac:dyDescent="0.2">
      <c r="A60"/>
    </row>
    <row r="61" spans="1:3" ht="20.100000000000001" customHeight="1" x14ac:dyDescent="0.2">
      <c r="A61"/>
    </row>
    <row r="62" spans="1:3" ht="20.100000000000001" customHeight="1" x14ac:dyDescent="0.2">
      <c r="A62"/>
    </row>
    <row r="63" spans="1:3" ht="20.100000000000001" customHeight="1" x14ac:dyDescent="0.2">
      <c r="A63"/>
    </row>
    <row r="64" spans="1:3" ht="20.100000000000001" customHeight="1" x14ac:dyDescent="0.2">
      <c r="A64"/>
    </row>
    <row r="65" spans="1:11" ht="20.100000000000001" customHeight="1" x14ac:dyDescent="0.2">
      <c r="A65"/>
    </row>
    <row r="66" spans="1:11" ht="20.100000000000001" customHeight="1" x14ac:dyDescent="0.2">
      <c r="A66"/>
    </row>
    <row r="67" spans="1:11" ht="20.100000000000001" customHeight="1" x14ac:dyDescent="0.2">
      <c r="A67"/>
    </row>
    <row r="68" spans="1:11" ht="20.100000000000001" customHeight="1" x14ac:dyDescent="0.2">
      <c r="A68"/>
    </row>
    <row r="69" spans="1:11" ht="20.100000000000001" customHeight="1" x14ac:dyDescent="0.2">
      <c r="A69"/>
    </row>
    <row r="70" spans="1:11" ht="20.100000000000001" customHeight="1" x14ac:dyDescent="0.2">
      <c r="A70"/>
    </row>
    <row r="71" spans="1:11" ht="20.100000000000001" customHeight="1" x14ac:dyDescent="0.2">
      <c r="A71"/>
    </row>
    <row r="72" spans="1:11" ht="20.100000000000001" customHeight="1" x14ac:dyDescent="0.2">
      <c r="A72"/>
    </row>
    <row r="73" spans="1:11" ht="20.100000000000001" customHeight="1" x14ac:dyDescent="0.2">
      <c r="A73"/>
    </row>
    <row r="74" spans="1:11" ht="20.100000000000001" customHeight="1" x14ac:dyDescent="0.2">
      <c r="A74"/>
      <c r="K74" s="239"/>
    </row>
    <row r="75" spans="1:11" ht="20.100000000000001" customHeight="1" x14ac:dyDescent="0.2">
      <c r="A75"/>
    </row>
    <row r="76" spans="1:11" ht="20.100000000000001" customHeight="1" x14ac:dyDescent="0.2">
      <c r="A76"/>
    </row>
    <row r="77" spans="1:11" ht="20.100000000000001" customHeight="1" x14ac:dyDescent="0.2">
      <c r="A77"/>
    </row>
    <row r="78" spans="1:11" ht="20.100000000000001" customHeight="1" x14ac:dyDescent="0.2">
      <c r="A78"/>
    </row>
    <row r="79" spans="1:11" ht="20.100000000000001" customHeight="1" x14ac:dyDescent="0.2">
      <c r="A79"/>
    </row>
    <row r="80" spans="1:11" ht="20.100000000000001" customHeight="1" x14ac:dyDescent="0.2">
      <c r="A80"/>
    </row>
    <row r="81" spans="1:10" ht="20.100000000000001" customHeight="1" x14ac:dyDescent="0.2">
      <c r="A81"/>
    </row>
    <row r="82" spans="1:10" ht="20.100000000000001" customHeight="1" x14ac:dyDescent="0.2">
      <c r="A82"/>
    </row>
    <row r="83" spans="1:10" ht="20.100000000000001" customHeight="1" x14ac:dyDescent="0.2">
      <c r="A83"/>
    </row>
    <row r="84" spans="1:10" ht="20.100000000000001" customHeight="1" x14ac:dyDescent="0.2">
      <c r="A84"/>
    </row>
    <row r="85" spans="1:10" ht="20.100000000000001" customHeight="1" x14ac:dyDescent="0.2">
      <c r="A85"/>
    </row>
    <row r="86" spans="1:10" ht="20.100000000000001" customHeight="1" x14ac:dyDescent="0.2">
      <c r="A86"/>
    </row>
    <row r="87" spans="1:10" ht="20.100000000000001" customHeight="1" x14ac:dyDescent="0.2">
      <c r="A87"/>
    </row>
    <row r="88" spans="1:10" ht="20.100000000000001" customHeight="1" x14ac:dyDescent="0.2">
      <c r="A88"/>
    </row>
    <row r="89" spans="1:10" ht="20.100000000000001" customHeight="1" x14ac:dyDescent="0.2">
      <c r="A89"/>
    </row>
    <row r="90" spans="1:10" ht="20.100000000000001" customHeight="1" x14ac:dyDescent="0.2">
      <c r="A90"/>
    </row>
    <row r="91" spans="1:10" ht="20.100000000000001" customHeight="1" x14ac:dyDescent="0.2">
      <c r="A91"/>
    </row>
    <row r="92" spans="1:10" ht="20.100000000000001" customHeight="1" x14ac:dyDescent="0.2">
      <c r="A92"/>
      <c r="J92" s="24"/>
    </row>
    <row r="93" spans="1:10" ht="20.100000000000001" customHeight="1" x14ac:dyDescent="0.2">
      <c r="A93"/>
      <c r="J93" s="24"/>
    </row>
    <row r="94" spans="1:10" ht="20.100000000000001" customHeight="1" x14ac:dyDescent="0.2">
      <c r="A94"/>
      <c r="J94" s="24"/>
    </row>
    <row r="95" spans="1:10" ht="20.100000000000001" customHeight="1" x14ac:dyDescent="0.2">
      <c r="A95"/>
      <c r="J95" s="24"/>
    </row>
    <row r="96" spans="1:10" ht="20.100000000000001" customHeight="1" x14ac:dyDescent="0.2">
      <c r="A96"/>
      <c r="J96" s="24"/>
    </row>
    <row r="97" spans="1:10" ht="20.100000000000001" customHeight="1" x14ac:dyDescent="0.2">
      <c r="A97"/>
      <c r="J97" s="2"/>
    </row>
    <row r="98" spans="1:10" ht="20.100000000000001" customHeight="1" x14ac:dyDescent="0.2">
      <c r="A98"/>
      <c r="J98" s="1"/>
    </row>
    <row r="99" spans="1:10" ht="20.100000000000001" customHeight="1" x14ac:dyDescent="0.2">
      <c r="A99"/>
      <c r="J99" s="1"/>
    </row>
    <row r="100" spans="1:10" ht="20.100000000000001" customHeight="1" x14ac:dyDescent="0.2">
      <c r="A100"/>
      <c r="J100" s="1"/>
    </row>
    <row r="101" spans="1:10" ht="20.100000000000001" customHeight="1" x14ac:dyDescent="0.2">
      <c r="A101"/>
      <c r="J101" s="1"/>
    </row>
    <row r="102" spans="1:10" ht="20.100000000000001" customHeight="1" x14ac:dyDescent="0.2">
      <c r="A102"/>
      <c r="J102" s="1"/>
    </row>
    <row r="103" spans="1:10" ht="20.100000000000001" customHeight="1" x14ac:dyDescent="0.2">
      <c r="A103"/>
    </row>
    <row r="104" spans="1:10" ht="20.100000000000001" customHeight="1" x14ac:dyDescent="0.2">
      <c r="A104"/>
    </row>
    <row r="105" spans="1:10" ht="20.100000000000001" customHeight="1" x14ac:dyDescent="0.2">
      <c r="A105"/>
    </row>
    <row r="106" spans="1:10" ht="20.100000000000001" customHeight="1" x14ac:dyDescent="0.2">
      <c r="A106"/>
    </row>
    <row r="107" spans="1:10" ht="20.100000000000001" customHeight="1" x14ac:dyDescent="0.2">
      <c r="A107"/>
      <c r="J107" s="1"/>
    </row>
    <row r="108" spans="1:10" ht="20.100000000000001" customHeight="1" x14ac:dyDescent="0.2">
      <c r="A108"/>
      <c r="J108" s="1"/>
    </row>
    <row r="109" spans="1:10" ht="20.100000000000001" customHeight="1" x14ac:dyDescent="0.2">
      <c r="A109"/>
      <c r="J109" s="1"/>
    </row>
    <row r="110" spans="1:10" ht="20.100000000000001" customHeight="1" x14ac:dyDescent="0.2">
      <c r="A110"/>
      <c r="J110" s="1"/>
    </row>
    <row r="111" spans="1:10" ht="20.100000000000001" customHeight="1" x14ac:dyDescent="0.2">
      <c r="A111"/>
      <c r="J111" s="1"/>
    </row>
    <row r="112" spans="1:10" ht="20.100000000000001" customHeight="1" x14ac:dyDescent="0.2">
      <c r="A112"/>
      <c r="J112" s="1"/>
    </row>
    <row r="113" spans="1:16" ht="20.100000000000001" customHeight="1" x14ac:dyDescent="0.2">
      <c r="A113"/>
      <c r="J113" s="1"/>
      <c r="L113" s="24"/>
      <c r="M113" s="24"/>
      <c r="N113" s="24"/>
      <c r="O113" s="24"/>
      <c r="P113" s="24"/>
    </row>
    <row r="114" spans="1:16" ht="20.100000000000001" customHeight="1" x14ac:dyDescent="0.2">
      <c r="A114"/>
      <c r="J114" s="1"/>
      <c r="L114" s="24"/>
      <c r="M114" s="24"/>
      <c r="N114" s="24"/>
      <c r="O114" s="24"/>
      <c r="P114" s="24"/>
    </row>
    <row r="115" spans="1:16" ht="20.100000000000001" customHeight="1" x14ac:dyDescent="0.2">
      <c r="A115"/>
      <c r="J115" s="1"/>
      <c r="L115" s="24"/>
      <c r="M115" s="24"/>
      <c r="N115" s="24"/>
      <c r="O115" s="24"/>
      <c r="P115" s="24"/>
    </row>
    <row r="116" spans="1:16" ht="20.100000000000001" customHeight="1" x14ac:dyDescent="0.2">
      <c r="A116"/>
      <c r="I116" s="24"/>
      <c r="J116" s="1"/>
      <c r="N116" s="24"/>
      <c r="O116" s="24"/>
      <c r="P116" s="24"/>
    </row>
    <row r="117" spans="1:16" ht="20.100000000000001" customHeight="1" x14ac:dyDescent="0.2">
      <c r="A117"/>
      <c r="I117" s="24"/>
      <c r="J117" s="1"/>
      <c r="N117" s="24"/>
      <c r="O117" s="24"/>
      <c r="P117" s="24"/>
    </row>
    <row r="118" spans="1:16" ht="20.100000000000001" customHeight="1" x14ac:dyDescent="0.2">
      <c r="A118"/>
      <c r="J118" s="24"/>
      <c r="N118" s="2"/>
      <c r="O118" s="2"/>
      <c r="P118" s="24"/>
    </row>
    <row r="119" spans="1:16" ht="20.100000000000001" customHeight="1" x14ac:dyDescent="0.2">
      <c r="A119"/>
      <c r="J119" s="24"/>
      <c r="P119" s="8"/>
    </row>
    <row r="120" spans="1:16" ht="20.100000000000001" customHeight="1" x14ac:dyDescent="0.2">
      <c r="A120"/>
      <c r="J120" s="24"/>
      <c r="P120" s="8"/>
    </row>
    <row r="121" spans="1:16" ht="20.100000000000001" customHeight="1" x14ac:dyDescent="0.2">
      <c r="A121"/>
      <c r="J121" s="2"/>
      <c r="P121" s="8"/>
    </row>
    <row r="122" spans="1:16" ht="20.100000000000001" customHeight="1" x14ac:dyDescent="0.2">
      <c r="A122"/>
      <c r="G122" s="24"/>
      <c r="H122" s="1"/>
      <c r="J122" s="1"/>
      <c r="P122" s="8"/>
    </row>
    <row r="123" spans="1:16" ht="20.100000000000001" customHeight="1" x14ac:dyDescent="0.2">
      <c r="A123"/>
      <c r="G123" s="24"/>
      <c r="H123" s="1"/>
      <c r="J123" s="1"/>
      <c r="P123" s="8"/>
    </row>
    <row r="124" spans="1:16" ht="20.100000000000001" customHeight="1" x14ac:dyDescent="0.2">
      <c r="A124"/>
      <c r="G124" s="24"/>
      <c r="H124" s="24"/>
      <c r="J124" s="1"/>
      <c r="N124" s="24"/>
      <c r="O124" s="24"/>
      <c r="P124" s="24"/>
    </row>
    <row r="125" spans="1:16" ht="20.100000000000001" customHeight="1" x14ac:dyDescent="0.2">
      <c r="A125"/>
      <c r="G125" s="24"/>
      <c r="H125" s="24"/>
      <c r="I125" s="24"/>
      <c r="J125" s="1"/>
      <c r="N125" s="24"/>
      <c r="O125" s="24"/>
      <c r="P125" s="24"/>
    </row>
    <row r="126" spans="1:16" ht="20.100000000000001" customHeight="1" x14ac:dyDescent="0.2">
      <c r="A126"/>
      <c r="G126" s="24"/>
      <c r="I126" s="24"/>
      <c r="J126" s="1"/>
    </row>
    <row r="127" spans="1:16" ht="20.100000000000001" customHeight="1" x14ac:dyDescent="0.2">
      <c r="A127"/>
      <c r="I127" s="24"/>
      <c r="J127" s="24"/>
    </row>
    <row r="128" spans="1:16" ht="20.100000000000001" customHeight="1" x14ac:dyDescent="0.2">
      <c r="A128"/>
      <c r="I128" s="24"/>
      <c r="J128" s="24"/>
    </row>
    <row r="129" spans="1:13" ht="20.100000000000001" customHeight="1" x14ac:dyDescent="0.2">
      <c r="A129"/>
      <c r="I129" s="24"/>
      <c r="L129" s="24"/>
      <c r="M129" s="24"/>
    </row>
    <row r="130" spans="1:13" ht="20.100000000000001" customHeight="1" x14ac:dyDescent="0.2">
      <c r="A130"/>
      <c r="I130" s="24"/>
      <c r="L130" s="24"/>
      <c r="M130" s="24"/>
    </row>
    <row r="131" spans="1:13" ht="20.100000000000001" customHeight="1" x14ac:dyDescent="0.2">
      <c r="A131"/>
      <c r="G131" s="1"/>
      <c r="I131" s="1"/>
      <c r="L131" s="2"/>
      <c r="M131" s="2"/>
    </row>
    <row r="132" spans="1:13" ht="20.100000000000001" customHeight="1" x14ac:dyDescent="0.2">
      <c r="A132"/>
      <c r="G132" s="24"/>
      <c r="I132" s="1"/>
    </row>
    <row r="133" spans="1:13" ht="20.100000000000001" customHeight="1" x14ac:dyDescent="0.2">
      <c r="A133"/>
      <c r="G133" s="24"/>
      <c r="I133" s="1"/>
    </row>
    <row r="134" spans="1:13" ht="20.100000000000001" customHeight="1" x14ac:dyDescent="0.2">
      <c r="A134"/>
      <c r="I134" s="1"/>
    </row>
    <row r="135" spans="1:13" ht="20.100000000000001" customHeight="1" x14ac:dyDescent="0.2">
      <c r="A135"/>
      <c r="I135" s="1"/>
    </row>
    <row r="136" spans="1:13" ht="20.100000000000001" customHeight="1" x14ac:dyDescent="0.2">
      <c r="A136"/>
      <c r="I136" s="24"/>
    </row>
    <row r="137" spans="1:13" ht="20.100000000000001" customHeight="1" x14ac:dyDescent="0.2">
      <c r="A137"/>
      <c r="I137" s="24"/>
      <c r="L137" s="24"/>
      <c r="M137" s="24"/>
    </row>
    <row r="138" spans="1:13" ht="20.100000000000001" customHeight="1" x14ac:dyDescent="0.2">
      <c r="A138"/>
      <c r="L138" s="24"/>
      <c r="M138" s="24"/>
    </row>
    <row r="139" spans="1:13" ht="20.100000000000001" customHeight="1" x14ac:dyDescent="0.2">
      <c r="A139"/>
    </row>
    <row r="140" spans="1:13" ht="20.100000000000001" customHeight="1" x14ac:dyDescent="0.2">
      <c r="A140"/>
    </row>
    <row r="141" spans="1:13" ht="20.100000000000001" customHeight="1" x14ac:dyDescent="0.2">
      <c r="A141"/>
    </row>
    <row r="142" spans="1:13" ht="20.100000000000001" customHeight="1" x14ac:dyDescent="0.2">
      <c r="A142"/>
    </row>
    <row r="143" spans="1:13" ht="20.100000000000001" customHeight="1" x14ac:dyDescent="0.2">
      <c r="A143"/>
    </row>
    <row r="144" spans="1:13"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row r="161" spans="1:19" ht="20.100000000000001" customHeight="1" x14ac:dyDescent="0.2">
      <c r="A161"/>
    </row>
    <row r="162" spans="1:19" ht="20.100000000000001" customHeight="1" x14ac:dyDescent="0.2">
      <c r="A162"/>
    </row>
    <row r="163" spans="1:19" ht="20.100000000000001" customHeight="1" x14ac:dyDescent="0.2">
      <c r="A163"/>
    </row>
    <row r="164" spans="1:19" ht="20.100000000000001" customHeight="1" x14ac:dyDescent="0.2">
      <c r="A164"/>
    </row>
    <row r="165" spans="1:19" ht="20.100000000000001" customHeight="1" x14ac:dyDescent="0.2">
      <c r="A165"/>
      <c r="S165" s="241"/>
    </row>
    <row r="166" spans="1:19" ht="20.100000000000001" customHeight="1" x14ac:dyDescent="0.2">
      <c r="A166"/>
      <c r="S166" s="241"/>
    </row>
    <row r="167" spans="1:19" ht="20.100000000000001" customHeight="1" x14ac:dyDescent="0.2">
      <c r="A167"/>
      <c r="S167" s="241"/>
    </row>
    <row r="168" spans="1:19" ht="20.100000000000001" customHeight="1" x14ac:dyDescent="0.2">
      <c r="A168"/>
      <c r="S168" s="241"/>
    </row>
    <row r="169" spans="1:19" ht="20.100000000000001" customHeight="1" x14ac:dyDescent="0.2">
      <c r="A169"/>
      <c r="S169" s="241"/>
    </row>
    <row r="170" spans="1:19" ht="20.100000000000001" customHeight="1" x14ac:dyDescent="0.2">
      <c r="A170"/>
      <c r="S170" s="241"/>
    </row>
    <row r="171" spans="1:19" ht="20.100000000000001" customHeight="1" x14ac:dyDescent="0.2">
      <c r="A171"/>
      <c r="S171" s="241"/>
    </row>
    <row r="172" spans="1:19" ht="20.100000000000001" customHeight="1" x14ac:dyDescent="0.2">
      <c r="A172"/>
      <c r="S172" s="241"/>
    </row>
    <row r="173" spans="1:19" ht="20.100000000000001" customHeight="1" x14ac:dyDescent="0.2">
      <c r="A173"/>
      <c r="S173" s="241"/>
    </row>
    <row r="174" spans="1:19" ht="20.100000000000001" customHeight="1" x14ac:dyDescent="0.2">
      <c r="A174"/>
      <c r="S174" s="241"/>
    </row>
    <row r="175" spans="1:19" ht="20.100000000000001" customHeight="1" x14ac:dyDescent="0.2">
      <c r="A175"/>
      <c r="S175" s="241"/>
    </row>
    <row r="176" spans="1:19" ht="20.100000000000001" customHeight="1" x14ac:dyDescent="0.2">
      <c r="A176"/>
      <c r="K176" s="24"/>
    </row>
    <row r="177" spans="1:19" ht="20.100000000000001" customHeight="1" x14ac:dyDescent="0.2">
      <c r="A177"/>
      <c r="K177" s="24"/>
    </row>
    <row r="178" spans="1:19" ht="20.100000000000001" customHeight="1" x14ac:dyDescent="0.2">
      <c r="A178"/>
    </row>
    <row r="179" spans="1:19" ht="20.100000000000001" customHeight="1" x14ac:dyDescent="0.2">
      <c r="A179"/>
    </row>
    <row r="180" spans="1:19" ht="20.100000000000001" customHeight="1" x14ac:dyDescent="0.2">
      <c r="A180"/>
      <c r="S180" s="241"/>
    </row>
    <row r="181" spans="1:19" ht="20.100000000000001" customHeight="1" x14ac:dyDescent="0.2">
      <c r="A181"/>
      <c r="S181" s="241"/>
    </row>
    <row r="182" spans="1:19" ht="20.100000000000001" customHeight="1" x14ac:dyDescent="0.2">
      <c r="A182"/>
      <c r="S182" s="241"/>
    </row>
    <row r="183" spans="1:19" ht="20.100000000000001" customHeight="1" x14ac:dyDescent="0.2">
      <c r="A183"/>
      <c r="S183" s="241"/>
    </row>
    <row r="184" spans="1:19" ht="20.100000000000001" customHeight="1" x14ac:dyDescent="0.2">
      <c r="A184"/>
      <c r="S184" s="241"/>
    </row>
    <row r="185" spans="1:19" ht="20.100000000000001" customHeight="1" x14ac:dyDescent="0.2">
      <c r="A185"/>
      <c r="S185" s="241"/>
    </row>
    <row r="186" spans="1:19" ht="20.100000000000001" customHeight="1" x14ac:dyDescent="0.2">
      <c r="A186"/>
      <c r="S186" s="241"/>
    </row>
    <row r="187" spans="1:19" ht="20.100000000000001" customHeight="1" x14ac:dyDescent="0.2">
      <c r="A187"/>
      <c r="S187" s="241"/>
    </row>
    <row r="188" spans="1:19" ht="20.100000000000001" customHeight="1" x14ac:dyDescent="0.2">
      <c r="A188"/>
      <c r="S188" s="241"/>
    </row>
    <row r="189" spans="1:19" ht="20.100000000000001" customHeight="1" x14ac:dyDescent="0.2">
      <c r="A189"/>
      <c r="S189" s="241"/>
    </row>
    <row r="190" spans="1:19" ht="20.100000000000001" customHeight="1" x14ac:dyDescent="0.2">
      <c r="A190"/>
      <c r="S190" s="241"/>
    </row>
    <row r="191" spans="1:19" ht="20.100000000000001" customHeight="1" x14ac:dyDescent="0.2">
      <c r="A191"/>
    </row>
    <row r="192" spans="1:19" ht="20.100000000000001" customHeight="1" x14ac:dyDescent="0.2">
      <c r="A192"/>
    </row>
    <row r="193" spans="1:1" ht="20.100000000000001" customHeight="1" x14ac:dyDescent="0.2">
      <c r="A193"/>
    </row>
    <row r="194" spans="1:1" ht="20.100000000000001" customHeight="1" x14ac:dyDescent="0.2">
      <c r="A194"/>
    </row>
    <row r="195" spans="1:1" ht="20.100000000000001" customHeight="1" x14ac:dyDescent="0.2">
      <c r="A195"/>
    </row>
  </sheetData>
  <dataValidations count="3">
    <dataValidation type="list" allowBlank="1" showInputMessage="1" showErrorMessage="1" sqref="N122:N123 H122:H123 J125:J126 L135:L136" xr:uid="{0556A11A-085F-4FA8-B45D-EA966002612B}">
      <formula1>INDIRECT("Table_Scope3_AquacultureFeedBait[Feed / Bait ingredient]")</formula1>
    </dataValidation>
    <dataValidation type="list" allowBlank="1" showInputMessage="1" showErrorMessage="1" sqref="G23:G32" xr:uid="{D1AA03AB-C80B-4AB6-9839-5B40C670DDFE}">
      <formula1>"Hour, Hectare"</formula1>
    </dataValidation>
    <dataValidation type="list" allowBlank="1" showInputMessage="1" showErrorMessage="1" sqref="E8:E17" xr:uid="{60F189D3-7775-430D-BFCE-01355A608A89}">
      <formula1>INDIRECT("Table_SourceData_Scope3_ChemicalsCleaning[Product]")</formula1>
    </dataValidation>
  </dataValidations>
  <pageMargins left="0.7" right="0.7" top="0.75" bottom="0.75" header="0.3" footer="0.3"/>
  <pageSetup orientation="portrait" r:id="rId1"/>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7EF82-95F0-43D9-BB46-9D7A9A0AC4BE}">
  <sheetPr>
    <tabColor theme="5" tint="-0.249977111117893"/>
  </sheetPr>
  <dimension ref="A1:R57"/>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5703125" customWidth="1"/>
    <col min="3" max="3" width="4.5703125" style="1" customWidth="1"/>
    <col min="4" max="17" width="30.5703125" style="1" customWidth="1"/>
    <col min="18" max="18" width="4.5703125" style="1" customWidth="1"/>
  </cols>
  <sheetData>
    <row r="1" spans="1:18" s="10" customFormat="1" ht="30" customHeight="1" x14ac:dyDescent="0.35">
      <c r="C1" s="10" t="s">
        <v>973</v>
      </c>
    </row>
    <row r="2" spans="1:18" s="3" customFormat="1" ht="20.100000000000001" customHeight="1" x14ac:dyDescent="0.2">
      <c r="A2"/>
    </row>
    <row r="3" spans="1:18" ht="20.100000000000001" customHeight="1" x14ac:dyDescent="0.2">
      <c r="A3" s="5" t="str">
        <f>HYPERLINK("#'Home'!A1", "Home")</f>
        <v>Home</v>
      </c>
      <c r="C3" s="28"/>
      <c r="D3" s="28"/>
      <c r="E3" s="28"/>
      <c r="F3" s="28"/>
      <c r="G3" s="28"/>
      <c r="H3" s="28"/>
      <c r="I3" s="28"/>
      <c r="J3" s="28"/>
      <c r="K3" s="28"/>
      <c r="L3" s="28"/>
      <c r="M3" s="28"/>
      <c r="N3" s="28"/>
      <c r="O3" s="28"/>
      <c r="P3" s="28"/>
      <c r="Q3" s="28"/>
      <c r="R3" s="28"/>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Emissions Intensity")</f>
        <v>Results - Product Emissions Intensity</v>
      </c>
      <c r="D5" s="2" t="s">
        <v>974</v>
      </c>
      <c r="E5" s="239"/>
      <c r="F5" s="239"/>
      <c r="G5" s="239"/>
      <c r="H5" s="239"/>
      <c r="I5" s="239"/>
      <c r="J5" s="239"/>
    </row>
    <row r="6" spans="1:18" ht="20.100000000000001" customHeight="1" x14ac:dyDescent="0.2">
      <c r="D6" s="244" t="s">
        <v>975</v>
      </c>
      <c r="E6" s="245"/>
      <c r="F6" s="246"/>
      <c r="G6" s="239"/>
      <c r="H6" s="239"/>
      <c r="I6" s="239"/>
      <c r="J6" s="239"/>
    </row>
    <row r="7" spans="1:18" ht="20.100000000000001" customHeight="1" x14ac:dyDescent="0.2">
      <c r="D7" s="1" t="str" cm="1">
        <f t="array" ref="D7:D9">Table_SourceData_Scope3_LickBlocks[Product]</f>
        <v>Lick block, dry season mix</v>
      </c>
      <c r="E7" s="74">
        <v>100</v>
      </c>
      <c r="F7" s="16" t="s">
        <v>757</v>
      </c>
      <c r="G7" s="239"/>
      <c r="H7" s="239"/>
      <c r="I7" s="239"/>
      <c r="J7" s="239"/>
    </row>
    <row r="8" spans="1:18" ht="20.100000000000001" customHeight="1" x14ac:dyDescent="0.2">
      <c r="A8" s="7" t="s">
        <v>0</v>
      </c>
      <c r="D8" s="1" t="str">
        <v>Lick block, mineral</v>
      </c>
      <c r="E8" s="74">
        <v>100</v>
      </c>
      <c r="F8" s="16" t="s">
        <v>757</v>
      </c>
      <c r="G8" s="239"/>
      <c r="H8" s="239"/>
      <c r="I8" s="239"/>
      <c r="J8" s="239"/>
    </row>
    <row r="9" spans="1:18" ht="20.100000000000001" customHeight="1" x14ac:dyDescent="0.2">
      <c r="A9" s="5" t="str">
        <f>HYPERLINK("#'Input - Enterprise'!A1", "Enterprise")</f>
        <v>Enterprise</v>
      </c>
      <c r="D9" s="1" t="str">
        <v>Lick block, weaner</v>
      </c>
      <c r="E9" s="74">
        <v>100</v>
      </c>
      <c r="F9" s="16" t="s">
        <v>757</v>
      </c>
      <c r="G9" s="239"/>
      <c r="H9" s="239"/>
      <c r="I9" s="239"/>
      <c r="J9" s="239"/>
    </row>
    <row r="10" spans="1:18" ht="20.100000000000001" customHeight="1" x14ac:dyDescent="0.2">
      <c r="A10" s="5" t="str">
        <f>HYPERLINK("#'Input - Site'!A1", "Site")</f>
        <v>Site</v>
      </c>
      <c r="G10" s="239"/>
      <c r="H10" s="239"/>
      <c r="I10" s="239"/>
      <c r="J10" s="239"/>
    </row>
    <row r="11" spans="1:18" ht="20.100000000000001" customHeight="1" x14ac:dyDescent="0.2">
      <c r="A11" s="5" t="str">
        <f>HYPERLINK("#'Input - Poultry'!A1", "Poultry")</f>
        <v>Poultry</v>
      </c>
      <c r="D11" s="244" t="s">
        <v>976</v>
      </c>
      <c r="E11" s="24"/>
      <c r="F11" s="24"/>
      <c r="G11" s="239"/>
      <c r="H11" s="239"/>
      <c r="I11" s="239"/>
      <c r="J11" s="239"/>
    </row>
    <row r="12" spans="1:18" ht="20.100000000000001" customHeight="1" x14ac:dyDescent="0.2">
      <c r="A12" s="5" t="str">
        <f>HYPERLINK("#'Input - Livestock sales'!A1", "Livestock sales")</f>
        <v>Livestock sales</v>
      </c>
      <c r="D12" s="1" t="str" cm="1">
        <f t="array" ref="D12:D15">Table_SourceData_Scope3_MixedRations[Product]</f>
        <v>Feed for chickens</v>
      </c>
      <c r="E12" s="74">
        <v>100</v>
      </c>
      <c r="F12" s="16" t="s">
        <v>757</v>
      </c>
      <c r="G12" s="239"/>
      <c r="H12" s="239"/>
      <c r="I12" s="239"/>
      <c r="J12" s="239"/>
    </row>
    <row r="13" spans="1:18" ht="20.100000000000001" customHeight="1" x14ac:dyDescent="0.2">
      <c r="A13" s="5" t="str">
        <f>HYPERLINK("#'Input - Poultry purchases'!A1", "Poultry purchases")</f>
        <v>Poultry purchases</v>
      </c>
      <c r="D13" s="1" t="str">
        <v>Feed for dairy calves</v>
      </c>
      <c r="E13" s="74">
        <v>100</v>
      </c>
      <c r="F13" s="16" t="s">
        <v>757</v>
      </c>
      <c r="G13" s="239"/>
      <c r="H13" s="239"/>
      <c r="I13" s="239"/>
      <c r="J13" s="239"/>
    </row>
    <row r="14" spans="1:18" ht="20.100000000000001" customHeight="1" x14ac:dyDescent="0.2">
      <c r="A14" s="5" t="str">
        <f>HYPERLINK("#'Input - Fuel'!A1", "Fuel")</f>
        <v>Fuel</v>
      </c>
      <c r="D14" s="1" t="str">
        <v>Feed for dairy cows</v>
      </c>
      <c r="E14" s="74">
        <v>100</v>
      </c>
      <c r="F14" s="16" t="s">
        <v>757</v>
      </c>
      <c r="G14" s="239"/>
      <c r="H14" s="239"/>
      <c r="I14" s="239"/>
      <c r="J14" s="239"/>
    </row>
    <row r="15" spans="1:18" ht="20.100000000000001" customHeight="1" x14ac:dyDescent="0.2">
      <c r="A15" s="5" t="str">
        <f>HYPERLINK("#'Input - Electricity'!A1", "Electricity")</f>
        <v>Electricity</v>
      </c>
      <c r="D15" s="1" t="str">
        <v>Feed for pigs</v>
      </c>
      <c r="E15" s="74">
        <v>100</v>
      </c>
      <c r="F15" s="16" t="s">
        <v>757</v>
      </c>
      <c r="G15" s="239"/>
      <c r="H15" s="239"/>
      <c r="I15" s="239"/>
      <c r="J15" s="239"/>
    </row>
    <row r="16" spans="1:18" ht="20.100000000000001" customHeight="1" x14ac:dyDescent="0.2">
      <c r="A16" s="5" t="str">
        <f>HYPERLINK("#'Input - Common farm inputs'!A1", "Common farm inputs")</f>
        <v>Common farm inputs</v>
      </c>
      <c r="D16" s="24"/>
      <c r="E16" s="24"/>
      <c r="F16" s="24"/>
      <c r="G16" s="239"/>
      <c r="H16" s="239"/>
      <c r="I16" s="239"/>
      <c r="J16" s="239"/>
    </row>
    <row r="17" spans="1:17" ht="20.100000000000001" customHeight="1" x14ac:dyDescent="0.2">
      <c r="A17" s="100" t="str">
        <f>HYPERLINK("#'Input - Livestock farm Inputs'!A1", "Livestock farm Inputs")</f>
        <v>Livestock farm Inputs</v>
      </c>
      <c r="D17" s="244" t="s">
        <v>977</v>
      </c>
      <c r="E17" s="24"/>
      <c r="F17" s="24"/>
      <c r="G17" s="239"/>
      <c r="H17" s="239"/>
      <c r="I17" s="239"/>
      <c r="J17" s="239"/>
    </row>
    <row r="18" spans="1:17" ht="20.100000000000001" customHeight="1" x14ac:dyDescent="0.2">
      <c r="A18" s="5" t="str">
        <f>HYPERLINK("#'Input - Freight'!A1", "Freight")</f>
        <v>Freight</v>
      </c>
      <c r="D18" s="78" t="s">
        <v>978</v>
      </c>
      <c r="E18" s="78" t="s">
        <v>979</v>
      </c>
      <c r="F18" s="78" t="s">
        <v>719</v>
      </c>
      <c r="G18" s="78" t="s">
        <v>980</v>
      </c>
      <c r="H18" s="78" t="s">
        <v>697</v>
      </c>
      <c r="I18" s="78" t="s">
        <v>981</v>
      </c>
      <c r="J18" s="78" t="s">
        <v>982</v>
      </c>
      <c r="K18" s="78" t="s">
        <v>699</v>
      </c>
      <c r="L18" s="78" t="s">
        <v>983</v>
      </c>
      <c r="M18" s="78" t="s">
        <v>984</v>
      </c>
      <c r="N18" s="78" t="s">
        <v>701</v>
      </c>
      <c r="O18" s="78" t="s">
        <v>985</v>
      </c>
      <c r="P18" s="78" t="s">
        <v>986</v>
      </c>
      <c r="Q18" s="149" t="s">
        <v>703</v>
      </c>
    </row>
    <row r="19" spans="1:17" ht="20.100000000000001" customHeight="1" x14ac:dyDescent="0.2">
      <c r="A19" s="5" t="str">
        <f>HYPERLINK("#'Input - Solid waste'!A1", "Solid waste")</f>
        <v>Solid waste</v>
      </c>
      <c r="D19" s="33"/>
      <c r="E19" s="247">
        <v>1200</v>
      </c>
      <c r="F19" s="13" t="s">
        <v>987</v>
      </c>
      <c r="G19" s="13" t="s">
        <v>526</v>
      </c>
      <c r="H19" s="150">
        <v>0.35</v>
      </c>
      <c r="I19" s="13" t="s">
        <v>988</v>
      </c>
      <c r="J19" s="13" t="s">
        <v>526</v>
      </c>
      <c r="K19" s="150">
        <v>0.22</v>
      </c>
      <c r="L19" s="13" t="s">
        <v>989</v>
      </c>
      <c r="M19" s="13" t="s">
        <v>990</v>
      </c>
      <c r="N19" s="150">
        <v>0.12</v>
      </c>
      <c r="O19" s="13" t="s">
        <v>991</v>
      </c>
      <c r="P19" s="13" t="s">
        <v>523</v>
      </c>
      <c r="Q19" s="150">
        <v>0.05</v>
      </c>
    </row>
    <row r="20" spans="1:17" ht="20.100000000000001" customHeight="1" x14ac:dyDescent="0.2">
      <c r="A20" s="5" t="str">
        <f>HYPERLINK("#'Input - Manure sent off-site'!A1", "Manure sent off-site")</f>
        <v>Manure sent off-site</v>
      </c>
      <c r="D20" s="33"/>
      <c r="E20" s="247">
        <v>3456</v>
      </c>
      <c r="F20" s="13" t="s">
        <v>992</v>
      </c>
      <c r="G20" s="13" t="s">
        <v>990</v>
      </c>
      <c r="H20" s="150">
        <v>0.2</v>
      </c>
      <c r="I20" s="13" t="s">
        <v>992</v>
      </c>
      <c r="J20" s="13" t="s">
        <v>521</v>
      </c>
      <c r="K20" s="150">
        <v>0.2</v>
      </c>
      <c r="L20" s="13"/>
      <c r="M20" s="13"/>
      <c r="N20" s="150"/>
      <c r="O20" s="13"/>
      <c r="P20" s="13"/>
      <c r="Q20" s="150"/>
    </row>
    <row r="21" spans="1:17" ht="20.100000000000001" customHeight="1" x14ac:dyDescent="0.2">
      <c r="A21" s="5" t="str">
        <f>HYPERLINK("#'Input - Data quality'!A1", "Data quality")</f>
        <v>Data quality</v>
      </c>
      <c r="D21" s="33" t="s">
        <v>993</v>
      </c>
      <c r="E21" s="247">
        <v>300</v>
      </c>
      <c r="F21" s="13" t="s">
        <v>994</v>
      </c>
      <c r="G21" s="13" t="s">
        <v>526</v>
      </c>
      <c r="H21" s="150">
        <v>0.8</v>
      </c>
      <c r="I21" s="13" t="s">
        <v>995</v>
      </c>
      <c r="J21" s="13" t="s">
        <v>996</v>
      </c>
      <c r="K21" s="150">
        <v>0.2</v>
      </c>
      <c r="L21" s="13"/>
      <c r="M21" s="13"/>
      <c r="N21" s="150"/>
      <c r="O21" s="13"/>
      <c r="P21" s="13"/>
      <c r="Q21" s="150"/>
    </row>
    <row r="22" spans="1:17" ht="20.100000000000001" customHeight="1" x14ac:dyDescent="0.2">
      <c r="A22" s="5" t="str">
        <f>HYPERLINK("#'Input - Fert Prod System'!A1", "Fert Prod System")</f>
        <v>Fert Prod System</v>
      </c>
      <c r="D22" s="33"/>
      <c r="E22" s="247">
        <v>500</v>
      </c>
      <c r="F22" s="13" t="s">
        <v>997</v>
      </c>
      <c r="G22" s="13" t="s">
        <v>525</v>
      </c>
      <c r="H22" s="150">
        <v>1</v>
      </c>
      <c r="I22" s="13"/>
      <c r="J22" s="13"/>
      <c r="K22" s="150"/>
      <c r="L22" s="13"/>
      <c r="M22" s="13"/>
      <c r="N22" s="150"/>
      <c r="O22" s="13"/>
      <c r="P22" s="13"/>
      <c r="Q22" s="150"/>
    </row>
    <row r="23" spans="1:17" ht="20.100000000000001" customHeight="1" x14ac:dyDescent="0.2">
      <c r="A23" s="5" t="str">
        <f>HYPERLINK("#'Input - Fertiliser'!A1", "Fertiliser")</f>
        <v>Fertiliser</v>
      </c>
      <c r="D23" s="33"/>
      <c r="E23" s="247"/>
      <c r="F23" s="13"/>
      <c r="G23" s="13"/>
      <c r="H23" s="150"/>
      <c r="I23" s="13"/>
      <c r="J23" s="13"/>
      <c r="K23" s="150"/>
      <c r="L23" s="13"/>
      <c r="M23" s="13"/>
      <c r="N23" s="150"/>
      <c r="O23" s="13"/>
      <c r="P23" s="13"/>
      <c r="Q23" s="150"/>
    </row>
    <row r="24" spans="1:17" ht="20.100000000000001" customHeight="1" x14ac:dyDescent="0.2">
      <c r="D24" s="33"/>
      <c r="E24" s="247"/>
      <c r="F24" s="13"/>
      <c r="G24" s="13"/>
      <c r="H24" s="150"/>
      <c r="I24" s="13"/>
      <c r="J24" s="13"/>
      <c r="K24" s="150"/>
      <c r="L24" s="13"/>
      <c r="M24" s="13"/>
      <c r="N24" s="150"/>
      <c r="O24" s="13"/>
      <c r="P24" s="13"/>
      <c r="Q24" s="150"/>
    </row>
    <row r="25" spans="1:17" ht="20.100000000000001" customHeight="1" x14ac:dyDescent="0.2">
      <c r="D25" s="33"/>
      <c r="E25" s="247"/>
      <c r="F25" s="13"/>
      <c r="G25" s="13"/>
      <c r="H25" s="150"/>
      <c r="I25" s="13"/>
      <c r="J25" s="13"/>
      <c r="K25" s="150"/>
      <c r="L25" s="13"/>
      <c r="M25" s="13"/>
      <c r="N25" s="150"/>
      <c r="O25" s="13"/>
      <c r="P25" s="13"/>
      <c r="Q25" s="150"/>
    </row>
    <row r="26" spans="1:17" ht="20.100000000000001" customHeight="1" x14ac:dyDescent="0.2">
      <c r="A26" s="6" t="s">
        <v>2</v>
      </c>
      <c r="D26" s="33"/>
      <c r="E26" s="247"/>
      <c r="F26" s="13"/>
      <c r="G26" s="13"/>
      <c r="H26" s="150"/>
      <c r="I26" s="13"/>
      <c r="J26" s="13"/>
      <c r="K26" s="150"/>
      <c r="L26" s="13"/>
      <c r="M26" s="13"/>
      <c r="N26" s="150"/>
      <c r="O26" s="13"/>
      <c r="P26" s="13"/>
      <c r="Q26" s="150"/>
    </row>
    <row r="27" spans="1:17" ht="20.100000000000001" customHeight="1" x14ac:dyDescent="0.2">
      <c r="A27" s="5" t="str">
        <f>HYPERLINK("#'4.6.1.1-2 Methane'!A1", "4.6.1.1-2 Manure Methane")</f>
        <v>4.6.1.1-2 Manure Methane</v>
      </c>
      <c r="D27" s="33"/>
      <c r="E27" s="247"/>
      <c r="F27" s="13"/>
      <c r="G27" s="13"/>
      <c r="H27" s="150"/>
      <c r="I27" s="13"/>
      <c r="J27" s="13"/>
      <c r="K27" s="150"/>
      <c r="L27" s="13"/>
      <c r="M27" s="13"/>
      <c r="N27" s="150"/>
      <c r="O27" s="13"/>
      <c r="P27" s="13"/>
      <c r="Q27" s="150"/>
    </row>
    <row r="28" spans="1:17" ht="20.100000000000001" customHeight="1" x14ac:dyDescent="0.2">
      <c r="A28" s="5" t="str">
        <f>HYPERLINK("#'4.6.1.3-4 Direct N20'!A1", "4.6.1.3-4 Manure Direct N2O")</f>
        <v>4.6.1.3-4 Manure Direct N2O</v>
      </c>
      <c r="D28" s="33"/>
      <c r="E28" s="247"/>
      <c r="F28" s="13"/>
      <c r="G28" s="13"/>
      <c r="H28" s="150"/>
      <c r="I28" s="13"/>
      <c r="J28" s="13"/>
      <c r="K28" s="150"/>
      <c r="L28" s="13"/>
      <c r="M28" s="13"/>
      <c r="N28" s="150"/>
      <c r="O28" s="13"/>
      <c r="P28" s="13"/>
      <c r="Q28" s="150"/>
    </row>
    <row r="29" spans="1:17" ht="20.100000000000001" customHeight="1" x14ac:dyDescent="0.2">
      <c r="A29" s="5" t="str">
        <f>HYPERLINK("#'4.6.1.5-6 Atmos Dep'!A1", "4.6.1.5-6 Manure Atmos Dep")</f>
        <v>4.6.1.5-6 Manure Atmos Dep</v>
      </c>
    </row>
    <row r="30" spans="1:17" ht="20.100000000000001" customHeight="1" x14ac:dyDescent="0.2">
      <c r="A30" s="5" t="str">
        <f>HYPERLINK("#'4.6.1.7-8 Leaching and runoff'!A1", "4.6.1.7-8 Manure Leaching and runoff")</f>
        <v>4.6.1.7-8 Manure Leaching and runoff</v>
      </c>
    </row>
    <row r="31" spans="1:17" ht="20.100000000000001" customHeight="1" x14ac:dyDescent="0.2">
      <c r="A31" s="5" t="str">
        <f>HYPERLINK("#'4.6.1.9 Manure applied to soils'!A1", "4.6.1.9 Manure applied to soils")</f>
        <v>4.6.1.9 Manure applied to soils</v>
      </c>
      <c r="D31" s="244" t="s">
        <v>998</v>
      </c>
    </row>
    <row r="32" spans="1:17" ht="20.100000000000001" customHeight="1" x14ac:dyDescent="0.2">
      <c r="A32" s="5" t="str">
        <f>HYPERLINK("#'4.6.1.10-11 Soil direct N2O'!A1", "4.6.1.10-11 Soil direct N2O")</f>
        <v>4.6.1.10-11 Soil direct N2O</v>
      </c>
      <c r="D32" s="78" t="s">
        <v>951</v>
      </c>
      <c r="E32" s="78" t="s">
        <v>952</v>
      </c>
      <c r="F32" s="78" t="s">
        <v>999</v>
      </c>
    </row>
    <row r="33" spans="1:6" ht="20.100000000000001" customHeight="1" x14ac:dyDescent="0.2">
      <c r="A33" s="5" t="str">
        <f>HYPERLINK("#'4.6.1.12-13 Soil atmos dep'!A1", "4.6.1.12-13 Soil atmos dep")</f>
        <v>4.6.1.12-13 Soil atmos dep</v>
      </c>
      <c r="D33" s="33" t="s">
        <v>1000</v>
      </c>
      <c r="E33" s="198" t="s">
        <v>1001</v>
      </c>
      <c r="F33" s="74">
        <v>100</v>
      </c>
    </row>
    <row r="34" spans="1:6" ht="20.100000000000001" customHeight="1" x14ac:dyDescent="0.2">
      <c r="A34" s="5" t="str">
        <f>HYPERLINK("#'4.6.1.14-15 Soil leach runoff'!A1", "4.6.1.14-15 Soil leach runoff")</f>
        <v>4.6.1.14-15 Soil leach runoff</v>
      </c>
      <c r="D34" s="33" t="s">
        <v>1002</v>
      </c>
      <c r="E34" s="248" t="s">
        <v>1003</v>
      </c>
      <c r="F34" s="242">
        <v>100</v>
      </c>
    </row>
    <row r="35" spans="1:6" ht="20.100000000000001" customHeight="1" x14ac:dyDescent="0.2">
      <c r="A35" s="5" t="str">
        <f>HYPERLINK("#'8.1.1.1-2 Transport fuel'!A1", "8.1.1.1-2 Transport fuel")</f>
        <v>8.1.1.1-2 Transport fuel</v>
      </c>
      <c r="D35" s="33" t="s">
        <v>1004</v>
      </c>
      <c r="E35" s="248" t="s">
        <v>1005</v>
      </c>
      <c r="F35" s="242">
        <v>100</v>
      </c>
    </row>
    <row r="36" spans="1:6" ht="20.100000000000001" customHeight="1" x14ac:dyDescent="0.2">
      <c r="A36" s="5" t="str">
        <f>HYPERLINK("#'8.2.1.1-2 Stationary fuel'!A1", "8.2.1.1-2 Stationary fuel")</f>
        <v>8.2.1.1-2 Stationary fuel</v>
      </c>
      <c r="D36" s="33" t="s">
        <v>1006</v>
      </c>
      <c r="E36" s="248" t="s">
        <v>1007</v>
      </c>
      <c r="F36" s="242">
        <v>100</v>
      </c>
    </row>
    <row r="37" spans="1:6" ht="20.100000000000001" customHeight="1" x14ac:dyDescent="0.2">
      <c r="A37" s="5" t="str">
        <f>HYPERLINK("#'10.1.1-2 Solid waste treatment'!A1", "10.1.1.1-2 Solid waste")</f>
        <v>10.1.1.1-2 Solid waste</v>
      </c>
      <c r="D37" s="33" t="s">
        <v>1000</v>
      </c>
      <c r="E37" s="248" t="s">
        <v>1001</v>
      </c>
      <c r="F37" s="242">
        <v>100</v>
      </c>
    </row>
    <row r="38" spans="1:6" ht="20.100000000000001" customHeight="1" x14ac:dyDescent="0.2">
      <c r="A38" s="5" t="str">
        <f>HYPERLINK("#'14.1.1-2 Purchased electricity'!A1", "14.1.1-2 Purchased electricity")</f>
        <v>14.1.1-2 Purchased electricity</v>
      </c>
      <c r="D38" s="33" t="s">
        <v>1002</v>
      </c>
      <c r="E38" s="248" t="s">
        <v>1003</v>
      </c>
      <c r="F38" s="242">
        <v>100</v>
      </c>
    </row>
    <row r="39" spans="1:6" ht="20.100000000000001" customHeight="1" x14ac:dyDescent="0.2">
      <c r="A39" s="5" t="str">
        <f>HYPERLINK("#'15 Scope 3'!A1", "15 Scope 3")</f>
        <v>15 Scope 3</v>
      </c>
      <c r="D39" s="33"/>
      <c r="E39" s="198"/>
      <c r="F39" s="74"/>
    </row>
    <row r="40" spans="1:6" ht="20.100000000000001" customHeight="1" x14ac:dyDescent="0.2">
      <c r="A40" s="5" t="str">
        <f>HYPERLINK("#'Calcs - Manure sent off-site'!A1", "Calcs - Manure sent off-site")</f>
        <v>Calcs - Manure sent off-site</v>
      </c>
      <c r="D40" s="33"/>
      <c r="E40" s="198"/>
      <c r="F40" s="74"/>
    </row>
    <row r="41" spans="1:6" ht="20.100000000000001" customHeight="1" x14ac:dyDescent="0.2">
      <c r="A41" s="5" t="str">
        <f>HYPERLINK("#'5.1.1.1-2 Inorganic fert N2O'!A1", "5.1.1.1-2 Inorganic fert N2O")</f>
        <v>5.1.1.1-2 Inorganic fert N2O</v>
      </c>
      <c r="D41" s="33"/>
      <c r="E41" s="198"/>
      <c r="F41" s="74"/>
    </row>
    <row r="42" spans="1:6" ht="20.100000000000001" customHeight="1" x14ac:dyDescent="0.2">
      <c r="A42" s="5" t="str">
        <f>HYPERLINK("#'5.1.1.3-4 Inorganic fert CO2'!A1", "5.1.1.3-4 Inorganic fert CO2")</f>
        <v>5.1.1.3-4 Inorganic fert CO2</v>
      </c>
      <c r="D42" s="33"/>
      <c r="E42" s="198"/>
      <c r="F42" s="74"/>
    </row>
    <row r="43" spans="1:6" ht="20.100000000000001" customHeight="1" x14ac:dyDescent="0.2">
      <c r="A43" s="5" t="str">
        <f>HYPERLINK("#'5.2.1.1-2 Organic Fert N2O'!A1", "5.2.1.1-2 Organic Fert N2O")</f>
        <v>5.2.1.1-2 Organic Fert N2O</v>
      </c>
    </row>
    <row r="44" spans="1:6" ht="20.100000000000001" customHeight="1" x14ac:dyDescent="0.2">
      <c r="A44" s="5" t="str">
        <f>HYPERLINK("#'5.3.1.1-2 Lime CO2'!A1", "5.3.1.1-2 Lime CO2")</f>
        <v>5.3.1.1-2 Lime CO2</v>
      </c>
    </row>
    <row r="45" spans="1:6" ht="20.100000000000001" customHeight="1" x14ac:dyDescent="0.2">
      <c r="A45" s="5" t="str">
        <f>HYPERLINK("#'5.4.1.1-4 Atmos deposition'!A1", "5.4.1.1-4 Atmos deposition")</f>
        <v>5.4.1.1-4 Atmos deposition</v>
      </c>
    </row>
    <row r="46" spans="1:6" ht="20.100000000000001" customHeight="1" x14ac:dyDescent="0.2">
      <c r="A46" s="5" t="str">
        <f>HYPERLINK("#'5.5.1.1-2 Leaching and runoff'!A1", "5.5.1.1-2 Leaching and runoff")</f>
        <v>5.5.1.1-2 Leaching and runoff</v>
      </c>
      <c r="D46" s="2" t="s">
        <v>1008</v>
      </c>
      <c r="E46" s="239"/>
      <c r="F46" s="239"/>
    </row>
    <row r="47" spans="1:6" ht="20.100000000000001" customHeight="1" x14ac:dyDescent="0.2">
      <c r="D47" s="1" t="str">
        <f>'Constants - Scope 3'!E202</f>
        <v>Animal ear tags (large)</v>
      </c>
      <c r="E47" s="74">
        <v>100</v>
      </c>
      <c r="F47" s="16" t="s">
        <v>1009</v>
      </c>
    </row>
    <row r="48" spans="1:6" ht="20.100000000000001" customHeight="1" x14ac:dyDescent="0.2">
      <c r="D48" s="1" t="str">
        <f>'Constants - Scope 3'!E203</f>
        <v>Animal ear tags (small)</v>
      </c>
      <c r="E48" s="74">
        <v>200</v>
      </c>
      <c r="F48" s="16" t="s">
        <v>1009</v>
      </c>
    </row>
    <row r="49" spans="1:1" ht="20.100000000000001" customHeight="1" x14ac:dyDescent="0.2">
      <c r="A49" s="80" t="s">
        <v>1</v>
      </c>
    </row>
    <row r="50" spans="1:1" ht="20.100000000000001" customHeight="1" x14ac:dyDescent="0.2">
      <c r="A50" s="5" t="str">
        <f>HYPERLINK("#'Constants - Poultry'!A1", "Constants - Poultry")</f>
        <v>Constants - Poultry</v>
      </c>
    </row>
    <row r="51" spans="1:1" ht="20.100000000000001" customHeight="1" x14ac:dyDescent="0.2">
      <c r="A51" s="5" t="str">
        <f>HYPERLINK("#'Constants - Common livestock'!A1", "Constants - Common Livestock")</f>
        <v>Constants - Common Livestock</v>
      </c>
    </row>
    <row r="52" spans="1:1" ht="20.100000000000001" customHeight="1" x14ac:dyDescent="0.2">
      <c r="A52" s="5" t="str">
        <f>HYPERLINK("#'Constants - Electricity'!A1", "Constants - Electricity")</f>
        <v>Constants - Electricity</v>
      </c>
    </row>
    <row r="53" spans="1:1" ht="20.100000000000001" customHeight="1" x14ac:dyDescent="0.2">
      <c r="A53" s="5" t="str">
        <f>HYPERLINK("#'Constants - Fertiliser'!A1", "Constants - Fertiliser")</f>
        <v>Constants - Fertiliser</v>
      </c>
    </row>
    <row r="54" spans="1:1" ht="20.100000000000001" customHeight="1" x14ac:dyDescent="0.2">
      <c r="A54" s="5" t="str">
        <f>HYPERLINK("#'Constants - Fuel'!A1", "Constants - Fuel")</f>
        <v>Constants - Fuel</v>
      </c>
    </row>
    <row r="55" spans="1:1" ht="20.100000000000001" customHeight="1" x14ac:dyDescent="0.2">
      <c r="A55" s="5" t="str">
        <f>HYPERLINK("#'Constants - Scope 3'!A1", "Constants - Scope 3")</f>
        <v>Constants - Scope 3</v>
      </c>
    </row>
    <row r="56" spans="1:1" ht="20.100000000000001" customHeight="1" x14ac:dyDescent="0.2">
      <c r="A56" s="5" t="str">
        <f>HYPERLINK("#'Constants - Solid Waste'!A1", "Constants - Solid Waste")</f>
        <v>Constants - Solid Waste</v>
      </c>
    </row>
    <row r="57" spans="1:1" ht="20.100000000000001" customHeight="1" x14ac:dyDescent="0.2">
      <c r="A57" s="5" t="str">
        <f>HYPERLINK("#'Constants - Common'!A1", "Constants - Common")</f>
        <v>Constants - Common</v>
      </c>
    </row>
  </sheetData>
  <dataValidations count="3">
    <dataValidation type="list" allowBlank="1" showInputMessage="1" showErrorMessage="1" sqref="E33:E42" xr:uid="{29CEB145-5155-42E5-8811-53E5166A43A4}">
      <formula1>INDIRECT("Table_SourceData_Scope3_ChemicalsPharmacy[Product]")</formula1>
    </dataValidation>
    <dataValidation type="list" allowBlank="1" showInputMessage="1" showErrorMessage="1" sqref="M19:M28 P19:P28 J19:J28 G19:G28" xr:uid="{4E430547-A927-4A55-84FF-53C678689991}">
      <formula1>INDIRECT("Table_ProductRegions_" &amp; SUBSTITUTE(SUBSTITUTE(SUBSTITUTE(SUBSTITUTE(F19, " ", ""), ",", ""), "(", ""), ")", "") &amp; "[Region]")</formula1>
    </dataValidation>
    <dataValidation type="list" allowBlank="1" showInputMessage="1" showErrorMessage="1" sqref="F19:F28 I19:I28 L19:L28 O19:O28" xr:uid="{3907FA40-5501-4E62-B496-9A9DAFD78509}">
      <formula1>INDIRECT(_xlfn.UNIQUE("Table_SourceData_Scope3_Feed[Product]"))</formula1>
    </dataValidation>
  </dataValidations>
  <pageMargins left="0.7" right="0.7" top="0.75" bottom="0.75" header="0.3" footer="0.3"/>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002DF-5225-4057-9CCE-7325213EDCCD}">
  <sheetPr>
    <tabColor theme="5" tint="-0.249977111117893"/>
  </sheetPr>
  <dimension ref="A1:J57"/>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5703125" customWidth="1"/>
    <col min="3" max="3" width="4.5703125" style="1" customWidth="1"/>
    <col min="4" max="4" width="40.7109375" style="1" customWidth="1"/>
    <col min="5" max="9" width="30.5703125" style="1" customWidth="1"/>
    <col min="10" max="10" width="4.5703125" style="1" customWidth="1"/>
  </cols>
  <sheetData>
    <row r="1" spans="1:10" s="10" customFormat="1" ht="30" customHeight="1" x14ac:dyDescent="0.35">
      <c r="C1" s="10" t="s">
        <v>1010</v>
      </c>
    </row>
    <row r="2" spans="1:10" s="3" customFormat="1" ht="20.100000000000001" customHeight="1" x14ac:dyDescent="0.2">
      <c r="A2"/>
    </row>
    <row r="3" spans="1:10" ht="20.100000000000001" customHeight="1" x14ac:dyDescent="0.2">
      <c r="A3" s="5" t="str">
        <f>HYPERLINK("#'Home'!A1", "Home")</f>
        <v>Home</v>
      </c>
      <c r="C3" s="28"/>
      <c r="D3" s="28"/>
      <c r="E3" s="28"/>
      <c r="F3" s="28"/>
      <c r="G3" s="28"/>
      <c r="H3" s="28"/>
      <c r="I3" s="28"/>
      <c r="J3" s="28"/>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row>
    <row r="6" spans="1:10" ht="20.100000000000001" customHeight="1" x14ac:dyDescent="0.2">
      <c r="D6" s="2" t="s">
        <v>1011</v>
      </c>
    </row>
    <row r="8" spans="1:10" ht="20.100000000000001" customHeight="1" x14ac:dyDescent="0.2">
      <c r="A8" s="7" t="s">
        <v>0</v>
      </c>
      <c r="D8" s="19" t="s">
        <v>1012</v>
      </c>
      <c r="E8" s="19" t="s">
        <v>1013</v>
      </c>
      <c r="F8" s="19" t="s">
        <v>1014</v>
      </c>
      <c r="G8" s="19" t="s">
        <v>1015</v>
      </c>
      <c r="H8" s="19" t="s">
        <v>1016</v>
      </c>
    </row>
    <row r="9" spans="1:10" ht="20.100000000000001" customHeight="1" x14ac:dyDescent="0.2">
      <c r="A9" s="5" t="str">
        <f>HYPERLINK("#'Input - Enterprise'!A1", "Enterprise")</f>
        <v>Enterprise</v>
      </c>
      <c r="D9" s="33" t="s">
        <v>1017</v>
      </c>
      <c r="E9" s="13" t="s">
        <v>1018</v>
      </c>
      <c r="F9" s="19">
        <v>986</v>
      </c>
      <c r="G9" s="19">
        <v>10</v>
      </c>
      <c r="H9" s="19">
        <v>52</v>
      </c>
    </row>
    <row r="10" spans="1:10" ht="20.100000000000001" customHeight="1" x14ac:dyDescent="0.2">
      <c r="A10" s="5" t="str">
        <f>HYPERLINK("#'Input - Site'!A1", "Site")</f>
        <v>Site</v>
      </c>
      <c r="D10" s="33" t="s">
        <v>1019</v>
      </c>
      <c r="E10" s="13" t="s">
        <v>1020</v>
      </c>
      <c r="F10" s="19">
        <v>65</v>
      </c>
      <c r="G10" s="19">
        <v>10</v>
      </c>
      <c r="H10" s="19">
        <v>6</v>
      </c>
    </row>
    <row r="11" spans="1:10" ht="20.100000000000001" customHeight="1" x14ac:dyDescent="0.2">
      <c r="A11" s="5" t="str">
        <f>HYPERLINK("#'Input - Poultry'!A1", "Poultry")</f>
        <v>Poultry</v>
      </c>
      <c r="D11" s="33"/>
      <c r="E11" s="13"/>
      <c r="F11" s="19"/>
      <c r="G11" s="19"/>
      <c r="H11" s="19"/>
    </row>
    <row r="12" spans="1:10" ht="20.100000000000001" customHeight="1" x14ac:dyDescent="0.2">
      <c r="A12" s="5" t="str">
        <f>HYPERLINK("#'Input - Livestock sales'!A1", "Livestock sales")</f>
        <v>Livestock sales</v>
      </c>
      <c r="D12" s="33"/>
      <c r="E12" s="13"/>
      <c r="F12" s="19"/>
      <c r="G12" s="19"/>
      <c r="H12" s="19"/>
    </row>
    <row r="13" spans="1:10" ht="20.100000000000001" customHeight="1" x14ac:dyDescent="0.2">
      <c r="A13" s="5" t="str">
        <f>HYPERLINK("#'Input - Poultry purchases'!A1", "Poultry purchases")</f>
        <v>Poultry purchases</v>
      </c>
      <c r="D13" s="33"/>
      <c r="E13" s="13"/>
      <c r="F13" s="19"/>
      <c r="G13" s="19"/>
      <c r="H13" s="19"/>
    </row>
    <row r="14" spans="1:10" ht="20.100000000000001" customHeight="1" x14ac:dyDescent="0.2">
      <c r="A14" s="5" t="str">
        <f>HYPERLINK("#'Input - Fuel'!A1", "Fuel")</f>
        <v>Fuel</v>
      </c>
      <c r="D14" s="33"/>
      <c r="E14" s="13"/>
      <c r="F14" s="19"/>
      <c r="G14" s="19"/>
      <c r="H14" s="19"/>
    </row>
    <row r="15" spans="1:10" ht="20.100000000000001" customHeight="1" x14ac:dyDescent="0.2">
      <c r="A15" s="5" t="str">
        <f>HYPERLINK("#'Input - Electricity'!A1", "Electricity")</f>
        <v>Electricity</v>
      </c>
      <c r="D15" s="33"/>
      <c r="E15" s="13"/>
      <c r="F15" s="19"/>
      <c r="G15" s="19"/>
      <c r="H15" s="19"/>
    </row>
    <row r="16" spans="1:10" ht="20.100000000000001" customHeight="1" x14ac:dyDescent="0.2">
      <c r="A16" s="5" t="str">
        <f>HYPERLINK("#'Input - Common farm inputs'!A1", "Common farm inputs")</f>
        <v>Common farm inputs</v>
      </c>
      <c r="D16" s="33"/>
      <c r="E16" s="13"/>
      <c r="F16" s="19"/>
      <c r="G16" s="19"/>
      <c r="H16" s="19"/>
    </row>
    <row r="17" spans="1:8" ht="20.100000000000001" customHeight="1" x14ac:dyDescent="0.2">
      <c r="A17" s="5" t="str">
        <f>HYPERLINK("#'Input - Livestock farm Inputs'!A1", "Livestock farm Inputs")</f>
        <v>Livestock farm Inputs</v>
      </c>
      <c r="D17" s="33"/>
      <c r="E17" s="13"/>
      <c r="F17" s="19"/>
      <c r="G17" s="19"/>
      <c r="H17" s="19"/>
    </row>
    <row r="18" spans="1:8" ht="20.100000000000001" customHeight="1" x14ac:dyDescent="0.2">
      <c r="A18" s="100" t="str">
        <f>HYPERLINK("#'Input - Freight'!A1", "Freight")</f>
        <v>Freight</v>
      </c>
      <c r="D18" s="33"/>
      <c r="E18" s="13"/>
      <c r="F18" s="19"/>
      <c r="G18" s="19"/>
      <c r="H18" s="19"/>
    </row>
    <row r="19" spans="1:8" ht="20.100000000000001" customHeight="1" x14ac:dyDescent="0.2">
      <c r="A19" s="5" t="str">
        <f>HYPERLINK("#'Input - Solid waste'!A1", "Solid waste")</f>
        <v>Solid waste</v>
      </c>
    </row>
    <row r="20" spans="1:8" ht="20.100000000000001" customHeight="1" x14ac:dyDescent="0.2">
      <c r="A20" s="5" t="str">
        <f>HYPERLINK("#'Input - Manure sent off-site'!A1", "Manure sent off-site")</f>
        <v>Manure sent off-site</v>
      </c>
    </row>
    <row r="21" spans="1:8" ht="20.100000000000001" customHeight="1" x14ac:dyDescent="0.2">
      <c r="A21" s="5" t="str">
        <f>HYPERLINK("#'Input - Data quality'!A1", "Data quality")</f>
        <v>Data quality</v>
      </c>
    </row>
    <row r="22" spans="1:8" ht="20.100000000000001" customHeight="1" x14ac:dyDescent="0.2">
      <c r="A22" s="5" t="str">
        <f>HYPERLINK("#'Input - Fert Prod System'!A1", "Fert Prod System")</f>
        <v>Fert Prod System</v>
      </c>
      <c r="D22" s="2" t="s">
        <v>1021</v>
      </c>
    </row>
    <row r="23" spans="1:8" ht="20.100000000000001" customHeight="1" x14ac:dyDescent="0.2">
      <c r="A23" s="5" t="str">
        <f>HYPERLINK("#'Input - Fertiliser'!A1", "Fertiliser")</f>
        <v>Fertiliser</v>
      </c>
    </row>
    <row r="24" spans="1:8" ht="20.100000000000001" customHeight="1" x14ac:dyDescent="0.2">
      <c r="D24" s="19" t="s">
        <v>1012</v>
      </c>
      <c r="E24" s="19" t="s">
        <v>1013</v>
      </c>
      <c r="F24" s="19" t="s">
        <v>1014</v>
      </c>
      <c r="G24" s="19" t="s">
        <v>1015</v>
      </c>
      <c r="H24" s="19" t="s">
        <v>1016</v>
      </c>
    </row>
    <row r="25" spans="1:8" ht="20.100000000000001" customHeight="1" x14ac:dyDescent="0.2">
      <c r="D25" s="33" t="s">
        <v>1022</v>
      </c>
      <c r="E25" s="13" t="s">
        <v>1018</v>
      </c>
      <c r="F25" s="19">
        <v>65</v>
      </c>
      <c r="G25" s="19">
        <v>20</v>
      </c>
      <c r="H25" s="19">
        <v>52</v>
      </c>
    </row>
    <row r="26" spans="1:8" ht="20.100000000000001" customHeight="1" x14ac:dyDescent="0.2">
      <c r="A26" s="6" t="s">
        <v>2</v>
      </c>
      <c r="D26" s="33"/>
      <c r="E26" s="13"/>
      <c r="F26" s="19"/>
      <c r="G26" s="19"/>
      <c r="H26" s="19"/>
    </row>
    <row r="27" spans="1:8" ht="20.100000000000001" customHeight="1" x14ac:dyDescent="0.2">
      <c r="A27" s="5" t="str">
        <f>HYPERLINK("#'4.6.1.1-2 Methane'!A1", "4.6.1.1-2 Manure Methane")</f>
        <v>4.6.1.1-2 Manure Methane</v>
      </c>
      <c r="D27" s="33"/>
      <c r="E27" s="13"/>
      <c r="F27" s="19"/>
      <c r="G27" s="19"/>
      <c r="H27" s="19"/>
    </row>
    <row r="28" spans="1:8" ht="20.100000000000001" customHeight="1" x14ac:dyDescent="0.2">
      <c r="A28" s="5" t="str">
        <f>HYPERLINK("#'4.6.1.3-4 Direct N20'!A1", "4.6.1.3-4 Manure Direct N2O")</f>
        <v>4.6.1.3-4 Manure Direct N2O</v>
      </c>
      <c r="D28" s="33"/>
      <c r="E28" s="13"/>
      <c r="F28" s="19"/>
      <c r="G28" s="19"/>
      <c r="H28" s="19"/>
    </row>
    <row r="29" spans="1:8" ht="20.100000000000001" customHeight="1" x14ac:dyDescent="0.2">
      <c r="A29" s="5" t="str">
        <f>HYPERLINK("#'4.6.1.5-6 Atmos Dep'!A1", "4.6.1.5-6 Manure Atmos Dep")</f>
        <v>4.6.1.5-6 Manure Atmos Dep</v>
      </c>
      <c r="D29" s="33"/>
      <c r="E29" s="13"/>
      <c r="F29" s="19"/>
      <c r="G29" s="19"/>
      <c r="H29" s="19"/>
    </row>
    <row r="30" spans="1:8" ht="20.100000000000001" customHeight="1" x14ac:dyDescent="0.2">
      <c r="A30" s="5" t="str">
        <f>HYPERLINK("#'4.6.1.7-8 Leaching and runoff'!A1", "4.6.1.7-8 Manure Leaching and runoff")</f>
        <v>4.6.1.7-8 Manure Leaching and runoff</v>
      </c>
      <c r="D30" s="33"/>
      <c r="E30" s="13"/>
      <c r="F30" s="19"/>
      <c r="G30" s="19"/>
      <c r="H30" s="19"/>
    </row>
    <row r="31" spans="1:8" ht="20.100000000000001" customHeight="1" x14ac:dyDescent="0.2">
      <c r="A31" s="5" t="str">
        <f>HYPERLINK("#'4.6.1.9 Manure applied to soils'!A1", "4.6.1.9 Manure applied to soils")</f>
        <v>4.6.1.9 Manure applied to soils</v>
      </c>
      <c r="D31" s="33"/>
      <c r="E31" s="13"/>
      <c r="F31" s="19"/>
      <c r="G31" s="19"/>
      <c r="H31" s="19"/>
    </row>
    <row r="32" spans="1:8" ht="20.100000000000001" customHeight="1" x14ac:dyDescent="0.2">
      <c r="A32" s="5" t="str">
        <f>HYPERLINK("#'4.6.1.10-11 Soil direct N2O'!A1", "4.6.1.10-11 Soil direct N2O")</f>
        <v>4.6.1.10-11 Soil direct N2O</v>
      </c>
      <c r="D32" s="33"/>
      <c r="E32" s="13"/>
      <c r="F32" s="19"/>
      <c r="G32" s="19"/>
      <c r="H32" s="19"/>
    </row>
    <row r="33" spans="1:8" ht="20.100000000000001" customHeight="1" x14ac:dyDescent="0.2">
      <c r="A33" s="5" t="str">
        <f>HYPERLINK("#'4.6.1.12-13 Soil atmos dep'!A1", "4.6.1.12-13 Soil atmos dep")</f>
        <v>4.6.1.12-13 Soil atmos dep</v>
      </c>
      <c r="D33" s="33"/>
      <c r="E33" s="13"/>
      <c r="F33" s="19"/>
      <c r="G33" s="19"/>
      <c r="H33" s="19"/>
    </row>
    <row r="34" spans="1:8" ht="20.100000000000001" customHeight="1" x14ac:dyDescent="0.2">
      <c r="A34" s="5" t="str">
        <f>HYPERLINK("#'4.6.1.14-15 Soil leach runoff'!A1", "4.6.1.14-15 Soil leach runoff")</f>
        <v>4.6.1.14-15 Soil leach runoff</v>
      </c>
      <c r="D34" s="33"/>
      <c r="E34" s="13"/>
      <c r="F34" s="19"/>
      <c r="G34" s="19"/>
      <c r="H34" s="19"/>
    </row>
    <row r="35" spans="1:8" ht="20.100000000000001" customHeight="1" x14ac:dyDescent="0.2">
      <c r="A35" s="5" t="str">
        <f>HYPERLINK("#'8.1.1.1-2 Transport fuel'!A1", "8.1.1.1-2 Transport fuel")</f>
        <v>8.1.1.1-2 Transport fuel</v>
      </c>
    </row>
    <row r="36" spans="1:8" ht="20.100000000000001" customHeight="1" x14ac:dyDescent="0.2">
      <c r="A36" s="5" t="str">
        <f>HYPERLINK("#'8.2.1.1-2 Stationary fuel'!A1", "8.2.1.1-2 Stationary fuel")</f>
        <v>8.2.1.1-2 Stationary fuel</v>
      </c>
    </row>
    <row r="37" spans="1:8" ht="20.100000000000001" customHeight="1" x14ac:dyDescent="0.2">
      <c r="A37" s="5" t="str">
        <f>HYPERLINK("#'10.1.1-2 Solid waste treatment'!A1", "10.1.1.1-2 Solid waste")</f>
        <v>10.1.1.1-2 Solid waste</v>
      </c>
    </row>
    <row r="38" spans="1:8" ht="20.100000000000001" customHeight="1" x14ac:dyDescent="0.2">
      <c r="A38" s="5" t="str">
        <f>HYPERLINK("#'14.1.1-2 Purchased electricity'!A1", "14.1.1-2 Purchased electricity")</f>
        <v>14.1.1-2 Purchased electricity</v>
      </c>
    </row>
    <row r="39" spans="1:8" ht="20.100000000000001" customHeight="1" x14ac:dyDescent="0.2">
      <c r="A39" s="5" t="str">
        <f>HYPERLINK("#'15 Scope 3'!A1", "15 Scope 3")</f>
        <v>15 Scope 3</v>
      </c>
    </row>
    <row r="40" spans="1:8" ht="20.100000000000001" customHeight="1" x14ac:dyDescent="0.2">
      <c r="A40" s="5" t="str">
        <f>HYPERLINK("#'Calcs - Manure sent off-site'!A1", "Calcs - Manure sent off-site")</f>
        <v>Calcs - Manure sent off-site</v>
      </c>
    </row>
    <row r="41" spans="1:8" ht="20.100000000000001" customHeight="1" x14ac:dyDescent="0.2">
      <c r="A41" s="5" t="str">
        <f>HYPERLINK("#'5.1.1.1-2 Inorganic fert N2O'!A1", "5.1.1.1-2 Inorganic fert N2O")</f>
        <v>5.1.1.1-2 Inorganic fert N2O</v>
      </c>
    </row>
    <row r="42" spans="1:8" ht="20.100000000000001" customHeight="1" x14ac:dyDescent="0.2">
      <c r="A42" s="5" t="str">
        <f>HYPERLINK("#'5.1.1.3-4 Inorganic fert CO2'!A1", "5.1.1.3-4 Inorganic fert CO2")</f>
        <v>5.1.1.3-4 Inorganic fert CO2</v>
      </c>
    </row>
    <row r="43" spans="1:8" ht="20.100000000000001" customHeight="1" x14ac:dyDescent="0.2">
      <c r="A43" s="5" t="str">
        <f>HYPERLINK("#'5.2.1.1-2 Organic Fert N2O'!A1", "5.2.1.1-2 Organic Fert N2O")</f>
        <v>5.2.1.1-2 Organic Fert N2O</v>
      </c>
    </row>
    <row r="44" spans="1:8" ht="20.100000000000001" customHeight="1" x14ac:dyDescent="0.2">
      <c r="A44" s="5" t="str">
        <f>HYPERLINK("#'5.3.1.1-2 Lime CO2'!A1", "5.3.1.1-2 Lime CO2")</f>
        <v>5.3.1.1-2 Lime CO2</v>
      </c>
    </row>
    <row r="45" spans="1:8" ht="20.100000000000001" customHeight="1" x14ac:dyDescent="0.2">
      <c r="A45" s="5" t="str">
        <f>HYPERLINK("#'5.4.1.1-4 Atmos deposition'!A1", "5.4.1.1-4 Atmos deposition")</f>
        <v>5.4.1.1-4 Atmos deposition</v>
      </c>
    </row>
    <row r="46" spans="1:8" ht="20.100000000000001" customHeight="1" x14ac:dyDescent="0.2">
      <c r="A46" s="5" t="str">
        <f>HYPERLINK("#'5.5.1.1-2 Leaching and runoff'!A1", "5.5.1.1-2 Leaching and runoff")</f>
        <v>5.5.1.1-2 Leaching and runoff</v>
      </c>
    </row>
    <row r="49" spans="1:1" ht="20.100000000000001" customHeight="1" x14ac:dyDescent="0.2">
      <c r="A49" s="80" t="s">
        <v>1</v>
      </c>
    </row>
    <row r="50" spans="1:1" ht="20.100000000000001" customHeight="1" x14ac:dyDescent="0.2">
      <c r="A50" s="5" t="str">
        <f>HYPERLINK("#'Constants - Poultry'!A1", "Constants - Poultry")</f>
        <v>Constants - Poultry</v>
      </c>
    </row>
    <row r="51" spans="1:1" ht="20.100000000000001" customHeight="1" x14ac:dyDescent="0.2">
      <c r="A51" s="5" t="str">
        <f>HYPERLINK("#'Constants - Common livestock'!A1", "Constants - Common Livestock")</f>
        <v>Constants - Common Livestock</v>
      </c>
    </row>
    <row r="52" spans="1:1" ht="20.100000000000001" customHeight="1" x14ac:dyDescent="0.2">
      <c r="A52" s="5" t="str">
        <f>HYPERLINK("#'Constants - Electricity'!A1", "Constants - Electricity")</f>
        <v>Constants - Electricity</v>
      </c>
    </row>
    <row r="53" spans="1:1" ht="20.100000000000001" customHeight="1" x14ac:dyDescent="0.2">
      <c r="A53" s="5" t="str">
        <f>HYPERLINK("#'Constants - Fertiliser'!A1", "Constants - Fertiliser")</f>
        <v>Constants - Fertiliser</v>
      </c>
    </row>
    <row r="54" spans="1:1" ht="20.100000000000001" customHeight="1" x14ac:dyDescent="0.2">
      <c r="A54" s="5" t="str">
        <f>HYPERLINK("#'Constants - Fuel'!A1", "Constants - Fuel")</f>
        <v>Constants - Fuel</v>
      </c>
    </row>
    <row r="55" spans="1:1" ht="20.100000000000001" customHeight="1" x14ac:dyDescent="0.2">
      <c r="A55" s="5" t="str">
        <f>HYPERLINK("#'Constants - Scope 3'!A1", "Constants - Scope 3")</f>
        <v>Constants - Scope 3</v>
      </c>
    </row>
    <row r="56" spans="1:1" ht="20.100000000000001" customHeight="1" x14ac:dyDescent="0.2">
      <c r="A56" s="5" t="str">
        <f>HYPERLINK("#'Constants - Solid Waste'!A1", "Constants - Solid Waste")</f>
        <v>Constants - Solid Waste</v>
      </c>
    </row>
    <row r="57" spans="1:1" ht="20.100000000000001" customHeight="1" x14ac:dyDescent="0.2">
      <c r="A57" s="5" t="str">
        <f>HYPERLINK("#'Constants - Common'!A1", "Constants - Common")</f>
        <v>Constants - Common</v>
      </c>
    </row>
  </sheetData>
  <dataValidations count="1">
    <dataValidation type="list" allowBlank="1" showInputMessage="1" showErrorMessage="1" sqref="E9:E18 E25:E34" xr:uid="{4019C685-1F14-456C-B29F-68B6050C495E}">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B3DEE-0B05-4B5F-A717-8CC9EA13734B}">
  <sheetPr>
    <tabColor theme="5" tint="-0.249977111117893"/>
  </sheetPr>
  <dimension ref="A1:L385"/>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4" width="66.7109375" style="1" customWidth="1"/>
    <col min="5" max="5" width="47" style="1" customWidth="1"/>
    <col min="6" max="6" width="67.710937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873</v>
      </c>
    </row>
    <row r="2" spans="1:10" s="3" customFormat="1" ht="20.100000000000001" customHeight="1" x14ac:dyDescent="0.2">
      <c r="A2"/>
    </row>
    <row r="3" spans="1:10" ht="20.100000000000001" customHeight="1" x14ac:dyDescent="0.2">
      <c r="A3" s="5" t="str">
        <f>HYPERLINK("#'Home'!A1", "Home")</f>
        <v>Home</v>
      </c>
      <c r="C3" s="28"/>
      <c r="D3" s="28"/>
      <c r="E3" s="28"/>
      <c r="F3" s="28"/>
      <c r="G3" s="28"/>
      <c r="H3" s="28"/>
      <c r="I3" s="28"/>
      <c r="J3" s="28"/>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c r="D5" s="2" t="s">
        <v>874</v>
      </c>
    </row>
    <row r="7" spans="1:10" ht="20.100000000000001" customHeight="1" x14ac:dyDescent="0.2">
      <c r="D7" s="35" t="s">
        <v>556</v>
      </c>
      <c r="E7" s="38"/>
    </row>
    <row r="8" spans="1:10" ht="20.100000000000001" customHeight="1" x14ac:dyDescent="0.2">
      <c r="A8" s="7" t="s">
        <v>0</v>
      </c>
    </row>
    <row r="9" spans="1:10" ht="20.100000000000001" customHeight="1" x14ac:dyDescent="0.2">
      <c r="A9" s="5" t="str">
        <f>HYPERLINK("#'Input - Enterprise'!A1", "Enterprise")</f>
        <v>Enterprise</v>
      </c>
      <c r="D9" s="78" t="s">
        <v>156</v>
      </c>
      <c r="E9" s="78" t="s">
        <v>875</v>
      </c>
      <c r="F9" s="78" t="s">
        <v>876</v>
      </c>
      <c r="G9" s="78" t="s">
        <v>877</v>
      </c>
      <c r="H9" s="78" t="s">
        <v>878</v>
      </c>
      <c r="I9" s="78" t="s">
        <v>879</v>
      </c>
    </row>
    <row r="10" spans="1:10" ht="20.100000000000001" customHeight="1" x14ac:dyDescent="0.2">
      <c r="A10" s="5" t="str">
        <f>HYPERLINK("#'Input - Site'!A1", "Site")</f>
        <v>Site</v>
      </c>
      <c r="D10" s="33" t="s">
        <v>880</v>
      </c>
      <c r="E10" s="13" t="s">
        <v>881</v>
      </c>
      <c r="F10" s="13" t="s">
        <v>882</v>
      </c>
      <c r="G10" s="13" t="s">
        <v>883</v>
      </c>
      <c r="H10" s="74">
        <v>50</v>
      </c>
      <c r="I10" s="13" t="s">
        <v>19</v>
      </c>
    </row>
    <row r="11" spans="1:10" ht="20.100000000000001" customHeight="1" x14ac:dyDescent="0.2">
      <c r="A11" s="5" t="str">
        <f>HYPERLINK("#'Input - Poultry'!A1", "Poultry")</f>
        <v>Poultry</v>
      </c>
      <c r="D11" s="33" t="s">
        <v>884</v>
      </c>
      <c r="E11" s="13" t="s">
        <v>881</v>
      </c>
      <c r="F11" s="13" t="s">
        <v>882</v>
      </c>
      <c r="G11" s="13" t="s">
        <v>885</v>
      </c>
      <c r="H11" s="74">
        <v>50</v>
      </c>
      <c r="I11" s="13" t="s">
        <v>886</v>
      </c>
    </row>
    <row r="12" spans="1:10" ht="20.100000000000001" customHeight="1" x14ac:dyDescent="0.2">
      <c r="A12" s="5" t="str">
        <f>HYPERLINK("#'Input - Livestock sales'!A1", "Livestock sales")</f>
        <v>Livestock sales</v>
      </c>
      <c r="D12" s="33" t="s">
        <v>887</v>
      </c>
      <c r="E12" s="13" t="s">
        <v>881</v>
      </c>
      <c r="F12" s="13" t="s">
        <v>888</v>
      </c>
      <c r="G12" s="13" t="s">
        <v>883</v>
      </c>
      <c r="H12" s="74">
        <v>50</v>
      </c>
      <c r="I12" s="13" t="s">
        <v>19</v>
      </c>
    </row>
    <row r="13" spans="1:10" ht="20.100000000000001" customHeight="1" x14ac:dyDescent="0.2">
      <c r="A13" s="5" t="str">
        <f>HYPERLINK("#'Input - Poultry purchases'!A1", "Poultry purchases")</f>
        <v>Poultry purchases</v>
      </c>
      <c r="D13" s="33" t="s">
        <v>889</v>
      </c>
      <c r="E13" s="13" t="s">
        <v>881</v>
      </c>
      <c r="F13" s="13" t="s">
        <v>888</v>
      </c>
      <c r="G13" s="13" t="s">
        <v>885</v>
      </c>
      <c r="H13" s="74">
        <v>50</v>
      </c>
      <c r="I13" s="13" t="s">
        <v>886</v>
      </c>
    </row>
    <row r="14" spans="1:10" ht="20.100000000000001" customHeight="1" x14ac:dyDescent="0.2">
      <c r="A14" s="5" t="str">
        <f>HYPERLINK("#'Input - Fuel'!A1", "Fuel")</f>
        <v>Fuel</v>
      </c>
      <c r="D14" s="33" t="s">
        <v>890</v>
      </c>
      <c r="E14" s="13" t="s">
        <v>891</v>
      </c>
      <c r="F14" s="13" t="s">
        <v>888</v>
      </c>
      <c r="G14" s="13" t="s">
        <v>883</v>
      </c>
      <c r="H14" s="74">
        <v>50</v>
      </c>
      <c r="I14" s="13" t="s">
        <v>19</v>
      </c>
    </row>
    <row r="15" spans="1:10" ht="20.100000000000001" customHeight="1" x14ac:dyDescent="0.2">
      <c r="A15" s="5" t="str">
        <f>HYPERLINK("#'Input - Electricity'!A1", "Electricity")</f>
        <v>Electricity</v>
      </c>
      <c r="D15" s="33" t="s">
        <v>892</v>
      </c>
      <c r="E15" s="13" t="s">
        <v>891</v>
      </c>
      <c r="F15" s="13" t="s">
        <v>888</v>
      </c>
      <c r="G15" s="13" t="s">
        <v>883</v>
      </c>
      <c r="H15" s="74">
        <v>50</v>
      </c>
      <c r="I15" s="13" t="s">
        <v>886</v>
      </c>
    </row>
    <row r="16" spans="1:10" ht="20.100000000000001" customHeight="1" x14ac:dyDescent="0.2">
      <c r="A16" s="5" t="str">
        <f>HYPERLINK("#'Input - Common farm inputs'!A1", "Common farm inputs")</f>
        <v>Common farm inputs</v>
      </c>
      <c r="D16" s="33" t="s">
        <v>893</v>
      </c>
      <c r="E16" s="13" t="s">
        <v>891</v>
      </c>
      <c r="F16" s="13" t="s">
        <v>888</v>
      </c>
      <c r="G16" s="13" t="s">
        <v>885</v>
      </c>
      <c r="H16" s="74">
        <v>50</v>
      </c>
      <c r="I16" s="13" t="s">
        <v>19</v>
      </c>
    </row>
    <row r="17" spans="1:11" ht="20.100000000000001" customHeight="1" x14ac:dyDescent="0.2">
      <c r="A17" s="5" t="str">
        <f>HYPERLINK("#'Input - Livestock farm Inputs'!A1", "Livestock farm Inputs")</f>
        <v>Livestock farm Inputs</v>
      </c>
      <c r="D17" s="33" t="s">
        <v>894</v>
      </c>
      <c r="E17" s="13" t="s">
        <v>891</v>
      </c>
      <c r="F17" s="13" t="s">
        <v>888</v>
      </c>
      <c r="G17" s="13" t="s">
        <v>885</v>
      </c>
      <c r="H17" s="74">
        <v>50</v>
      </c>
      <c r="I17" s="13" t="s">
        <v>886</v>
      </c>
    </row>
    <row r="18" spans="1:11" ht="20.100000000000001" customHeight="1" x14ac:dyDescent="0.2">
      <c r="A18" s="5" t="str">
        <f>HYPERLINK("#'Input - Freight'!A1", "Freight")</f>
        <v>Freight</v>
      </c>
      <c r="D18" s="33" t="s">
        <v>895</v>
      </c>
      <c r="E18" s="13" t="s">
        <v>891</v>
      </c>
      <c r="F18" s="13" t="s">
        <v>882</v>
      </c>
      <c r="G18" s="13" t="s">
        <v>883</v>
      </c>
      <c r="H18" s="74">
        <v>50</v>
      </c>
      <c r="I18" s="13" t="s">
        <v>19</v>
      </c>
    </row>
    <row r="19" spans="1:11" ht="20.100000000000001" customHeight="1" x14ac:dyDescent="0.2">
      <c r="A19" s="100" t="str">
        <f>HYPERLINK("#'Input - Solid waste'!A1", "Solid waste")</f>
        <v>Solid waste</v>
      </c>
      <c r="D19" s="33" t="s">
        <v>896</v>
      </c>
      <c r="E19" s="13" t="s">
        <v>891</v>
      </c>
      <c r="F19" s="13" t="s">
        <v>882</v>
      </c>
      <c r="G19" s="13" t="s">
        <v>883</v>
      </c>
      <c r="H19" s="74">
        <v>50</v>
      </c>
      <c r="I19" s="13" t="s">
        <v>886</v>
      </c>
    </row>
    <row r="20" spans="1:11" ht="20.100000000000001" customHeight="1" x14ac:dyDescent="0.2">
      <c r="A20" s="5" t="str">
        <f>HYPERLINK("#'Input - Manure sent off-site'!A1", "Manure sent off-site")</f>
        <v>Manure sent off-site</v>
      </c>
      <c r="D20" s="33" t="s">
        <v>897</v>
      </c>
      <c r="E20" s="13" t="s">
        <v>891</v>
      </c>
      <c r="F20" s="13" t="s">
        <v>882</v>
      </c>
      <c r="G20" s="13" t="s">
        <v>885</v>
      </c>
      <c r="H20" s="74">
        <v>50</v>
      </c>
      <c r="I20" s="13" t="s">
        <v>19</v>
      </c>
    </row>
    <row r="21" spans="1:11" ht="20.100000000000001" customHeight="1" x14ac:dyDescent="0.2">
      <c r="A21" s="5" t="str">
        <f>HYPERLINK("#'Input - Data quality'!A1", "Data quality")</f>
        <v>Data quality</v>
      </c>
      <c r="D21" s="33" t="s">
        <v>898</v>
      </c>
      <c r="E21" s="13" t="s">
        <v>891</v>
      </c>
      <c r="F21" s="13" t="s">
        <v>882</v>
      </c>
      <c r="G21" s="13" t="s">
        <v>885</v>
      </c>
      <c r="H21" s="74">
        <v>50</v>
      </c>
      <c r="I21" s="13" t="s">
        <v>886</v>
      </c>
    </row>
    <row r="22" spans="1:11" ht="20.100000000000001" customHeight="1" x14ac:dyDescent="0.2">
      <c r="A22" s="5" t="str">
        <f>HYPERLINK("#'Input - Fert Prod System'!A1", "Fert Prod System")</f>
        <v>Fert Prod System</v>
      </c>
      <c r="D22" s="33" t="s">
        <v>899</v>
      </c>
      <c r="E22" s="13" t="s">
        <v>891</v>
      </c>
      <c r="F22" s="13" t="s">
        <v>900</v>
      </c>
      <c r="G22" s="13" t="s">
        <v>883</v>
      </c>
      <c r="H22" s="74">
        <v>50</v>
      </c>
      <c r="I22" s="13" t="s">
        <v>19</v>
      </c>
    </row>
    <row r="23" spans="1:11" ht="20.100000000000001" customHeight="1" x14ac:dyDescent="0.2">
      <c r="A23" s="5" t="str">
        <f>HYPERLINK("#'Input - Fertiliser'!A1", "Fertiliser")</f>
        <v>Fertiliser</v>
      </c>
      <c r="D23" s="33" t="s">
        <v>901</v>
      </c>
      <c r="E23" s="13" t="s">
        <v>891</v>
      </c>
      <c r="F23" s="13" t="s">
        <v>900</v>
      </c>
      <c r="G23" s="13" t="s">
        <v>883</v>
      </c>
      <c r="H23" s="74">
        <v>50</v>
      </c>
      <c r="I23" s="13" t="s">
        <v>886</v>
      </c>
    </row>
    <row r="24" spans="1:11" ht="20.100000000000001" customHeight="1" x14ac:dyDescent="0.2">
      <c r="D24" s="33" t="s">
        <v>902</v>
      </c>
      <c r="E24" s="13" t="s">
        <v>891</v>
      </c>
      <c r="F24" s="13" t="s">
        <v>900</v>
      </c>
      <c r="G24" s="13" t="s">
        <v>885</v>
      </c>
      <c r="H24" s="74">
        <v>50</v>
      </c>
      <c r="I24" s="13" t="s">
        <v>19</v>
      </c>
    </row>
    <row r="25" spans="1:11" ht="20.100000000000001" customHeight="1" x14ac:dyDescent="0.2">
      <c r="D25" s="33" t="s">
        <v>903</v>
      </c>
      <c r="E25" s="13" t="s">
        <v>891</v>
      </c>
      <c r="F25" s="13" t="s">
        <v>900</v>
      </c>
      <c r="G25" s="13" t="s">
        <v>885</v>
      </c>
      <c r="H25" s="74">
        <v>50</v>
      </c>
      <c r="I25" s="13" t="s">
        <v>886</v>
      </c>
    </row>
    <row r="26" spans="1:11" ht="20.100000000000001" customHeight="1" x14ac:dyDescent="0.2">
      <c r="A26" s="6" t="s">
        <v>2</v>
      </c>
      <c r="D26" s="33" t="s">
        <v>904</v>
      </c>
      <c r="E26" s="13" t="s">
        <v>905</v>
      </c>
      <c r="F26" s="13" t="s">
        <v>882</v>
      </c>
      <c r="G26" s="13" t="s">
        <v>885</v>
      </c>
      <c r="H26" s="74">
        <v>50</v>
      </c>
      <c r="I26" s="13" t="s">
        <v>19</v>
      </c>
    </row>
    <row r="27" spans="1:11" ht="20.100000000000001" customHeight="1" x14ac:dyDescent="0.2">
      <c r="A27" s="5" t="str">
        <f>HYPERLINK("#'4.6.1.1-2 Methane'!A1", "4.6.1.1-2 Manure Methane")</f>
        <v>4.6.1.1-2 Manure Methane</v>
      </c>
      <c r="D27" s="33" t="s">
        <v>906</v>
      </c>
      <c r="E27" s="13" t="s">
        <v>905</v>
      </c>
      <c r="F27" s="13" t="s">
        <v>882</v>
      </c>
      <c r="G27" s="13" t="s">
        <v>885</v>
      </c>
      <c r="H27" s="74">
        <v>50</v>
      </c>
      <c r="I27" s="13" t="s">
        <v>886</v>
      </c>
    </row>
    <row r="28" spans="1:11" ht="20.100000000000001" customHeight="1" x14ac:dyDescent="0.2">
      <c r="A28" s="5" t="str">
        <f>HYPERLINK("#'4.6.1.3-4 Direct N20'!A1", "4.6.1.3-4 Manure Direct N2O")</f>
        <v>4.6.1.3-4 Manure Direct N2O</v>
      </c>
      <c r="D28" s="33" t="s">
        <v>907</v>
      </c>
      <c r="E28" s="13" t="s">
        <v>905</v>
      </c>
      <c r="F28" s="13" t="s">
        <v>900</v>
      </c>
      <c r="G28" s="13" t="s">
        <v>885</v>
      </c>
      <c r="H28" s="74">
        <v>50</v>
      </c>
      <c r="I28" s="13" t="s">
        <v>19</v>
      </c>
    </row>
    <row r="29" spans="1:11" ht="20.100000000000001" customHeight="1" x14ac:dyDescent="0.2">
      <c r="A29" s="5" t="str">
        <f>HYPERLINK("#'4.6.1.5-6 Atmos Dep'!A1", "4.6.1.5-6 Manure Atmos Dep")</f>
        <v>4.6.1.5-6 Manure Atmos Dep</v>
      </c>
      <c r="D29" s="33" t="s">
        <v>908</v>
      </c>
      <c r="E29" s="13" t="s">
        <v>905</v>
      </c>
      <c r="F29" s="13" t="s">
        <v>900</v>
      </c>
      <c r="G29" s="13" t="s">
        <v>885</v>
      </c>
      <c r="H29" s="74">
        <v>50</v>
      </c>
      <c r="I29" s="13" t="s">
        <v>886</v>
      </c>
      <c r="K29" s="140"/>
    </row>
    <row r="30" spans="1:11" ht="20.100000000000001" customHeight="1" x14ac:dyDescent="0.2">
      <c r="A30" s="5" t="str">
        <f>HYPERLINK("#'4.6.1.7-8 Leaching and runoff'!A1", "4.6.1.7-8 Manure Leaching and runoff")</f>
        <v>4.6.1.7-8 Manure Leaching and runoff</v>
      </c>
      <c r="D30" s="33" t="s">
        <v>909</v>
      </c>
      <c r="E30" s="13" t="s">
        <v>905</v>
      </c>
      <c r="F30" s="13" t="s">
        <v>900</v>
      </c>
      <c r="G30" s="13" t="s">
        <v>883</v>
      </c>
      <c r="H30" s="74">
        <v>50</v>
      </c>
      <c r="I30" s="13" t="s">
        <v>19</v>
      </c>
      <c r="K30" s="140"/>
    </row>
    <row r="31" spans="1:11" ht="20.100000000000001" customHeight="1" x14ac:dyDescent="0.2">
      <c r="A31" s="5" t="str">
        <f>HYPERLINK("#'4.6.1.9 Manure applied to soils'!A1", "4.6.1.9 Manure applied to soils")</f>
        <v>4.6.1.9 Manure applied to soils</v>
      </c>
      <c r="D31" s="33" t="s">
        <v>910</v>
      </c>
      <c r="E31" s="13" t="s">
        <v>905</v>
      </c>
      <c r="F31" s="13" t="s">
        <v>900</v>
      </c>
      <c r="G31" s="13" t="s">
        <v>883</v>
      </c>
      <c r="H31" s="74">
        <v>50</v>
      </c>
      <c r="I31" s="13" t="s">
        <v>886</v>
      </c>
      <c r="K31" s="140"/>
    </row>
    <row r="32" spans="1:11" ht="20.100000000000001" customHeight="1" x14ac:dyDescent="0.2">
      <c r="A32" s="5" t="str">
        <f>HYPERLINK("#'4.6.1.10-11 Soil direct N2O'!A1", "4.6.1.10-11 Soil direct N2O")</f>
        <v>4.6.1.10-11 Soil direct N2O</v>
      </c>
      <c r="D32" s="33" t="s">
        <v>908</v>
      </c>
      <c r="E32" s="13" t="s">
        <v>905</v>
      </c>
      <c r="F32" s="13" t="s">
        <v>900</v>
      </c>
      <c r="G32" s="13" t="s">
        <v>885</v>
      </c>
      <c r="H32" s="74">
        <v>50</v>
      </c>
      <c r="I32" s="13" t="s">
        <v>886</v>
      </c>
      <c r="K32" s="140"/>
    </row>
    <row r="33" spans="1:12" ht="20.100000000000001" customHeight="1" x14ac:dyDescent="0.2">
      <c r="A33" s="5" t="str">
        <f>HYPERLINK("#'4.6.1.12-13 Soil atmos dep'!A1", "4.6.1.12-13 Soil atmos dep")</f>
        <v>4.6.1.12-13 Soil atmos dep</v>
      </c>
      <c r="K33" s="140"/>
    </row>
    <row r="34" spans="1:12" ht="20.100000000000001" customHeight="1" x14ac:dyDescent="0.2">
      <c r="A34" s="5" t="str">
        <f>HYPERLINK("#'4.6.1.14-15 Soil leach runoff'!A1", "4.6.1.14-15 Soil leach runoff")</f>
        <v>4.6.1.14-15 Soil leach runoff</v>
      </c>
      <c r="K34" s="140"/>
    </row>
    <row r="35" spans="1:12" ht="20.100000000000001" customHeight="1" x14ac:dyDescent="0.2">
      <c r="A35" s="5" t="str">
        <f>HYPERLINK("#'8.1.1.1-2 Transport fuel'!A1", "8.1.1.1-2 Transport fuel")</f>
        <v>8.1.1.1-2 Transport fuel</v>
      </c>
    </row>
    <row r="36" spans="1:12" ht="20.100000000000001" customHeight="1" x14ac:dyDescent="0.2">
      <c r="A36" s="5" t="str">
        <f>HYPERLINK("#'8.2.1.1-2 Stationary fuel'!A1", "8.2.1.1-2 Stationary fuel")</f>
        <v>8.2.1.1-2 Stationary fuel</v>
      </c>
      <c r="L36" s="140"/>
    </row>
    <row r="37" spans="1:12" ht="20.100000000000001" customHeight="1" x14ac:dyDescent="0.2">
      <c r="A37" s="5" t="str">
        <f>HYPERLINK("#'10.1.1-2 Solid waste treatment'!A1", "10.1.1.1-2 Solid waste")</f>
        <v>10.1.1.1-2 Solid waste</v>
      </c>
      <c r="L37" s="140"/>
    </row>
    <row r="38" spans="1:12" ht="20.100000000000001" customHeight="1" x14ac:dyDescent="0.2">
      <c r="A38" s="5" t="str">
        <f>HYPERLINK("#'14.1.1-2 Purchased electricity'!A1", "14.1.1-2 Purchased electricity")</f>
        <v>14.1.1-2 Purchased electricity</v>
      </c>
      <c r="C38" s="142"/>
    </row>
    <row r="39" spans="1:12" ht="20.100000000000001" customHeight="1" x14ac:dyDescent="0.2">
      <c r="A39" s="5" t="str">
        <f>HYPERLINK("#'15 Scope 3'!A1", "15 Scope 3")</f>
        <v>15 Scope 3</v>
      </c>
      <c r="C39" s="142"/>
      <c r="J39" s="142"/>
    </row>
    <row r="40" spans="1:12" s="140" customFormat="1" ht="20.100000000000001" customHeight="1" x14ac:dyDescent="0.2">
      <c r="A40" s="5" t="str">
        <f>HYPERLINK("#'Calcs - Manure sent off-site'!A1", "Calcs - Manure sent off-site")</f>
        <v>Calcs - Manure sent off-site</v>
      </c>
      <c r="C40" s="1"/>
      <c r="D40" s="1"/>
      <c r="E40" s="1"/>
      <c r="F40" s="1"/>
      <c r="G40" s="1"/>
      <c r="H40" s="1"/>
      <c r="I40" s="1"/>
      <c r="J40" s="1"/>
    </row>
    <row r="41" spans="1:12" s="140" customFormat="1" ht="20.100000000000001" customHeight="1" x14ac:dyDescent="0.2">
      <c r="A41" s="5" t="str">
        <f>HYPERLINK("#'5.1.1.1-2 Inorganic fert N2O'!A1", "5.1.1.1-2 Inorganic fert N2O")</f>
        <v>5.1.1.1-2 Inorganic fert N2O</v>
      </c>
      <c r="C41" s="1"/>
      <c r="D41" s="1"/>
      <c r="E41" s="1"/>
      <c r="F41" s="1"/>
      <c r="G41" s="1"/>
      <c r="H41" s="1"/>
      <c r="I41" s="1"/>
      <c r="J41" s="1"/>
      <c r="L41" s="140" t="s">
        <v>313</v>
      </c>
    </row>
    <row r="42" spans="1:12" ht="20.100000000000001" customHeight="1" x14ac:dyDescent="0.2">
      <c r="A42" s="5" t="str">
        <f>HYPERLINK("#'5.1.1.3-4 Inorganic fert CO2'!A1", "5.1.1.3-4 Inorganic fert CO2")</f>
        <v>5.1.1.3-4 Inorganic fert CO2</v>
      </c>
    </row>
    <row r="43" spans="1:12" ht="20.100000000000001" customHeight="1" x14ac:dyDescent="0.2">
      <c r="A43" s="5" t="str">
        <f>HYPERLINK("#'5.2.1.1-2 Organic Fert N2O'!A1", "5.2.1.1-2 Organic Fert N2O")</f>
        <v>5.2.1.1-2 Organic Fert N2O</v>
      </c>
    </row>
    <row r="44" spans="1:12" ht="20.100000000000001" customHeight="1" x14ac:dyDescent="0.2">
      <c r="A44" s="5" t="str">
        <f>HYPERLINK("#'5.3.1.1-2 Lime CO2'!A1", "5.3.1.1-2 Lime CO2")</f>
        <v>5.3.1.1-2 Lime CO2</v>
      </c>
    </row>
    <row r="45" spans="1:12" ht="20.100000000000001" customHeight="1" x14ac:dyDescent="0.2">
      <c r="A45" s="5" t="str">
        <f>HYPERLINK("#'5.4.1.1-4 Atmos deposition'!A1", "5.4.1.1-4 Atmos deposition")</f>
        <v>5.4.1.1-4 Atmos deposition</v>
      </c>
    </row>
    <row r="46" spans="1:12" ht="20.100000000000001" customHeight="1" x14ac:dyDescent="0.2">
      <c r="A46" s="5" t="str">
        <f>HYPERLINK("#'5.5.1.1-2 Leaching and runoff'!A1", "5.5.1.1-2 Leaching and runoff")</f>
        <v>5.5.1.1-2 Leaching and runoff</v>
      </c>
    </row>
    <row r="49" spans="1:1" ht="20.100000000000001" customHeight="1" x14ac:dyDescent="0.2">
      <c r="A49" s="80" t="s">
        <v>1</v>
      </c>
    </row>
    <row r="50" spans="1:1" ht="20.100000000000001" customHeight="1" x14ac:dyDescent="0.2">
      <c r="A50" s="5" t="str">
        <f>HYPERLINK("#'Constants - Poultry'!A1", "Constants - Poultry")</f>
        <v>Constants - Poultry</v>
      </c>
    </row>
    <row r="51" spans="1:1" ht="20.100000000000001" customHeight="1" x14ac:dyDescent="0.2">
      <c r="A51" s="5" t="str">
        <f>HYPERLINK("#'Constants - Common livestock'!A1", "Constants - Common Livestock")</f>
        <v>Constants - Common Livestock</v>
      </c>
    </row>
    <row r="52" spans="1:1" ht="20.100000000000001" customHeight="1" x14ac:dyDescent="0.2">
      <c r="A52" s="5" t="str">
        <f>HYPERLINK("#'Constants - Electricity'!A1", "Constants - Electricity")</f>
        <v>Constants - Electricity</v>
      </c>
    </row>
    <row r="53" spans="1:1" ht="20.100000000000001" customHeight="1" x14ac:dyDescent="0.2">
      <c r="A53" s="5" t="str">
        <f>HYPERLINK("#'Constants - Fertiliser'!A1", "Constants - Fertiliser")</f>
        <v>Constants - Fertiliser</v>
      </c>
    </row>
    <row r="54" spans="1:1" ht="20.100000000000001" customHeight="1" x14ac:dyDescent="0.2">
      <c r="A54" s="5" t="str">
        <f>HYPERLINK("#'Constants - Fuel'!A1", "Constants - Fuel")</f>
        <v>Constants - Fuel</v>
      </c>
    </row>
    <row r="55" spans="1:1" ht="20.100000000000001" customHeight="1" x14ac:dyDescent="0.2">
      <c r="A55" s="5" t="str">
        <f>HYPERLINK("#'Constants - Scope 3'!A1", "Constants - Scope 3")</f>
        <v>Constants - Scope 3</v>
      </c>
    </row>
    <row r="56" spans="1:1" ht="20.100000000000001" customHeight="1" x14ac:dyDescent="0.2">
      <c r="A56" s="5" t="str">
        <f>HYPERLINK("#'Constants - Solid Waste'!A1", "Constants - Solid Waste")</f>
        <v>Constants - Solid Waste</v>
      </c>
    </row>
    <row r="57" spans="1:1" ht="20.100000000000001" customHeight="1" x14ac:dyDescent="0.2">
      <c r="A57" s="5" t="str">
        <f>HYPERLINK("#'Constants - Common'!A1", "Constants - Common")</f>
        <v>Constants - Common</v>
      </c>
    </row>
    <row r="73" spans="4:4" ht="20.100000000000001" customHeight="1" x14ac:dyDescent="0.2">
      <c r="D73" s="145"/>
    </row>
    <row r="75" spans="4:4" ht="20.100000000000001" customHeight="1" x14ac:dyDescent="0.2">
      <c r="D75" s="145"/>
    </row>
    <row r="76" spans="4:4" ht="20.100000000000001" customHeight="1" x14ac:dyDescent="0.2">
      <c r="D76" s="145"/>
    </row>
    <row r="385" spans="4:4" ht="20.100000000000001" customHeight="1" x14ac:dyDescent="0.2">
      <c r="D385" s="87"/>
    </row>
  </sheetData>
  <conditionalFormatting sqref="F162:F163">
    <cfRule type="cellIs" dxfId="45" priority="7" operator="lessThan">
      <formula>0</formula>
    </cfRule>
  </conditionalFormatting>
  <conditionalFormatting sqref="F174:F175">
    <cfRule type="cellIs" dxfId="44" priority="6" operator="lessThan">
      <formula>0</formula>
    </cfRule>
  </conditionalFormatting>
  <conditionalFormatting sqref="F186:F187">
    <cfRule type="cellIs" dxfId="43" priority="5" operator="lessThan">
      <formula>0</formula>
    </cfRule>
  </conditionalFormatting>
  <conditionalFormatting sqref="F274:F275">
    <cfRule type="cellIs" dxfId="42" priority="17" operator="lessThan">
      <formula>0</formula>
    </cfRule>
  </conditionalFormatting>
  <conditionalFormatting sqref="F279:F280">
    <cfRule type="cellIs" dxfId="41" priority="16" operator="lessThan">
      <formula>0</formula>
    </cfRule>
  </conditionalFormatting>
  <conditionalFormatting sqref="F284:F285">
    <cfRule type="cellIs" dxfId="40" priority="15" operator="lessThan">
      <formula>0</formula>
    </cfRule>
  </conditionalFormatting>
  <conditionalFormatting sqref="F308:F309">
    <cfRule type="cellIs" dxfId="39" priority="14" operator="lessThan">
      <formula>0</formula>
    </cfRule>
  </conditionalFormatting>
  <conditionalFormatting sqref="F313:F314">
    <cfRule type="cellIs" dxfId="38" priority="13" operator="lessThan">
      <formula>0</formula>
    </cfRule>
  </conditionalFormatting>
  <conditionalFormatting sqref="F318:F319">
    <cfRule type="cellIs" dxfId="37" priority="12" operator="lessThan">
      <formula>0</formula>
    </cfRule>
  </conditionalFormatting>
  <conditionalFormatting sqref="I33 F71">
    <cfRule type="cellIs" dxfId="36" priority="9" operator="lessThan">
      <formula>0</formula>
    </cfRule>
  </conditionalFormatting>
  <conditionalFormatting sqref="I79:I83">
    <cfRule type="cellIs" dxfId="35" priority="4" operator="lessThan">
      <formula>0</formula>
    </cfRule>
  </conditionalFormatting>
  <conditionalFormatting sqref="I87 I146">
    <cfRule type="cellIs" dxfId="34" priority="10" operator="lessThan">
      <formula>0</formula>
    </cfRule>
  </conditionalFormatting>
  <conditionalFormatting sqref="I98:I100">
    <cfRule type="cellIs" dxfId="33" priority="3" operator="lessThan">
      <formula>0</formula>
    </cfRule>
  </conditionalFormatting>
  <conditionalFormatting sqref="I104:I107">
    <cfRule type="cellIs" dxfId="32" priority="2" operator="lessThan">
      <formula>0</formula>
    </cfRule>
  </conditionalFormatting>
  <conditionalFormatting sqref="I111:I115">
    <cfRule type="cellIs" dxfId="31" priority="1" operator="lessThan">
      <formula>0</formula>
    </cfRule>
  </conditionalFormatting>
  <conditionalFormatting sqref="J8 I65:I66 H67:H69 I68 I70:I72 I74:I75 I226 I232 E234:G234">
    <cfRule type="cellIs" dxfId="30" priority="11" operator="lessThan">
      <formula>0</formula>
    </cfRule>
  </conditionalFormatting>
  <conditionalFormatting sqref="J37 I59 F150:F151">
    <cfRule type="cellIs" dxfId="29" priority="8" operator="lessThan">
      <formula>0</formula>
    </cfRule>
  </conditionalFormatting>
  <dataValidations count="9">
    <dataValidation type="list" allowBlank="1" showInputMessage="1" showErrorMessage="1" sqref="F10:F32" xr:uid="{9DF9D10B-6628-4ECB-813C-297EBDE0A181}">
      <formula1>INDIRECT("Table_WasteTypes_" &amp; SUBSTITUTE(E10, " ", "") &amp; "[Waste type w]")</formula1>
    </dataValidation>
    <dataValidation type="list" allowBlank="1" showInputMessage="1" showErrorMessage="1" sqref="I10:I32" xr:uid="{70FBD6EE-FA1D-461C-88AE-598B1292B3B6}">
      <formula1>"tonnes, cubic metres m3"</formula1>
    </dataValidation>
    <dataValidation type="list" allowBlank="1" showInputMessage="1" showErrorMessage="1" sqref="G10:G32" xr:uid="{ED53205C-4087-4009-8DDA-0E754067FC3D}">
      <formula1>"Treated on-site, Removed and treated off-site"</formula1>
    </dataValidation>
    <dataValidation type="list" allowBlank="1" showInputMessage="1" showErrorMessage="1" sqref="E10:E32" xr:uid="{981922ED-5346-47AC-898C-84F236B7359B}">
      <formula1>INDIRECT(_xlfn.UNIQUE("Table_SourceData_WasteSolid_WasteTreatmentEFs[Treatment type t]"))</formula1>
    </dataValidation>
    <dataValidation type="list" allowBlank="1" showInputMessage="1" showErrorMessage="1" sqref="E35" xr:uid="{B6EE4F0E-43BD-48A6-B986-4BF94B5B3DB9}">
      <formula1>INDIRECT("Table_SourceData_ElectricityEFs[State, Territory or grid description]")</formula1>
    </dataValidation>
    <dataValidation type="list" allowBlank="1" showInputMessage="1" showErrorMessage="1" sqref="E89" xr:uid="{73007D6C-0CC8-473B-B2C6-CE0179D0977C}">
      <formula1>INDIRECT("Table_SourceData_Swine_IrrigationMethods[Irrigation method]")</formula1>
    </dataValidation>
    <dataValidation type="list" allowBlank="1" showInputMessage="1" showErrorMessage="1" sqref="E273 E278 E283 E317 E312 E307 E185 E173 E149 E161" xr:uid="{9190F9FF-FA9A-4230-912C-F773843DF69D}">
      <formula1>"Yes, No"</formula1>
    </dataValidation>
    <dataValidation type="list" allowBlank="1" showInputMessage="1" showErrorMessage="1" sqref="E249" xr:uid="{47FC60D2-BD93-42D5-8F11-336254461D85}">
      <formula1>INDIRECT("Table_SourceData_Dairy_ProductionSystemTemplates[Area]")</formula1>
    </dataValidation>
    <dataValidation type="list" allowBlank="1" showInputMessage="1" showErrorMessage="1" sqref="D301" xr:uid="{6C563287-894A-4D26-9F8D-66DEFF98B079}">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BF6F8-D6CA-427E-A274-5F863F9CD570}">
  <sheetPr>
    <tabColor theme="5" tint="-0.249977111117893"/>
  </sheetPr>
  <dimension ref="A1:K57"/>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5703125" customWidth="1"/>
    <col min="3" max="3" width="4.5703125" style="1" customWidth="1"/>
    <col min="4" max="10" width="30.5703125" style="1" customWidth="1"/>
    <col min="11" max="11" width="4.5703125" style="1" customWidth="1"/>
  </cols>
  <sheetData>
    <row r="1" spans="1:11" ht="30" customHeight="1" x14ac:dyDescent="0.35">
      <c r="A1" s="10" t="e" vm="1">
        <v>#VALUE!</v>
      </c>
      <c r="C1" s="10" t="s">
        <v>1023</v>
      </c>
      <c r="D1" s="10"/>
      <c r="E1" s="10"/>
      <c r="F1" s="10"/>
      <c r="G1" s="10"/>
      <c r="H1" s="10"/>
      <c r="I1" s="10"/>
      <c r="J1" s="10"/>
      <c r="K1" s="10"/>
    </row>
    <row r="2" spans="1:11" s="3" customFormat="1" ht="20.100000000000001" customHeight="1" x14ac:dyDescent="0.2">
      <c r="A2"/>
    </row>
    <row r="3" spans="1:11" ht="20.100000000000001" customHeight="1" x14ac:dyDescent="0.2">
      <c r="A3" s="5" t="str">
        <f>HYPERLINK("#'Home'!A1", "Home")</f>
        <v>Home</v>
      </c>
      <c r="C3" s="28"/>
      <c r="D3" s="28"/>
      <c r="E3" s="28"/>
      <c r="F3" s="28"/>
      <c r="G3" s="28"/>
      <c r="H3" s="28"/>
      <c r="I3" s="28"/>
      <c r="J3" s="28"/>
      <c r="K3" s="28"/>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2" t="s">
        <v>1024</v>
      </c>
    </row>
    <row r="7" spans="1:11" ht="20.100000000000001" customHeight="1" x14ac:dyDescent="0.2">
      <c r="D7" s="1" t="s">
        <v>1025</v>
      </c>
    </row>
    <row r="8" spans="1:11" ht="20.100000000000001" customHeight="1" x14ac:dyDescent="0.2">
      <c r="A8" s="7" t="s">
        <v>0</v>
      </c>
      <c r="D8" s="1" t="s">
        <v>1026</v>
      </c>
    </row>
    <row r="9" spans="1:11" ht="20.100000000000001" customHeight="1" x14ac:dyDescent="0.2">
      <c r="A9" s="5" t="str">
        <f>HYPERLINK("#'Input - Enterprise'!A1", "Enterprise")</f>
        <v>Enterprise</v>
      </c>
    </row>
    <row r="10" spans="1:11" ht="20.100000000000001" customHeight="1" x14ac:dyDescent="0.2">
      <c r="A10" s="5" t="str">
        <f>HYPERLINK("#'Input - Site'!A1", "Site")</f>
        <v>Site</v>
      </c>
      <c r="D10" s="1" t="s">
        <v>1027</v>
      </c>
      <c r="F10" s="74">
        <v>1000</v>
      </c>
      <c r="G10" s="16" t="s">
        <v>482</v>
      </c>
    </row>
    <row r="11" spans="1:11" ht="20.100000000000001" customHeight="1" x14ac:dyDescent="0.2">
      <c r="A11" s="5" t="str">
        <f>HYPERLINK("#'Input - Poultry'!A1", "Poultry")</f>
        <v>Poultry</v>
      </c>
      <c r="D11" s="1" t="s">
        <v>1028</v>
      </c>
      <c r="F11" s="74">
        <v>2000</v>
      </c>
      <c r="G11" s="16" t="s">
        <v>482</v>
      </c>
    </row>
    <row r="12" spans="1:11" ht="20.100000000000001" customHeight="1" x14ac:dyDescent="0.2">
      <c r="A12" s="5" t="str">
        <f>HYPERLINK("#'Input - Livestock sales'!A1", "Livestock sales")</f>
        <v>Livestock sales</v>
      </c>
    </row>
    <row r="13" spans="1:11" ht="20.100000000000001" customHeight="1" x14ac:dyDescent="0.2">
      <c r="A13" s="5" t="str">
        <f>HYPERLINK("#'Input - Poultry purchases'!A1", "Poultry purchases")</f>
        <v>Poultry purchases</v>
      </c>
      <c r="D13" s="1" t="s">
        <v>1029</v>
      </c>
      <c r="F13" s="13" t="s">
        <v>325</v>
      </c>
      <c r="G13" s="16" t="s">
        <v>100</v>
      </c>
    </row>
    <row r="14" spans="1:11" ht="20.100000000000001" customHeight="1" x14ac:dyDescent="0.2">
      <c r="A14" s="5" t="str">
        <f>HYPERLINK("#'Input - Fuel'!A1", "Fuel")</f>
        <v>Fuel</v>
      </c>
      <c r="D14" s="1" t="s">
        <v>1030</v>
      </c>
      <c r="F14" s="13" t="s">
        <v>326</v>
      </c>
      <c r="G14" s="16" t="s">
        <v>100</v>
      </c>
    </row>
    <row r="15" spans="1:11" ht="20.100000000000001" customHeight="1" x14ac:dyDescent="0.2">
      <c r="A15" s="5" t="str">
        <f>HYPERLINK("#'Input - Electricity'!A1", "Electricity")</f>
        <v>Electricity</v>
      </c>
    </row>
    <row r="16" spans="1:11" ht="20.100000000000001" customHeight="1" x14ac:dyDescent="0.2">
      <c r="A16" s="5" t="str">
        <f>HYPERLINK("#'Input - Common farm inputs'!A1", "Common farm inputs")</f>
        <v>Common farm inputs</v>
      </c>
    </row>
    <row r="17" spans="1:1" ht="20.100000000000001" customHeight="1" x14ac:dyDescent="0.2">
      <c r="A17" s="5" t="str">
        <f>HYPERLINK("#'Input - Livestock farm Inputs'!A1", "Livestock farm Inputs")</f>
        <v>Livestock farm Inputs</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100" t="str">
        <f>HYPERLINK("#'Input - Manure sent off-site'!A1", "Manure sent off-site")</f>
        <v>Manure sent off-site</v>
      </c>
    </row>
    <row r="21" spans="1:1" ht="20.100000000000001" customHeight="1" x14ac:dyDescent="0.2">
      <c r="A21" s="5" t="str">
        <f>HYPERLINK("#'Input - Data quality'!A1", "Data quality")</f>
        <v>Data quality</v>
      </c>
    </row>
    <row r="22" spans="1:1" ht="20.100000000000001" customHeight="1" x14ac:dyDescent="0.2">
      <c r="A22" s="5" t="str">
        <f>HYPERLINK("#'Input - Fert Prod System'!A1", "Fert Prod System")</f>
        <v>Fert Prod System</v>
      </c>
    </row>
    <row r="23" spans="1:1" ht="20.100000000000001" customHeight="1" x14ac:dyDescent="0.2">
      <c r="A23" s="5" t="str">
        <f>HYPERLINK("#'Input - Fertiliser'!A1", "Fertiliser")</f>
        <v>Fertiliser</v>
      </c>
    </row>
    <row r="26" spans="1:1" ht="20.100000000000001" customHeight="1" x14ac:dyDescent="0.2">
      <c r="A26" s="6" t="s">
        <v>2</v>
      </c>
    </row>
    <row r="27" spans="1:1" ht="20.100000000000001" customHeight="1" x14ac:dyDescent="0.2">
      <c r="A27" s="5" t="str">
        <f>HYPERLINK("#'4.6.1.1-2 Methane'!A1", "4.6.1.1-2 Manure Methane")</f>
        <v>4.6.1.1-2 Manure Methane</v>
      </c>
    </row>
    <row r="28" spans="1:1" ht="20.100000000000001" customHeight="1" x14ac:dyDescent="0.2">
      <c r="A28" s="5" t="str">
        <f>HYPERLINK("#'4.6.1.3-4 Direct N20'!A1", "4.6.1.3-4 Manure Direct N2O")</f>
        <v>4.6.1.3-4 Manure Direct N2O</v>
      </c>
    </row>
    <row r="29" spans="1:1" ht="20.100000000000001" customHeight="1" x14ac:dyDescent="0.2">
      <c r="A29" s="5" t="str">
        <f>HYPERLINK("#'4.6.1.5-6 Atmos Dep'!A1", "4.6.1.5-6 Manure Atmos Dep")</f>
        <v>4.6.1.5-6 Manure Atmos Dep</v>
      </c>
    </row>
    <row r="30" spans="1:1" ht="20.100000000000001" customHeight="1" x14ac:dyDescent="0.2">
      <c r="A30" s="5" t="str">
        <f>HYPERLINK("#'4.6.1.7-8 Leaching and runoff'!A1", "4.6.1.7-8 Manure Leaching and runoff")</f>
        <v>4.6.1.7-8 Manure Leaching and runoff</v>
      </c>
    </row>
    <row r="31" spans="1:1" ht="20.100000000000001" customHeight="1" x14ac:dyDescent="0.2">
      <c r="A31" s="5" t="str">
        <f>HYPERLINK("#'4.6.1.9 Manure applied to soils'!A1", "4.6.1.9 Manure applied to soils")</f>
        <v>4.6.1.9 Manure applied to soils</v>
      </c>
    </row>
    <row r="32" spans="1:1" ht="20.100000000000001" customHeight="1" x14ac:dyDescent="0.2">
      <c r="A32" s="5" t="str">
        <f>HYPERLINK("#'4.6.1.10-11 Soil direct N2O'!A1", "4.6.1.10-11 Soil direct N2O")</f>
        <v>4.6.1.10-11 Soil direct N2O</v>
      </c>
    </row>
    <row r="33" spans="1:1" ht="20.100000000000001" customHeight="1" x14ac:dyDescent="0.2">
      <c r="A33" s="5" t="str">
        <f>HYPERLINK("#'4.6.1.12-13 Soil atmos dep'!A1", "4.6.1.12-13 Soil atmos dep")</f>
        <v>4.6.1.12-13 Soil atmos dep</v>
      </c>
    </row>
    <row r="34" spans="1:1" ht="20.100000000000001" customHeight="1" x14ac:dyDescent="0.2">
      <c r="A34" s="5" t="str">
        <f>HYPERLINK("#'4.6.1.14-15 Soil leach runoff'!A1", "4.6.1.14-15 Soil leach runoff")</f>
        <v>4.6.1.14-15 Soil leach runoff</v>
      </c>
    </row>
    <row r="35" spans="1:1" ht="20.100000000000001" customHeight="1" x14ac:dyDescent="0.2">
      <c r="A35" s="5" t="str">
        <f>HYPERLINK("#'8.1.1.1-2 Transport fuel'!A1", "8.1.1.1-2 Transport fuel")</f>
        <v>8.1.1.1-2 Transport fuel</v>
      </c>
    </row>
    <row r="36" spans="1:1" ht="20.100000000000001" customHeight="1" x14ac:dyDescent="0.2">
      <c r="A36" s="5" t="str">
        <f>HYPERLINK("#'8.2.1.1-2 Stationary fuel'!A1", "8.2.1.1-2 Stationary fuel")</f>
        <v>8.2.1.1-2 Stationary fuel</v>
      </c>
    </row>
    <row r="37" spans="1:1" ht="20.100000000000001" customHeight="1" x14ac:dyDescent="0.2">
      <c r="A37" s="5" t="str">
        <f>HYPERLINK("#'10.1.1-2 Solid waste treatment'!A1", "10.1.1.1-2 Solid waste")</f>
        <v>10.1.1.1-2 Solid waste</v>
      </c>
    </row>
    <row r="38" spans="1:1" ht="20.100000000000001" customHeight="1" x14ac:dyDescent="0.2">
      <c r="A38" s="5" t="str">
        <f>HYPERLINK("#'14.1.1-2 Purchased electricity'!A1", "14.1.1-2 Purchased electricity")</f>
        <v>14.1.1-2 Purchased electricity</v>
      </c>
    </row>
    <row r="39" spans="1:1" ht="20.100000000000001" customHeight="1" x14ac:dyDescent="0.2">
      <c r="A39" s="5" t="str">
        <f>HYPERLINK("#'15 Scope 3'!A1", "15 Scope 3")</f>
        <v>15 Scope 3</v>
      </c>
    </row>
    <row r="40" spans="1:1" ht="20.100000000000001" customHeight="1" x14ac:dyDescent="0.2">
      <c r="A40" s="5" t="str">
        <f>HYPERLINK("#'Calcs - Manure sent off-site'!A1", "Calcs - Manure sent off-site")</f>
        <v>Calcs - Manure sent off-site</v>
      </c>
    </row>
    <row r="41" spans="1:1" ht="20.100000000000001" customHeight="1" x14ac:dyDescent="0.2">
      <c r="A41" s="5" t="str">
        <f>HYPERLINK("#'5.1.1.1-2 Inorganic fert N2O'!A1", "5.1.1.1-2 Inorganic fert N2O")</f>
        <v>5.1.1.1-2 Inorganic fert N2O</v>
      </c>
    </row>
    <row r="42" spans="1:1" ht="20.100000000000001" customHeight="1" x14ac:dyDescent="0.2">
      <c r="A42" s="5" t="str">
        <f>HYPERLINK("#'5.1.1.3-4 Inorganic fert CO2'!A1", "5.1.1.3-4 Inorganic fert CO2")</f>
        <v>5.1.1.3-4 Inorganic fert CO2</v>
      </c>
    </row>
    <row r="43" spans="1:1" ht="20.100000000000001" customHeight="1" x14ac:dyDescent="0.2">
      <c r="A43" s="5" t="str">
        <f>HYPERLINK("#'5.2.1.1-2 Organic Fert N2O'!A1", "5.2.1.1-2 Organic Fert N2O")</f>
        <v>5.2.1.1-2 Organic Fert N2O</v>
      </c>
    </row>
    <row r="44" spans="1:1" ht="20.100000000000001" customHeight="1" x14ac:dyDescent="0.2">
      <c r="A44" s="5" t="str">
        <f>HYPERLINK("#'5.3.1.1-2 Lime CO2'!A1", "5.3.1.1-2 Lime CO2")</f>
        <v>5.3.1.1-2 Lime CO2</v>
      </c>
    </row>
    <row r="45" spans="1:1" ht="20.100000000000001" customHeight="1" x14ac:dyDescent="0.2">
      <c r="A45" s="5" t="str">
        <f>HYPERLINK("#'5.4.1.1-4 Atmos deposition'!A1", "5.4.1.1-4 Atmos deposition")</f>
        <v>5.4.1.1-4 Atmos deposition</v>
      </c>
    </row>
    <row r="46" spans="1:1" ht="20.100000000000001" customHeight="1" x14ac:dyDescent="0.2">
      <c r="A46" s="5" t="str">
        <f>HYPERLINK("#'5.5.1.1-2 Leaching and runoff'!A1", "5.5.1.1-2 Leaching and runoff")</f>
        <v>5.5.1.1-2 Leaching and runoff</v>
      </c>
    </row>
    <row r="49" spans="1:1" ht="20.100000000000001" customHeight="1" x14ac:dyDescent="0.2">
      <c r="A49" s="80" t="s">
        <v>1</v>
      </c>
    </row>
    <row r="50" spans="1:1" ht="20.100000000000001" customHeight="1" x14ac:dyDescent="0.2">
      <c r="A50" s="5" t="str">
        <f>HYPERLINK("#'Constants - Poultry'!A1", "Constants - Poultry")</f>
        <v>Constants - Poultry</v>
      </c>
    </row>
    <row r="51" spans="1:1" ht="20.100000000000001" customHeight="1" x14ac:dyDescent="0.2">
      <c r="A51" s="5" t="str">
        <f>HYPERLINK("#'Constants - Common livestock'!A1", "Constants - Common Livestock")</f>
        <v>Constants - Common Livestock</v>
      </c>
    </row>
    <row r="52" spans="1:1" ht="20.100000000000001" customHeight="1" x14ac:dyDescent="0.2">
      <c r="A52" s="5" t="str">
        <f>HYPERLINK("#'Constants - Electricity'!A1", "Constants - Electricity")</f>
        <v>Constants - Electricity</v>
      </c>
    </row>
    <row r="53" spans="1:1" ht="20.100000000000001" customHeight="1" x14ac:dyDescent="0.2">
      <c r="A53" s="5" t="str">
        <f>HYPERLINK("#'Constants - Fertiliser'!A1", "Constants - Fertiliser")</f>
        <v>Constants - Fertiliser</v>
      </c>
    </row>
    <row r="54" spans="1:1" ht="20.100000000000001" customHeight="1" x14ac:dyDescent="0.2">
      <c r="A54" s="5" t="str">
        <f>HYPERLINK("#'Constants - Fuel'!A1", "Constants - Fuel")</f>
        <v>Constants - Fuel</v>
      </c>
    </row>
    <row r="55" spans="1:1" ht="20.100000000000001" customHeight="1" x14ac:dyDescent="0.2">
      <c r="A55" s="5" t="str">
        <f>HYPERLINK("#'Constants - Scope 3'!A1", "Constants - Scope 3")</f>
        <v>Constants - Scope 3</v>
      </c>
    </row>
    <row r="56" spans="1:1" ht="20.100000000000001" customHeight="1" x14ac:dyDescent="0.2">
      <c r="A56" s="5" t="str">
        <f>HYPERLINK("#'Constants - Solid Waste'!A1", "Constants - Solid Waste")</f>
        <v>Constants - Solid Waste</v>
      </c>
    </row>
    <row r="57" spans="1:1" ht="20.100000000000001" customHeight="1" x14ac:dyDescent="0.2">
      <c r="A57" s="5" t="str">
        <f>HYPERLINK("#'Constants - Common'!A1", "Constants - Common")</f>
        <v>Constants - Common</v>
      </c>
    </row>
  </sheetData>
  <dataValidations count="2">
    <dataValidation type="list" allowBlank="1" showInputMessage="1" showErrorMessage="1" sqref="F14" xr:uid="{6F23D51E-5157-4DDF-9008-DC9A4C40C960}">
      <formula1>INDIRECT("Table_SourceData_Fertiliser_IrrigationMethods[Irrigation method]")</formula1>
    </dataValidation>
    <dataValidation type="list" allowBlank="1" showInputMessage="1" showErrorMessage="1" sqref="F13" xr:uid="{B31960BE-3109-44F5-89A4-0F41676FDBED}">
      <formula1>INDIRECT("Table_SourceData_Fertiliser_CropProdSystems[Production system]")</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A6CAE-AEA5-40D0-AB61-E3C60BCDF82A}">
  <sheetPr>
    <tabColor rgb="FFCC6600"/>
  </sheetPr>
  <dimension ref="A1:M62"/>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4" width="49" style="1" customWidth="1"/>
    <col min="5" max="7" width="30.7109375" style="1" customWidth="1"/>
    <col min="8" max="8" width="101.28515625" style="1" customWidth="1"/>
    <col min="9" max="9" width="74.5703125" style="1" customWidth="1"/>
    <col min="10" max="13" width="30.7109375" style="1" customWidth="1"/>
    <col min="14" max="14" width="30.7109375" customWidth="1"/>
  </cols>
  <sheetData>
    <row r="1" spans="1:13" s="10" customFormat="1" ht="30" customHeight="1" x14ac:dyDescent="0.35">
      <c r="C1" s="10" t="s">
        <v>147</v>
      </c>
    </row>
    <row r="2" spans="1:13" s="3" customFormat="1" ht="20.100000000000001" customHeight="1" x14ac:dyDescent="0.2">
      <c r="A2"/>
    </row>
    <row r="3" spans="1:13" ht="20.100000000000001" customHeight="1" x14ac:dyDescent="0.2">
      <c r="A3" s="5" t="str">
        <f>HYPERLINK("#'Home'!A1", "Home")</f>
        <v>Home</v>
      </c>
      <c r="C3" s="28"/>
      <c r="D3" s="28"/>
      <c r="E3" s="28"/>
      <c r="F3" s="28"/>
      <c r="G3" s="28"/>
      <c r="H3" s="28"/>
      <c r="I3" s="28"/>
      <c r="J3" s="28"/>
      <c r="K3" s="28"/>
      <c r="L3" s="28"/>
      <c r="M3" s="28"/>
    </row>
    <row r="4" spans="1:13" ht="20.100000000000001" customHeight="1" x14ac:dyDescent="0.2">
      <c r="A4" s="5" t="str">
        <f>HYPERLINK("#'Results - Activity period'!A1", "Results - Activity period")</f>
        <v>Results - Activity period</v>
      </c>
    </row>
    <row r="5" spans="1:13" ht="20.100000000000001" customHeight="1" x14ac:dyDescent="0.2">
      <c r="A5" s="5" t="str">
        <f>HYPERLINK("#'Results - Product EI'!A1", "Results - Product Emissions Intensity")</f>
        <v>Results - Product Emissions Intensity</v>
      </c>
      <c r="D5" s="2" t="s">
        <v>219</v>
      </c>
    </row>
    <row r="7" spans="1:13" ht="20.100000000000001" customHeight="1" x14ac:dyDescent="0.2">
      <c r="D7" s="78" t="s">
        <v>220</v>
      </c>
      <c r="E7" s="78" t="s">
        <v>221</v>
      </c>
      <c r="F7" s="78" t="s">
        <v>222</v>
      </c>
      <c r="G7" s="78" t="s">
        <v>223</v>
      </c>
      <c r="H7" s="78" t="s">
        <v>148</v>
      </c>
      <c r="I7" s="78" t="s">
        <v>149</v>
      </c>
      <c r="J7" s="78" t="s">
        <v>150</v>
      </c>
    </row>
    <row r="8" spans="1:13" ht="20.100000000000001" customHeight="1" x14ac:dyDescent="0.2">
      <c r="A8" s="7" t="s">
        <v>0</v>
      </c>
      <c r="D8" s="1" t="str">
        <f>"Birds sold"</f>
        <v>Birds sold</v>
      </c>
      <c r="E8" s="13" t="s">
        <v>199</v>
      </c>
      <c r="F8" s="13" t="s">
        <v>204</v>
      </c>
      <c r="G8" s="13" t="s">
        <v>209</v>
      </c>
      <c r="H8" s="82"/>
      <c r="I8" s="82"/>
      <c r="J8"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15</v>
      </c>
    </row>
    <row r="9" spans="1:13" ht="20.100000000000001" customHeight="1" x14ac:dyDescent="0.2">
      <c r="A9" s="5" t="str">
        <f>HYPERLINK("#'Input - Enterprise'!A1", "Enterprise")</f>
        <v>Enterprise</v>
      </c>
      <c r="D9" s="1" t="str">
        <f>"Eggs sold"</f>
        <v>Eggs sold</v>
      </c>
      <c r="E9" s="13"/>
      <c r="F9" s="13"/>
      <c r="G9" s="13"/>
      <c r="H9" s="82"/>
      <c r="I9" s="82"/>
      <c r="J9"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0" spans="1:13" ht="20.100000000000001" customHeight="1" x14ac:dyDescent="0.2">
      <c r="A10" s="5" t="str">
        <f>HYPERLINK("#'Input - Site'!A1", "Site")</f>
        <v>Site</v>
      </c>
      <c r="D10" s="1" t="str">
        <f>"Manure produced"</f>
        <v>Manure produced</v>
      </c>
      <c r="E10" s="13" t="s">
        <v>200</v>
      </c>
      <c r="F10" s="13" t="s">
        <v>205</v>
      </c>
      <c r="G10" s="13" t="s">
        <v>210</v>
      </c>
      <c r="H10" s="82"/>
      <c r="I10" s="82"/>
      <c r="J10"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12</v>
      </c>
    </row>
    <row r="11" spans="1:13" ht="20.100000000000001" customHeight="1" x14ac:dyDescent="0.2">
      <c r="A11" s="5" t="str">
        <f>HYPERLINK("#'Input - Poultry'!A1", "Poultry")</f>
        <v>Poultry</v>
      </c>
      <c r="D11" s="1" t="str">
        <f>"Manure sold"</f>
        <v>Manure sold</v>
      </c>
      <c r="E11" s="13" t="s">
        <v>201</v>
      </c>
      <c r="F11" s="13" t="s">
        <v>206</v>
      </c>
      <c r="G11" s="13" t="s">
        <v>210</v>
      </c>
      <c r="H11" s="82"/>
      <c r="I11" s="82"/>
      <c r="J11"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10</v>
      </c>
    </row>
    <row r="12" spans="1:13" ht="20.100000000000001" customHeight="1" x14ac:dyDescent="0.2">
      <c r="A12" s="5" t="str">
        <f>HYPERLINK("#'Input - Livestock sales'!A1", "Livestock sales")</f>
        <v>Livestock sales</v>
      </c>
      <c r="D12" s="1" t="str">
        <f>"Percent income from birds sold"</f>
        <v>Percent income from birds sold</v>
      </c>
      <c r="E12" s="13" t="s">
        <v>203</v>
      </c>
      <c r="F12" s="13" t="s">
        <v>208</v>
      </c>
      <c r="G12" s="13" t="s">
        <v>213</v>
      </c>
      <c r="H12" s="82"/>
      <c r="I12" s="82"/>
      <c r="J12"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3</v>
      </c>
    </row>
    <row r="13" spans="1:13" ht="20.100000000000001" customHeight="1" x14ac:dyDescent="0.2">
      <c r="A13" s="5" t="str">
        <f>HYPERLINK("#'Input - Poultry purchases'!A1", "Poultry purchases")</f>
        <v>Poultry purchases</v>
      </c>
      <c r="D13" s="1" t="str">
        <f>"Percent income from eggs sold"</f>
        <v>Percent income from eggs sold</v>
      </c>
      <c r="E13" s="13"/>
      <c r="F13" s="13"/>
      <c r="G13" s="13"/>
      <c r="H13" s="82"/>
      <c r="I13" s="82"/>
      <c r="J13"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4" spans="1:13" ht="20.100000000000001" customHeight="1" x14ac:dyDescent="0.2">
      <c r="A14" s="5" t="str">
        <f>HYPERLINK("#'Input - Fuel'!A1", "Fuel")</f>
        <v>Fuel</v>
      </c>
      <c r="D14" s="1" t="str">
        <f>"Percent income from manure sold"</f>
        <v>Percent income from manure sold</v>
      </c>
      <c r="E14" s="13" t="s">
        <v>199</v>
      </c>
      <c r="F14" s="13" t="s">
        <v>205</v>
      </c>
      <c r="G14" s="13" t="s">
        <v>209</v>
      </c>
      <c r="H14" s="82"/>
      <c r="I14" s="82"/>
      <c r="J14"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14</v>
      </c>
    </row>
    <row r="15" spans="1:13" ht="20.100000000000001" customHeight="1" x14ac:dyDescent="0.2">
      <c r="A15" s="5" t="str">
        <f>HYPERLINK("#'Input - Electricity'!A1", "Electricity")</f>
        <v>Electricity</v>
      </c>
    </row>
    <row r="16" spans="1:13" ht="20.100000000000001" customHeight="1" x14ac:dyDescent="0.2">
      <c r="A16" s="5" t="str">
        <f>HYPERLINK("#'Input - Common farm inputs'!A1", "Common farm inputs")</f>
        <v>Common farm inputs</v>
      </c>
      <c r="J16" s="83">
        <f>SUM(Table_Input_DataQuality_Enterprise[Score])</f>
        <v>54</v>
      </c>
    </row>
    <row r="17" spans="1:10" ht="20.100000000000001" customHeight="1" x14ac:dyDescent="0.2">
      <c r="A17" s="5" t="str">
        <f>HYPERLINK("#'Input - Livestock farm Inputs'!A1", "Livestock farm Inputs")</f>
        <v>Livestock farm Inputs</v>
      </c>
      <c r="D17" s="2" t="s">
        <v>224</v>
      </c>
    </row>
    <row r="18" spans="1:10" ht="20.100000000000001" customHeight="1" x14ac:dyDescent="0.2">
      <c r="A18" s="5" t="str">
        <f>HYPERLINK("#'Input - Freight'!A1", "Freight")</f>
        <v>Freight</v>
      </c>
    </row>
    <row r="19" spans="1:10" ht="20.100000000000001" customHeight="1" x14ac:dyDescent="0.2">
      <c r="A19" s="5" t="str">
        <f>HYPERLINK("#'Input - Solid waste'!A1", "Solid waste")</f>
        <v>Solid waste</v>
      </c>
      <c r="D19" s="78" t="s">
        <v>220</v>
      </c>
      <c r="E19" s="78" t="s">
        <v>221</v>
      </c>
      <c r="F19" s="78" t="s">
        <v>222</v>
      </c>
      <c r="G19" s="78" t="s">
        <v>223</v>
      </c>
      <c r="H19" s="78" t="s">
        <v>148</v>
      </c>
      <c r="I19" s="78" t="s">
        <v>149</v>
      </c>
      <c r="J19" s="78" t="s">
        <v>150</v>
      </c>
    </row>
    <row r="20" spans="1:10" ht="20.100000000000001" customHeight="1" x14ac:dyDescent="0.2">
      <c r="A20" s="5" t="str">
        <f>HYPERLINK("#'Input - Manure sent off-site'!A1", "Manure sent off-site")</f>
        <v>Manure sent off-site</v>
      </c>
      <c r="D20" s="1" t="str">
        <f>"Leaching zone"</f>
        <v>Leaching zone</v>
      </c>
      <c r="E20" s="13" t="s">
        <v>200</v>
      </c>
      <c r="F20" s="13" t="s">
        <v>206</v>
      </c>
      <c r="G20" s="13" t="s">
        <v>209</v>
      </c>
      <c r="H20" s="82"/>
      <c r="I20" s="82"/>
      <c r="J20"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1" spans="1:10" ht="20.100000000000001" customHeight="1" x14ac:dyDescent="0.2">
      <c r="A21" s="100" t="str">
        <f>HYPERLINK("#'Input - Data quality'!A1", "Data quality")</f>
        <v>Data quality</v>
      </c>
      <c r="D21" s="1" t="str">
        <f>"Elevation"</f>
        <v>Elevation</v>
      </c>
      <c r="E21" s="13" t="s">
        <v>200</v>
      </c>
      <c r="F21" s="13" t="s">
        <v>206</v>
      </c>
      <c r="G21" s="13" t="s">
        <v>209</v>
      </c>
      <c r="H21" s="82"/>
      <c r="I21" s="82"/>
      <c r="J21"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2" spans="1:10" ht="20.100000000000001" customHeight="1" x14ac:dyDescent="0.2">
      <c r="A22" s="5" t="str">
        <f>HYPERLINK("#'Input - Fert Prod System'!A1", "Fert Prod System")</f>
        <v>Fert Prod System</v>
      </c>
      <c r="D22" s="1" t="str">
        <f>"Average temperature for reporting period"</f>
        <v>Average temperature for reporting period</v>
      </c>
      <c r="E22" s="13" t="s">
        <v>200</v>
      </c>
      <c r="F22" s="13" t="s">
        <v>206</v>
      </c>
      <c r="G22" s="13" t="s">
        <v>209</v>
      </c>
      <c r="H22" s="82"/>
      <c r="I22" s="82"/>
      <c r="J22"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3" spans="1:10" ht="20.100000000000001" customHeight="1" x14ac:dyDescent="0.2">
      <c r="A23" s="5" t="str">
        <f>HYPERLINK("#'Input - Fertiliser'!A1", "Fertiliser")</f>
        <v>Fertiliser</v>
      </c>
      <c r="D23" s="1" t="str">
        <f>"Total rainfall for reporting period"</f>
        <v>Total rainfall for reporting period</v>
      </c>
      <c r="E23" s="13" t="s">
        <v>199</v>
      </c>
      <c r="F23" s="13" t="s">
        <v>205</v>
      </c>
      <c r="G23" s="13" t="s">
        <v>209</v>
      </c>
      <c r="H23" s="82"/>
      <c r="I23" s="82"/>
      <c r="J23"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14</v>
      </c>
    </row>
    <row r="24" spans="1:10" ht="20.100000000000001" customHeight="1" x14ac:dyDescent="0.2">
      <c r="D24" s="1" t="str">
        <f>"Potential evapotranspiration for reporting period"</f>
        <v>Potential evapotranspiration for reporting period</v>
      </c>
      <c r="E24" s="13" t="s">
        <v>200</v>
      </c>
      <c r="F24" s="13" t="s">
        <v>206</v>
      </c>
      <c r="G24" s="13" t="s">
        <v>209</v>
      </c>
      <c r="H24" s="82"/>
      <c r="I24" s="82"/>
      <c r="J24"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5" spans="1:10" ht="20.100000000000001" customHeight="1" x14ac:dyDescent="0.2">
      <c r="D25" s="1" t="str">
        <f>"Number of frost days for reporting period"</f>
        <v>Number of frost days for reporting period</v>
      </c>
      <c r="E25" s="84" t="s">
        <v>201</v>
      </c>
      <c r="F25" s="84" t="s">
        <v>206</v>
      </c>
      <c r="G25" s="84" t="s">
        <v>209</v>
      </c>
      <c r="H25" s="82"/>
      <c r="I25" s="82"/>
      <c r="J25"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11</v>
      </c>
    </row>
    <row r="26" spans="1:10" ht="20.100000000000001" customHeight="1" x14ac:dyDescent="0.2">
      <c r="A26" s="6" t="s">
        <v>2</v>
      </c>
    </row>
    <row r="27" spans="1:10" ht="20.100000000000001" customHeight="1" x14ac:dyDescent="0.2">
      <c r="A27" s="5" t="str">
        <f>HYPERLINK("#'4.6.1.1-2 Methane'!A1", "4.6.1.1-2 Manure Methane")</f>
        <v>4.6.1.1-2 Manure Methane</v>
      </c>
      <c r="J27" s="83">
        <f>SUM(Table_Input_DataQuality_Site[Score])</f>
        <v>73</v>
      </c>
    </row>
    <row r="28" spans="1:10" ht="20.100000000000001" customHeight="1" x14ac:dyDescent="0.2">
      <c r="A28" s="5" t="str">
        <f>HYPERLINK("#'4.6.1.3-4 Direct N20'!A1", "4.6.1.3-4 Manure Direct N2O")</f>
        <v>4.6.1.3-4 Manure Direct N2O</v>
      </c>
      <c r="D28" s="2" t="s">
        <v>278</v>
      </c>
    </row>
    <row r="29" spans="1:10" ht="20.100000000000001" customHeight="1" x14ac:dyDescent="0.2">
      <c r="A29" s="5" t="str">
        <f>HYPERLINK("#'4.6.1.5-6 Atmos Dep'!A1", "4.6.1.5-6 Manure Atmos Dep")</f>
        <v>4.6.1.5-6 Manure Atmos Dep</v>
      </c>
    </row>
    <row r="30" spans="1:10" ht="20.100000000000001" customHeight="1" x14ac:dyDescent="0.2">
      <c r="A30" s="5" t="str">
        <f>HYPERLINK("#'4.6.1.7-8 Leaching and runoff'!A1", "4.6.1.7-8 Manure Leaching and runoff")</f>
        <v>4.6.1.7-8 Manure Leaching and runoff</v>
      </c>
      <c r="D30" s="78" t="s">
        <v>220</v>
      </c>
      <c r="E30" s="78" t="s">
        <v>221</v>
      </c>
      <c r="F30" s="78" t="s">
        <v>222</v>
      </c>
      <c r="G30" s="78" t="s">
        <v>223</v>
      </c>
      <c r="H30" s="78" t="s">
        <v>148</v>
      </c>
      <c r="I30" s="78" t="s">
        <v>149</v>
      </c>
      <c r="J30" s="78" t="s">
        <v>150</v>
      </c>
    </row>
    <row r="31" spans="1:10" ht="20.100000000000001" customHeight="1" x14ac:dyDescent="0.2">
      <c r="A31" s="5" t="str">
        <f>HYPERLINK("#'4.6.1.9 Manure applied to soils'!A1", "4.6.1.9 Manure applied to soils")</f>
        <v>4.6.1.9 Manure applied to soils</v>
      </c>
      <c r="D31" s="1" t="str">
        <f>"Head count"</f>
        <v>Head count</v>
      </c>
      <c r="E31" s="13" t="s">
        <v>199</v>
      </c>
      <c r="F31" s="13" t="s">
        <v>205</v>
      </c>
      <c r="G31" s="13" t="s">
        <v>209</v>
      </c>
      <c r="H31" s="82"/>
      <c r="I31" s="82"/>
      <c r="J31"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2" spans="1:10" ht="20.100000000000001" customHeight="1" x14ac:dyDescent="0.2">
      <c r="A32" s="5" t="str">
        <f>HYPERLINK("#'4.6.1.10-11 Soil direct N2O'!A1", "4.6.1.10-11 Soil direct N2O")</f>
        <v>4.6.1.10-11 Soil direct N2O</v>
      </c>
      <c r="D32" s="1" t="str">
        <f>"Duration of stay"</f>
        <v>Duration of stay</v>
      </c>
      <c r="E32" s="13"/>
      <c r="F32" s="13"/>
      <c r="G32" s="13"/>
      <c r="H32" s="82"/>
      <c r="I32" s="82"/>
      <c r="J32"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3" spans="1:10" ht="20.100000000000001" customHeight="1" x14ac:dyDescent="0.2">
      <c r="A33" s="5" t="str">
        <f>HYPERLINK("#'4.6.1.12-13 Soil atmos dep'!A1", "4.6.1.12-13 Soil atmos dep")</f>
        <v>4.6.1.12-13 Soil atmos dep</v>
      </c>
      <c r="D33" s="1" t="str">
        <f>"Diet - Dry matter intake"</f>
        <v>Diet - Dry matter intake</v>
      </c>
      <c r="E33" s="13" t="s">
        <v>199</v>
      </c>
      <c r="F33" s="13" t="s">
        <v>205</v>
      </c>
      <c r="G33" s="13" t="s">
        <v>209</v>
      </c>
      <c r="H33" s="82"/>
      <c r="I33" s="82"/>
      <c r="J33"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4" spans="1:10" ht="20.100000000000001" customHeight="1" x14ac:dyDescent="0.2">
      <c r="A34" s="5" t="str">
        <f>HYPERLINK("#'4.6.1.14-15 Soil leach runoff'!A1", "4.6.1.14-15 Soil leach runoff")</f>
        <v>4.6.1.14-15 Soil leach runoff</v>
      </c>
      <c r="D34" s="1" t="str">
        <f>"Diet - Dry matter digestibility"</f>
        <v>Diet - Dry matter digestibility</v>
      </c>
      <c r="E34" s="13" t="s">
        <v>199</v>
      </c>
      <c r="F34" s="13" t="s">
        <v>205</v>
      </c>
      <c r="G34" s="13" t="s">
        <v>209</v>
      </c>
      <c r="H34" s="82"/>
      <c r="I34" s="82"/>
      <c r="J34"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5" spans="1:10" ht="20.100000000000001" customHeight="1" x14ac:dyDescent="0.2">
      <c r="A35" s="5" t="str">
        <f>HYPERLINK("#'8.1.1.1-2 Transport fuel'!A1", "8.1.1.1-2 Transport fuel")</f>
        <v>8.1.1.1-2 Transport fuel</v>
      </c>
      <c r="D35" s="1" t="str">
        <f>"Diet - Crude protein"</f>
        <v>Diet - Crude protein</v>
      </c>
      <c r="E35" s="13"/>
      <c r="F35" s="13"/>
      <c r="G35" s="13"/>
      <c r="H35" s="82"/>
      <c r="I35" s="82"/>
      <c r="J35"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6" spans="1:10" ht="20.100000000000001" customHeight="1" x14ac:dyDescent="0.2">
      <c r="A36" s="5" t="str">
        <f>HYPERLINK("#'8.2.1.1-2 Stationary fuel'!A1", "8.2.1.1-2 Stationary fuel")</f>
        <v>8.2.1.1-2 Stationary fuel</v>
      </c>
      <c r="D36" s="1" t="str">
        <f>"Production and manure management systems"</f>
        <v>Production and manure management systems</v>
      </c>
      <c r="E36" s="13" t="s">
        <v>199</v>
      </c>
      <c r="F36" s="13" t="s">
        <v>205</v>
      </c>
      <c r="G36" s="13" t="s">
        <v>209</v>
      </c>
      <c r="H36" s="82"/>
      <c r="I36" s="82"/>
      <c r="J36"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7" spans="1:10" ht="20.100000000000001" customHeight="1" x14ac:dyDescent="0.2">
      <c r="A37" s="5" t="str">
        <f>HYPERLINK("#'10.1.1-2 Solid waste treatment'!A1", "10.1.1.1-2 Solid waste")</f>
        <v>10.1.1.1-2 Solid waste</v>
      </c>
      <c r="D37" s="1" t="str">
        <f>"Bird sales"</f>
        <v>Bird sales</v>
      </c>
      <c r="E37" s="13"/>
      <c r="F37" s="13"/>
      <c r="G37" s="13"/>
      <c r="H37" s="82"/>
      <c r="I37" s="82"/>
      <c r="J37"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8" spans="1:10" ht="20.100000000000001" customHeight="1" x14ac:dyDescent="0.2">
      <c r="A38" s="5" t="str">
        <f>HYPERLINK("#'14.1.1-2 Purchased electricity'!A1", "14.1.1-2 Purchased electricity")</f>
        <v>14.1.1-2 Purchased electricity</v>
      </c>
      <c r="D38" s="1" t="str">
        <f>"Bird purchases"</f>
        <v>Bird purchases</v>
      </c>
      <c r="E38" s="13"/>
      <c r="F38" s="13"/>
      <c r="G38" s="13"/>
      <c r="H38" s="82"/>
      <c r="I38" s="82"/>
      <c r="J38"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9" spans="1:10" ht="20.100000000000001" customHeight="1" x14ac:dyDescent="0.2">
      <c r="A39" s="5" t="str">
        <f>HYPERLINK("#'15 Scope 3'!A1", "15 Scope 3")</f>
        <v>15 Scope 3</v>
      </c>
    </row>
    <row r="40" spans="1:10" ht="20.100000000000001" customHeight="1" x14ac:dyDescent="0.2">
      <c r="A40" s="5" t="str">
        <f>HYPERLINK("#'Calcs - Manure sent off-site'!A1", "Calcs - Manure sent off-site")</f>
        <v>Calcs - Manure sent off-site</v>
      </c>
      <c r="J40" s="83">
        <f>SUM(Table_Input_DataQuality_PastureManagement[Score])</f>
        <v>56</v>
      </c>
    </row>
    <row r="41" spans="1:10" ht="20.100000000000001" customHeight="1" x14ac:dyDescent="0.2">
      <c r="A41" s="5" t="str">
        <f>HYPERLINK("#'5.1.1.1-2 Inorganic fert N2O'!A1", "5.1.1.1-2 Inorganic fert N2O")</f>
        <v>5.1.1.1-2 Inorganic fert N2O</v>
      </c>
    </row>
    <row r="42" spans="1:10" ht="20.100000000000001" customHeight="1" x14ac:dyDescent="0.2">
      <c r="A42" s="5" t="str">
        <f>HYPERLINK("#'5.1.1.3-4 Inorganic fert CO2'!A1", "5.1.1.3-4 Inorganic fert CO2")</f>
        <v>5.1.1.3-4 Inorganic fert CO2</v>
      </c>
      <c r="D42" s="2" t="s">
        <v>225</v>
      </c>
    </row>
    <row r="43" spans="1:10" ht="20.100000000000001" customHeight="1" x14ac:dyDescent="0.2">
      <c r="A43" s="5" t="str">
        <f>HYPERLINK("#'5.2.1.1-2 Organic Fert N2O'!A1", "5.2.1.1-2 Organic Fert N2O")</f>
        <v>5.2.1.1-2 Organic Fert N2O</v>
      </c>
    </row>
    <row r="44" spans="1:10" ht="20.100000000000001" customHeight="1" x14ac:dyDescent="0.2">
      <c r="A44" s="5" t="str">
        <f>HYPERLINK("#'5.3.1.1-2 Lime CO2'!A1", "5.3.1.1-2 Lime CO2")</f>
        <v>5.3.1.1-2 Lime CO2</v>
      </c>
      <c r="D44" s="78" t="s">
        <v>220</v>
      </c>
      <c r="E44" s="78" t="s">
        <v>221</v>
      </c>
      <c r="F44" s="78" t="s">
        <v>222</v>
      </c>
      <c r="G44" s="78" t="s">
        <v>223</v>
      </c>
      <c r="H44" s="78" t="s">
        <v>148</v>
      </c>
      <c r="I44" s="78" t="s">
        <v>149</v>
      </c>
      <c r="J44" s="78" t="s">
        <v>150</v>
      </c>
    </row>
    <row r="45" spans="1:10" ht="20.100000000000001" customHeight="1" x14ac:dyDescent="0.2">
      <c r="A45" s="5" t="str">
        <f>HYPERLINK("#'5.4.1.1-4 Atmos deposition'!A1", "5.4.1.1-4 Atmos deposition")</f>
        <v>5.4.1.1-4 Atmos deposition</v>
      </c>
      <c r="D45" s="1" t="str">
        <f>"Fuel purchases"</f>
        <v>Fuel purchases</v>
      </c>
      <c r="E45" s="13" t="s">
        <v>199</v>
      </c>
      <c r="F45" s="13" t="s">
        <v>205</v>
      </c>
      <c r="G45" s="13" t="s">
        <v>210</v>
      </c>
      <c r="H45" s="82"/>
      <c r="I45" s="82"/>
      <c r="J45"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13</v>
      </c>
    </row>
    <row r="46" spans="1:10" ht="20.100000000000001" customHeight="1" x14ac:dyDescent="0.2">
      <c r="A46" s="5" t="str">
        <f>HYPERLINK("#'5.5.1.1-2 Leaching and runoff'!A1", "5.5.1.1-2 Leaching and runoff")</f>
        <v>5.5.1.1-2 Leaching and runoff</v>
      </c>
      <c r="D46" s="1" t="str">
        <f>"Fuel consumption"</f>
        <v>Fuel consumption</v>
      </c>
      <c r="E46" s="13" t="s">
        <v>199</v>
      </c>
      <c r="F46" s="13" t="s">
        <v>205</v>
      </c>
      <c r="G46" s="13" t="s">
        <v>209</v>
      </c>
      <c r="H46" s="82"/>
      <c r="I46" s="82"/>
      <c r="J46"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47" spans="1:10" ht="20.100000000000001" customHeight="1" x14ac:dyDescent="0.2">
      <c r="D47" s="1" t="str">
        <f>"Electricity consumption"</f>
        <v>Electricity consumption</v>
      </c>
      <c r="E47" s="13" t="s">
        <v>199</v>
      </c>
      <c r="F47" s="13" t="s">
        <v>205</v>
      </c>
      <c r="G47" s="13" t="s">
        <v>209</v>
      </c>
      <c r="H47" s="82"/>
      <c r="I47" s="82"/>
      <c r="J47"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48" spans="1:10" ht="20.100000000000001" customHeight="1" x14ac:dyDescent="0.2">
      <c r="D48" s="1" t="str">
        <f>"Electricity generation"</f>
        <v>Electricity generation</v>
      </c>
      <c r="E48" s="13" t="s">
        <v>199</v>
      </c>
      <c r="F48" s="13" t="s">
        <v>205</v>
      </c>
      <c r="G48" s="13" t="s">
        <v>209</v>
      </c>
      <c r="H48" s="82"/>
      <c r="I48" s="82"/>
      <c r="J48"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49" spans="1:10" ht="20.100000000000001" customHeight="1" x14ac:dyDescent="0.2">
      <c r="A49" s="80" t="s">
        <v>1</v>
      </c>
    </row>
    <row r="50" spans="1:10" ht="20.100000000000001" customHeight="1" x14ac:dyDescent="0.2">
      <c r="A50" s="5" t="str">
        <f>HYPERLINK("#'Constants - Poultry'!A1", "Constants - Poultry")</f>
        <v>Constants - Poultry</v>
      </c>
      <c r="J50" s="83">
        <f>SUM(Table_Input_DataQuality_FuelElectricity[Score])</f>
        <v>55</v>
      </c>
    </row>
    <row r="51" spans="1:10" ht="20.100000000000001" customHeight="1" x14ac:dyDescent="0.2">
      <c r="A51" s="5" t="str">
        <f>HYPERLINK("#'Constants - Common livestock'!A1", "Constants - Common Livestock")</f>
        <v>Constants - Common Livestock</v>
      </c>
    </row>
    <row r="52" spans="1:10" ht="20.100000000000001" customHeight="1" x14ac:dyDescent="0.2">
      <c r="A52" s="5" t="str">
        <f>HYPERLINK("#'Constants - Electricity'!A1", "Constants - Electricity")</f>
        <v>Constants - Electricity</v>
      </c>
      <c r="D52" s="2" t="s">
        <v>226</v>
      </c>
    </row>
    <row r="53" spans="1:10" ht="20.100000000000001" customHeight="1" x14ac:dyDescent="0.2">
      <c r="A53" s="5" t="str">
        <f>HYPERLINK("#'Constants - Fertiliser'!A1", "Constants - Fertiliser")</f>
        <v>Constants - Fertiliser</v>
      </c>
    </row>
    <row r="54" spans="1:10" ht="20.100000000000001" customHeight="1" x14ac:dyDescent="0.2">
      <c r="A54" s="5" t="str">
        <f>HYPERLINK("#'Constants - Fuel'!A1", "Constants - Fuel")</f>
        <v>Constants - Fuel</v>
      </c>
      <c r="D54" s="78" t="s">
        <v>220</v>
      </c>
      <c r="E54" s="78" t="s">
        <v>221</v>
      </c>
      <c r="F54" s="78" t="s">
        <v>222</v>
      </c>
      <c r="G54" s="78" t="s">
        <v>223</v>
      </c>
      <c r="H54" s="78" t="s">
        <v>148</v>
      </c>
      <c r="I54" s="78" t="s">
        <v>149</v>
      </c>
      <c r="J54" s="78" t="s">
        <v>150</v>
      </c>
    </row>
    <row r="55" spans="1:10" ht="20.100000000000001" customHeight="1" x14ac:dyDescent="0.2">
      <c r="A55" s="5" t="str">
        <f>HYPERLINK("#'Constants - Scope 3'!A1", "Constants - Scope 3")</f>
        <v>Constants - Scope 3</v>
      </c>
      <c r="D55" s="1" t="str">
        <f>"Farm input purchases"</f>
        <v>Farm input purchases</v>
      </c>
      <c r="E55" s="13" t="s">
        <v>199</v>
      </c>
      <c r="F55" s="13" t="s">
        <v>205</v>
      </c>
      <c r="G55" s="13" t="s">
        <v>210</v>
      </c>
      <c r="H55" s="82"/>
      <c r="I55" s="82"/>
      <c r="J55"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13</v>
      </c>
    </row>
    <row r="56" spans="1:10" ht="20.100000000000001" customHeight="1" x14ac:dyDescent="0.2">
      <c r="A56" s="5" t="str">
        <f>HYPERLINK("#'Constants - Solid Waste'!A1", "Constants - Solid Waste")</f>
        <v>Constants - Solid Waste</v>
      </c>
      <c r="D56" s="1" t="str">
        <f>"Inbound freight use"</f>
        <v>Inbound freight use</v>
      </c>
      <c r="E56" s="13" t="s">
        <v>199</v>
      </c>
      <c r="F56" s="13" t="s">
        <v>205</v>
      </c>
      <c r="G56" s="13" t="s">
        <v>209</v>
      </c>
      <c r="H56" s="82"/>
      <c r="I56" s="82"/>
      <c r="J56"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57" spans="1:10" ht="20.100000000000001" customHeight="1" x14ac:dyDescent="0.2">
      <c r="A57" s="5" t="str">
        <f>HYPERLINK("#'Constants - Common'!A1", "Constants - Common")</f>
        <v>Constants - Common</v>
      </c>
      <c r="D57" s="1" t="str">
        <f>"Outbound freight use"</f>
        <v>Outbound freight use</v>
      </c>
      <c r="E57" s="13" t="s">
        <v>199</v>
      </c>
      <c r="F57" s="13" t="s">
        <v>205</v>
      </c>
      <c r="G57" s="13" t="s">
        <v>209</v>
      </c>
      <c r="H57" s="82"/>
      <c r="I57" s="82"/>
      <c r="J57"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58" spans="1:10" ht="20.100000000000001" customHeight="1" x14ac:dyDescent="0.2">
      <c r="D58" s="1" t="str">
        <f>"Use of contractors and service providers"</f>
        <v>Use of contractors and service providers</v>
      </c>
      <c r="E58" s="13"/>
      <c r="F58" s="13"/>
      <c r="G58" s="13"/>
      <c r="H58" s="82"/>
      <c r="I58" s="82"/>
      <c r="J58"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59" spans="1:10" ht="20.100000000000001" customHeight="1" x14ac:dyDescent="0.2">
      <c r="D59" s="1" t="str">
        <f>"Solid waste generation and treatment"</f>
        <v>Solid waste generation and treatment</v>
      </c>
      <c r="E59" s="13" t="s">
        <v>199</v>
      </c>
      <c r="F59" s="13" t="s">
        <v>205</v>
      </c>
      <c r="G59" s="13" t="s">
        <v>209</v>
      </c>
      <c r="H59" s="82"/>
      <c r="I59" s="82"/>
      <c r="J59"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1" spans="1:10" ht="20.100000000000001" customHeight="1" x14ac:dyDescent="0.2">
      <c r="J61" s="83">
        <f>SUM(Table_Input_DataQuality_FarmInputsFreightWaste[Score])</f>
        <v>55</v>
      </c>
    </row>
    <row r="62" spans="1:10" ht="20.100000000000001" customHeight="1" x14ac:dyDescent="0.2">
      <c r="D62" s="85" t="s">
        <v>227</v>
      </c>
      <c r="E62" s="86" t="str">
        <f>(J16+J27+J40+J50+J61)&amp;" out of "&amp;((COUNT(Table_Input_DataQuality_Enterprise[Score])*15)+(COUNT(Table_Input_DataQuality_Site[Score])*15)+(COUNT(Table_Input_DataQuality_PastureManagement[Score])*15)+(COUNT(Table_Input_DataQuality_FuelElectricity[Score])*15)+(COUNT(Table_Input_DataQuality_FarmInputsFreightWaste[Score])*15))</f>
        <v>293 out of 450</v>
      </c>
    </row>
  </sheetData>
  <dataValidations count="3">
    <dataValidation type="list" allowBlank="1" showInputMessage="1" showErrorMessage="1" sqref="G20:G25 G45:G48 G55:G59 G31:G38 G8:G14" xr:uid="{97D978E2-EFFF-4D26-AA9B-97907606C063}">
      <formula1>INDIRECT("Table_SourceData_DataQuality_SampleSize[User friendly description]")</formula1>
    </dataValidation>
    <dataValidation type="list" allowBlank="1" showInputMessage="1" showErrorMessage="1" sqref="E20:E25 E45:E48 E55:E59 E31:E38 E8:E14" xr:uid="{6365A925-6C5F-4576-82C6-82C3A3309F18}">
      <formula1>INDIRECT("Table_SourceData_DataQuality_TemporalRepresentativeness[User friendly description]")</formula1>
    </dataValidation>
    <dataValidation type="list" allowBlank="1" showInputMessage="1" showErrorMessage="1" sqref="F20:F25 F45:F48 F55:F59 F31:F38 F8:F14" xr:uid="{2FC31694-CF14-4E83-AB3B-0D117C874273}">
      <formula1>INDIRECT("Table_SourceData_DataQuality_SpatialRepresentativeness[User friendly description]")</formula1>
    </dataValidation>
  </dataValidations>
  <pageMargins left="0.7" right="0.7" top="0.75" bottom="0.75" header="0.3" footer="0.3"/>
  <tableParts count="5">
    <tablePart r:id="rId1"/>
    <tablePart r:id="rId2"/>
    <tablePart r:id="rId3"/>
    <tablePart r:id="rId4"/>
    <tablePart r:id="rId5"/>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6E49C-DD8A-45F1-8464-740F821554CF}">
  <sheetPr>
    <tabColor rgb="FF008000"/>
  </sheetPr>
  <dimension ref="A1:U342"/>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0" customFormat="1" ht="30" customHeight="1" x14ac:dyDescent="0.35">
      <c r="A1" s="10" t="e" vm="1">
        <v>#VALUE!</v>
      </c>
      <c r="C1" s="20" t="s">
        <v>327</v>
      </c>
      <c r="L1"/>
    </row>
    <row r="2" spans="1:21" s="3" customFormat="1" ht="20.100000000000001" customHeight="1" x14ac:dyDescent="0.2">
      <c r="A2"/>
      <c r="L2"/>
    </row>
    <row r="3" spans="1:21" ht="20.100000000000001" customHeight="1" x14ac:dyDescent="0.2">
      <c r="A3" s="5" t="str">
        <f>HYPERLINK("#'Home'!A1", "Home")</f>
        <v>Home</v>
      </c>
      <c r="C3" s="22"/>
      <c r="D3" s="22" t="s">
        <v>130</v>
      </c>
      <c r="E3" s="22"/>
      <c r="F3" s="22"/>
      <c r="G3" s="22"/>
      <c r="H3" s="22"/>
      <c r="I3" s="22"/>
      <c r="J3" s="22"/>
      <c r="K3" s="22"/>
      <c r="M3" s="22"/>
      <c r="N3" s="22" t="s">
        <v>131</v>
      </c>
      <c r="O3" s="22"/>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1191</v>
      </c>
    </row>
    <row r="6" spans="1:21" ht="20.100000000000001" customHeight="1" x14ac:dyDescent="0.2">
      <c r="D6" s="17" t="s">
        <v>1192</v>
      </c>
    </row>
    <row r="7" spans="1:21" ht="20.100000000000001" customHeight="1" x14ac:dyDescent="0.2">
      <c r="D7" s="112"/>
      <c r="E7" s="112"/>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328</v>
      </c>
      <c r="E10" s="1" t="s">
        <v>1193</v>
      </c>
    </row>
    <row r="11" spans="1:21" ht="20.100000000000001" customHeight="1" x14ac:dyDescent="0.2">
      <c r="A11" s="5" t="str">
        <f>HYPERLINK("#'Input - Poultry'!A1", "Poultry")</f>
        <v>Poultry</v>
      </c>
      <c r="D11" s="75" t="s">
        <v>118</v>
      </c>
      <c r="E11" s="9" t="s">
        <v>1194</v>
      </c>
    </row>
    <row r="12" spans="1:21" ht="20.100000000000001" customHeight="1" x14ac:dyDescent="0.2">
      <c r="A12" s="5" t="str">
        <f>HYPERLINK("#'Input - Livestock sales'!A1", "Livestock sales")</f>
        <v>Livestock sales</v>
      </c>
    </row>
    <row r="13" spans="1:21" ht="20.100000000000001" customHeight="1" x14ac:dyDescent="0.2">
      <c r="A13" s="5" t="str">
        <f>HYPERLINK("#'Input - Poultry purchases'!A1", "Poultry purchases")</f>
        <v>Poultry purchases</v>
      </c>
      <c r="D13" s="113" t="s">
        <v>1195</v>
      </c>
      <c r="E13" s="113" t="s">
        <v>1196</v>
      </c>
      <c r="F13" s="113"/>
      <c r="G13" s="113" t="s">
        <v>1201</v>
      </c>
      <c r="H13" s="114" t="s">
        <v>1202</v>
      </c>
      <c r="I13" s="116" t="str" cm="1">
        <f t="array" aca="1" ref="I13" ca="1">HYPERLINK(Common_InputFunctions.Utility_SourceHyperlink($D$17), $D$17)</f>
        <v>M1_Table_I_j_k</v>
      </c>
    </row>
    <row r="14" spans="1:21" ht="20.100000000000001" customHeight="1" x14ac:dyDescent="0.2">
      <c r="A14" s="5" t="str">
        <f>HYPERLINK("#'Input - Fuel'!A1", "Fuel")</f>
        <v>Fuel</v>
      </c>
      <c r="D14" s="113" t="s">
        <v>1197</v>
      </c>
      <c r="E14" s="113" t="s">
        <v>1198</v>
      </c>
      <c r="F14" s="113"/>
      <c r="G14" s="113" t="s">
        <v>307</v>
      </c>
      <c r="H14" s="114" t="s">
        <v>1202</v>
      </c>
      <c r="I14" s="116" t="str" cm="1">
        <f t="array" aca="1" ref="I14" ca="1">HYPERLINK(Common_InputFunctions.Utility_SourceHyperlink($D$22), $D$22)</f>
        <v>M1_Table_DMD_j_k</v>
      </c>
    </row>
    <row r="15" spans="1:21" ht="20.100000000000001" customHeight="1" x14ac:dyDescent="0.2">
      <c r="A15" s="5" t="str">
        <f>HYPERLINK("#'Input - Electricity'!A1", "Electricity")</f>
        <v>Electricity</v>
      </c>
      <c r="D15" s="113" t="s">
        <v>1199</v>
      </c>
      <c r="E15" s="113" t="s">
        <v>1200</v>
      </c>
      <c r="F15" s="113"/>
      <c r="G15" s="113" t="s">
        <v>307</v>
      </c>
      <c r="H15" s="115" t="s">
        <v>1203</v>
      </c>
      <c r="I15" s="116" t="str" cm="1">
        <f t="array" aca="1" ref="I15" ca="1">HYPERLINK(Common_InputFunctions.Utility_SourceHyperlink($D$32), $D$32)</f>
        <v>M1_Table_VS_j_k</v>
      </c>
    </row>
    <row r="16" spans="1:21" ht="20.100000000000001" customHeight="1" x14ac:dyDescent="0.2">
      <c r="A16" s="5" t="str">
        <f>HYPERLINK("#'Input - Common farm inputs'!A1", "Common farm inputs")</f>
        <v>Common farm inputs</v>
      </c>
    </row>
    <row r="17" spans="1:18" ht="20.100000000000001" customHeight="1" x14ac:dyDescent="0.2">
      <c r="A17" s="5" t="str">
        <f>HYPERLINK("#'Input - Livestock farm Inputs'!A1", "Livestock farm Inputs")</f>
        <v>Livestock farm Inputs</v>
      </c>
      <c r="D17" s="118" t="s">
        <v>329</v>
      </c>
      <c r="N17" s="118" t="s">
        <v>330</v>
      </c>
    </row>
    <row r="18" spans="1:18" ht="20.100000000000001" customHeight="1" x14ac:dyDescent="0.2">
      <c r="A18" s="5" t="str">
        <f>HYPERLINK("#'Input - Freight'!A1", "Freight")</f>
        <v>Freight</v>
      </c>
      <c r="D18" s="119" t="s">
        <v>331</v>
      </c>
      <c r="N18" s="119" t="s">
        <v>332</v>
      </c>
    </row>
    <row r="19" spans="1:18" ht="20.100000000000001" customHeight="1" x14ac:dyDescent="0.2">
      <c r="A19" s="5" t="str">
        <f>HYPERLINK("#'Input - Solid waste'!A1", "Solid waste")</f>
        <v>Solid waste</v>
      </c>
      <c r="D19" s="78" t="s">
        <v>297</v>
      </c>
      <c r="E19" s="78" t="s">
        <v>298</v>
      </c>
      <c r="F19" s="78" t="s">
        <v>299</v>
      </c>
      <c r="G19" s="78" t="s">
        <v>300</v>
      </c>
      <c r="N19" s="78" t="s">
        <v>297</v>
      </c>
      <c r="O19" s="78" t="s">
        <v>298</v>
      </c>
      <c r="P19" s="78" t="s">
        <v>299</v>
      </c>
      <c r="Q19" s="78" t="s">
        <v>300</v>
      </c>
    </row>
    <row r="20" spans="1:18" ht="20.100000000000001" customHeight="1" x14ac:dyDescent="0.2">
      <c r="A20" s="5" t="str">
        <f>HYPERLINK("#'Input - Manure sent off-site'!A1", "Manure sent off-site")</f>
        <v>Manure sent off-site</v>
      </c>
      <c r="D20" s="15">
        <f>INDEX(X_Table_Poultry_Diet_Method1,2,2)</f>
        <v>8.5999999999999993E-2</v>
      </c>
      <c r="E20" s="15">
        <f>INDEX(X_Table_Poultry_Diet_Method1,2,3)</f>
        <v>9.2999999999999999E-2</v>
      </c>
      <c r="F20" s="15">
        <f>INDEX(X_Table_Poultry_Diet_Method1,2,4)</f>
        <v>0.10299999999999999</v>
      </c>
      <c r="G20" s="15">
        <f>INDEX(X_Table_Poultry_Diet_Method1,2,5)</f>
        <v>9.2999999999999999E-2</v>
      </c>
      <c r="H20" s="16" t="str">
        <f>$G$13</f>
        <v>kg DM/bird/day</v>
      </c>
      <c r="N20" s="15">
        <f>INDEX(X_Table_Poultry_Diet_Method2,2,2)</f>
        <v>8.5999999999999993E-2</v>
      </c>
      <c r="O20" s="15">
        <f>INDEX(X_Table_Poultry_Diet_Method2,2,3)</f>
        <v>9.2999999999999999E-2</v>
      </c>
      <c r="P20" s="15">
        <f>INDEX(X_Table_Poultry_Diet_Method2,2,4)</f>
        <v>0.10299999999999999</v>
      </c>
      <c r="Q20" s="15">
        <f>INDEX(X_Table_Poultry_Diet_Method2,2,5)</f>
        <v>9.2999999999999999E-2</v>
      </c>
      <c r="R20" s="16" t="str">
        <f>$G$13</f>
        <v>kg DM/bird/day</v>
      </c>
    </row>
    <row r="21" spans="1:18" ht="20.100000000000001" customHeight="1" x14ac:dyDescent="0.2">
      <c r="A21" s="5" t="str">
        <f>HYPERLINK("#'Input - Data quality'!A1", "Data quality")</f>
        <v>Data quality</v>
      </c>
    </row>
    <row r="22" spans="1:18" ht="20.100000000000001" customHeight="1" x14ac:dyDescent="0.2">
      <c r="A22" s="5" t="str">
        <f>HYPERLINK("#'Input - Fert Prod System'!A1", "Fert Prod System")</f>
        <v>Fert Prod System</v>
      </c>
      <c r="D22" s="118" t="s">
        <v>333</v>
      </c>
      <c r="N22" s="118" t="s">
        <v>334</v>
      </c>
    </row>
    <row r="23" spans="1:18" ht="20.100000000000001" customHeight="1" x14ac:dyDescent="0.2">
      <c r="A23" s="5" t="str">
        <f>HYPERLINK("#'Input - Fertiliser'!A1", "Fertiliser")</f>
        <v>Fertiliser</v>
      </c>
      <c r="D23" s="119" t="s">
        <v>335</v>
      </c>
      <c r="N23" s="119" t="s">
        <v>336</v>
      </c>
    </row>
    <row r="24" spans="1:18" ht="20.100000000000001" customHeight="1" x14ac:dyDescent="0.2">
      <c r="D24" s="78" t="s">
        <v>297</v>
      </c>
      <c r="E24" s="78" t="s">
        <v>298</v>
      </c>
      <c r="F24" s="78" t="s">
        <v>299</v>
      </c>
      <c r="G24" s="78" t="s">
        <v>300</v>
      </c>
      <c r="N24" s="78" t="s">
        <v>297</v>
      </c>
      <c r="O24" s="78" t="s">
        <v>298</v>
      </c>
      <c r="P24" s="78" t="s">
        <v>299</v>
      </c>
      <c r="Q24" s="78" t="s">
        <v>300</v>
      </c>
    </row>
    <row r="25" spans="1:18" ht="20.100000000000001" customHeight="1" x14ac:dyDescent="0.2">
      <c r="D25" s="15">
        <f>INDEX(X_Table_Poultry_Diet_Method1,3,2)</f>
        <v>0.8</v>
      </c>
      <c r="E25" s="15">
        <f>INDEX(X_Table_Poultry_Diet_Method1,3,3)</f>
        <v>0.8</v>
      </c>
      <c r="F25" s="15">
        <f>INDEX(X_Table_Poultry_Diet_Method1,3,4)</f>
        <v>0.8</v>
      </c>
      <c r="G25" s="15">
        <f>INDEX(X_Table_Poultry_Diet_Method1,3,5)</f>
        <v>0.8</v>
      </c>
      <c r="H25" s="16" t="str">
        <f>$G$14</f>
        <v>fraction</v>
      </c>
      <c r="N25" s="15">
        <f>INDEX(X_Table_Poultry_Diet_Method2,3,2)</f>
        <v>0.8</v>
      </c>
      <c r="O25" s="15">
        <f>INDEX(X_Table_Poultry_Diet_Method2,3,3)</f>
        <v>0.8</v>
      </c>
      <c r="P25" s="15">
        <f>INDEX(X_Table_Poultry_Diet_Method2,3,4)</f>
        <v>0.8</v>
      </c>
      <c r="Q25" s="15">
        <f>INDEX(X_Table_Poultry_Diet_Method2,3,5)</f>
        <v>0.8</v>
      </c>
      <c r="R25" s="16" t="str">
        <f>$G$14</f>
        <v>fraction</v>
      </c>
    </row>
    <row r="26" spans="1:18" ht="20.100000000000001" customHeight="1" x14ac:dyDescent="0.2">
      <c r="A26" s="6" t="s">
        <v>2</v>
      </c>
    </row>
    <row r="27" spans="1:18" ht="20.100000000000001" customHeight="1" x14ac:dyDescent="0.2">
      <c r="A27" s="117" t="str">
        <f>HYPERLINK("#'4.6.1.1-2 Methane'!A1", "4.6.1.1-2 Manure Methane")</f>
        <v>4.6.1.1-2 Manure Methane</v>
      </c>
      <c r="D27" s="118" t="s">
        <v>337</v>
      </c>
    </row>
    <row r="28" spans="1:18" ht="20.100000000000001" customHeight="1" x14ac:dyDescent="0.2">
      <c r="A28" s="5" t="str">
        <f>HYPERLINK("#'4.6.1.3-4 Direct N20'!A1", "4.6.1.3-4 Manure Direct N2O")</f>
        <v>4.6.1.3-4 Manure Direct N2O</v>
      </c>
      <c r="D28" s="119" t="s">
        <v>338</v>
      </c>
    </row>
    <row r="29" spans="1:18" ht="20.100000000000001" customHeight="1" x14ac:dyDescent="0.2">
      <c r="A29" s="5" t="str">
        <f>HYPERLINK("#'4.6.1.5-6 Atmos Dep'!A1", "4.6.1.5-6 Manure Atmos Dep")</f>
        <v>4.6.1.5-6 Manure Atmos Dep</v>
      </c>
      <c r="D29" s="120" t="s">
        <v>297</v>
      </c>
      <c r="E29" s="120" t="s">
        <v>298</v>
      </c>
      <c r="F29" s="120" t="s">
        <v>299</v>
      </c>
      <c r="G29" s="120" t="s">
        <v>300</v>
      </c>
    </row>
    <row r="30" spans="1:18" ht="20.100000000000001" customHeight="1" x14ac:dyDescent="0.2">
      <c r="A30" s="5" t="str">
        <f>HYPERLINK("#'4.6.1.7-8 Leaching and runoff'!A1", "4.6.1.7-8 Manure Leaching and runoff")</f>
        <v>4.6.1.7-8 Manure Leaching and runoff</v>
      </c>
      <c r="D30" s="15">
        <f>'Constants - Poultry'!E13</f>
        <v>0.18</v>
      </c>
      <c r="E30" s="15">
        <f>'Constants - Poultry'!F13</f>
        <v>0.15</v>
      </c>
      <c r="F30" s="15">
        <f>'Constants - Poultry'!G13</f>
        <v>0.18</v>
      </c>
      <c r="G30" s="15">
        <f>'Constants - Poultry'!H13</f>
        <v>0.15</v>
      </c>
      <c r="H30" s="16" t="str">
        <f>$G$15</f>
        <v>fraction</v>
      </c>
    </row>
    <row r="31" spans="1:18" ht="20.100000000000001" customHeight="1" x14ac:dyDescent="0.2">
      <c r="A31" s="5" t="str">
        <f>HYPERLINK("#'4.6.1.9 Manure applied to soils'!A1", "4.6.1.9 Manure applied to soils")</f>
        <v>4.6.1.9 Manure applied to soils</v>
      </c>
    </row>
    <row r="32" spans="1:18" ht="20.100000000000001" customHeight="1" x14ac:dyDescent="0.2">
      <c r="A32" s="5" t="str">
        <f>HYPERLINK("#'4.6.1.10-11 Soil direct N2O'!A1", "4.6.1.10-11 Soil direct N2O")</f>
        <v>4.6.1.10-11 Soil direct N2O</v>
      </c>
      <c r="D32" s="118" t="s">
        <v>339</v>
      </c>
      <c r="N32" s="118" t="s">
        <v>340</v>
      </c>
    </row>
    <row r="33" spans="1:21" ht="20.100000000000001" customHeight="1" x14ac:dyDescent="0.2">
      <c r="A33" s="5" t="str">
        <f>HYPERLINK("#'4.6.1.12-13 Soil atmos dep'!A1", "4.6.1.12-13 Soil atmos dep")</f>
        <v>4.6.1.12-13 Soil atmos dep</v>
      </c>
      <c r="D33" s="119" t="s">
        <v>341</v>
      </c>
      <c r="N33" s="119" t="s">
        <v>342</v>
      </c>
    </row>
    <row r="34" spans="1:21" ht="20.100000000000001" customHeight="1" x14ac:dyDescent="0.2">
      <c r="A34" s="5" t="str">
        <f>HYPERLINK("#'4.6.1.14-15 Soil leach runoff'!A1", "4.6.1.14-15 Soil leach runoff")</f>
        <v>4.6.1.14-15 Soil leach runoff</v>
      </c>
      <c r="D34" s="120" t="s">
        <v>297</v>
      </c>
      <c r="E34" s="120" t="s">
        <v>298</v>
      </c>
      <c r="F34" s="120" t="s">
        <v>299</v>
      </c>
      <c r="G34" s="120" t="s">
        <v>300</v>
      </c>
      <c r="N34" s="120" t="s">
        <v>297</v>
      </c>
      <c r="O34" s="120" t="s">
        <v>298</v>
      </c>
      <c r="P34" s="120" t="s">
        <v>299</v>
      </c>
      <c r="Q34" s="120" t="s">
        <v>300</v>
      </c>
    </row>
    <row r="35" spans="1:21" ht="20.100000000000001" customHeight="1" x14ac:dyDescent="0.2">
      <c r="A35" s="5" t="str">
        <f>HYPERLINK("#'8.1.1.1-2 Transport fuel'!A1", "8.1.1.1-2 Transport fuel")</f>
        <v>8.1.1.1-2 Transport fuel</v>
      </c>
      <c r="D35" s="15">
        <f>(D20 * (1 - D25) * (1 - D30))</f>
        <v>1.4103999999999995E-2</v>
      </c>
      <c r="E35" s="15">
        <f>(E20 * (1 - E25) * (1 - E30))</f>
        <v>1.5809999999999994E-2</v>
      </c>
      <c r="F35" s="15">
        <f>(F20 * (1 - F25) * (1 - F30))</f>
        <v>1.6891999999999997E-2</v>
      </c>
      <c r="G35" s="15">
        <f>(G20 * (1 - G25) * (1 - G30))</f>
        <v>1.5809999999999994E-2</v>
      </c>
      <c r="H35" s="16" t="str">
        <f>$E$11</f>
        <v>kg VS/bird/day</v>
      </c>
      <c r="N35" s="15">
        <f>(N20 * (1 - N25) * (1 - D30))</f>
        <v>1.4103999999999995E-2</v>
      </c>
      <c r="O35" s="15">
        <f>(O20 * (1 - O25) * (1 - E30))</f>
        <v>1.5809999999999994E-2</v>
      </c>
      <c r="P35" s="15">
        <f>(P20 * (1 - P25) * (1 - F30))</f>
        <v>1.6891999999999997E-2</v>
      </c>
      <c r="Q35" s="15">
        <f>(Q20 * (1 - Q25) * (1 - G30))</f>
        <v>1.5809999999999994E-2</v>
      </c>
      <c r="R35" s="16" t="str">
        <f>$E$11</f>
        <v>kg VS/bird/day</v>
      </c>
    </row>
    <row r="36" spans="1:21" ht="20.100000000000001" customHeight="1" x14ac:dyDescent="0.2">
      <c r="A36" s="5" t="str">
        <f>HYPERLINK("#'8.2.1.1-2 Stationary fuel'!A1", "8.2.1.1-2 Stationary fuel")</f>
        <v>8.2.1.1-2 Stationary fuel</v>
      </c>
    </row>
    <row r="37" spans="1:21" ht="20.100000000000001" customHeight="1" x14ac:dyDescent="0.2">
      <c r="A37" s="5" t="str">
        <f>HYPERLINK("#'10.1.1-2 Solid waste treatment'!A1", "10.1.1.1-2 Solid waste")</f>
        <v>10.1.1.1-2 Solid waste</v>
      </c>
      <c r="C37" s="121"/>
      <c r="D37" s="121"/>
      <c r="E37" s="121"/>
      <c r="F37" s="121"/>
      <c r="G37" s="121"/>
      <c r="H37" s="121"/>
      <c r="I37" s="121"/>
      <c r="J37" s="121"/>
      <c r="K37" s="121"/>
      <c r="M37" s="121"/>
      <c r="N37" s="121"/>
      <c r="O37" s="121"/>
      <c r="P37" s="121"/>
      <c r="Q37" s="121"/>
      <c r="R37" s="121"/>
      <c r="S37" s="121"/>
      <c r="T37" s="121"/>
      <c r="U37" s="121"/>
    </row>
    <row r="38" spans="1:21" ht="20.100000000000001" customHeight="1" x14ac:dyDescent="0.2">
      <c r="A38" s="5" t="str">
        <f>HYPERLINK("#'14.1.1-2 Purchased electricity'!A1", "14.1.1-2 Purchased electricity")</f>
        <v>14.1.1-2 Purchased electricity</v>
      </c>
    </row>
    <row r="39" spans="1:21" ht="20.100000000000001" customHeight="1" x14ac:dyDescent="0.2">
      <c r="A39" s="5" t="str">
        <f>HYPERLINK("#'15 Scope 3'!A1", "15 Scope 3")</f>
        <v>15 Scope 3</v>
      </c>
      <c r="D39" s="2" t="s">
        <v>1204</v>
      </c>
    </row>
    <row r="40" spans="1:21" ht="20.100000000000001" customHeight="1" x14ac:dyDescent="0.2">
      <c r="A40" s="5" t="str">
        <f>HYPERLINK("#'Calcs - Manure sent off-site'!A1", "Calcs - Manure sent off-site")</f>
        <v>Calcs - Manure sent off-site</v>
      </c>
      <c r="D40" s="17" t="s">
        <v>1205</v>
      </c>
    </row>
    <row r="41" spans="1:21" ht="20.100000000000001" customHeight="1" x14ac:dyDescent="0.2">
      <c r="A41" s="5" t="str">
        <f>HYPERLINK("#'5.1.1.1-2 Inorganic fert N2O'!A1", "5.1.1.1-2 Inorganic fert N2O")</f>
        <v>5.1.1.1-2 Inorganic fert N2O</v>
      </c>
      <c r="D41" s="25" t="str" cm="1">
        <f t="array" ref="D41:D43">(_xlfn.MAKEARRAY(3,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f>
        <v>VARIATION ON SOURCE:</v>
      </c>
    </row>
    <row r="42" spans="1:21" ht="20.100000000000001" customHeight="1" x14ac:dyDescent="0.2">
      <c r="A42" s="5" t="str">
        <f>HYPERLINK("#'5.1.1.3-4 Inorganic fert CO2'!A1", "5.1.1.3-4 Inorganic fert CO2")</f>
        <v>5.1.1.3-4 Inorganic fert CO2</v>
      </c>
      <c r="D42" s="25" t="str">
        <v>Used mean annual temperature instead of temperature zone to determine MCF as MCF values are specific to temperature</v>
      </c>
    </row>
    <row r="43" spans="1:21" ht="20.100000000000001" customHeight="1" x14ac:dyDescent="0.2">
      <c r="A43" s="5" t="str">
        <f>HYPERLINK("#'5.2.1.1-2 Organic Fert N2O'!A1", "5.2.1.1-2 Organic Fert N2O")</f>
        <v>5.2.1.1-2 Organic Fert N2O</v>
      </c>
      <c r="D43" s="25" t="str">
        <v>Method 2: Used state based MCF values for 'Belt manure removal' and 'Manure stored in house' MMS as no temperature values exist in Table A.1.8.1</v>
      </c>
    </row>
    <row r="44" spans="1:21" ht="20.100000000000001" customHeight="1" x14ac:dyDescent="0.2">
      <c r="A44" s="5" t="str">
        <f>HYPERLINK("#'5.3.1.1-2 Lime CO2'!A1", "5.3.1.1-2 Lime CO2")</f>
        <v>5.3.1.1-2 Lime CO2</v>
      </c>
      <c r="D44" s="112"/>
      <c r="E44" s="112"/>
    </row>
    <row r="45" spans="1:21" ht="20.100000000000001" customHeight="1" x14ac:dyDescent="0.2">
      <c r="A45" s="5" t="str">
        <f>HYPERLINK("#'5.4.1.1-4 Atmos deposition'!A1", "5.4.1.1-4 Atmos deposition")</f>
        <v>5.4.1.1-4 Atmos deposition</v>
      </c>
    </row>
    <row r="46" spans="1:21" ht="20.100000000000001" customHeight="1" x14ac:dyDescent="0.2">
      <c r="A46" s="5" t="str">
        <f>HYPERLINK("#'5.5.1.1-2 Leaching and runoff'!A1", "5.5.1.1-2 Leaching and runoff")</f>
        <v>5.5.1.1-2 Leaching and runoff</v>
      </c>
    </row>
    <row r="47" spans="1:21" ht="20.100000000000001" customHeight="1" x14ac:dyDescent="0.2">
      <c r="D47" s="75" t="s">
        <v>328</v>
      </c>
      <c r="E47" s="1" t="s">
        <v>1206</v>
      </c>
    </row>
    <row r="48" spans="1:21" ht="20.100000000000001" customHeight="1" x14ac:dyDescent="0.2">
      <c r="D48" s="75" t="s">
        <v>118</v>
      </c>
      <c r="E48" s="9" t="s">
        <v>1207</v>
      </c>
    </row>
    <row r="49" spans="1:19" ht="20.100000000000001" customHeight="1" x14ac:dyDescent="0.2">
      <c r="A49" s="80" t="s">
        <v>1</v>
      </c>
    </row>
    <row r="50" spans="1:19" ht="20.100000000000001" customHeight="1" x14ac:dyDescent="0.2">
      <c r="A50" s="5" t="str">
        <f>HYPERLINK("#'Constants - Poultry'!A1", "Constants - Poultry")</f>
        <v>Constants - Poultry</v>
      </c>
      <c r="D50" s="113" t="s">
        <v>1193</v>
      </c>
      <c r="E50" s="122" t="s">
        <v>1208</v>
      </c>
      <c r="F50" s="123"/>
      <c r="G50" s="113" t="s">
        <v>1194</v>
      </c>
      <c r="H50" s="115" t="s">
        <v>1219</v>
      </c>
      <c r="I50" s="116" t="str" cm="1">
        <f t="array" aca="1" ref="I50" ca="1">HYPERLINK(Common_InputFunctions.Utility_SourceHyperlink($D$32), $D$32)</f>
        <v>M1_Table_VS_j_k</v>
      </c>
      <c r="N50" s="113" t="s">
        <v>1193</v>
      </c>
      <c r="O50" s="122" t="s">
        <v>1208</v>
      </c>
      <c r="P50" s="123"/>
      <c r="Q50" s="113" t="s">
        <v>1194</v>
      </c>
      <c r="R50" s="115" t="s">
        <v>1219</v>
      </c>
      <c r="S50" s="116" t="str" cm="1">
        <f t="array" aca="1" ref="S50" ca="1">HYPERLINK(Common_InputFunctions.Utility_SourceHyperlink($D$32), $D$32)</f>
        <v>M1_Table_VS_j_k</v>
      </c>
    </row>
    <row r="51" spans="1:19" ht="20.100000000000001" customHeight="1" x14ac:dyDescent="0.2">
      <c r="A51" s="5" t="str">
        <f>HYPERLINK("#'Constants - Common livestock'!A1", "Constants - Common Livestock")</f>
        <v>Constants - Common Livestock</v>
      </c>
      <c r="D51" s="113" t="s">
        <v>1209</v>
      </c>
      <c r="E51" s="122" t="s">
        <v>1210</v>
      </c>
      <c r="F51" s="123"/>
      <c r="G51" s="113" t="s">
        <v>1220</v>
      </c>
      <c r="H51" s="115" t="s">
        <v>1203</v>
      </c>
      <c r="I51" s="116" t="str" cm="1">
        <f t="array" aca="1" ref="I51" ca="1">HYPERLINK(Common_InputFunctions.Utility_SourceHyperlink($D$65), $D$65)</f>
        <v>Table_B_0_j</v>
      </c>
      <c r="N51" s="113" t="s">
        <v>1209</v>
      </c>
      <c r="O51" s="122" t="s">
        <v>1210</v>
      </c>
      <c r="P51" s="123"/>
      <c r="Q51" s="113" t="s">
        <v>1220</v>
      </c>
      <c r="R51" s="115" t="s">
        <v>1203</v>
      </c>
      <c r="S51" s="116" t="str" cm="1">
        <f t="array" aca="1" ref="S51" ca="1">HYPERLINK(Common_InputFunctions.Utility_SourceHyperlink($D$65), $D$65)</f>
        <v>Table_B_0_j</v>
      </c>
    </row>
    <row r="52" spans="1:19" ht="20.100000000000001" customHeight="1" x14ac:dyDescent="0.2">
      <c r="A52" s="5" t="str">
        <f>HYPERLINK("#'Constants - Electricity'!A1", "Constants - Electricity")</f>
        <v>Constants - Electricity</v>
      </c>
      <c r="D52" s="113" t="s">
        <v>1211</v>
      </c>
      <c r="E52" s="122" t="s">
        <v>1212</v>
      </c>
      <c r="F52" s="123"/>
      <c r="G52" s="113" t="s">
        <v>307</v>
      </c>
      <c r="H52" s="114" t="s">
        <v>1202</v>
      </c>
      <c r="I52" s="116" t="str" cm="1">
        <f t="array" aca="1" ref="I52" ca="1">HYPERLINK(Common_InputFunctions.Utility_SourceHyperlink($D$57), $D$57)</f>
        <v>Table_MMS_j_m_T-1</v>
      </c>
      <c r="N52" s="113" t="s">
        <v>1211</v>
      </c>
      <c r="O52" s="122" t="s">
        <v>1212</v>
      </c>
      <c r="P52" s="123"/>
      <c r="Q52" s="113" t="s">
        <v>307</v>
      </c>
      <c r="R52" s="114" t="s">
        <v>1202</v>
      </c>
      <c r="S52" s="116" t="str" cm="1">
        <f t="array" aca="1" ref="S52" ca="1">HYPERLINK(Common_InputFunctions.Utility_SourceHyperlink($D$57), $D$57)</f>
        <v>Table_MMS_j_m_T-1</v>
      </c>
    </row>
    <row r="53" spans="1:19" ht="20.100000000000001" customHeight="1" x14ac:dyDescent="0.2">
      <c r="A53" s="5" t="str">
        <f>HYPERLINK("#'Constants - Fertiliser'!A1", "Constants - Fertiliser")</f>
        <v>Constants - Fertiliser</v>
      </c>
      <c r="D53" s="113" t="s">
        <v>1213</v>
      </c>
      <c r="E53" s="122" t="s">
        <v>1214</v>
      </c>
      <c r="F53" s="123"/>
      <c r="G53" s="113" t="s">
        <v>307</v>
      </c>
      <c r="H53" s="115" t="s">
        <v>1203</v>
      </c>
      <c r="I53" s="116" t="str" cm="1">
        <f t="array" aca="1" ref="I53" ca="1">HYPERLINK(Common_InputFunctions.Utility_SourceHyperlink($D$70), $D$70)</f>
        <v>Table_MCF_i_m</v>
      </c>
      <c r="N53" s="113" t="s">
        <v>1213</v>
      </c>
      <c r="O53" s="122" t="s">
        <v>1214</v>
      </c>
      <c r="P53" s="123"/>
      <c r="Q53" s="113" t="s">
        <v>307</v>
      </c>
      <c r="R53" s="115" t="s">
        <v>1203</v>
      </c>
      <c r="S53" s="116" t="str" cm="1">
        <f t="array" aca="1" ref="S53" ca="1">HYPERLINK(Common_InputFunctions.Utility_SourceHyperlink($D$70), $D$70)</f>
        <v>Table_MCF_i_m</v>
      </c>
    </row>
    <row r="54" spans="1:19" ht="20.100000000000001" customHeight="1" x14ac:dyDescent="0.2">
      <c r="A54" s="5" t="str">
        <f>HYPERLINK("#'Constants - Fuel'!A1", "Constants - Fuel")</f>
        <v>Constants - Fuel</v>
      </c>
      <c r="D54" s="113" t="s">
        <v>1215</v>
      </c>
      <c r="E54" s="122" t="s">
        <v>1216</v>
      </c>
      <c r="F54" s="123"/>
      <c r="G54" s="113" t="s">
        <v>1221</v>
      </c>
      <c r="H54" s="115" t="s">
        <v>1203</v>
      </c>
      <c r="I54" s="113">
        <f>Common_SourceData_DensityOfMethane_Data</f>
        <v>0.6784</v>
      </c>
      <c r="N54" s="113" t="s">
        <v>1215</v>
      </c>
      <c r="O54" s="122" t="s">
        <v>1216</v>
      </c>
      <c r="P54" s="123"/>
      <c r="Q54" s="113" t="s">
        <v>1221</v>
      </c>
      <c r="R54" s="115" t="s">
        <v>1203</v>
      </c>
      <c r="S54" s="113">
        <f>Common_SourceData_DensityOfMethane_Data</f>
        <v>0.6784</v>
      </c>
    </row>
    <row r="55" spans="1:19" ht="20.100000000000001" customHeight="1" x14ac:dyDescent="0.2">
      <c r="A55" s="5" t="str">
        <f>HYPERLINK("#'Constants - Scope 3'!A1", "Constants - Scope 3")</f>
        <v>Constants - Scope 3</v>
      </c>
      <c r="D55" s="113" t="s">
        <v>1217</v>
      </c>
      <c r="E55" s="122" t="s">
        <v>1218</v>
      </c>
      <c r="F55" s="123"/>
      <c r="G55" s="113"/>
      <c r="H55" s="114" t="s">
        <v>1202</v>
      </c>
      <c r="I55" s="113" t="str">
        <f>X_Cell_Site_State</f>
        <v>Western Australia</v>
      </c>
      <c r="N55" s="113" t="s">
        <v>1217</v>
      </c>
      <c r="O55" s="122" t="s">
        <v>1222</v>
      </c>
      <c r="P55" s="123"/>
      <c r="Q55" s="113" t="s">
        <v>1223</v>
      </c>
      <c r="R55" s="114" t="s">
        <v>1202</v>
      </c>
      <c r="S55" s="113">
        <f>X_Cell_Site_AverageTemperature</f>
        <v>18</v>
      </c>
    </row>
    <row r="56" spans="1:19" ht="20.100000000000001" customHeight="1" x14ac:dyDescent="0.2">
      <c r="A56" s="5" t="str">
        <f>HYPERLINK("#'Constants - Solid Waste'!A1", "Constants - Solid Waste")</f>
        <v>Constants - Solid Waste</v>
      </c>
    </row>
    <row r="57" spans="1:19" ht="20.100000000000001" customHeight="1" x14ac:dyDescent="0.2">
      <c r="A57" s="5" t="str">
        <f>HYPERLINK("#'Constants - Common'!A1", "Constants - Common")</f>
        <v>Constants - Common</v>
      </c>
      <c r="D57" s="118" t="s">
        <v>343</v>
      </c>
    </row>
    <row r="58" spans="1:19" ht="20.100000000000001" customHeight="1" x14ac:dyDescent="0.2">
      <c r="D58" s="119" t="s">
        <v>344</v>
      </c>
    </row>
    <row r="59" spans="1:19" ht="20.100000000000001" customHeight="1" x14ac:dyDescent="0.2">
      <c r="D59" s="78" t="s">
        <v>314</v>
      </c>
      <c r="E59" s="78" t="s">
        <v>297</v>
      </c>
      <c r="F59" s="78" t="s">
        <v>298</v>
      </c>
      <c r="G59" s="78" t="s">
        <v>299</v>
      </c>
      <c r="H59" s="78" t="s">
        <v>300</v>
      </c>
    </row>
    <row r="60" spans="1:19" ht="20.100000000000001" customHeight="1" x14ac:dyDescent="0.2">
      <c r="D60" s="15" t="str">
        <f>INDEX(X_Table_Poultry_Stage1MMS,2,1)</f>
        <v>Poultry manure with bedding</v>
      </c>
      <c r="E60" s="15">
        <f>INDEX(X_Table_Poultry_Stage1MMS,2,2)</f>
        <v>0.3</v>
      </c>
      <c r="F60" s="15">
        <f>INDEX(X_Table_Poultry_Stage1MMS,2,3)</f>
        <v>0.3</v>
      </c>
      <c r="G60" s="15">
        <f>INDEX(X_Table_Poultry_Stage1MMS,2,4)</f>
        <v>0.3</v>
      </c>
      <c r="H60" s="15">
        <f>INDEX(X_Table_Poultry_Stage1MMS,2,5)</f>
        <v>0.3</v>
      </c>
      <c r="I60" s="16" t="str">
        <f>$G$52</f>
        <v>fraction</v>
      </c>
    </row>
    <row r="61" spans="1:19" ht="20.100000000000001" customHeight="1" x14ac:dyDescent="0.2">
      <c r="D61" s="15" t="str">
        <f>INDEX(X_Table_Poultry_Stage1MMS,3,1)</f>
        <v>Belt manure removal</v>
      </c>
      <c r="E61" s="15">
        <f>INDEX(X_Table_Poultry_Stage1MMS,3,2)</f>
        <v>0.3</v>
      </c>
      <c r="F61" s="15">
        <f>INDEX(X_Table_Poultry_Stage1MMS,3,3)</f>
        <v>0.3</v>
      </c>
      <c r="G61" s="15">
        <f>INDEX(X_Table_Poultry_Stage1MMS,3,4)</f>
        <v>0.3</v>
      </c>
      <c r="H61" s="15">
        <f>INDEX(X_Table_Poultry_Stage1MMS,3,5)</f>
        <v>0.3</v>
      </c>
      <c r="I61" s="16"/>
    </row>
    <row r="62" spans="1:19" ht="20.100000000000001" customHeight="1" x14ac:dyDescent="0.2">
      <c r="D62" s="15" t="str">
        <f>INDEX(X_Table_Poultry_Stage1MMS,4,1)</f>
        <v>Manure stored in house</v>
      </c>
      <c r="E62" s="15">
        <f>INDEX(X_Table_Poultry_Stage1MMS,4,2)</f>
        <v>0.3</v>
      </c>
      <c r="F62" s="15">
        <f>INDEX(X_Table_Poultry_Stage1MMS,4,3)</f>
        <v>0.3</v>
      </c>
      <c r="G62" s="15">
        <f>INDEX(X_Table_Poultry_Stage1MMS,4,4)</f>
        <v>0.3</v>
      </c>
      <c r="H62" s="15">
        <f>INDEX(X_Table_Poultry_Stage1MMS,4,5)</f>
        <v>0.3</v>
      </c>
      <c r="I62" s="16"/>
    </row>
    <row r="63" spans="1:19" ht="20.100000000000001" customHeight="1" x14ac:dyDescent="0.2">
      <c r="D63" s="15" t="str">
        <f>INDEX(X_Table_Poultry_Stage1MMS,5,1)</f>
        <v>Pasture range and paddock</v>
      </c>
      <c r="E63" s="15">
        <f>INDEX(X_Table_Poultry_Stage1MMS,5,2)</f>
        <v>0.1</v>
      </c>
      <c r="F63" s="15">
        <f>INDEX(X_Table_Poultry_Stage1MMS,5,3)</f>
        <v>0.1</v>
      </c>
      <c r="G63" s="15">
        <f>INDEX(X_Table_Poultry_Stage1MMS,5,4)</f>
        <v>0.1</v>
      </c>
      <c r="H63" s="15">
        <f>INDEX(X_Table_Poultry_Stage1MMS,5,5)</f>
        <v>0.1</v>
      </c>
      <c r="I63" s="16"/>
    </row>
    <row r="65" spans="1:16" ht="20.100000000000001" customHeight="1" x14ac:dyDescent="0.2">
      <c r="D65" s="118" t="s">
        <v>345</v>
      </c>
      <c r="G65" s="112"/>
    </row>
    <row r="66" spans="1:16" ht="20.100000000000001" customHeight="1" x14ac:dyDescent="0.2">
      <c r="D66" s="119" t="s">
        <v>346</v>
      </c>
    </row>
    <row r="67" spans="1:16" ht="20.100000000000001" customHeight="1" x14ac:dyDescent="0.2">
      <c r="D67" s="120" t="s">
        <v>297</v>
      </c>
      <c r="E67" s="120" t="s">
        <v>298</v>
      </c>
      <c r="F67" s="120" t="s">
        <v>299</v>
      </c>
      <c r="G67" s="120" t="s">
        <v>300</v>
      </c>
    </row>
    <row r="68" spans="1:16" ht="20.100000000000001" customHeight="1" x14ac:dyDescent="0.2">
      <c r="A68" s="79" t="str">
        <f>HYPERLINK("#A1", "▲ Back to top")</f>
        <v>▲ Back to top</v>
      </c>
      <c r="D68" s="15">
        <f>'Constants - Poultry'!$E$20</f>
        <v>0.39</v>
      </c>
      <c r="E68" s="15">
        <f>'Constants - Poultry'!$E$21</f>
        <v>0.36</v>
      </c>
      <c r="F68" s="15">
        <f>'Constants - Poultry'!$E$21</f>
        <v>0.36</v>
      </c>
      <c r="G68" s="15">
        <f>'Constants - Poultry'!$E$21</f>
        <v>0.36</v>
      </c>
      <c r="H68" s="16" t="str">
        <f>$G$51</f>
        <v>m3 CH4/kg VS</v>
      </c>
    </row>
    <row r="70" spans="1:16" ht="20.100000000000001" customHeight="1" x14ac:dyDescent="0.2">
      <c r="D70" s="124" t="s">
        <v>347</v>
      </c>
      <c r="N70" s="124" t="s">
        <v>347</v>
      </c>
    </row>
    <row r="71" spans="1:16" ht="20.100000000000001" customHeight="1" x14ac:dyDescent="0.2">
      <c r="D71" s="125" t="s">
        <v>348</v>
      </c>
      <c r="N71" s="125" t="s">
        <v>348</v>
      </c>
    </row>
    <row r="72" spans="1:16" ht="20.100000000000001" customHeight="1" x14ac:dyDescent="0.2">
      <c r="D72" s="120" t="s">
        <v>349</v>
      </c>
      <c r="E72" s="120" t="s">
        <v>350</v>
      </c>
      <c r="N72" s="120" t="s">
        <v>349</v>
      </c>
      <c r="O72" s="120" t="s">
        <v>350</v>
      </c>
    </row>
    <row r="73" spans="1:16" ht="20.100000000000001" customHeight="1" x14ac:dyDescent="0.2">
      <c r="D73" s="126" t="str">
        <f>'Constants - Poultry'!$D$29</f>
        <v>Poultry manure with bedding</v>
      </c>
      <c r="E73" s="15">
        <f>CommonLivestock_InputFunctions.Livestock_LookupMCFState(D73,Table_SourceData_Poultry_MMSMCF[NIR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F73" s="16" t="str">
        <f>$G$53</f>
        <v>fraction</v>
      </c>
      <c r="N73" s="126" t="str">
        <f>'Constants - Poultry'!$D$29</f>
        <v>Poultry manure with bedding</v>
      </c>
      <c r="O73" s="15">
        <f>Common_InputFunctions.Common_GetMCFTemperatureZone($S$54,N73,Table_SourceData_Common_MCFTemperatureZone[MAT (ºC)],Table_SourceData_Common_MCFTemperatureZone[#Headers],Table_SourceData_Common_MCFTemperatureZone[#Data])</f>
        <v>1.4999999999999999E-2</v>
      </c>
      <c r="P73" s="16" t="str">
        <f>$G$53</f>
        <v>fraction</v>
      </c>
    </row>
    <row r="74" spans="1:16" ht="20.100000000000001" customHeight="1" x14ac:dyDescent="0.2">
      <c r="D74" s="126" t="str">
        <f>'Constants - Poultry'!$D$30</f>
        <v>Belt manure removal</v>
      </c>
      <c r="E74" s="15">
        <f>CommonLivestock_InputFunctions.Livestock_LookupMCFState(D74,Table_SourceData_Poultry_MMSMCF[NIR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N74" s="126" t="str">
        <f>'Constants - Poultry'!$D$30</f>
        <v>Belt manure removal</v>
      </c>
      <c r="O74" s="15" t="s">
        <v>351</v>
      </c>
    </row>
    <row r="75" spans="1:16" ht="20.100000000000001" customHeight="1" x14ac:dyDescent="0.2">
      <c r="D75" s="126" t="str">
        <f>'Constants - Poultry'!$D$31</f>
        <v>Manure stored in house</v>
      </c>
      <c r="E75" s="15">
        <f>CommonLivestock_InputFunctions.Livestock_LookupMCFState(D75,Table_SourceData_Poultry_MMSMCF[NIR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N75" s="126" t="str">
        <f>'Constants - Poultry'!$D$31</f>
        <v>Manure stored in house</v>
      </c>
      <c r="O75" s="15" t="s">
        <v>351</v>
      </c>
    </row>
    <row r="76" spans="1:16" ht="20.100000000000001" customHeight="1" x14ac:dyDescent="0.2">
      <c r="D76" s="126" t="str">
        <f>'Constants - Poultry'!$D$32</f>
        <v>Pasture range and paddock</v>
      </c>
      <c r="E76" s="15">
        <f>CommonLivestock_InputFunctions.Livestock_LookupMCFState(D76,Table_SourceData_Poultry_MMSMCF[NIR definition],Common_InputFunctions.Utility_ConvertStateCommonNameToAbbreviation($I$55,Table_AustralianStates[Common Name],Table_AustralianStates[Abbreviation]),Table_SourceData_Poultry_MMSMCF[#Headers],Table_SourceData_Poultry_MMSMCF[#Data])</f>
        <v>0.01</v>
      </c>
      <c r="N76" s="126" t="str">
        <f>'Constants - Poultry'!$D$32</f>
        <v>Pasture range and paddock</v>
      </c>
      <c r="O76" s="15">
        <f>Common_InputFunctions.Common_GetMCFTemperatureZone($S$54,N76,Table_SourceData_Common_MCFTemperatureZone[MAT (ºC)],Table_SourceData_Common_MCFTemperatureZone[#Headers],Table_SourceData_Common_MCFTemperatureZone[#Data])</f>
        <v>4.7000000000000002E-3</v>
      </c>
    </row>
    <row r="77" spans="1:16" ht="20.100000000000001" customHeight="1" x14ac:dyDescent="0.2">
      <c r="D77" s="126" t="str">
        <f>'Constants - Poultry'!$D$33</f>
        <v>Solid storage</v>
      </c>
      <c r="E77" s="15">
        <f>CommonLivestock_InputFunctions.Livestock_LookupMCFState(D77,Table_SourceData_Poultry_MMSMCF[NIR definition],Common_InputFunctions.Utility_ConvertStateCommonNameToAbbreviation($I$55,Table_AustralianStates[Common Name],Table_AustralianStates[Abbreviation]),Table_SourceData_Poultry_MMSMCF[#Headers],Table_SourceData_Poultry_MMSMCF[#Data])</f>
        <v>0.02</v>
      </c>
      <c r="N77" s="126" t="str">
        <f>'Constants - Poultry'!$D$33</f>
        <v>Solid storage</v>
      </c>
      <c r="O77" s="15">
        <f>Common_InputFunctions.Common_GetMCFTemperatureZone($S$54,N77,Table_SourceData_Common_MCFTemperatureZone[MAT (ºC)],Table_SourceData_Common_MCFTemperatureZone[#Headers],Table_SourceData_Common_MCFTemperatureZone[#Data])</f>
        <v>0.02</v>
      </c>
    </row>
    <row r="78" spans="1:16" ht="20.100000000000001" customHeight="1" x14ac:dyDescent="0.2">
      <c r="D78" s="126" t="str">
        <f>'Constants - Poultry'!$D$34</f>
        <v>Composting (passive windrow)</v>
      </c>
      <c r="E78" s="15">
        <f>CommonLivestock_InputFunctions.Livestock_LookupMCFState(D78,Table_SourceData_Poultry_MMSMCF[NIR definition],Common_InputFunctions.Utility_ConvertStateCommonNameToAbbreviation($I$55,Table_AustralianStates[Common Name],Table_AustralianStates[Abbreviation]),Table_SourceData_Poultry_MMSMCF[#Headers],Table_SourceData_Poultry_MMSMCF[#Data])</f>
        <v>0.01</v>
      </c>
      <c r="N78" s="126" t="str">
        <f>'Constants - Poultry'!$D$34</f>
        <v>Composting (passive windrow)</v>
      </c>
      <c r="O78" s="15">
        <f>Common_InputFunctions.Common_GetMCFTemperatureZone($S$54,N78,Table_SourceData_Common_MCFTemperatureZone[MAT (ºC)],Table_SourceData_Common_MCFTemperatureZone[#Headers],Table_SourceData_Common_MCFTemperatureZone[#Data])</f>
        <v>5.0000000000000001E-3</v>
      </c>
    </row>
    <row r="79" spans="1:16" ht="20.100000000000001" customHeight="1" x14ac:dyDescent="0.2">
      <c r="D79" s="126" t="str">
        <f>'Constants - Poultry'!$D$35</f>
        <v>Digester / covered lagoons</v>
      </c>
      <c r="E79" s="15">
        <f>CommonLivestock_InputFunctions.Livestock_LookupMCFState(D79,Table_SourceData_Poultry_MMSMCF[NIR definition],Common_InputFunctions.Utility_ConvertStateCommonNameToAbbreviation($I$55,Table_AustralianStates[Common Name],Table_AustralianStates[Abbreviation]),Table_SourceData_Poultry_MMSMCF[#Headers],Table_SourceData_Poultry_MMSMCF[#Data])</f>
        <v>0.1</v>
      </c>
      <c r="N79" s="126" t="str">
        <f>'Constants - Poultry'!$D$35</f>
        <v>Digester / covered lagoons</v>
      </c>
      <c r="O79" s="15">
        <f>Common_InputFunctions.Common_GetMCFTemperatureZone($S$54,N79,Table_SourceData_Common_MCFTemperatureZone[MAT (ºC)],Table_SourceData_Common_MCFTemperatureZone[#Headers],Table_SourceData_Common_MCFTemperatureZone[#Data])</f>
        <v>0.1</v>
      </c>
    </row>
    <row r="80" spans="1:16" ht="20.100000000000001" customHeight="1" x14ac:dyDescent="0.2">
      <c r="D80" s="126" t="str">
        <f>'Constants - Poultry'!$D$36</f>
        <v>Direct processing</v>
      </c>
      <c r="E80" s="15">
        <f>CommonLivestock_InputFunctions.Livestock_LookupMCFState(D80,Table_SourceData_Poultry_MMSMCF[NIR definition],Common_InputFunctions.Utility_ConvertStateCommonNameToAbbreviation($I$55,Table_AustralianStates[Common Name],Table_AustralianStates[Abbreviation]),Table_SourceData_Poultry_MMSMCF[#Headers],Table_SourceData_Poultry_MMSMCF[#Data])</f>
        <v>0</v>
      </c>
      <c r="N80" s="126" t="str">
        <f>'Constants - Poultry'!$D$36</f>
        <v>Direct processing</v>
      </c>
      <c r="O80" s="15">
        <f>Common_InputFunctions.Common_GetMCFTemperatureZone($S$54,N80,Table_SourceData_Common_MCFTemperatureZone[MAT (ºC)],Table_SourceData_Common_MCFTemperatureZone[#Headers],Table_SourceData_Common_MCFTemperatureZone[#Data])</f>
        <v>0</v>
      </c>
    </row>
    <row r="81" spans="3:21" ht="20.100000000000001" customHeight="1" x14ac:dyDescent="0.2">
      <c r="D81" s="126" t="str">
        <f>'Constants - Poultry'!$D$37</f>
        <v>Direct application</v>
      </c>
      <c r="E81" s="15">
        <f>CommonLivestock_InputFunctions.Livestock_LookupMCFState(D81,Table_SourceData_Poultry_MMSMCF[NIR definition],Common_InputFunctions.Utility_ConvertStateCommonNameToAbbreviation($I$55,Table_AustralianStates[Common Name],Table_AustralianStates[Abbreviation]),Table_SourceData_Poultry_MMSMCF[#Headers],Table_SourceData_Poultry_MMSMCF[#Data])</f>
        <v>0</v>
      </c>
      <c r="N81" s="126" t="str">
        <f>'Constants - Poultry'!$D$37</f>
        <v>Direct application</v>
      </c>
      <c r="O81" s="15">
        <f>Common_InputFunctions.Common_GetMCFTemperatureZone($S$54,N81,Table_SourceData_Common_MCFTemperatureZone[MAT (ºC)],Table_SourceData_Common_MCFTemperatureZone[#Headers],Table_SourceData_Common_MCFTemperatureZone[#Data])</f>
        <v>0</v>
      </c>
    </row>
    <row r="83" spans="3:21" ht="20.100000000000001" customHeight="1" x14ac:dyDescent="0.2">
      <c r="D83" s="118" t="s">
        <v>352</v>
      </c>
      <c r="N83" s="118" t="s">
        <v>353</v>
      </c>
    </row>
    <row r="84" spans="3:21" ht="20.100000000000001" customHeight="1" x14ac:dyDescent="0.2">
      <c r="D84" s="119" t="s">
        <v>354</v>
      </c>
      <c r="N84" s="119" t="s">
        <v>355</v>
      </c>
    </row>
    <row r="85" spans="3:21" ht="20.100000000000001" customHeight="1" x14ac:dyDescent="0.2">
      <c r="D85" s="120" t="s">
        <v>314</v>
      </c>
      <c r="E85" s="120" t="s">
        <v>297</v>
      </c>
      <c r="F85" s="120" t="s">
        <v>298</v>
      </c>
      <c r="G85" s="120" t="s">
        <v>299</v>
      </c>
      <c r="H85" s="120" t="s">
        <v>300</v>
      </c>
      <c r="N85" s="120" t="s">
        <v>314</v>
      </c>
      <c r="O85" s="120" t="s">
        <v>297</v>
      </c>
      <c r="P85" s="120" t="s">
        <v>298</v>
      </c>
      <c r="Q85" s="120" t="s">
        <v>299</v>
      </c>
      <c r="R85" s="120" t="s">
        <v>300</v>
      </c>
    </row>
    <row r="86" spans="3:21" ht="20.100000000000001" customHeight="1" x14ac:dyDescent="0.2">
      <c r="D86" s="15" t="str">
        <f>INDEX(X_Table_Poultry_Stage1MMS,2,1)</f>
        <v>Poultry manure with bedding</v>
      </c>
      <c r="E86" s="15">
        <f>(D$35 * D$68 * E60 * (_xlfn.XLOOKUP($D86,$D$73:$D$81,$E$73:$E$81)) * $I$54)</f>
        <v>1.6792109567999992E-5</v>
      </c>
      <c r="F86" s="15">
        <f>(E$35 * E$68 * F60 * (_xlfn.XLOOKUP($D86,$D$73:$D$81,$E$73:$E$81)) * $I$54)</f>
        <v>1.7375316479999991E-5</v>
      </c>
      <c r="G86" s="15">
        <f>(F$35 * F$68 * G60 * (_xlfn.XLOOKUP($D86,$D$73:$D$81,$E$73:$E$81)) * $I$54)</f>
        <v>1.8564443135999995E-5</v>
      </c>
      <c r="H86" s="15">
        <f>(G$35 * G$68 * H60 * (_xlfn.XLOOKUP($D86,$D$73:$D$81,$E$73:$E$81)) * $I$54)</f>
        <v>1.7375316479999991E-5</v>
      </c>
      <c r="I86" s="16" t="str">
        <f>$E$48</f>
        <v>kg CH4/bird/day</v>
      </c>
      <c r="N86" s="15" t="str">
        <f>INDEX(X_Table_Poultry_Stage1MMS,2,1)</f>
        <v>Poultry manure with bedding</v>
      </c>
      <c r="O86" s="15">
        <f>(N$35 * D$68 * E60 * (_xlfn.XLOOKUP($N86,$N$73:$N$81,$O$73:$O$81)) * $I$54)</f>
        <v>1.6792109567999992E-5</v>
      </c>
      <c r="P86" s="15">
        <f>(O$35 * E$68 * F60 * (_xlfn.XLOOKUP($N86,$N$73:$N$81,$O$73:$O$81)) * $I$54)</f>
        <v>1.7375316479999991E-5</v>
      </c>
      <c r="Q86" s="15">
        <f>(P$35 * F$68 * G60 * (_xlfn.XLOOKUP($N86,$N$73:$N$81,$O$73:$O$81)) * $I$54)</f>
        <v>1.8564443135999995E-5</v>
      </c>
      <c r="R86" s="15">
        <f>(Q$35 * G$68 * H60 * (_xlfn.XLOOKUP($N86,$N$73:$N$81,$O$73:$O$81)) * $I$54)</f>
        <v>1.7375316479999991E-5</v>
      </c>
      <c r="S86" s="16" t="str">
        <f>$E$48</f>
        <v>kg CH4/bird/day</v>
      </c>
    </row>
    <row r="87" spans="3:21" ht="20.100000000000001" customHeight="1" x14ac:dyDescent="0.2">
      <c r="D87" s="15" t="str">
        <f>INDEX(X_Table_Poultry_Stage1MMS,3,1)</f>
        <v>Belt manure removal</v>
      </c>
      <c r="E87" s="15">
        <f>(D$35 * D$68 * E61 * (_xlfn.XLOOKUP($D87,$D$73:$D$81,$E$73:$E$81)) * $I$54)</f>
        <v>1.6792109567999992E-5</v>
      </c>
      <c r="F87" s="15">
        <f>(E$35 * E$68 * F61 * (_xlfn.XLOOKUP($D87,$D$73:$D$81,$E$73:$E$81)) * $I$54)</f>
        <v>1.7375316479999991E-5</v>
      </c>
      <c r="G87" s="15">
        <f>(F$35 * F$68 * G61 * (_xlfn.XLOOKUP($D87,$D$73:$D$81,$E$73:$E$81)) * $I$54)</f>
        <v>1.8564443135999995E-5</v>
      </c>
      <c r="H87" s="15">
        <f>(G$35 * G$68 * H61 * (_xlfn.XLOOKUP($D87,$D$73:$D$81,$E$73:$E$81)) * $I$54)</f>
        <v>1.7375316479999991E-5</v>
      </c>
      <c r="I87" s="16"/>
      <c r="N87" s="15" t="str">
        <f>INDEX(X_Table_Poultry_Stage1MMS,3,1)</f>
        <v>Belt manure removal</v>
      </c>
      <c r="O87" s="15">
        <f>(N$35 * D$68 * E61 * (_xlfn.XLOOKUP($N87,$D$73:$D$81,$E$73:$E$81)) * $I$54)</f>
        <v>1.6792109567999992E-5</v>
      </c>
      <c r="P87" s="15">
        <f>(O$35 * E$68 * F61 * (_xlfn.XLOOKUP($N87,$D$73:$D$81,$E$73:$E$81)) * $I$54)</f>
        <v>1.7375316479999991E-5</v>
      </c>
      <c r="Q87" s="15">
        <f>(P$35 * F$68 * G61 * (_xlfn.XLOOKUP($N87,$D$73:$D$81,$E$73:$E$81)) * $I$54)</f>
        <v>1.8564443135999995E-5</v>
      </c>
      <c r="R87" s="15">
        <f>(Q$35 * G$68 * H61 * (_xlfn.XLOOKUP($N87,$D$73:$D$81,$E$73:$E$81)) * $I$54)</f>
        <v>1.7375316479999991E-5</v>
      </c>
      <c r="S87" s="16"/>
    </row>
    <row r="88" spans="3:21" ht="20.100000000000001" customHeight="1" x14ac:dyDescent="0.2">
      <c r="D88" s="15" t="str">
        <f>INDEX(X_Table_Poultry_Stage1MMS,4,1)</f>
        <v>Manure stored in house</v>
      </c>
      <c r="E88" s="15">
        <f>(D$35 * D$68 * E62 * (_xlfn.XLOOKUP($D88,$D$73:$D$81,$E$73:$E$81)) * $I$54)</f>
        <v>1.6792109567999992E-5</v>
      </c>
      <c r="F88" s="15">
        <f>(E$35 * E$68 * F62 * (_xlfn.XLOOKUP($D88,$D$73:$D$81,$E$73:$E$81)) * $I$54)</f>
        <v>1.7375316479999991E-5</v>
      </c>
      <c r="G88" s="15">
        <f>(F$35 * F$68 * G62 * (_xlfn.XLOOKUP($D88,$D$73:$D$81,$E$73:$E$81)) * $I$54)</f>
        <v>1.8564443135999995E-5</v>
      </c>
      <c r="H88" s="15">
        <f>(G$35 * G$68 * H62 * (_xlfn.XLOOKUP($D88,$D$73:$D$81,$E$73:$E$81)) * $I$54)</f>
        <v>1.7375316479999991E-5</v>
      </c>
      <c r="I88" s="16"/>
      <c r="N88" s="15" t="str">
        <f>INDEX(X_Table_Poultry_Stage1MMS,4,1)</f>
        <v>Manure stored in house</v>
      </c>
      <c r="O88" s="15">
        <f>(N$35 * D$68 * E62 * (_xlfn.XLOOKUP($N88,$D$73:$D$81,$E$73:$E$81)) * $I$54)</f>
        <v>1.6792109567999992E-5</v>
      </c>
      <c r="P88" s="15">
        <f>(O$35 * E$68 * F62 * (_xlfn.XLOOKUP($N88,$D$73:$D$81,$E$73:$E$81)) * $I$54)</f>
        <v>1.7375316479999991E-5</v>
      </c>
      <c r="Q88" s="15">
        <f>(P$35 * F$68 * G62 * (_xlfn.XLOOKUP($N88,$D$73:$D$81,$E$73:$E$81)) * $I$54)</f>
        <v>1.8564443135999995E-5</v>
      </c>
      <c r="R88" s="15">
        <f>(Q$35 * G$68 * H62 * (_xlfn.XLOOKUP($N88,$D$73:$D$81,$E$73:$E$81)) * $I$54)</f>
        <v>1.7375316479999991E-5</v>
      </c>
      <c r="S88" s="16"/>
    </row>
    <row r="89" spans="3:21" ht="20.100000000000001" customHeight="1" x14ac:dyDescent="0.2">
      <c r="D89" s="15" t="str">
        <f>INDEX(X_Table_Poultry_Stage1MMS,5,1)</f>
        <v>Pasture range and paddock</v>
      </c>
      <c r="E89" s="15">
        <f>(D$35 * D$68 * E63 * (_xlfn.XLOOKUP($D89,$D$73:$D$81,$E$73:$E$81)) * $I$54)</f>
        <v>3.7315799039999991E-6</v>
      </c>
      <c r="F89" s="15">
        <f>(E$35 * E$68 * F63 * (_xlfn.XLOOKUP($D89,$D$73:$D$81,$E$73:$E$81)) * $I$54)</f>
        <v>3.8611814399999991E-6</v>
      </c>
      <c r="G89" s="15">
        <f>(F$35 * F$68 * G63 * (_xlfn.XLOOKUP($D89,$D$73:$D$81,$E$73:$E$81)) * $I$54)</f>
        <v>4.1254318079999997E-6</v>
      </c>
      <c r="H89" s="15">
        <f>(G$35 * G$68 * H63 * (_xlfn.XLOOKUP($D89,$D$73:$D$81,$E$73:$E$81)) * $I$54)</f>
        <v>3.8611814399999991E-6</v>
      </c>
      <c r="I89" s="16"/>
      <c r="N89" s="15" t="str">
        <f>INDEX(X_Table_Poultry_Stage1MMS,5,1)</f>
        <v>Pasture range and paddock</v>
      </c>
      <c r="O89" s="15">
        <f>(N$35 * D$68 * E63 * (_xlfn.XLOOKUP($N89,$N$73:$N$81,$O$73:$O$81)) * $I$54)</f>
        <v>1.7538425548799995E-6</v>
      </c>
      <c r="P89" s="15">
        <f>(O$35 * E$68 * F63 * (_xlfn.XLOOKUP($N89,$N$73:$N$81,$O$73:$O$81)) * $I$54)</f>
        <v>1.8147552767999997E-6</v>
      </c>
      <c r="Q89" s="15">
        <f>(P$35 * F$68 * G63 * (_xlfn.XLOOKUP($N89,$N$73:$N$81,$O$73:$O$81)) * $I$54)</f>
        <v>1.9389529497599998E-6</v>
      </c>
      <c r="R89" s="15">
        <f>(Q$35 * G$68 * H63 * (_xlfn.XLOOKUP($N89,$N$73:$N$81,$O$73:$O$81)) * $I$54)</f>
        <v>1.8147552767999997E-6</v>
      </c>
      <c r="S89" s="16"/>
    </row>
    <row r="92" spans="3:21" ht="20.100000000000001" customHeight="1" x14ac:dyDescent="0.2">
      <c r="C92" s="83"/>
      <c r="D92" s="83"/>
      <c r="E92" s="83"/>
      <c r="F92" s="83"/>
      <c r="G92" s="83"/>
      <c r="H92" s="83"/>
      <c r="I92" s="83"/>
      <c r="J92" s="83"/>
      <c r="K92" s="83"/>
      <c r="M92" s="83"/>
      <c r="N92" s="83"/>
      <c r="O92" s="83"/>
      <c r="P92" s="83"/>
      <c r="Q92" s="83"/>
      <c r="R92" s="83"/>
      <c r="S92" s="83"/>
      <c r="T92" s="83"/>
      <c r="U92" s="83"/>
    </row>
    <row r="93" spans="3:21" ht="20.100000000000001" customHeight="1" x14ac:dyDescent="0.2">
      <c r="D93" s="2" t="s">
        <v>1224</v>
      </c>
    </row>
    <row r="94" spans="3:21" ht="20.100000000000001" customHeight="1" x14ac:dyDescent="0.2">
      <c r="D94" s="17" t="s">
        <v>1225</v>
      </c>
    </row>
    <row r="95" spans="3:21" ht="20.100000000000001" customHeight="1" x14ac:dyDescent="0.2">
      <c r="D95" s="112"/>
      <c r="E95" s="112"/>
    </row>
    <row r="98" spans="1:14" ht="20.100000000000001" customHeight="1" x14ac:dyDescent="0.2">
      <c r="A98" s="79" t="str">
        <f>HYPERLINK("#A1", "▲ Back to top")</f>
        <v>▲ Back to top</v>
      </c>
      <c r="D98" s="75" t="s">
        <v>328</v>
      </c>
      <c r="E98" s="1" t="s">
        <v>1226</v>
      </c>
    </row>
    <row r="99" spans="1:14" ht="20.100000000000001" customHeight="1" x14ac:dyDescent="0.2">
      <c r="D99" s="75" t="s">
        <v>118</v>
      </c>
      <c r="E99" s="9" t="s">
        <v>1194</v>
      </c>
    </row>
    <row r="101" spans="1:14" ht="20.100000000000001" customHeight="1" x14ac:dyDescent="0.2">
      <c r="D101" s="113" t="s">
        <v>1193</v>
      </c>
      <c r="E101" s="122" t="s">
        <v>1208</v>
      </c>
      <c r="F101" s="123"/>
      <c r="G101" s="113" t="s">
        <v>1194</v>
      </c>
      <c r="H101" s="115" t="s">
        <v>1219</v>
      </c>
      <c r="I101" s="116" t="str" cm="1">
        <f t="array" aca="1" ref="I101" ca="1">HYPERLINK(Common_InputFunctions.Utility_SourceHyperlink($D$32), $D$32)</f>
        <v>M1_Table_VS_j_k</v>
      </c>
    </row>
    <row r="102" spans="1:14" ht="20.100000000000001" customHeight="1" x14ac:dyDescent="0.2">
      <c r="D102" s="113" t="s">
        <v>1211</v>
      </c>
      <c r="E102" s="122" t="s">
        <v>1212</v>
      </c>
      <c r="F102" s="123"/>
      <c r="G102" s="113" t="s">
        <v>307</v>
      </c>
      <c r="H102" s="114" t="s">
        <v>1202</v>
      </c>
      <c r="I102" s="116" t="str" cm="1">
        <f t="array" aca="1" ref="I102" ca="1">HYPERLINK(Common_InputFunctions.Utility_SourceHyperlink($D$57), $D$57)</f>
        <v>Table_MMS_j_m_T-1</v>
      </c>
    </row>
    <row r="103" spans="1:14" ht="20.100000000000001" customHeight="1" x14ac:dyDescent="0.2">
      <c r="D103" s="113" t="s">
        <v>1227</v>
      </c>
      <c r="E103" s="122" t="s">
        <v>1228</v>
      </c>
      <c r="F103" s="123"/>
      <c r="G103" s="113" t="s">
        <v>307</v>
      </c>
      <c r="H103" s="115" t="s">
        <v>1203</v>
      </c>
      <c r="I103" s="116" t="str" cm="1">
        <f t="array" aca="1" ref="I103" ca="1">HYPERLINK(Common_InputFunctions.Utility_SourceHyperlink($D$105), $D$105)</f>
        <v>Table_VSL_m_T-1</v>
      </c>
    </row>
    <row r="105" spans="1:14" ht="20.100000000000001" customHeight="1" x14ac:dyDescent="0.2">
      <c r="D105" s="127" t="s">
        <v>356</v>
      </c>
    </row>
    <row r="106" spans="1:14" ht="20.100000000000001" customHeight="1" x14ac:dyDescent="0.2">
      <c r="D106" s="128" t="s">
        <v>357</v>
      </c>
    </row>
    <row r="107" spans="1:14" ht="20.100000000000001" customHeight="1" x14ac:dyDescent="0.2">
      <c r="D107" s="120" t="s">
        <v>314</v>
      </c>
      <c r="E107" s="120" t="s">
        <v>358</v>
      </c>
    </row>
    <row r="108" spans="1:14" ht="20.100000000000001" customHeight="1" x14ac:dyDescent="0.2">
      <c r="D108" s="15" t="str">
        <f>INDEX(X_Table_Poultry_Stage1MMS,2,1)</f>
        <v>Poultry manure with bedding</v>
      </c>
      <c r="E108" s="15" cm="1">
        <f t="array" ref="E108">Common_InputFunctions.Utility_LookupValueInTableNumber(D108, Table_SourceData_Poultry_MMSVSL[NIR definition],Table_SourceData_Poultry_MMSVSL[VSL])</f>
        <v>0.15</v>
      </c>
      <c r="F108" s="16" t="str">
        <f>$G$103</f>
        <v>fraction</v>
      </c>
    </row>
    <row r="109" spans="1:14" ht="20.100000000000001" customHeight="1" x14ac:dyDescent="0.2">
      <c r="D109" s="15" t="str">
        <f>INDEX(X_Table_Poultry_Stage1MMS,3,1)</f>
        <v>Belt manure removal</v>
      </c>
      <c r="E109" s="15" cm="1">
        <f t="array" ref="E109">Common_InputFunctions.Utility_LookupValueInTableNumber(D109, Table_SourceData_Poultry_MMSVSL[NIR definition],Table_SourceData_Poultry_MMSVSL[VSL])</f>
        <v>0</v>
      </c>
      <c r="F109" s="16"/>
    </row>
    <row r="110" spans="1:14" ht="20.100000000000001" customHeight="1" x14ac:dyDescent="0.2">
      <c r="D110" s="15" t="str">
        <f>INDEX(X_Table_Poultry_Stage1MMS,4,1)</f>
        <v>Manure stored in house</v>
      </c>
      <c r="E110" s="15" cm="1">
        <f t="array" ref="E110">Common_InputFunctions.Utility_LookupValueInTableNumber(D110, Table_SourceData_Poultry_MMSVSL[NIR definition],Table_SourceData_Poultry_MMSVSL[VSL])</f>
        <v>0.2</v>
      </c>
      <c r="F110" s="16"/>
    </row>
    <row r="111" spans="1:14" ht="20.100000000000001" customHeight="1" x14ac:dyDescent="0.2">
      <c r="F111" s="16"/>
    </row>
    <row r="112" spans="1:14" ht="20.100000000000001" customHeight="1" x14ac:dyDescent="0.2">
      <c r="D112" s="118" t="s">
        <v>359</v>
      </c>
      <c r="N112" s="118" t="s">
        <v>360</v>
      </c>
    </row>
    <row r="113" spans="1:21" ht="20.100000000000001" customHeight="1" x14ac:dyDescent="0.2">
      <c r="D113" s="119" t="s">
        <v>361</v>
      </c>
      <c r="N113" s="119" t="s">
        <v>362</v>
      </c>
    </row>
    <row r="114" spans="1:21" ht="20.100000000000001" customHeight="1" x14ac:dyDescent="0.2">
      <c r="D114" s="120" t="s">
        <v>314</v>
      </c>
      <c r="E114" s="120" t="s">
        <v>297</v>
      </c>
      <c r="F114" s="120" t="s">
        <v>298</v>
      </c>
      <c r="G114" s="120" t="s">
        <v>299</v>
      </c>
      <c r="H114" s="120" t="s">
        <v>300</v>
      </c>
      <c r="N114" s="120" t="s">
        <v>314</v>
      </c>
      <c r="O114" s="120" t="s">
        <v>297</v>
      </c>
      <c r="P114" s="120" t="s">
        <v>298</v>
      </c>
      <c r="Q114" s="120" t="s">
        <v>299</v>
      </c>
      <c r="R114" s="120" t="s">
        <v>300</v>
      </c>
    </row>
    <row r="115" spans="1:21" ht="20.100000000000001" customHeight="1" x14ac:dyDescent="0.2">
      <c r="D115" s="15" t="str">
        <f>INDEX(X_Table_Poultry_Stage1MMS,2,1)</f>
        <v>Poultry manure with bedding</v>
      </c>
      <c r="E115" s="15">
        <f>(D$35 * E60 * (1 - (_xlfn.XLOOKUP($D115,$D$108:$D$110,$E$108:$E$110))))</f>
        <v>3.5965199999999985E-3</v>
      </c>
      <c r="F115" s="15">
        <f>(E$35 * F60 * (1 - (_xlfn.XLOOKUP($D115,$D$108:$D$110,$E$108:$E$110))))</f>
        <v>4.0315499999999983E-3</v>
      </c>
      <c r="G115" s="15">
        <f>(F$35 * G60 * (1 - (_xlfn.XLOOKUP($D115,$D$108:$D$110,$E$108:$E$110))))</f>
        <v>4.3074599999999991E-3</v>
      </c>
      <c r="H115" s="15">
        <f>(G$35 * H60 * (1 - (_xlfn.XLOOKUP($D115,$D$108:$D$110,$E$108:$E$110))))</f>
        <v>4.0315499999999983E-3</v>
      </c>
      <c r="I115" s="16" t="str">
        <f>$E$99</f>
        <v>kg VS/bird/day</v>
      </c>
      <c r="N115" s="15" t="str">
        <f>INDEX(X_Table_Poultry_Stage1MMS,2,1)</f>
        <v>Poultry manure with bedding</v>
      </c>
      <c r="O115" s="15">
        <f>(N$35 * E60 * (1 - (_xlfn.XLOOKUP($N115,$D$108:$D$110,$E$108:$E$110))))</f>
        <v>3.5965199999999985E-3</v>
      </c>
      <c r="P115" s="15">
        <f>(O$35 * F60 * (1 - (_xlfn.XLOOKUP($N115,$D$108:$D$110,$E$108:$E$110))))</f>
        <v>4.0315499999999983E-3</v>
      </c>
      <c r="Q115" s="15">
        <f>(P$35 * G60 * (1 - (_xlfn.XLOOKUP($N115,$D$108:$D$110,$E$108:$E$110))))</f>
        <v>4.3074599999999991E-3</v>
      </c>
      <c r="R115" s="15">
        <f>(Q$35 * H60 * (1 - (_xlfn.XLOOKUP($N115,$D$108:$D$110,$E$108:$E$110))))</f>
        <v>4.0315499999999983E-3</v>
      </c>
      <c r="S115" s="16" t="str">
        <f>$E$99</f>
        <v>kg VS/bird/day</v>
      </c>
    </row>
    <row r="116" spans="1:21" ht="20.100000000000001" customHeight="1" x14ac:dyDescent="0.2">
      <c r="D116" s="15" t="str">
        <f>INDEX(X_Table_Poultry_Stage1MMS,3,1)</f>
        <v>Belt manure removal</v>
      </c>
      <c r="E116" s="15">
        <f>(D$35 * E61 * (1 - (_xlfn.XLOOKUP($D116,$D$108:$D$110,$E$108:$E$110))))</f>
        <v>4.2311999999999983E-3</v>
      </c>
      <c r="F116" s="15">
        <f>(E$35 * F61 * (1 - (_xlfn.XLOOKUP($D116,$D$108:$D$110,$E$108:$E$110))))</f>
        <v>4.7429999999999981E-3</v>
      </c>
      <c r="G116" s="15">
        <f>(F$35 * G61 * (1 - (_xlfn.XLOOKUP($D116,$D$108:$D$110,$E$108:$E$110))))</f>
        <v>5.0675999999999994E-3</v>
      </c>
      <c r="H116" s="15">
        <f>(G$35 * H61 * (1 - (_xlfn.XLOOKUP($D116,$D$108:$D$110,$E$108:$E$110))))</f>
        <v>4.7429999999999981E-3</v>
      </c>
      <c r="I116" s="16"/>
      <c r="N116" s="15" t="str">
        <f>INDEX(X_Table_Poultry_Stage1MMS,3,1)</f>
        <v>Belt manure removal</v>
      </c>
      <c r="O116" s="15">
        <f>(N$35 * E61 * (1 - (_xlfn.XLOOKUP($N116,$D$108:$D$110,$E$108:$E$110))))</f>
        <v>4.2311999999999983E-3</v>
      </c>
      <c r="P116" s="15">
        <f>(O$35 * F61 * (1 - (_xlfn.XLOOKUP($N116,$D$108:$D$110,$E$108:$E$110))))</f>
        <v>4.7429999999999981E-3</v>
      </c>
      <c r="Q116" s="15">
        <f>(P$35 * G61 * (1 - (_xlfn.XLOOKUP($N116,$D$108:$D$110,$E$108:$E$110))))</f>
        <v>5.0675999999999994E-3</v>
      </c>
      <c r="R116" s="15">
        <f>(Q$35 * H61 * (1 - (_xlfn.XLOOKUP($N116,$D$108:$D$110,$E$108:$E$110))))</f>
        <v>4.7429999999999981E-3</v>
      </c>
      <c r="S116" s="16"/>
    </row>
    <row r="117" spans="1:21" ht="20.100000000000001" customHeight="1" x14ac:dyDescent="0.2">
      <c r="D117" s="15" t="str">
        <f>INDEX(X_Table_Poultry_Stage1MMS,4,1)</f>
        <v>Manure stored in house</v>
      </c>
      <c r="E117" s="15">
        <f>(D$35 * E62 * (1 - (_xlfn.XLOOKUP($D117,$D$108:$D$110,$E$108:$E$110))))</f>
        <v>3.3849599999999989E-3</v>
      </c>
      <c r="F117" s="15">
        <f>(E$35 * F62 * (1 - (_xlfn.XLOOKUP($D117,$D$108:$D$110,$E$108:$E$110))))</f>
        <v>3.7943999999999986E-3</v>
      </c>
      <c r="G117" s="15">
        <f>(F$35 * G62 * (1 - (_xlfn.XLOOKUP($D117,$D$108:$D$110,$E$108:$E$110))))</f>
        <v>4.0540799999999998E-3</v>
      </c>
      <c r="H117" s="15">
        <f>(G$35 * H62 * (1 - (_xlfn.XLOOKUP($D117,$D$108:$D$110,$E$108:$E$110))))</f>
        <v>3.7943999999999986E-3</v>
      </c>
      <c r="I117" s="16"/>
      <c r="N117" s="15" t="str">
        <f>INDEX(X_Table_Poultry_Stage1MMS,4,1)</f>
        <v>Manure stored in house</v>
      </c>
      <c r="O117" s="15">
        <f>(N$35 * E62 * (1 - (_xlfn.XLOOKUP($N117,$D$108:$D$110,$E$108:$E$110))))</f>
        <v>3.3849599999999989E-3</v>
      </c>
      <c r="P117" s="15">
        <f>(O$35 * F62 * (1 - (_xlfn.XLOOKUP($N117,$D$108:$D$110,$E$108:$E$110))))</f>
        <v>3.7943999999999986E-3</v>
      </c>
      <c r="Q117" s="15">
        <f>(P$35 * G62 * (1 - (_xlfn.XLOOKUP($N117,$D$108:$D$110,$E$108:$E$110))))</f>
        <v>4.0540799999999998E-3</v>
      </c>
      <c r="R117" s="15">
        <f>(Q$35 * H62 * (1 - (_xlfn.XLOOKUP($N117,$D$108:$D$110,$E$108:$E$110))))</f>
        <v>3.7943999999999986E-3</v>
      </c>
      <c r="S117" s="16"/>
    </row>
    <row r="120" spans="1:21" ht="20.100000000000001" customHeight="1" x14ac:dyDescent="0.2">
      <c r="C120" s="83"/>
      <c r="D120" s="83"/>
      <c r="E120" s="83"/>
      <c r="F120" s="83"/>
      <c r="G120" s="83"/>
      <c r="H120" s="83"/>
      <c r="I120" s="83"/>
      <c r="J120" s="83"/>
      <c r="K120" s="83"/>
      <c r="M120" s="83"/>
      <c r="N120" s="83"/>
      <c r="O120" s="83"/>
      <c r="P120" s="83"/>
      <c r="Q120" s="83"/>
      <c r="R120" s="83"/>
      <c r="S120" s="83"/>
      <c r="T120" s="83"/>
      <c r="U120" s="83"/>
    </row>
    <row r="121" spans="1:21" ht="20.100000000000001" customHeight="1" x14ac:dyDescent="0.2">
      <c r="D121" s="2" t="s">
        <v>1229</v>
      </c>
    </row>
    <row r="122" spans="1:21" ht="20.100000000000001" customHeight="1" x14ac:dyDescent="0.2">
      <c r="D122" s="17" t="s">
        <v>1230</v>
      </c>
    </row>
    <row r="123" spans="1:21" ht="20.100000000000001" customHeight="1" x14ac:dyDescent="0.2">
      <c r="D123" s="25" t="s">
        <v>1231</v>
      </c>
    </row>
    <row r="124" spans="1:21" ht="20.100000000000001" customHeight="1" x14ac:dyDescent="0.2">
      <c r="D124" s="112"/>
      <c r="E124" s="112"/>
    </row>
    <row r="127" spans="1:21" ht="20.100000000000001" customHeight="1" x14ac:dyDescent="0.2">
      <c r="D127" s="75" t="s">
        <v>328</v>
      </c>
      <c r="E127" s="1" t="s">
        <v>1232</v>
      </c>
    </row>
    <row r="128" spans="1:21" ht="20.100000000000001" customHeight="1" x14ac:dyDescent="0.2">
      <c r="A128" s="79" t="str">
        <f>HYPERLINK("#A1", "▲ Back to top")</f>
        <v>▲ Back to top</v>
      </c>
      <c r="D128" s="75" t="s">
        <v>118</v>
      </c>
      <c r="E128" s="9" t="s">
        <v>1207</v>
      </c>
    </row>
    <row r="130" spans="4:19" ht="20.100000000000001" customHeight="1" x14ac:dyDescent="0.2">
      <c r="D130" s="113" t="s">
        <v>1226</v>
      </c>
      <c r="E130" s="122" t="s">
        <v>1233</v>
      </c>
      <c r="F130" s="123"/>
      <c r="G130" s="113" t="s">
        <v>1194</v>
      </c>
      <c r="H130" s="115" t="s">
        <v>1238</v>
      </c>
      <c r="I130" s="116" t="str" cm="1">
        <f t="array" aca="1" ref="I130" ca="1">HYPERLINK(Common_InputFunctions.Utility_SourceHyperlink($D$112), $D$112)</f>
        <v>M1_Table_VST_j_k</v>
      </c>
      <c r="N130" s="113" t="s">
        <v>1226</v>
      </c>
      <c r="O130" s="122" t="s">
        <v>1233</v>
      </c>
      <c r="P130" s="123"/>
      <c r="Q130" s="113" t="s">
        <v>1194</v>
      </c>
      <c r="R130" s="115" t="s">
        <v>1238</v>
      </c>
      <c r="S130" s="116" t="str" cm="1">
        <f t="array" aca="1" ref="S130" ca="1">HYPERLINK(Common_InputFunctions.Utility_SourceHyperlink($D$112), $D$112)</f>
        <v>M1_Table_VST_j_k</v>
      </c>
    </row>
    <row r="131" spans="4:19" ht="20.100000000000001" customHeight="1" x14ac:dyDescent="0.2">
      <c r="D131" s="113" t="s">
        <v>1234</v>
      </c>
      <c r="E131" s="122" t="s">
        <v>1235</v>
      </c>
      <c r="F131" s="123"/>
      <c r="G131" s="113" t="s">
        <v>1220</v>
      </c>
      <c r="H131" s="115" t="s">
        <v>1203</v>
      </c>
      <c r="I131" s="116" t="str" cm="1">
        <f t="array" aca="1" ref="I131" ca="1">HYPERLINK(Common_InputFunctions.Utility_SourceHyperlink($D$65),$D$65)</f>
        <v>Table_B_0_j</v>
      </c>
      <c r="N131" s="113" t="s">
        <v>1234</v>
      </c>
      <c r="O131" s="122" t="s">
        <v>1235</v>
      </c>
      <c r="P131" s="123"/>
      <c r="Q131" s="113" t="s">
        <v>1220</v>
      </c>
      <c r="R131" s="115" t="s">
        <v>1203</v>
      </c>
      <c r="S131" s="116" t="str" cm="1">
        <f t="array" aca="1" ref="S131" ca="1">HYPERLINK(Common_InputFunctions.Utility_SourceHyperlink($D$65),$D$65)</f>
        <v>Table_B_0_j</v>
      </c>
    </row>
    <row r="132" spans="4:19" ht="20.100000000000001" customHeight="1" x14ac:dyDescent="0.2">
      <c r="D132" s="113" t="s">
        <v>1236</v>
      </c>
      <c r="E132" s="122" t="s">
        <v>1237</v>
      </c>
      <c r="F132" s="123"/>
      <c r="G132" s="113" t="s">
        <v>307</v>
      </c>
      <c r="H132" s="114" t="s">
        <v>1202</v>
      </c>
      <c r="I132" s="116" t="str" cm="1">
        <f t="array" aca="1" ref="I132" ca="1">HYPERLINK(Common_InputFunctions.Utility_SourceHyperlink($D$137),$D$137)</f>
        <v>Table_MMS_j_m_T-2</v>
      </c>
      <c r="N132" s="113" t="s">
        <v>1236</v>
      </c>
      <c r="O132" s="122" t="s">
        <v>1237</v>
      </c>
      <c r="P132" s="123"/>
      <c r="Q132" s="113" t="s">
        <v>307</v>
      </c>
      <c r="R132" s="114" t="s">
        <v>1202</v>
      </c>
      <c r="S132" s="116" t="str" cm="1">
        <f t="array" aca="1" ref="S132" ca="1">HYPERLINK(Common_InputFunctions.Utility_SourceHyperlink($D$137),$D$137)</f>
        <v>Table_MMS_j_m_T-2</v>
      </c>
    </row>
    <row r="133" spans="4:19" ht="20.100000000000001" customHeight="1" x14ac:dyDescent="0.2">
      <c r="D133" s="113" t="s">
        <v>1213</v>
      </c>
      <c r="E133" s="122" t="s">
        <v>1214</v>
      </c>
      <c r="F133" s="123"/>
      <c r="G133" s="113" t="s">
        <v>307</v>
      </c>
      <c r="H133" s="115" t="s">
        <v>1203</v>
      </c>
      <c r="I133" s="116" t="str" cm="1">
        <f t="array" aca="1" ref="I133" ca="1">HYPERLINK(Common_InputFunctions.Utility_SourceHyperlink($D$70),$D$70)</f>
        <v>Table_MCF_i_m</v>
      </c>
      <c r="N133" s="113" t="s">
        <v>1213</v>
      </c>
      <c r="O133" s="122" t="s">
        <v>1214</v>
      </c>
      <c r="P133" s="123"/>
      <c r="Q133" s="113" t="s">
        <v>307</v>
      </c>
      <c r="R133" s="115" t="s">
        <v>1203</v>
      </c>
      <c r="S133" s="116" t="str" cm="1">
        <f t="array" aca="1" ref="S133" ca="1">HYPERLINK(Common_InputFunctions.Utility_SourceHyperlink($D$70),$D$70)</f>
        <v>Table_MCF_i_m</v>
      </c>
    </row>
    <row r="134" spans="4:19" ht="20.100000000000001" customHeight="1" x14ac:dyDescent="0.2">
      <c r="D134" s="113" t="s">
        <v>1215</v>
      </c>
      <c r="E134" s="122" t="s">
        <v>1216</v>
      </c>
      <c r="F134" s="123"/>
      <c r="G134" s="113" t="s">
        <v>1221</v>
      </c>
      <c r="H134" s="115" t="s">
        <v>1203</v>
      </c>
      <c r="I134" s="113">
        <f>Common_SourceData_DensityOfMethane_Data</f>
        <v>0.6784</v>
      </c>
      <c r="N134" s="113" t="s">
        <v>1215</v>
      </c>
      <c r="O134" s="122" t="s">
        <v>1216</v>
      </c>
      <c r="P134" s="123"/>
      <c r="Q134" s="113" t="s">
        <v>1221</v>
      </c>
      <c r="R134" s="115" t="s">
        <v>1203</v>
      </c>
      <c r="S134" s="113">
        <f>Common_SourceData_DensityOfMethane_Data</f>
        <v>0.6784</v>
      </c>
    </row>
    <row r="135" spans="4:19" ht="20.100000000000001" customHeight="1" x14ac:dyDescent="0.2">
      <c r="D135" s="113" t="s">
        <v>1217</v>
      </c>
      <c r="E135" s="122" t="s">
        <v>1218</v>
      </c>
      <c r="F135" s="123"/>
      <c r="G135" s="113"/>
      <c r="H135" s="114" t="s">
        <v>1202</v>
      </c>
      <c r="I135" s="113" t="str">
        <f>X_Cell_Site_State</f>
        <v>Western Australia</v>
      </c>
      <c r="N135" s="113" t="s">
        <v>1217</v>
      </c>
      <c r="O135" s="122" t="s">
        <v>1222</v>
      </c>
      <c r="P135" s="123"/>
      <c r="Q135" s="113" t="s">
        <v>1223</v>
      </c>
      <c r="R135" s="114" t="s">
        <v>1202</v>
      </c>
      <c r="S135" s="113">
        <f>X_Cell_Site_AverageTemperature</f>
        <v>18</v>
      </c>
    </row>
    <row r="137" spans="4:19" ht="20.100000000000001" customHeight="1" x14ac:dyDescent="0.2">
      <c r="D137" s="118" t="s">
        <v>363</v>
      </c>
    </row>
    <row r="138" spans="4:19" ht="20.100000000000001" customHeight="1" x14ac:dyDescent="0.2">
      <c r="D138" s="119" t="s">
        <v>364</v>
      </c>
    </row>
    <row r="139" spans="4:19" ht="20.100000000000001" customHeight="1" x14ac:dyDescent="0.2">
      <c r="D139" s="78" t="s">
        <v>314</v>
      </c>
      <c r="E139" s="78" t="s">
        <v>318</v>
      </c>
      <c r="F139" s="78" t="s">
        <v>297</v>
      </c>
      <c r="G139" s="78" t="s">
        <v>298</v>
      </c>
      <c r="H139" s="78" t="s">
        <v>299</v>
      </c>
      <c r="I139" s="78" t="s">
        <v>300</v>
      </c>
    </row>
    <row r="140" spans="4:19" ht="20.100000000000001" customHeight="1" x14ac:dyDescent="0.2">
      <c r="D140" s="15" t="str">
        <f>INDEX(X_Table_Poultry_Stage1MMS,2,1)</f>
        <v>Poultry manure with bedding</v>
      </c>
      <c r="E140" s="15" t="str">
        <f>INDEX(X_Table_Poultry_Stage2MMS_PoultryManureWithBedding,2,1)</f>
        <v>Solid storage</v>
      </c>
      <c r="F140" s="15">
        <f>INDEX(X_Table_Poultry_Stage2MMS_PoultryManureWithBedding,2,2)</f>
        <v>0.2</v>
      </c>
      <c r="G140" s="15">
        <f>INDEX(X_Table_Poultry_Stage2MMS_PoultryManureWithBedding,2,3)</f>
        <v>0.2</v>
      </c>
      <c r="H140" s="15">
        <f>INDEX(X_Table_Poultry_Stage2MMS_PoultryManureWithBedding,2,4)</f>
        <v>0.2</v>
      </c>
      <c r="I140" s="15">
        <f>INDEX(X_Table_Poultry_Stage2MMS_PoultryManureWithBedding,2,5)</f>
        <v>0.2</v>
      </c>
      <c r="J140" s="16" t="str">
        <f>$G$132</f>
        <v>fraction</v>
      </c>
    </row>
    <row r="141" spans="4:19" ht="20.100000000000001" customHeight="1" x14ac:dyDescent="0.2">
      <c r="D141" s="15"/>
      <c r="E141" s="15" t="str">
        <f>INDEX(X_Table_Poultry_Stage2MMS_PoultryManureWithBedding,3,1)</f>
        <v>Composting (passive windrow)</v>
      </c>
      <c r="F141" s="15">
        <f>INDEX(X_Table_Poultry_Stage2MMS_PoultryManureWithBedding,3,2)</f>
        <v>0.2</v>
      </c>
      <c r="G141" s="15">
        <f>INDEX(X_Table_Poultry_Stage2MMS_PoultryManureWithBedding,3,3)</f>
        <v>0.2</v>
      </c>
      <c r="H141" s="15">
        <f>INDEX(X_Table_Poultry_Stage2MMS_PoultryManureWithBedding,3,4)</f>
        <v>0.2</v>
      </c>
      <c r="I141" s="15">
        <f>INDEX(X_Table_Poultry_Stage2MMS_PoultryManureWithBedding,3,5)</f>
        <v>0.2</v>
      </c>
      <c r="J141" s="16"/>
    </row>
    <row r="142" spans="4:19" ht="20.100000000000001" customHeight="1" x14ac:dyDescent="0.2">
      <c r="D142" s="15"/>
      <c r="E142" s="15" t="str">
        <f>INDEX(X_Table_Poultry_Stage2MMS_PoultryManureWithBedding,4,1)</f>
        <v>Digester / covered lagoons</v>
      </c>
      <c r="F142" s="15">
        <f>INDEX(X_Table_Poultry_Stage2MMS_PoultryManureWithBedding,4,2)</f>
        <v>0.2</v>
      </c>
      <c r="G142" s="15">
        <f>INDEX(X_Table_Poultry_Stage2MMS_PoultryManureWithBedding,4,3)</f>
        <v>0.2</v>
      </c>
      <c r="H142" s="15">
        <f>INDEX(X_Table_Poultry_Stage2MMS_PoultryManureWithBedding,4,4)</f>
        <v>0.2</v>
      </c>
      <c r="I142" s="15">
        <f>INDEX(X_Table_Poultry_Stage2MMS_PoultryManureWithBedding,4,5)</f>
        <v>0.2</v>
      </c>
      <c r="J142" s="16"/>
    </row>
    <row r="143" spans="4:19" ht="20.100000000000001" customHeight="1" x14ac:dyDescent="0.2">
      <c r="D143" s="15"/>
      <c r="E143" s="15" t="str">
        <f>INDEX(X_Table_Poultry_Stage2MMS_PoultryManureWithBedding,5,1)</f>
        <v>Direct processing</v>
      </c>
      <c r="F143" s="15">
        <f>INDEX(X_Table_Poultry_Stage2MMS_PoultryManureWithBedding,5,2)</f>
        <v>0.2</v>
      </c>
      <c r="G143" s="15">
        <f>INDEX(X_Table_Poultry_Stage2MMS_PoultryManureWithBedding,5,3)</f>
        <v>0.2</v>
      </c>
      <c r="H143" s="15">
        <f>INDEX(X_Table_Poultry_Stage2MMS_PoultryManureWithBedding,5,4)</f>
        <v>0.2</v>
      </c>
      <c r="I143" s="15">
        <f>INDEX(X_Table_Poultry_Stage2MMS_PoultryManureWithBedding,5,5)</f>
        <v>0.2</v>
      </c>
      <c r="J143" s="16"/>
    </row>
    <row r="144" spans="4:19" ht="20.100000000000001" customHeight="1" x14ac:dyDescent="0.2">
      <c r="D144" s="15"/>
      <c r="E144" s="15" t="str">
        <f>INDEX(X_Table_Poultry_Stage2MMS_PoultryManureWithBedding,6,1)</f>
        <v>Direct application</v>
      </c>
      <c r="F144" s="15">
        <f>INDEX(X_Table_Poultry_Stage2MMS_PoultryManureWithBedding,6,2)</f>
        <v>0.19999999999999996</v>
      </c>
      <c r="G144" s="15">
        <f>INDEX(X_Table_Poultry_Stage2MMS_PoultryManureWithBedding,6,3)</f>
        <v>0.19999999999999996</v>
      </c>
      <c r="H144" s="15">
        <f>INDEX(X_Table_Poultry_Stage2MMS_PoultryManureWithBedding,6,4)</f>
        <v>0.19999999999999996</v>
      </c>
      <c r="I144" s="15">
        <f>INDEX(X_Table_Poultry_Stage2MMS_PoultryManureWithBedding,6,5)</f>
        <v>0.19999999999999996</v>
      </c>
    </row>
    <row r="145" spans="1:20" ht="20.100000000000001" customHeight="1" x14ac:dyDescent="0.2">
      <c r="D145" s="15" t="str">
        <f>INDEX(X_Table_Poultry_Stage1MMS,3,1)</f>
        <v>Belt manure removal</v>
      </c>
      <c r="E145" s="15" t="str">
        <f>INDEX(X_Table_Poultry_Stage2MMS_BeltManureRemoval,2,1)</f>
        <v>Solid storage</v>
      </c>
      <c r="F145" s="15">
        <f>INDEX(X_Table_Poultry_Stage2MMS_BeltManureRemoval,2,2)</f>
        <v>0.2</v>
      </c>
      <c r="G145" s="15">
        <f>INDEX(X_Table_Poultry_Stage2MMS_BeltManureRemoval,2,3)</f>
        <v>0.2</v>
      </c>
      <c r="H145" s="15">
        <f>INDEX(X_Table_Poultry_Stage2MMS_BeltManureRemoval,2,4)</f>
        <v>0.2</v>
      </c>
      <c r="I145" s="15">
        <f>INDEX(X_Table_Poultry_Stage2MMS_BeltManureRemoval,2,5)</f>
        <v>0.2</v>
      </c>
      <c r="J145" s="16"/>
    </row>
    <row r="146" spans="1:20" ht="20.100000000000001" customHeight="1" x14ac:dyDescent="0.2">
      <c r="D146" s="15"/>
      <c r="E146" s="15" t="str">
        <f>INDEX(X_Table_Poultry_Stage2MMS_BeltManureRemoval,3,1)</f>
        <v>Composting (passive windrow)</v>
      </c>
      <c r="F146" s="15">
        <f>INDEX(X_Table_Poultry_Stage2MMS_BeltManureRemoval,3,2)</f>
        <v>0.2</v>
      </c>
      <c r="G146" s="15">
        <f>INDEX(X_Table_Poultry_Stage2MMS_BeltManureRemoval,3,3)</f>
        <v>0.2</v>
      </c>
      <c r="H146" s="15">
        <f>INDEX(X_Table_Poultry_Stage2MMS_BeltManureRemoval,3,4)</f>
        <v>0.2</v>
      </c>
      <c r="I146" s="15">
        <f>INDEX(X_Table_Poultry_Stage2MMS_BeltManureRemoval,3,5)</f>
        <v>0.2</v>
      </c>
      <c r="J146" s="16"/>
    </row>
    <row r="147" spans="1:20" ht="20.100000000000001" customHeight="1" x14ac:dyDescent="0.2">
      <c r="D147" s="15"/>
      <c r="E147" s="15" t="str">
        <f>INDEX(X_Table_Poultry_Stage2MMS_BeltManureRemoval,4,1)</f>
        <v>Digester / covered lagoons</v>
      </c>
      <c r="F147" s="15">
        <f>INDEX(X_Table_Poultry_Stage2MMS_BeltManureRemoval,4,2)</f>
        <v>0.2</v>
      </c>
      <c r="G147" s="15">
        <f>INDEX(X_Table_Poultry_Stage2MMS_BeltManureRemoval,4,3)</f>
        <v>0.2</v>
      </c>
      <c r="H147" s="15">
        <f>INDEX(X_Table_Poultry_Stage2MMS_BeltManureRemoval,4,4)</f>
        <v>0.2</v>
      </c>
      <c r="I147" s="15">
        <f>INDEX(X_Table_Poultry_Stage2MMS_BeltManureRemoval,4,5)</f>
        <v>0.2</v>
      </c>
      <c r="J147" s="16"/>
    </row>
    <row r="148" spans="1:20" ht="20.100000000000001" customHeight="1" x14ac:dyDescent="0.2">
      <c r="D148" s="15"/>
      <c r="E148" s="15" t="str">
        <f>INDEX(X_Table_Poultry_Stage2MMS_BeltManureRemoval,5,1)</f>
        <v>Direct processing</v>
      </c>
      <c r="F148" s="15">
        <f>INDEX(X_Table_Poultry_Stage2MMS_BeltManureRemoval,5,2)</f>
        <v>0.2</v>
      </c>
      <c r="G148" s="15">
        <f>INDEX(X_Table_Poultry_Stage2MMS_BeltManureRemoval,5,3)</f>
        <v>0.2</v>
      </c>
      <c r="H148" s="15">
        <f>INDEX(X_Table_Poultry_Stage2MMS_BeltManureRemoval,5,4)</f>
        <v>0.2</v>
      </c>
      <c r="I148" s="15">
        <f>INDEX(X_Table_Poultry_Stage2MMS_BeltManureRemoval,5,5)</f>
        <v>0.2</v>
      </c>
      <c r="J148" s="16"/>
    </row>
    <row r="149" spans="1:20" ht="20.100000000000001" customHeight="1" x14ac:dyDescent="0.2">
      <c r="D149" s="15"/>
      <c r="E149" s="15" t="str">
        <f>INDEX(X_Table_Poultry_Stage2MMS_BeltManureRemoval,6,1)</f>
        <v>Direct application</v>
      </c>
      <c r="F149" s="15">
        <f>INDEX(X_Table_Poultry_Stage2MMS_BeltManureRemoval,6,2)</f>
        <v>0.19999999999999996</v>
      </c>
      <c r="G149" s="15">
        <f>INDEX(X_Table_Poultry_Stage2MMS_BeltManureRemoval,6,3)</f>
        <v>0.19999999999999996</v>
      </c>
      <c r="H149" s="15">
        <f>INDEX(X_Table_Poultry_Stage2MMS_BeltManureRemoval,6,4)</f>
        <v>0.19999999999999996</v>
      </c>
      <c r="I149" s="15">
        <f>INDEX(X_Table_Poultry_Stage2MMS_BeltManureRemoval,6,5)</f>
        <v>0.19999999999999996</v>
      </c>
    </row>
    <row r="150" spans="1:20" ht="20.100000000000001" customHeight="1" x14ac:dyDescent="0.2">
      <c r="D150" s="15" t="str">
        <f>INDEX(X_Table_Poultry_Stage1MMS,4,1)</f>
        <v>Manure stored in house</v>
      </c>
      <c r="E150" s="15" t="str">
        <f>INDEX(X_Table_Poultry_Stage2MMS_ManureStoredInHouse,2,1)</f>
        <v>Solid storage</v>
      </c>
      <c r="F150" s="15">
        <f>INDEX(X_Table_Poultry_Stage2MMS_ManureStoredInHouse,2,2)</f>
        <v>0.2</v>
      </c>
      <c r="G150" s="15">
        <f>INDEX(X_Table_Poultry_Stage2MMS_ManureStoredInHouse,2,3)</f>
        <v>0.2</v>
      </c>
      <c r="H150" s="15">
        <f>INDEX(X_Table_Poultry_Stage2MMS_ManureStoredInHouse,2,4)</f>
        <v>0.2</v>
      </c>
      <c r="I150" s="15">
        <f>INDEX(X_Table_Poultry_Stage2MMS_ManureStoredInHouse,2,5)</f>
        <v>0.2</v>
      </c>
      <c r="J150" s="16"/>
    </row>
    <row r="151" spans="1:20" ht="20.100000000000001" customHeight="1" x14ac:dyDescent="0.2">
      <c r="D151" s="15"/>
      <c r="E151" s="15" t="str">
        <f>INDEX(X_Table_Poultry_Stage2MMS_ManureStoredInHouse,3,1)</f>
        <v>Composting (passive windrow)</v>
      </c>
      <c r="F151" s="15">
        <f>INDEX(X_Table_Poultry_Stage2MMS_ManureStoredInHouse,3,2)</f>
        <v>0.2</v>
      </c>
      <c r="G151" s="15">
        <f>INDEX(X_Table_Poultry_Stage2MMS_ManureStoredInHouse,3,3)</f>
        <v>0.2</v>
      </c>
      <c r="H151" s="15">
        <f>INDEX(X_Table_Poultry_Stage2MMS_ManureStoredInHouse,3,4)</f>
        <v>0.2</v>
      </c>
      <c r="I151" s="15">
        <f>INDEX(X_Table_Poultry_Stage2MMS_ManureStoredInHouse,3,5)</f>
        <v>0.2</v>
      </c>
      <c r="J151" s="16"/>
    </row>
    <row r="152" spans="1:20" ht="20.100000000000001" customHeight="1" x14ac:dyDescent="0.2">
      <c r="D152" s="15"/>
      <c r="E152" s="15" t="str">
        <f>INDEX(X_Table_Poultry_Stage2MMS_ManureStoredInHouse,4,1)</f>
        <v>Digester / covered lagoons</v>
      </c>
      <c r="F152" s="15">
        <f>INDEX(X_Table_Poultry_Stage2MMS_ManureStoredInHouse,4,2)</f>
        <v>0.2</v>
      </c>
      <c r="G152" s="15">
        <f>INDEX(X_Table_Poultry_Stage2MMS_ManureStoredInHouse,4,3)</f>
        <v>0.2</v>
      </c>
      <c r="H152" s="15">
        <f>INDEX(X_Table_Poultry_Stage2MMS_ManureStoredInHouse,4,4)</f>
        <v>0.2</v>
      </c>
      <c r="I152" s="15">
        <f>INDEX(X_Table_Poultry_Stage2MMS_ManureStoredInHouse,4,5)</f>
        <v>0.2</v>
      </c>
      <c r="J152" s="16"/>
    </row>
    <row r="153" spans="1:20" ht="20.100000000000001" customHeight="1" x14ac:dyDescent="0.2">
      <c r="D153" s="15"/>
      <c r="E153" s="15" t="str">
        <f>INDEX(X_Table_Poultry_Stage2MMS_ManureStoredInHouse,5,1)</f>
        <v>Direct processing</v>
      </c>
      <c r="F153" s="15">
        <f>INDEX(X_Table_Poultry_Stage2MMS_ManureStoredInHouse,5,2)</f>
        <v>0.2</v>
      </c>
      <c r="G153" s="15">
        <f>INDEX(X_Table_Poultry_Stage2MMS_ManureStoredInHouse,5,3)</f>
        <v>0.2</v>
      </c>
      <c r="H153" s="15">
        <f>INDEX(X_Table_Poultry_Stage2MMS_ManureStoredInHouse,5,4)</f>
        <v>0.2</v>
      </c>
      <c r="I153" s="15">
        <f>INDEX(X_Table_Poultry_Stage2MMS_ManureStoredInHouse,5,5)</f>
        <v>0.2</v>
      </c>
      <c r="J153" s="16"/>
    </row>
    <row r="154" spans="1:20" ht="20.100000000000001" customHeight="1" x14ac:dyDescent="0.2">
      <c r="D154" s="15"/>
      <c r="E154" s="15" t="str">
        <f>INDEX(X_Table_Poultry_Stage2MMS_ManureStoredInHouse,6,1)</f>
        <v>Direct application</v>
      </c>
      <c r="F154" s="15">
        <f>INDEX(X_Table_Poultry_Stage2MMS_ManureStoredInHouse,6,2)</f>
        <v>0.19999999999999996</v>
      </c>
      <c r="G154" s="15">
        <f>INDEX(X_Table_Poultry_Stage2MMS_ManureStoredInHouse,6,3)</f>
        <v>0.19999999999999996</v>
      </c>
      <c r="H154" s="15">
        <f>INDEX(X_Table_Poultry_Stage2MMS_ManureStoredInHouse,6,4)</f>
        <v>0.19999999999999996</v>
      </c>
      <c r="I154" s="15">
        <f>INDEX(X_Table_Poultry_Stage2MMS_ManureStoredInHouse,6,5)</f>
        <v>0.19999999999999996</v>
      </c>
    </row>
    <row r="156" spans="1:20" ht="20.100000000000001" customHeight="1" x14ac:dyDescent="0.2">
      <c r="D156" s="118" t="s">
        <v>365</v>
      </c>
      <c r="N156" s="118" t="s">
        <v>365</v>
      </c>
    </row>
    <row r="157" spans="1:20" ht="20.100000000000001" customHeight="1" x14ac:dyDescent="0.2">
      <c r="D157" s="119" t="s">
        <v>366</v>
      </c>
      <c r="N157" s="119" t="s">
        <v>366</v>
      </c>
    </row>
    <row r="158" spans="1:20" ht="20.100000000000001" customHeight="1" x14ac:dyDescent="0.2">
      <c r="A158" s="79" t="str">
        <f>HYPERLINK("#A1", "▲ Back to top")</f>
        <v>▲ Back to top</v>
      </c>
      <c r="D158" s="120" t="s">
        <v>314</v>
      </c>
      <c r="E158" s="120" t="s">
        <v>318</v>
      </c>
      <c r="F158" s="120" t="s">
        <v>297</v>
      </c>
      <c r="G158" s="120" t="s">
        <v>298</v>
      </c>
      <c r="H158" s="120" t="s">
        <v>299</v>
      </c>
      <c r="I158" s="120" t="s">
        <v>300</v>
      </c>
      <c r="N158" s="120" t="s">
        <v>314</v>
      </c>
      <c r="O158" s="120" t="s">
        <v>318</v>
      </c>
      <c r="P158" s="120" t="s">
        <v>297</v>
      </c>
      <c r="Q158" s="120" t="s">
        <v>298</v>
      </c>
      <c r="R158" s="120" t="s">
        <v>299</v>
      </c>
      <c r="S158" s="120" t="s">
        <v>300</v>
      </c>
    </row>
    <row r="159" spans="1:20" ht="20.100000000000001" customHeight="1" x14ac:dyDescent="0.2">
      <c r="D159" s="15" t="str">
        <f>INDEX(X_Table_Poultry_Stage1MMS,2,1)</f>
        <v>Poultry manure with bedding</v>
      </c>
      <c r="E159" s="15" t="str">
        <f>INDEX(X_Table_Poultry_Stage2MMS_PoultryManureWithBedding,2,1)</f>
        <v>Solid storage</v>
      </c>
      <c r="F159" s="15">
        <f>(E$115 * D$68 * F140 * (_xlfn.XLOOKUP($E159,$D$73:$D$81,$E$73:$E$81)) * $I$134)</f>
        <v>3.8062115020799981E-6</v>
      </c>
      <c r="G159" s="15">
        <f>(F$115 * E$68 * G140 * (_xlfn.XLOOKUP($E159,$D$73:$D$81,$E$73:$E$81)) * $I$134)</f>
        <v>3.9384050687999985E-6</v>
      </c>
      <c r="H159" s="15">
        <f>(G$115 * F$68 * H140 * (_xlfn.XLOOKUP($E159,$D$73:$D$81,$E$73:$E$81)) * $I$134)</f>
        <v>4.2079404441599992E-6</v>
      </c>
      <c r="I159" s="15">
        <f>(H$115 * G$68 * I140 * (_xlfn.XLOOKUP($E159,$D$73:$D$81,$E$73:$E$81)) * $I$134)</f>
        <v>3.9384050687999985E-6</v>
      </c>
      <c r="J159" s="16" t="str">
        <f>$E$128</f>
        <v>kg CH4/bird/day</v>
      </c>
      <c r="N159" s="15" t="str">
        <f>INDEX(X_Table_Poultry_Stage1MMS,2,1)</f>
        <v>Poultry manure with bedding</v>
      </c>
      <c r="O159" s="15" t="str">
        <f>INDEX(X_Table_Poultry_Stage2MMS_PoultryManureWithBedding,2,1)</f>
        <v>Solid storage</v>
      </c>
      <c r="P159" s="15">
        <f>(O$115 * D$68 * F140 * (_xlfn.XLOOKUP($O159,$N$73:$N$81,$O$73:$O$81)) * $I$134)</f>
        <v>3.8062115020799981E-6</v>
      </c>
      <c r="Q159" s="15">
        <f>(P$115 * E$68 * G140 * (_xlfn.XLOOKUP($O159,$N$73:$N$81,$O$73:$O$81)) * $I$134)</f>
        <v>3.9384050687999985E-6</v>
      </c>
      <c r="R159" s="15">
        <f>(Q$115 * F$68 * H140 * (_xlfn.XLOOKUP($O159,$N$73:$N$81,$O$73:$O$81)) * $I$134)</f>
        <v>4.2079404441599992E-6</v>
      </c>
      <c r="S159" s="15">
        <f>(R$115 * G$68 * I140 * (_xlfn.XLOOKUP($O159,$N$73:$N$81,$O$73:$O$81)) * $I$134)</f>
        <v>3.9384050687999985E-6</v>
      </c>
      <c r="T159" s="16" t="str">
        <f>$E$128</f>
        <v>kg CH4/bird/day</v>
      </c>
    </row>
    <row r="160" spans="1:20" ht="20.100000000000001" customHeight="1" x14ac:dyDescent="0.2">
      <c r="D160" s="15"/>
      <c r="E160" s="15" t="str">
        <f>INDEX(X_Table_Poultry_Stage2MMS_PoultryManureWithBedding,3,1)</f>
        <v>Composting (passive windrow)</v>
      </c>
      <c r="F160" s="15">
        <f>(E$115 * D$68 * F141 * (_xlfn.XLOOKUP($E160,$D$73:$D$81,$E$73:$E$81)) * $I$134)</f>
        <v>1.9031057510399991E-6</v>
      </c>
      <c r="G160" s="15">
        <f>(F$115 * E$68 * G141 * (_xlfn.XLOOKUP($E160,$D$73:$D$81,$E$73:$E$81)) * $I$134)</f>
        <v>1.9692025343999993E-6</v>
      </c>
      <c r="H160" s="15">
        <f>(G$115 * F$68 * H141 * (_xlfn.XLOOKUP($E160,$D$73:$D$81,$E$73:$E$81)) * $I$134)</f>
        <v>2.1039702220799996E-6</v>
      </c>
      <c r="I160" s="15">
        <f>(H$115 * G$68 * I141 * (_xlfn.XLOOKUP($E160,$D$73:$D$81,$E$73:$E$81)) * $I$134)</f>
        <v>1.9692025343999993E-6</v>
      </c>
      <c r="J160" s="16"/>
      <c r="N160" s="15"/>
      <c r="O160" s="15" t="str">
        <f>INDEX(X_Table_Poultry_Stage2MMS_PoultryManureWithBedding,3,1)</f>
        <v>Composting (passive windrow)</v>
      </c>
      <c r="P160" s="15">
        <f>(O$115 * D$68 * F141 * (_xlfn.XLOOKUP($O160,$N$73:$N$81,$O$73:$O$81)) * $I$134)</f>
        <v>9.5155287551999953E-7</v>
      </c>
      <c r="Q160" s="15">
        <f>(P$115 * E$68 * G141 * (_xlfn.XLOOKUP($O160,$N$73:$N$81,$O$73:$O$81)) * $I$134)</f>
        <v>9.8460126719999963E-7</v>
      </c>
      <c r="R160" s="15">
        <f>(Q$115 * F$68 * H141 * (_xlfn.XLOOKUP($O160,$N$73:$N$81,$O$73:$O$81)) * $I$134)</f>
        <v>1.0519851110399998E-6</v>
      </c>
      <c r="S160" s="15">
        <f>(R$115 * G$68 * I141 * (_xlfn.XLOOKUP($O160,$N$73:$N$81,$O$73:$O$81)) * $I$134)</f>
        <v>9.8460126719999963E-7</v>
      </c>
      <c r="T160" s="16"/>
    </row>
    <row r="161" spans="3:21" ht="20.100000000000001" customHeight="1" x14ac:dyDescent="0.2">
      <c r="D161" s="15"/>
      <c r="E161" s="15" t="str">
        <f>INDEX(X_Table_Poultry_Stage2MMS_PoultryManureWithBedding,4,1)</f>
        <v>Digester / covered lagoons</v>
      </c>
      <c r="F161" s="15">
        <f>(E$115 * D$68 * F142 * (_xlfn.XLOOKUP($E161,$D$73:$D$81,$E$73:$E$81)) * $I$134)</f>
        <v>1.9031057510399994E-5</v>
      </c>
      <c r="G161" s="15">
        <f>(F$115 * E$68 * G142 * (_xlfn.XLOOKUP($E161,$D$73:$D$81,$E$73:$E$81)) * $I$134)</f>
        <v>1.9692025343999994E-5</v>
      </c>
      <c r="H161" s="15">
        <f>(G$115 * F$68 * H142 * (_xlfn.XLOOKUP($E161,$D$73:$D$81,$E$73:$E$81)) * $I$134)</f>
        <v>2.1039702220799998E-5</v>
      </c>
      <c r="I161" s="15">
        <f>(H$115 * G$68 * I142 * (_xlfn.XLOOKUP($E161,$D$73:$D$81,$E$73:$E$81)) * $I$134)</f>
        <v>1.9692025343999994E-5</v>
      </c>
      <c r="J161" s="16"/>
      <c r="N161" s="15"/>
      <c r="O161" s="15" t="str">
        <f>INDEX(X_Table_Poultry_Stage2MMS_PoultryManureWithBedding,4,1)</f>
        <v>Digester / covered lagoons</v>
      </c>
      <c r="P161" s="15">
        <f>(O$115 * D$68 * F142 * (_xlfn.XLOOKUP($O161,$N$73:$N$81,$O$73:$O$81)) * $I$134)</f>
        <v>1.9031057510399994E-5</v>
      </c>
      <c r="Q161" s="15">
        <f>(P$115 * E$68 * G142 * (_xlfn.XLOOKUP($O161,$N$73:$N$81,$O$73:$O$81)) * $I$134)</f>
        <v>1.9692025343999994E-5</v>
      </c>
      <c r="R161" s="15">
        <f>(Q$115 * F$68 * H142 * (_xlfn.XLOOKUP($O161,$N$73:$N$81,$O$73:$O$81)) * $I$134)</f>
        <v>2.1039702220799998E-5</v>
      </c>
      <c r="S161" s="15">
        <f>(R$115 * G$68 * I142 * (_xlfn.XLOOKUP($O161,$N$73:$N$81,$O$73:$O$81)) * $I$134)</f>
        <v>1.9692025343999994E-5</v>
      </c>
      <c r="T161" s="16"/>
    </row>
    <row r="162" spans="3:21" ht="20.100000000000001" customHeight="1" x14ac:dyDescent="0.2">
      <c r="D162" s="15"/>
      <c r="E162" s="15" t="str">
        <f>INDEX(X_Table_Poultry_Stage2MMS_PoultryManureWithBedding,5,1)</f>
        <v>Direct processing</v>
      </c>
      <c r="F162" s="15">
        <f>(E$115 * D$68 * F143 * (_xlfn.XLOOKUP($E162,$D$73:$D$81,$E$73:$E$81)) * $I$134)</f>
        <v>0</v>
      </c>
      <c r="G162" s="15">
        <f>(F$115 * E$68 * G143 * (_xlfn.XLOOKUP($E162,$D$73:$D$81,$E$73:$E$81)) * $I$134)</f>
        <v>0</v>
      </c>
      <c r="H162" s="15">
        <f>(G$115 * F$68 * H143 * (_xlfn.XLOOKUP($E162,$D$73:$D$81,$E$73:$E$81)) * $I$134)</f>
        <v>0</v>
      </c>
      <c r="I162" s="15">
        <f>(H$115 * G$68 * I143 * (_xlfn.XLOOKUP($E162,$D$73:$D$81,$E$73:$E$81)) * $I$134)</f>
        <v>0</v>
      </c>
      <c r="J162" s="16"/>
      <c r="N162" s="15"/>
      <c r="O162" s="15" t="str">
        <f>INDEX(X_Table_Poultry_Stage2MMS_PoultryManureWithBedding,5,1)</f>
        <v>Direct processing</v>
      </c>
      <c r="P162" s="15">
        <f>(O$115 * D$68 * F143 * (_xlfn.XLOOKUP($O162,$N$73:$N$81,$O$73:$O$81)) * $I$134)</f>
        <v>0</v>
      </c>
      <c r="Q162" s="15">
        <f>(P$115 * E$68 * G143 * (_xlfn.XLOOKUP($O162,$N$73:$N$81,$O$73:$O$81)) * $I$134)</f>
        <v>0</v>
      </c>
      <c r="R162" s="15">
        <f>(Q$115 * F$68 * H143 * (_xlfn.XLOOKUP($O162,$N$73:$N$81,$O$73:$O$81)) * $I$134)</f>
        <v>0</v>
      </c>
      <c r="S162" s="15">
        <f>(R$115 * G$68 * I143 * (_xlfn.XLOOKUP($O162,$N$73:$N$81,$O$73:$O$81)) * $I$134)</f>
        <v>0</v>
      </c>
      <c r="T162" s="16"/>
    </row>
    <row r="163" spans="3:21" ht="20.100000000000001" customHeight="1" x14ac:dyDescent="0.2">
      <c r="D163" s="15"/>
      <c r="E163" s="15" t="str">
        <f>INDEX(X_Table_Poultry_Stage2MMS_PoultryManureWithBedding,6,1)</f>
        <v>Direct application</v>
      </c>
      <c r="F163" s="15">
        <f>(E$115 * D$68 * F144 * (_xlfn.XLOOKUP($E163,$D$73:$D$81,$E$73:$E$81)) * $I$134)</f>
        <v>0</v>
      </c>
      <c r="G163" s="15">
        <f>(F$115 * E$68 * G144 * (_xlfn.XLOOKUP($E163,$D$73:$D$81,$E$73:$E$81)) * $I$134)</f>
        <v>0</v>
      </c>
      <c r="H163" s="15">
        <f>(G$115 * F$68 * H144 * (_xlfn.XLOOKUP($E163,$D$73:$D$81,$E$73:$E$81)) * $I$134)</f>
        <v>0</v>
      </c>
      <c r="I163" s="15">
        <f>(H$115 * G$68 * I144 * (_xlfn.XLOOKUP($E163,$D$73:$D$81,$E$73:$E$81)) * $I$134)</f>
        <v>0</v>
      </c>
      <c r="N163" s="15"/>
      <c r="O163" s="15" t="str">
        <f>INDEX(X_Table_Poultry_Stage2MMS_PoultryManureWithBedding,6,1)</f>
        <v>Direct application</v>
      </c>
      <c r="P163" s="15">
        <f>(O$115 * D$68 * F144 * (_xlfn.XLOOKUP($O163,$N$73:$N$81,$O$73:$O$81)) * $I$134)</f>
        <v>0</v>
      </c>
      <c r="Q163" s="15">
        <f>(P$115 * E$68 * G144 * (_xlfn.XLOOKUP($O163,$N$73:$N$81,$O$73:$O$81)) * $I$134)</f>
        <v>0</v>
      </c>
      <c r="R163" s="15">
        <f>(Q$115 * F$68 * H144 * (_xlfn.XLOOKUP($O163,$N$73:$N$81,$O$73:$O$81)) * $I$134)</f>
        <v>0</v>
      </c>
      <c r="S163" s="15">
        <f>(R$115 * G$68 * I144 * (_xlfn.XLOOKUP($O163,$N$73:$N$81,$O$73:$O$81)) * $I$134)</f>
        <v>0</v>
      </c>
    </row>
    <row r="164" spans="3:21" ht="20.100000000000001" customHeight="1" x14ac:dyDescent="0.2">
      <c r="D164" s="15" t="str">
        <f>INDEX(X_Table_Poultry_Stage1MMS,3,1)</f>
        <v>Belt manure removal</v>
      </c>
      <c r="E164" s="15" t="str">
        <f>INDEX(X_Table_Poultry_Stage2MMS_BeltManureRemoval,2,1)</f>
        <v>Solid storage</v>
      </c>
      <c r="F164" s="15">
        <f>(E$116 * D$68 * F145 * (_xlfn.XLOOKUP($E164,$D$73:$D$81,$E$73:$E$81)) * $I$134)</f>
        <v>4.4778958847999987E-6</v>
      </c>
      <c r="G164" s="15">
        <f>(F$116 * E$68 * G145 * (_xlfn.XLOOKUP($E164,$D$73:$D$81,$E$73:$E$81)) * $I$134)</f>
        <v>4.6334177279999986E-6</v>
      </c>
      <c r="H164" s="15">
        <f>(G$116 * F$68 * H145 * (_xlfn.XLOOKUP($E164,$D$73:$D$81,$E$73:$E$81)) * $I$134)</f>
        <v>4.9505181695999996E-6</v>
      </c>
      <c r="I164" s="15">
        <f>(H$116 * G$68 * I145 * (_xlfn.XLOOKUP($E164,$D$73:$D$81,$E$73:$E$81)) * $I$134)</f>
        <v>4.6334177279999986E-6</v>
      </c>
      <c r="J164" s="16"/>
      <c r="N164" s="15" t="str">
        <f>INDEX(X_Table_Poultry_Stage1MMS,3,1)</f>
        <v>Belt manure removal</v>
      </c>
      <c r="O164" s="15" t="str">
        <f>INDEX(X_Table_Poultry_Stage2MMS_BeltManureRemoval,2,1)</f>
        <v>Solid storage</v>
      </c>
      <c r="P164" s="15">
        <f>(O$116 * D$68 * F145 * (_xlfn.XLOOKUP($O164,$N$73:$N$81,$O$73:$O$81)) * $I$134)</f>
        <v>4.4778958847999987E-6</v>
      </c>
      <c r="Q164" s="15">
        <f>(P$116 * E$68 * G145 * (_xlfn.XLOOKUP($O164,$N$73:$N$81,$O$73:$O$81)) * $I$134)</f>
        <v>4.6334177279999986E-6</v>
      </c>
      <c r="R164" s="15">
        <f>(Q$116 * F$68 * H145 * (_xlfn.XLOOKUP($O164,$N$73:$N$81,$O$73:$O$81)) * $I$134)</f>
        <v>4.9505181695999996E-6</v>
      </c>
      <c r="S164" s="15">
        <f>(R$116 * G$68 * I145 * (_xlfn.XLOOKUP($O164,$N$73:$N$81,$O$73:$O$81)) * $I$134)</f>
        <v>4.6334177279999986E-6</v>
      </c>
      <c r="T164" s="16"/>
    </row>
    <row r="165" spans="3:21" ht="20.100000000000001" customHeight="1" x14ac:dyDescent="0.2">
      <c r="D165" s="15"/>
      <c r="E165" s="15" t="str">
        <f>INDEX(X_Table_Poultry_Stage2MMS_BeltManureRemoval,3,1)</f>
        <v>Composting (passive windrow)</v>
      </c>
      <c r="F165" s="15">
        <f>(E$116 * D$68 * F146 * (_xlfn.XLOOKUP($E165,$D$73:$D$81,$E$73:$E$81)) * $I$134)</f>
        <v>2.2389479423999994E-6</v>
      </c>
      <c r="G165" s="15">
        <f>(F$116 * E$68 * G146 * (_xlfn.XLOOKUP($E165,$D$73:$D$81,$E$73:$E$81)) * $I$134)</f>
        <v>2.3167088639999993E-6</v>
      </c>
      <c r="H165" s="15">
        <f>(G$116 * F$68 * H146 * (_xlfn.XLOOKUP($E165,$D$73:$D$81,$E$73:$E$81)) * $I$134)</f>
        <v>2.4752590847999998E-6</v>
      </c>
      <c r="I165" s="15">
        <f>(H$116 * G$68 * I146 * (_xlfn.XLOOKUP($E165,$D$73:$D$81,$E$73:$E$81)) * $I$134)</f>
        <v>2.3167088639999993E-6</v>
      </c>
      <c r="J165" s="16"/>
      <c r="N165" s="15"/>
      <c r="O165" s="15" t="str">
        <f>INDEX(X_Table_Poultry_Stage2MMS_BeltManureRemoval,3,1)</f>
        <v>Composting (passive windrow)</v>
      </c>
      <c r="P165" s="15">
        <f>(O$116 * D$68 * F146 * (_xlfn.XLOOKUP($O165,$N$73:$N$81,$O$73:$O$81)) * $I$134)</f>
        <v>1.1194739711999997E-6</v>
      </c>
      <c r="Q165" s="15">
        <f>(P$116 * E$68 * G146 * (_xlfn.XLOOKUP($O165,$N$73:$N$81,$O$73:$O$81)) * $I$134)</f>
        <v>1.1583544319999997E-6</v>
      </c>
      <c r="R165" s="15">
        <f>(Q$116 * F$68 * H146 * (_xlfn.XLOOKUP($O165,$N$73:$N$81,$O$73:$O$81)) * $I$134)</f>
        <v>1.2376295423999999E-6</v>
      </c>
      <c r="S165" s="15">
        <f>(R$116 * G$68 * I146 * (_xlfn.XLOOKUP($O165,$N$73:$N$81,$O$73:$O$81)) * $I$134)</f>
        <v>1.1583544319999997E-6</v>
      </c>
      <c r="T165" s="16"/>
    </row>
    <row r="166" spans="3:21" ht="20.100000000000001" customHeight="1" x14ac:dyDescent="0.2">
      <c r="D166" s="15"/>
      <c r="E166" s="15" t="str">
        <f>INDEX(X_Table_Poultry_Stage2MMS_BeltManureRemoval,4,1)</f>
        <v>Digester / covered lagoons</v>
      </c>
      <c r="F166" s="15">
        <f>(E$116 * D$68 * F147 * (_xlfn.XLOOKUP($E166,$D$73:$D$81,$E$73:$E$81)) * $I$134)</f>
        <v>2.2389479423999996E-5</v>
      </c>
      <c r="G166" s="15">
        <f>(F$116 * E$68 * G147 * (_xlfn.XLOOKUP($E166,$D$73:$D$81,$E$73:$E$81)) * $I$134)</f>
        <v>2.3167088639999993E-5</v>
      </c>
      <c r="H166" s="15">
        <f>(G$116 * F$68 * H147 * (_xlfn.XLOOKUP($E166,$D$73:$D$81,$E$73:$E$81)) * $I$134)</f>
        <v>2.4752590847999998E-5</v>
      </c>
      <c r="I166" s="15">
        <f>(H$116 * G$68 * I147 * (_xlfn.XLOOKUP($E166,$D$73:$D$81,$E$73:$E$81)) * $I$134)</f>
        <v>2.3167088639999993E-5</v>
      </c>
      <c r="J166" s="16"/>
      <c r="N166" s="15"/>
      <c r="O166" s="15" t="str">
        <f>INDEX(X_Table_Poultry_Stage2MMS_BeltManureRemoval,4,1)</f>
        <v>Digester / covered lagoons</v>
      </c>
      <c r="P166" s="15">
        <f>(O$116 * D$68 * F147 * (_xlfn.XLOOKUP($O166,$N$73:$N$81,$O$73:$O$81)) * $I$134)</f>
        <v>2.2389479423999996E-5</v>
      </c>
      <c r="Q166" s="15">
        <f>(P$116 * E$68 * G147 * (_xlfn.XLOOKUP($O166,$N$73:$N$81,$O$73:$O$81)) * $I$134)</f>
        <v>2.3167088639999993E-5</v>
      </c>
      <c r="R166" s="15">
        <f>(Q$116 * F$68 * H147 * (_xlfn.XLOOKUP($O166,$N$73:$N$81,$O$73:$O$81)) * $I$134)</f>
        <v>2.4752590847999998E-5</v>
      </c>
      <c r="S166" s="15">
        <f>(R$116 * G$68 * I147 * (_xlfn.XLOOKUP($O166,$N$73:$N$81,$O$73:$O$81)) * $I$134)</f>
        <v>2.3167088639999993E-5</v>
      </c>
      <c r="T166" s="16"/>
    </row>
    <row r="167" spans="3:21" ht="20.100000000000001" customHeight="1" x14ac:dyDescent="0.2">
      <c r="D167" s="15"/>
      <c r="E167" s="15" t="str">
        <f>INDEX(X_Table_Poultry_Stage2MMS_BeltManureRemoval,5,1)</f>
        <v>Direct processing</v>
      </c>
      <c r="F167" s="15">
        <f>(E$116 * D$68 * F148 * (_xlfn.XLOOKUP($E167,$D$73:$D$81,$E$73:$E$81)) * $I$134)</f>
        <v>0</v>
      </c>
      <c r="G167" s="15">
        <f>(F$116 * E$68 * G148 * (_xlfn.XLOOKUP($E167,$D$73:$D$81,$E$73:$E$81)) * $I$134)</f>
        <v>0</v>
      </c>
      <c r="H167" s="15">
        <f>(G$116 * F$68 * H148 * (_xlfn.XLOOKUP($E167,$D$73:$D$81,$E$73:$E$81)) * $I$134)</f>
        <v>0</v>
      </c>
      <c r="I167" s="15">
        <f>(H$116 * G$68 * I148 * (_xlfn.XLOOKUP($E167,$D$73:$D$81,$E$73:$E$81)) * $I$134)</f>
        <v>0</v>
      </c>
      <c r="J167" s="16"/>
      <c r="N167" s="15"/>
      <c r="O167" s="15" t="str">
        <f>INDEX(X_Table_Poultry_Stage2MMS_BeltManureRemoval,5,1)</f>
        <v>Direct processing</v>
      </c>
      <c r="P167" s="15">
        <f>(O$116 * D$68 * F148 * (_xlfn.XLOOKUP($O167,$N$73:$N$81,$O$73:$O$81)) * $I$134)</f>
        <v>0</v>
      </c>
      <c r="Q167" s="15">
        <f>(P$116 * E$68 * G148 * (_xlfn.XLOOKUP($O167,$N$73:$N$81,$O$73:$O$81)) * $I$134)</f>
        <v>0</v>
      </c>
      <c r="R167" s="15">
        <f>(Q$116 * F$68 * H148 * (_xlfn.XLOOKUP($O167,$N$73:$N$81,$O$73:$O$81)) * $I$134)</f>
        <v>0</v>
      </c>
      <c r="S167" s="15">
        <f>(R$116 * G$68 * I148 * (_xlfn.XLOOKUP($O167,$N$73:$N$81,$O$73:$O$81)) * $I$134)</f>
        <v>0</v>
      </c>
      <c r="T167" s="16"/>
    </row>
    <row r="168" spans="3:21" ht="20.100000000000001" customHeight="1" x14ac:dyDescent="0.2">
      <c r="D168" s="15"/>
      <c r="E168" s="15" t="str">
        <f>INDEX(X_Table_Poultry_Stage2MMS_BeltManureRemoval,5,1)</f>
        <v>Direct processing</v>
      </c>
      <c r="F168" s="15">
        <f>(E$116 * D$68 * F149 * (_xlfn.XLOOKUP($E168,$D$73:$D$81,$E$73:$E$81)) * $I$134)</f>
        <v>0</v>
      </c>
      <c r="G168" s="15">
        <f>(F$116 * E$68 * G149 * (_xlfn.XLOOKUP($E168,$D$73:$D$81,$E$73:$E$81)) * $I$134)</f>
        <v>0</v>
      </c>
      <c r="H168" s="15">
        <f>(G$116 * F$68 * H149 * (_xlfn.XLOOKUP($E168,$D$73:$D$81,$E$73:$E$81)) * $I$134)</f>
        <v>0</v>
      </c>
      <c r="I168" s="15">
        <f>(H$116 * G$68 * I149 * (_xlfn.XLOOKUP($E168,$D$73:$D$81,$E$73:$E$81)) * $I$134)</f>
        <v>0</v>
      </c>
      <c r="N168" s="15"/>
      <c r="O168" s="15" t="str">
        <f>INDEX(X_Table_Poultry_Stage2MMS_BeltManureRemoval,6,1)</f>
        <v>Direct application</v>
      </c>
      <c r="P168" s="15">
        <f>(O$116 * D$68 * F149 * (_xlfn.XLOOKUP($O168,$N$73:$N$81,$O$73:$O$81)) * $I$134)</f>
        <v>0</v>
      </c>
      <c r="Q168" s="15">
        <f>(P$116 * E$68 * G149 * (_xlfn.XLOOKUP($O168,$N$73:$N$81,$O$73:$O$81)) * $I$134)</f>
        <v>0</v>
      </c>
      <c r="R168" s="15">
        <f>(Q$116 * F$68 * H149 * (_xlfn.XLOOKUP($O168,$N$73:$N$81,$O$73:$O$81)) * $I$134)</f>
        <v>0</v>
      </c>
      <c r="S168" s="15">
        <f>(R$116 * G$68 * I149 * (_xlfn.XLOOKUP($O168,$N$73:$N$81,$O$73:$O$81)) * $I$134)</f>
        <v>0</v>
      </c>
    </row>
    <row r="169" spans="3:21" ht="20.100000000000001" customHeight="1" x14ac:dyDescent="0.2">
      <c r="D169" s="15" t="str">
        <f>INDEX(X_Table_Poultry_Stage1MMS,4,1)</f>
        <v>Manure stored in house</v>
      </c>
      <c r="E169" s="15" t="str">
        <f>INDEX(X_Table_Poultry_Stage2MMS_ManureStoredInHouse,2,1)</f>
        <v>Solid storage</v>
      </c>
      <c r="F169" s="15">
        <f>(E$117 * D$68 * F150 * (_xlfn.XLOOKUP($E169,$D$73:$D$81,$E$73:$E$81)) * $I$134)</f>
        <v>3.5823167078399993E-6</v>
      </c>
      <c r="G169" s="15">
        <f>(F$117 * E$68 * G150 * (_xlfn.XLOOKUP($E169,$D$73:$D$81,$E$73:$E$81)) * $I$134)</f>
        <v>3.7067341823999979E-6</v>
      </c>
      <c r="H169" s="15">
        <f>(G$117 * F$68 * H150 * (_xlfn.XLOOKUP($E169,$D$73:$D$81,$E$73:$E$81)) * $I$134)</f>
        <v>3.9604145356799999E-6</v>
      </c>
      <c r="I169" s="15">
        <f>(H$117 * G$68 * I150 * (_xlfn.XLOOKUP($E169,$D$73:$D$81,$E$73:$E$81)) * $I$134)</f>
        <v>3.7067341823999979E-6</v>
      </c>
      <c r="J169" s="16"/>
      <c r="N169" s="15" t="str">
        <f>INDEX(X_Table_Poultry_Stage1MMS,4,1)</f>
        <v>Manure stored in house</v>
      </c>
      <c r="O169" s="15" t="str">
        <f>INDEX(X_Table_Poultry_Stage2MMS_ManureStoredInHouse,2,1)</f>
        <v>Solid storage</v>
      </c>
      <c r="P169" s="15">
        <f>(O$117 * D$68 * F150 * (_xlfn.XLOOKUP($O169,$N$73:$N$81,$O$73:$O$81)) * $I$134)</f>
        <v>3.5823167078399993E-6</v>
      </c>
      <c r="Q169" s="15">
        <f>(P$117 * E$68 * G150 * (_xlfn.XLOOKUP($O169,$N$73:$N$81,$O$73:$O$81)) * $I$134)</f>
        <v>3.7067341823999979E-6</v>
      </c>
      <c r="R169" s="15">
        <f>(Q$117 * F$68 * H150 * (_xlfn.XLOOKUP($O169,$N$73:$N$81,$O$73:$O$81)) * $I$134)</f>
        <v>3.9604145356799999E-6</v>
      </c>
      <c r="S169" s="15">
        <f>(R$117 * G$68 * I150 * (_xlfn.XLOOKUP($O169,$N$73:$N$81,$O$73:$O$81)) * $I$134)</f>
        <v>3.7067341823999979E-6</v>
      </c>
      <c r="T169" s="16"/>
    </row>
    <row r="170" spans="3:21" ht="20.100000000000001" customHeight="1" x14ac:dyDescent="0.2">
      <c r="D170" s="15"/>
      <c r="E170" s="15" t="str">
        <f>INDEX(X_Table_Poultry_Stage2MMS_ManureStoredInHouse,3,1)</f>
        <v>Composting (passive windrow)</v>
      </c>
      <c r="F170" s="15">
        <f>(E$117 * D$68 * F151 * (_xlfn.XLOOKUP($E170,$D$73:$D$81,$E$73:$E$81)) * $I$134)</f>
        <v>1.7911583539199997E-6</v>
      </c>
      <c r="G170" s="15">
        <f>(F$117 * E$68 * G151 * (_xlfn.XLOOKUP($E170,$D$73:$D$81,$E$73:$E$81)) * $I$134)</f>
        <v>1.8533670911999989E-6</v>
      </c>
      <c r="H170" s="15">
        <f>(G$117 * F$68 * H151 * (_xlfn.XLOOKUP($E170,$D$73:$D$81,$E$73:$E$81)) * $I$134)</f>
        <v>1.9802072678399999E-6</v>
      </c>
      <c r="I170" s="15">
        <f>(H$117 * G$68 * I151 * (_xlfn.XLOOKUP($E170,$D$73:$D$81,$E$73:$E$81)) * $I$134)</f>
        <v>1.8533670911999989E-6</v>
      </c>
      <c r="J170" s="16"/>
      <c r="N170" s="15"/>
      <c r="O170" s="15" t="str">
        <f>INDEX(X_Table_Poultry_Stage2MMS_ManureStoredInHouse,3,1)</f>
        <v>Composting (passive windrow)</v>
      </c>
      <c r="P170" s="15">
        <f>(O$117 * D$68 * F151 * (_xlfn.XLOOKUP($O170,$N$73:$N$81,$O$73:$O$81)) * $I$134)</f>
        <v>8.9557917695999983E-7</v>
      </c>
      <c r="Q170" s="15">
        <f>(P$117 * E$68 * G151 * (_xlfn.XLOOKUP($O170,$N$73:$N$81,$O$73:$O$81)) * $I$134)</f>
        <v>9.2668354559999947E-7</v>
      </c>
      <c r="R170" s="15">
        <f>(Q$117 * F$68 * H151 * (_xlfn.XLOOKUP($O170,$N$73:$N$81,$O$73:$O$81)) * $I$134)</f>
        <v>9.9010363391999997E-7</v>
      </c>
      <c r="S170" s="15">
        <f>(R$117 * G$68 * I151 * (_xlfn.XLOOKUP($O170,$N$73:$N$81,$O$73:$O$81)) * $I$134)</f>
        <v>9.2668354559999947E-7</v>
      </c>
      <c r="T170" s="16"/>
    </row>
    <row r="171" spans="3:21" ht="20.100000000000001" customHeight="1" x14ac:dyDescent="0.2">
      <c r="D171" s="15"/>
      <c r="E171" s="15" t="str">
        <f>INDEX(X_Table_Poultry_Stage2MMS_ManureStoredInHouse,4,1)</f>
        <v>Digester / covered lagoons</v>
      </c>
      <c r="F171" s="15">
        <f>(E$117 * D$68 * F152 * (_xlfn.XLOOKUP($E171,$D$73:$D$81,$E$73:$E$81)) * $I$134)</f>
        <v>1.7911583539199998E-5</v>
      </c>
      <c r="G171" s="15">
        <f>(F$117 * E$68 * G152 * (_xlfn.XLOOKUP($E171,$D$73:$D$81,$E$73:$E$81)) * $I$134)</f>
        <v>1.8533670911999991E-5</v>
      </c>
      <c r="H171" s="15">
        <f>(G$117 * F$68 * H152 * (_xlfn.XLOOKUP($E171,$D$73:$D$81,$E$73:$E$81)) * $I$134)</f>
        <v>1.9802072678399998E-5</v>
      </c>
      <c r="I171" s="15">
        <f>(H$117 * G$68 * I152 * (_xlfn.XLOOKUP($E171,$D$73:$D$81,$E$73:$E$81)) * $I$134)</f>
        <v>1.8533670911999991E-5</v>
      </c>
      <c r="J171" s="16"/>
      <c r="N171" s="15"/>
      <c r="O171" s="15" t="str">
        <f>INDEX(X_Table_Poultry_Stage2MMS_ManureStoredInHouse,4,1)</f>
        <v>Digester / covered lagoons</v>
      </c>
      <c r="P171" s="15">
        <f>(O$117 * D$68 * F152 * (_xlfn.XLOOKUP($O171,$N$73:$N$81,$O$73:$O$81)) * $I$134)</f>
        <v>1.7911583539199998E-5</v>
      </c>
      <c r="Q171" s="15">
        <f>(P$117 * E$68 * G152 * (_xlfn.XLOOKUP($O171,$N$73:$N$81,$O$73:$O$81)) * $I$134)</f>
        <v>1.8533670911999991E-5</v>
      </c>
      <c r="R171" s="15">
        <f>(Q$117 * F$68 * H152 * (_xlfn.XLOOKUP($O171,$N$73:$N$81,$O$73:$O$81)) * $I$134)</f>
        <v>1.9802072678399998E-5</v>
      </c>
      <c r="S171" s="15">
        <f>(R$117 * G$68 * I152 * (_xlfn.XLOOKUP($O171,$N$73:$N$81,$O$73:$O$81)) * $I$134)</f>
        <v>1.8533670911999991E-5</v>
      </c>
      <c r="T171" s="16"/>
    </row>
    <row r="172" spans="3:21" ht="20.100000000000001" customHeight="1" x14ac:dyDescent="0.2">
      <c r="D172" s="15"/>
      <c r="E172" s="15" t="str">
        <f>INDEX(X_Table_Poultry_Stage2MMS_ManureStoredInHouse,5,1)</f>
        <v>Direct processing</v>
      </c>
      <c r="F172" s="15">
        <f>(E$117 * D$68 * F153 * (_xlfn.XLOOKUP($E172,$D$73:$D$81,$E$73:$E$81)) * $I$134)</f>
        <v>0</v>
      </c>
      <c r="G172" s="15">
        <f>(F$117 * E$68 * G153 * (_xlfn.XLOOKUP($E172,$D$73:$D$81,$E$73:$E$81)) * $I$134)</f>
        <v>0</v>
      </c>
      <c r="H172" s="15">
        <f>(G$117 * F$68 * H153 * (_xlfn.XLOOKUP($E172,$D$73:$D$81,$E$73:$E$81)) * $I$134)</f>
        <v>0</v>
      </c>
      <c r="I172" s="15">
        <f>(H$117 * G$68 * I153 * (_xlfn.XLOOKUP($E172,$D$73:$D$81,$E$73:$E$81)) * $I$134)</f>
        <v>0</v>
      </c>
      <c r="J172" s="16"/>
      <c r="N172" s="15"/>
      <c r="O172" s="15" t="str">
        <f>INDEX(X_Table_Poultry_Stage2MMS_ManureStoredInHouse,5,1)</f>
        <v>Direct processing</v>
      </c>
      <c r="P172" s="15">
        <f>(O$117 * D$68 * F153 * (_xlfn.XLOOKUP($O172,$N$73:$N$81,$O$73:$O$81)) * $I$134)</f>
        <v>0</v>
      </c>
      <c r="Q172" s="15">
        <f>(P$117 * E$68 * G153 * (_xlfn.XLOOKUP($O172,$N$73:$N$81,$O$73:$O$81)) * $I$134)</f>
        <v>0</v>
      </c>
      <c r="R172" s="15">
        <f>(Q$117 * F$68 * H153 * (_xlfn.XLOOKUP($O172,$N$73:$N$81,$O$73:$O$81)) * $I$134)</f>
        <v>0</v>
      </c>
      <c r="S172" s="15">
        <f>(R$117 * G$68 * I153 * (_xlfn.XLOOKUP($O172,$N$73:$N$81,$O$73:$O$81)) * $I$134)</f>
        <v>0</v>
      </c>
      <c r="T172" s="16"/>
    </row>
    <row r="173" spans="3:21" ht="20.100000000000001" customHeight="1" x14ac:dyDescent="0.2">
      <c r="D173" s="15"/>
      <c r="E173" s="15" t="str">
        <f>INDEX(X_Table_Poultry_Stage2MMS_ManureStoredInHouse,6,1)</f>
        <v>Direct application</v>
      </c>
      <c r="F173" s="15">
        <f>(E$117 * D$68 * F154 * (_xlfn.XLOOKUP($E173,$D$73:$D$81,$E$73:$E$81)) * $I$134)</f>
        <v>0</v>
      </c>
      <c r="G173" s="15">
        <f>(F$117 * E$68 * G154 * (_xlfn.XLOOKUP($E173,$D$73:$D$81,$E$73:$E$81)) * $I$134)</f>
        <v>0</v>
      </c>
      <c r="H173" s="15">
        <f>(G$117 * F$68 * H154 * (_xlfn.XLOOKUP($E173,$D$73:$D$81,$E$73:$E$81)) * $I$134)</f>
        <v>0</v>
      </c>
      <c r="I173" s="15">
        <f>(H$117 * G$68 * I154 * (_xlfn.XLOOKUP($E173,$D$73:$D$81,$E$73:$E$81)) * $I$134)</f>
        <v>0</v>
      </c>
      <c r="N173" s="15"/>
      <c r="O173" s="15" t="str">
        <f>INDEX(X_Table_Poultry_Stage2MMS_ManureStoredInHouse,6,1)</f>
        <v>Direct application</v>
      </c>
      <c r="P173" s="15">
        <f>(O$117 * D$68 * F154 * (_xlfn.XLOOKUP($O173,$N$73:$N$81,$O$73:$O$81)) * $I$134)</f>
        <v>0</v>
      </c>
      <c r="Q173" s="15">
        <f>(P$117 * E$68 * G154 * (_xlfn.XLOOKUP($O173,$N$73:$N$81,$O$73:$O$81)) * $I$134)</f>
        <v>0</v>
      </c>
      <c r="R173" s="15">
        <f>(Q$117 * F$68 * H154 * (_xlfn.XLOOKUP($O173,$N$73:$N$81,$O$73:$O$81)) * $I$134)</f>
        <v>0</v>
      </c>
      <c r="S173" s="15">
        <f>(R$117 * G$68 * I154 * (_xlfn.XLOOKUP($O173,$N$73:$N$81,$O$73:$O$81)) * $I$134)</f>
        <v>0</v>
      </c>
    </row>
    <row r="176" spans="3:21" ht="20.100000000000001" customHeight="1" x14ac:dyDescent="0.2">
      <c r="C176" s="83"/>
      <c r="D176" s="83"/>
      <c r="E176" s="83"/>
      <c r="F176" s="83"/>
      <c r="G176" s="83"/>
      <c r="H176" s="83"/>
      <c r="I176" s="83"/>
      <c r="J176" s="83"/>
      <c r="K176" s="83"/>
      <c r="M176" s="83"/>
      <c r="N176" s="83"/>
      <c r="O176" s="83"/>
      <c r="P176" s="83"/>
      <c r="Q176" s="83"/>
      <c r="R176" s="83"/>
      <c r="S176" s="83"/>
      <c r="T176" s="83"/>
      <c r="U176" s="83"/>
    </row>
    <row r="177" spans="1:10" ht="20.100000000000001" customHeight="1" x14ac:dyDescent="0.2">
      <c r="D177" s="2" t="s">
        <v>1239</v>
      </c>
    </row>
    <row r="178" spans="1:10" ht="20.100000000000001" customHeight="1" x14ac:dyDescent="0.2">
      <c r="D178" s="17" t="s">
        <v>1240</v>
      </c>
    </row>
    <row r="179" spans="1:10" ht="20.100000000000001" customHeight="1" x14ac:dyDescent="0.2">
      <c r="D179" s="112"/>
      <c r="E179" s="112"/>
    </row>
    <row r="182" spans="1:10" ht="20.100000000000001" customHeight="1" x14ac:dyDescent="0.2">
      <c r="D182" s="75" t="s">
        <v>328</v>
      </c>
      <c r="E182" s="1" t="s">
        <v>1241</v>
      </c>
    </row>
    <row r="183" spans="1:10" ht="20.100000000000001" customHeight="1" x14ac:dyDescent="0.2">
      <c r="D183" s="75" t="s">
        <v>118</v>
      </c>
      <c r="E183" s="9" t="s">
        <v>6</v>
      </c>
    </row>
    <row r="185" spans="1:10" ht="20.100000000000001" customHeight="1" x14ac:dyDescent="0.2">
      <c r="D185" s="113" t="s">
        <v>1242</v>
      </c>
      <c r="E185" s="113" t="s">
        <v>1243</v>
      </c>
      <c r="F185" s="113"/>
      <c r="G185" s="113" t="s">
        <v>1248</v>
      </c>
      <c r="H185" s="114" t="s">
        <v>1202</v>
      </c>
      <c r="I185" s="116" t="str" cm="1">
        <f t="array" aca="1" ref="I185" ca="1">HYPERLINK(Common_InputFunctions.Utility_SourceHyperlink($D$189),$D$189)</f>
        <v>Table_D_j_k</v>
      </c>
      <c r="J185" s="116"/>
    </row>
    <row r="186" spans="1:10" ht="20.100000000000001" customHeight="1" x14ac:dyDescent="0.2">
      <c r="D186" s="113" t="s">
        <v>1244</v>
      </c>
      <c r="E186" s="113" t="s">
        <v>1245</v>
      </c>
      <c r="F186" s="113"/>
      <c r="G186" s="113" t="s">
        <v>1207</v>
      </c>
      <c r="H186" s="115" t="s">
        <v>1249</v>
      </c>
      <c r="I186" s="116" t="str" cm="1">
        <f t="array" aca="1" ref="I186" ca="1">HYPERLINK(Common_InputFunctions.Utility_SourceHyperlink($D$83),$D$83)</f>
        <v>M1_Table_M_j_k_m_T-1</v>
      </c>
      <c r="J186" s="116" t="str" cm="1">
        <f t="array" aca="1" ref="J186" ca="1">HYPERLINK(Common_InputFunctions.Utility_SourceHyperlink($D$156),$D$156)</f>
        <v>M1_Table_M_j_k_m_T-2</v>
      </c>
    </row>
    <row r="187" spans="1:10" ht="20.100000000000001" customHeight="1" x14ac:dyDescent="0.2">
      <c r="D187" s="113" t="s">
        <v>1246</v>
      </c>
      <c r="E187" s="113" t="s">
        <v>1247</v>
      </c>
      <c r="F187" s="113"/>
      <c r="G187" s="113" t="s">
        <v>1250</v>
      </c>
      <c r="H187" s="114" t="s">
        <v>1202</v>
      </c>
      <c r="I187" s="116" t="str" cm="1">
        <f t="array" aca="1" ref="I187" ca="1">HYPERLINK(Common_InputFunctions.Utility_SourceHyperlink($D$194),$D$194)</f>
        <v>Table_N_j_k</v>
      </c>
      <c r="J187" s="116"/>
    </row>
    <row r="188" spans="1:10" ht="20.100000000000001" customHeight="1" x14ac:dyDescent="0.2">
      <c r="A188" s="79" t="str">
        <f>HYPERLINK("#A1", "▲ Back to top")</f>
        <v>▲ Back to top</v>
      </c>
    </row>
    <row r="189" spans="1:10" ht="20.100000000000001" customHeight="1" x14ac:dyDescent="0.2">
      <c r="D189" s="118" t="s">
        <v>367</v>
      </c>
      <c r="G189" s="112"/>
    </row>
    <row r="190" spans="1:10" ht="20.100000000000001" customHeight="1" x14ac:dyDescent="0.2">
      <c r="D190" s="119" t="s">
        <v>368</v>
      </c>
    </row>
    <row r="191" spans="1:10" ht="20.100000000000001" customHeight="1" x14ac:dyDescent="0.2">
      <c r="D191" s="78" t="s">
        <v>297</v>
      </c>
      <c r="E191" s="78" t="s">
        <v>298</v>
      </c>
      <c r="F191" s="78" t="s">
        <v>299</v>
      </c>
      <c r="G191" s="78" t="s">
        <v>300</v>
      </c>
    </row>
    <row r="192" spans="1:10" ht="20.100000000000001" customHeight="1" x14ac:dyDescent="0.2">
      <c r="D192" s="15">
        <f>INDEX(X_Table_Poultry_Movement,2,2)</f>
        <v>365</v>
      </c>
      <c r="E192" s="15">
        <f>INDEX(X_Table_Poultry_Movement,2,3)</f>
        <v>365</v>
      </c>
      <c r="F192" s="15">
        <f>INDEX(X_Table_Poultry_Movement,2,4)</f>
        <v>365</v>
      </c>
      <c r="G192" s="15">
        <f>INDEX(X_Table_Poultry_Movement,2,5)</f>
        <v>365</v>
      </c>
      <c r="H192" s="16" t="str">
        <f>G185</f>
        <v>days</v>
      </c>
    </row>
    <row r="194" spans="4:20" ht="20.100000000000001" customHeight="1" x14ac:dyDescent="0.2">
      <c r="D194" s="118" t="s">
        <v>369</v>
      </c>
      <c r="G194" s="112"/>
    </row>
    <row r="195" spans="4:20" ht="20.100000000000001" customHeight="1" x14ac:dyDescent="0.2">
      <c r="D195" s="119" t="s">
        <v>370</v>
      </c>
    </row>
    <row r="196" spans="4:20" ht="20.100000000000001" customHeight="1" x14ac:dyDescent="0.2">
      <c r="D196" s="78" t="s">
        <v>297</v>
      </c>
      <c r="E196" s="78" t="s">
        <v>298</v>
      </c>
      <c r="F196" s="78" t="s">
        <v>299</v>
      </c>
      <c r="G196" s="78" t="s">
        <v>300</v>
      </c>
    </row>
    <row r="197" spans="4:20" ht="20.100000000000001" customHeight="1" x14ac:dyDescent="0.2">
      <c r="D197" s="15">
        <f>INDEX(X_Table_Poultry_Movement,3,2)</f>
        <v>100</v>
      </c>
      <c r="E197" s="15">
        <f>INDEX(X_Table_Poultry_Movement,3,3)</f>
        <v>100</v>
      </c>
      <c r="F197" s="15">
        <f>INDEX(X_Table_Poultry_Movement,3,4)</f>
        <v>100</v>
      </c>
      <c r="G197" s="15">
        <f>INDEX(X_Table_Poultry_Movement,3,5)</f>
        <v>100</v>
      </c>
      <c r="H197" s="16" t="str">
        <f>G187</f>
        <v>birds</v>
      </c>
    </row>
    <row r="199" spans="4:20" ht="20.100000000000001" customHeight="1" x14ac:dyDescent="0.2">
      <c r="D199" s="118" t="s">
        <v>371</v>
      </c>
      <c r="N199" s="118" t="s">
        <v>372</v>
      </c>
    </row>
    <row r="200" spans="4:20" ht="20.100000000000001" customHeight="1" x14ac:dyDescent="0.2">
      <c r="D200" s="119" t="s">
        <v>373</v>
      </c>
      <c r="N200" s="119" t="s">
        <v>374</v>
      </c>
    </row>
    <row r="201" spans="4:20" ht="20.100000000000001" customHeight="1" x14ac:dyDescent="0.2">
      <c r="D201" s="120" t="s">
        <v>314</v>
      </c>
      <c r="E201" s="120" t="s">
        <v>318</v>
      </c>
      <c r="F201" s="120" t="s">
        <v>297</v>
      </c>
      <c r="G201" s="120" t="s">
        <v>298</v>
      </c>
      <c r="H201" s="120" t="s">
        <v>299</v>
      </c>
      <c r="I201" s="120" t="s">
        <v>300</v>
      </c>
      <c r="N201" s="120" t="s">
        <v>314</v>
      </c>
      <c r="O201" s="120" t="s">
        <v>318</v>
      </c>
      <c r="P201" s="120" t="s">
        <v>297</v>
      </c>
      <c r="Q201" s="120" t="s">
        <v>298</v>
      </c>
      <c r="R201" s="120" t="s">
        <v>299</v>
      </c>
      <c r="S201" s="120" t="s">
        <v>300</v>
      </c>
    </row>
    <row r="202" spans="4:20" ht="20.100000000000001" customHeight="1" x14ac:dyDescent="0.2">
      <c r="D202" s="15" t="str">
        <f>INDEX(X_Table_Poultry_Stage1MMS,2,1)</f>
        <v>Poultry manure with bedding</v>
      </c>
      <c r="E202" s="15" t="s">
        <v>124</v>
      </c>
      <c r="F202" s="15">
        <f>((D$192 * E86 * D$197) * 10 ^ -3)</f>
        <v>6.1291199923199972E-4</v>
      </c>
      <c r="G202" s="15">
        <f>((E$192 * F86 * E$197) * 10 ^ -3)</f>
        <v>6.3419905151999964E-4</v>
      </c>
      <c r="H202" s="15">
        <f>((F$192 * G86 * F$197) * 10 ^ -3)</f>
        <v>6.776021744639998E-4</v>
      </c>
      <c r="I202" s="15">
        <f>((G$192 * H86 * G$197) * 10 ^ -3)</f>
        <v>6.3419905151999964E-4</v>
      </c>
      <c r="J202" s="16" t="str">
        <f>$E$183</f>
        <v>t CH4</v>
      </c>
      <c r="N202" s="15" t="str">
        <f>INDEX(X_Table_Poultry_Stage1MMS,2,1)</f>
        <v>Poultry manure with bedding</v>
      </c>
      <c r="O202" s="15" t="s">
        <v>124</v>
      </c>
      <c r="P202" s="15">
        <f>((D$192 * O86 * D$197) * 10 ^ -3)</f>
        <v>6.1291199923199972E-4</v>
      </c>
      <c r="Q202" s="15">
        <f>((E$192 * P86 * E$197) * 10 ^ -3)</f>
        <v>6.3419905151999964E-4</v>
      </c>
      <c r="R202" s="15">
        <f>((F$192 * Q86 * F$197) * 10 ^ -3)</f>
        <v>6.776021744639998E-4</v>
      </c>
      <c r="S202" s="15">
        <f>((G$192 * R86 * G$197) * 10 ^ -3)</f>
        <v>6.3419905151999964E-4</v>
      </c>
      <c r="T202" s="16" t="str">
        <f>$E$183</f>
        <v>t CH4</v>
      </c>
    </row>
    <row r="203" spans="4:20" ht="20.100000000000001" customHeight="1" x14ac:dyDescent="0.2">
      <c r="D203" s="15" t="str">
        <f>INDEX(X_Table_Poultry_Stage1MMS,3,1)</f>
        <v>Belt manure removal</v>
      </c>
      <c r="E203" s="15" t="s">
        <v>124</v>
      </c>
      <c r="F203" s="15">
        <f>((D$192 * E87 * D$197) * 10 ^ -3)</f>
        <v>6.1291199923199972E-4</v>
      </c>
      <c r="G203" s="15">
        <f>((E$192 * F87 * E$197) * 10 ^ -3)</f>
        <v>6.3419905151999964E-4</v>
      </c>
      <c r="H203" s="15">
        <f>((F$192 * G87 * F$197) * 10 ^ -3)</f>
        <v>6.776021744639998E-4</v>
      </c>
      <c r="I203" s="15">
        <f>((G$192 * H87 * G$197) * 10 ^ -3)</f>
        <v>6.3419905151999964E-4</v>
      </c>
      <c r="J203" s="16"/>
      <c r="N203" s="15" t="str">
        <f>INDEX(X_Table_Poultry_Stage1MMS,3,1)</f>
        <v>Belt manure removal</v>
      </c>
      <c r="O203" s="15" t="s">
        <v>124</v>
      </c>
      <c r="P203" s="15">
        <f>((D$192 * O87 * D$197) * 10 ^ -3)</f>
        <v>6.1291199923199972E-4</v>
      </c>
      <c r="Q203" s="15">
        <f>((E$192 * P87 * E$197) * 10 ^ -3)</f>
        <v>6.3419905151999964E-4</v>
      </c>
      <c r="R203" s="15">
        <f>((F$192 * Q87 * F$197) * 10 ^ -3)</f>
        <v>6.776021744639998E-4</v>
      </c>
      <c r="S203" s="15">
        <f>((G$192 * R87 * G$197) * 10 ^ -3)</f>
        <v>6.3419905151999964E-4</v>
      </c>
      <c r="T203" s="16"/>
    </row>
    <row r="204" spans="4:20" ht="20.100000000000001" customHeight="1" x14ac:dyDescent="0.2">
      <c r="D204" s="15" t="str">
        <f>INDEX(X_Table_Poultry_Stage1MMS,4,1)</f>
        <v>Manure stored in house</v>
      </c>
      <c r="E204" s="15" t="s">
        <v>124</v>
      </c>
      <c r="F204" s="15">
        <f>((D$192 * E88 * D$197) * 10 ^ -3)</f>
        <v>6.1291199923199972E-4</v>
      </c>
      <c r="G204" s="15">
        <f>((E$192 * F88 * E$197) * 10 ^ -3)</f>
        <v>6.3419905151999964E-4</v>
      </c>
      <c r="H204" s="15">
        <f>((F$192 * G88 * F$197) * 10 ^ -3)</f>
        <v>6.776021744639998E-4</v>
      </c>
      <c r="I204" s="15">
        <f>((G$192 * H88 * G$197) * 10 ^ -3)</f>
        <v>6.3419905151999964E-4</v>
      </c>
      <c r="J204" s="16"/>
      <c r="N204" s="15" t="str">
        <f>INDEX(X_Table_Poultry_Stage1MMS,4,1)</f>
        <v>Manure stored in house</v>
      </c>
      <c r="O204" s="15" t="s">
        <v>124</v>
      </c>
      <c r="P204" s="15">
        <f>((D$192 * O88 * D$197) * 10 ^ -3)</f>
        <v>6.1291199923199972E-4</v>
      </c>
      <c r="Q204" s="15">
        <f>((E$192 * P88 * E$197) * 10 ^ -3)</f>
        <v>6.3419905151999964E-4</v>
      </c>
      <c r="R204" s="15">
        <f>((F$192 * Q88 * F$197) * 10 ^ -3)</f>
        <v>6.776021744639998E-4</v>
      </c>
      <c r="S204" s="15">
        <f>((G$192 * R88 * G$197) * 10 ^ -3)</f>
        <v>6.3419905151999964E-4</v>
      </c>
      <c r="T204" s="16"/>
    </row>
    <row r="205" spans="4:20" ht="20.100000000000001" customHeight="1" x14ac:dyDescent="0.2">
      <c r="D205" s="15" t="str">
        <f>INDEX(X_Table_Poultry_Stage1MMS,5,1)</f>
        <v>Pasture range and paddock</v>
      </c>
      <c r="E205" s="15" t="s">
        <v>124</v>
      </c>
      <c r="F205" s="15">
        <f>((D$192 * E89 * D$197) * 10 ^ -3)</f>
        <v>1.3620266649599997E-4</v>
      </c>
      <c r="G205" s="15">
        <f>((E$192 * F89 * E$197) * 10 ^ -3)</f>
        <v>1.4093312255999995E-4</v>
      </c>
      <c r="H205" s="15">
        <f>((F$192 * G89 * F$197) * 10 ^ -3)</f>
        <v>1.5057826099199999E-4</v>
      </c>
      <c r="I205" s="15">
        <f>((G$192 * H89 * G$197) * 10 ^ -3)</f>
        <v>1.4093312255999995E-4</v>
      </c>
      <c r="J205" s="16"/>
      <c r="N205" s="15" t="str">
        <f>INDEX(X_Table_Poultry_Stage1MMS,5,1)</f>
        <v>Pasture range and paddock</v>
      </c>
      <c r="O205" s="15" t="s">
        <v>124</v>
      </c>
      <c r="P205" s="15">
        <f>((D$192 * O89 * D$197) * 10 ^ -3)</f>
        <v>6.4015253253119989E-5</v>
      </c>
      <c r="Q205" s="15">
        <f>((E$192 * P89 * E$197) * 10 ^ -3)</f>
        <v>6.6238567603199995E-5</v>
      </c>
      <c r="R205" s="15">
        <f>((F$192 * Q89 * F$197) * 10 ^ -3)</f>
        <v>7.0771782666239995E-5</v>
      </c>
      <c r="S205" s="15">
        <f>((G$192 * R89 * G$197) * 10 ^ -3)</f>
        <v>6.6238567603199995E-5</v>
      </c>
      <c r="T205" s="16"/>
    </row>
    <row r="206" spans="4:20" ht="20.100000000000001" customHeight="1" x14ac:dyDescent="0.2">
      <c r="D206" s="15" t="str">
        <f>INDEX(X_Table_Poultry_Stage1MMS,2,1)</f>
        <v>Poultry manure with bedding</v>
      </c>
      <c r="E206" s="15" t="str">
        <f>INDEX(X_Table_Poultry_Stage2MMS_PoultryManureWithBedding,2,1)</f>
        <v>Solid storage</v>
      </c>
      <c r="F206" s="15">
        <f>((D$192 * F159 * D$197) * 10 ^ -3)</f>
        <v>1.3892671982591992E-4</v>
      </c>
      <c r="G206" s="15">
        <f>((E$192 * G159 * E$197) * 10 ^ -3)</f>
        <v>1.4375178501119996E-4</v>
      </c>
      <c r="H206" s="15">
        <f>((F$192 * H159 * F$197) * 10 ^ -3)</f>
        <v>1.5358982621183997E-4</v>
      </c>
      <c r="I206" s="15">
        <f>((G$192 * I159 * G$197) * 10 ^ -3)</f>
        <v>1.4375178501119996E-4</v>
      </c>
      <c r="J206" s="16"/>
      <c r="N206" s="15" t="str">
        <f>INDEX(X_Table_Poultry_Stage1MMS,2,1)</f>
        <v>Poultry manure with bedding</v>
      </c>
      <c r="O206" s="15" t="str">
        <f>INDEX(X_Table_Poultry_Stage2MMS_PoultryManureWithBedding,2,1)</f>
        <v>Solid storage</v>
      </c>
      <c r="P206" s="15">
        <f>((D$192 * P159 * D$197) * 10 ^ -3)</f>
        <v>1.3892671982591992E-4</v>
      </c>
      <c r="Q206" s="15">
        <f>((E$192 * Q159 * E$197) * 10 ^ -3)</f>
        <v>1.4375178501119996E-4</v>
      </c>
      <c r="R206" s="15">
        <f>((F$192 * R159 * F$197) * 10 ^ -3)</f>
        <v>1.5358982621183997E-4</v>
      </c>
      <c r="S206" s="15">
        <f>((G$192 * S159 * G$197) * 10 ^ -3)</f>
        <v>1.4375178501119996E-4</v>
      </c>
      <c r="T206" s="16"/>
    </row>
    <row r="207" spans="4:20" ht="20.100000000000001" customHeight="1" x14ac:dyDescent="0.2">
      <c r="D207" s="15"/>
      <c r="E207" s="15" t="str">
        <f>INDEX(X_Table_Poultry_Stage2MMS_PoultryManureWithBedding,3,1)</f>
        <v>Composting (passive windrow)</v>
      </c>
      <c r="F207" s="15">
        <f>((D$192 * F160 * D$197) * 10 ^ -3)</f>
        <v>6.9463359912959959E-5</v>
      </c>
      <c r="G207" s="15">
        <f>((E$192 * G160 * E$197) * 10 ^ -3)</f>
        <v>7.1875892505599982E-5</v>
      </c>
      <c r="H207" s="15">
        <f>((F$192 * H160 * F$197) * 10 ^ -3)</f>
        <v>7.6794913105919987E-5</v>
      </c>
      <c r="I207" s="15">
        <f>((G$192 * I160 * G$197) * 10 ^ -3)</f>
        <v>7.1875892505599982E-5</v>
      </c>
      <c r="J207" s="16"/>
      <c r="N207" s="15"/>
      <c r="O207" s="15" t="str">
        <f>INDEX(X_Table_Poultry_Stage2MMS_PoultryManureWithBedding,3,1)</f>
        <v>Composting (passive windrow)</v>
      </c>
      <c r="P207" s="15">
        <f>((D$192 * P160 * D$197) * 10 ^ -3)</f>
        <v>3.4731679956479979E-5</v>
      </c>
      <c r="Q207" s="15">
        <f>((E$192 * Q160 * E$197) * 10 ^ -3)</f>
        <v>3.5937946252799991E-5</v>
      </c>
      <c r="R207" s="15">
        <f>((F$192 * R160 * F$197) * 10 ^ -3)</f>
        <v>3.8397456552959994E-5</v>
      </c>
      <c r="S207" s="15">
        <f>((G$192 * S160 * G$197) * 10 ^ -3)</f>
        <v>3.5937946252799991E-5</v>
      </c>
      <c r="T207" s="16"/>
    </row>
    <row r="208" spans="4:20" ht="20.100000000000001" customHeight="1" x14ac:dyDescent="0.2">
      <c r="D208" s="15"/>
      <c r="E208" s="15" t="str">
        <f>INDEX(X_Table_Poultry_Stage2MMS_PoultryManureWithBedding,4,1)</f>
        <v>Digester / covered lagoons</v>
      </c>
      <c r="F208" s="15">
        <f>((D$192 * F161 * D$197) * 10 ^ -3)</f>
        <v>6.9463359912959983E-4</v>
      </c>
      <c r="G208" s="15">
        <f>((E$192 * G161 * E$197) * 10 ^ -3)</f>
        <v>7.187589250559998E-4</v>
      </c>
      <c r="H208" s="15">
        <f>((F$192 * H161 * F$197) * 10 ^ -3)</f>
        <v>7.6794913105919993E-4</v>
      </c>
      <c r="I208" s="15">
        <f>((G$192 * I161 * G$197) * 10 ^ -3)</f>
        <v>7.187589250559998E-4</v>
      </c>
      <c r="J208" s="16"/>
      <c r="N208" s="15"/>
      <c r="O208" s="15" t="str">
        <f>INDEX(X_Table_Poultry_Stage2MMS_PoultryManureWithBedding,4,1)</f>
        <v>Digester / covered lagoons</v>
      </c>
      <c r="P208" s="15">
        <f>((D$192 * P161 * D$197) * 10 ^ -3)</f>
        <v>6.9463359912959983E-4</v>
      </c>
      <c r="Q208" s="15">
        <f>((E$192 * Q161 * E$197) * 10 ^ -3)</f>
        <v>7.187589250559998E-4</v>
      </c>
      <c r="R208" s="15">
        <f>((F$192 * R161 * F$197) * 10 ^ -3)</f>
        <v>7.6794913105919993E-4</v>
      </c>
      <c r="S208" s="15">
        <f>((G$192 * S161 * G$197) * 10 ^ -3)</f>
        <v>7.187589250559998E-4</v>
      </c>
      <c r="T208" s="16"/>
    </row>
    <row r="209" spans="1:20" ht="20.100000000000001" customHeight="1" x14ac:dyDescent="0.2">
      <c r="D209" s="15"/>
      <c r="E209" s="15" t="str">
        <f>INDEX(X_Table_Poultry_Stage2MMS_PoultryManureWithBedding,5,1)</f>
        <v>Direct processing</v>
      </c>
      <c r="F209" s="15">
        <f>((D$192 * F162 * D$197) * 10 ^ -3)</f>
        <v>0</v>
      </c>
      <c r="G209" s="15">
        <f>((E$192 * G162 * E$197) * 10 ^ -3)</f>
        <v>0</v>
      </c>
      <c r="H209" s="15">
        <f>((F$192 * H162 * F$197) * 10 ^ -3)</f>
        <v>0</v>
      </c>
      <c r="I209" s="15">
        <f>((G$192 * I162 * G$197) * 10 ^ -3)</f>
        <v>0</v>
      </c>
      <c r="J209" s="16"/>
      <c r="N209" s="15"/>
      <c r="O209" s="15" t="str">
        <f>INDEX(X_Table_Poultry_Stage2MMS_PoultryManureWithBedding,5,1)</f>
        <v>Direct processing</v>
      </c>
      <c r="P209" s="15">
        <f>((D$192 * P162 * D$197) * 10 ^ -3)</f>
        <v>0</v>
      </c>
      <c r="Q209" s="15">
        <f>((E$192 * Q162 * E$197) * 10 ^ -3)</f>
        <v>0</v>
      </c>
      <c r="R209" s="15">
        <f>((F$192 * R162 * F$197) * 10 ^ -3)</f>
        <v>0</v>
      </c>
      <c r="S209" s="15">
        <f>((G$192 * S162 * G$197) * 10 ^ -3)</f>
        <v>0</v>
      </c>
      <c r="T209" s="16"/>
    </row>
    <row r="210" spans="1:20" ht="20.100000000000001" customHeight="1" x14ac:dyDescent="0.2">
      <c r="D210" s="15"/>
      <c r="E210" s="15" t="str">
        <f>INDEX(X_Table_Poultry_Stage2MMS_PoultryManureWithBedding,6,1)</f>
        <v>Direct application</v>
      </c>
      <c r="F210" s="15">
        <f>((D$192 * F163 * D$197) * 10 ^ -3)</f>
        <v>0</v>
      </c>
      <c r="G210" s="15">
        <f>((E$192 * G163 * E$197) * 10 ^ -3)</f>
        <v>0</v>
      </c>
      <c r="H210" s="15">
        <f>((F$192 * H163 * F$197) * 10 ^ -3)</f>
        <v>0</v>
      </c>
      <c r="I210" s="15">
        <f>((G$192 * I163 * G$197) * 10 ^ -3)</f>
        <v>0</v>
      </c>
      <c r="N210" s="15"/>
      <c r="O210" s="15" t="str">
        <f>INDEX(X_Table_Poultry_Stage2MMS_PoultryManureWithBedding,6,1)</f>
        <v>Direct application</v>
      </c>
      <c r="P210" s="15">
        <f>((D$192 * P163 * D$197) * 10 ^ -3)</f>
        <v>0</v>
      </c>
      <c r="Q210" s="15">
        <f>((E$192 * Q163 * E$197) * 10 ^ -3)</f>
        <v>0</v>
      </c>
      <c r="R210" s="15">
        <f>((F$192 * R163 * F$197) * 10 ^ -3)</f>
        <v>0</v>
      </c>
      <c r="S210" s="15">
        <f>((G$192 * S163 * G$197) * 10 ^ -3)</f>
        <v>0</v>
      </c>
    </row>
    <row r="211" spans="1:20" ht="20.100000000000001" customHeight="1" x14ac:dyDescent="0.2">
      <c r="D211" s="15" t="str">
        <f>INDEX(X_Table_Poultry_Stage1MMS,3,1)</f>
        <v>Belt manure removal</v>
      </c>
      <c r="E211" s="15" t="str">
        <f>INDEX(X_Table_Poultry_Stage2MMS_BeltManureRemoval,2,1)</f>
        <v>Solid storage</v>
      </c>
      <c r="F211" s="15">
        <f>((D$192 * F164 * D$197) * 10 ^ -3)</f>
        <v>1.6344319979519996E-4</v>
      </c>
      <c r="G211" s="15">
        <f>((E$192 * G164 * E$197) * 10 ^ -3)</f>
        <v>1.6911974707199996E-4</v>
      </c>
      <c r="H211" s="15">
        <f>((F$192 * H164 * F$197) * 10 ^ -3)</f>
        <v>1.8069391319039998E-4</v>
      </c>
      <c r="I211" s="15">
        <f>((G$192 * I164 * G$197) * 10 ^ -3)</f>
        <v>1.6911974707199996E-4</v>
      </c>
      <c r="J211" s="16"/>
      <c r="N211" s="15" t="str">
        <f>INDEX(X_Table_Poultry_Stage1MMS,3,1)</f>
        <v>Belt manure removal</v>
      </c>
      <c r="O211" s="15" t="str">
        <f>INDEX(X_Table_Poultry_Stage2MMS_BeltManureRemoval,2,1)</f>
        <v>Solid storage</v>
      </c>
      <c r="P211" s="15">
        <f>((D$192 * P164 * D$197) * 10 ^ -3)</f>
        <v>1.6344319979519996E-4</v>
      </c>
      <c r="Q211" s="15">
        <f>((E$192 * Q164 * E$197) * 10 ^ -3)</f>
        <v>1.6911974707199996E-4</v>
      </c>
      <c r="R211" s="15">
        <f>((F$192 * R164 * F$197) * 10 ^ -3)</f>
        <v>1.8069391319039998E-4</v>
      </c>
      <c r="S211" s="15">
        <f>((G$192 * S164 * G$197) * 10 ^ -3)</f>
        <v>1.6911974707199996E-4</v>
      </c>
      <c r="T211" s="16"/>
    </row>
    <row r="212" spans="1:20" ht="20.100000000000001" customHeight="1" x14ac:dyDescent="0.2">
      <c r="D212" s="15"/>
      <c r="E212" s="15" t="str">
        <f>INDEX(X_Table_Poultry_Stage2MMS_BeltManureRemoval,3,1)</f>
        <v>Composting (passive windrow)</v>
      </c>
      <c r="F212" s="15">
        <f>((D$192 * F165 * D$197) * 10 ^ -3)</f>
        <v>8.1721599897599978E-5</v>
      </c>
      <c r="G212" s="15">
        <f>((E$192 * G165 * E$197) * 10 ^ -3)</f>
        <v>8.4559873535999978E-5</v>
      </c>
      <c r="H212" s="15">
        <f>((F$192 * H165 * F$197) * 10 ^ -3)</f>
        <v>9.034695659519999E-5</v>
      </c>
      <c r="I212" s="15">
        <f>((G$192 * I165 * G$197) * 10 ^ -3)</f>
        <v>8.4559873535999978E-5</v>
      </c>
      <c r="J212" s="16"/>
      <c r="N212" s="15"/>
      <c r="O212" s="15" t="str">
        <f>INDEX(X_Table_Poultry_Stage2MMS_BeltManureRemoval,3,1)</f>
        <v>Composting (passive windrow)</v>
      </c>
      <c r="P212" s="15">
        <f>((D$192 * P165 * D$197) * 10 ^ -3)</f>
        <v>4.0860799948799989E-5</v>
      </c>
      <c r="Q212" s="15">
        <f>((E$192 * Q165 * E$197) * 10 ^ -3)</f>
        <v>4.2279936767999989E-5</v>
      </c>
      <c r="R212" s="15">
        <f>((F$192 * R165 * F$197) * 10 ^ -3)</f>
        <v>4.5173478297599995E-5</v>
      </c>
      <c r="S212" s="15">
        <f>((G$192 * S165 * G$197) * 10 ^ -3)</f>
        <v>4.2279936767999989E-5</v>
      </c>
      <c r="T212" s="16"/>
    </row>
    <row r="213" spans="1:20" ht="20.100000000000001" customHeight="1" x14ac:dyDescent="0.2">
      <c r="D213" s="15"/>
      <c r="E213" s="15" t="str">
        <f>INDEX(X_Table_Poultry_Stage2MMS_BeltManureRemoval,4,1)</f>
        <v>Digester / covered lagoons</v>
      </c>
      <c r="F213" s="15">
        <f>((D$192 * F166 * D$197) * 10 ^ -3)</f>
        <v>8.1721599897599984E-4</v>
      </c>
      <c r="G213" s="15">
        <f>((E$192 * G166 * E$197) * 10 ^ -3)</f>
        <v>8.4559873535999992E-4</v>
      </c>
      <c r="H213" s="15">
        <f>((F$192 * H166 * F$197) * 10 ^ -3)</f>
        <v>9.0346956595200006E-4</v>
      </c>
      <c r="I213" s="15">
        <f>((G$192 * I166 * G$197) * 10 ^ -3)</f>
        <v>8.4559873535999992E-4</v>
      </c>
      <c r="J213" s="16"/>
      <c r="N213" s="15"/>
      <c r="O213" s="15" t="str">
        <f>INDEX(X_Table_Poultry_Stage2MMS_BeltManureRemoval,4,1)</f>
        <v>Digester / covered lagoons</v>
      </c>
      <c r="P213" s="15">
        <f>((D$192 * P166 * D$197) * 10 ^ -3)</f>
        <v>8.1721599897599984E-4</v>
      </c>
      <c r="Q213" s="15">
        <f>((E$192 * Q166 * E$197) * 10 ^ -3)</f>
        <v>8.4559873535999992E-4</v>
      </c>
      <c r="R213" s="15">
        <f>((F$192 * R166 * F$197) * 10 ^ -3)</f>
        <v>9.0346956595200006E-4</v>
      </c>
      <c r="S213" s="15">
        <f>((G$192 * S166 * G$197) * 10 ^ -3)</f>
        <v>8.4559873535999992E-4</v>
      </c>
      <c r="T213" s="16"/>
    </row>
    <row r="214" spans="1:20" ht="20.100000000000001" customHeight="1" x14ac:dyDescent="0.2">
      <c r="D214" s="15"/>
      <c r="E214" s="15" t="str">
        <f>INDEX(X_Table_Poultry_Stage2MMS_BeltManureRemoval,5,1)</f>
        <v>Direct processing</v>
      </c>
      <c r="F214" s="15">
        <f>((D$192 * F167 * D$197) * 10 ^ -3)</f>
        <v>0</v>
      </c>
      <c r="G214" s="15">
        <f>((E$192 * G167 * E$197) * 10 ^ -3)</f>
        <v>0</v>
      </c>
      <c r="H214" s="15">
        <f>((F$192 * H167 * F$197) * 10 ^ -3)</f>
        <v>0</v>
      </c>
      <c r="I214" s="15">
        <f>((G$192 * I167 * G$197) * 10 ^ -3)</f>
        <v>0</v>
      </c>
      <c r="J214" s="16"/>
      <c r="N214" s="15"/>
      <c r="O214" s="15" t="str">
        <f>INDEX(X_Table_Poultry_Stage2MMS_BeltManureRemoval,5,1)</f>
        <v>Direct processing</v>
      </c>
      <c r="P214" s="15">
        <f>((D$192 * P167 * D$197) * 10 ^ -3)</f>
        <v>0</v>
      </c>
      <c r="Q214" s="15">
        <f>((E$192 * Q167 * E$197) * 10 ^ -3)</f>
        <v>0</v>
      </c>
      <c r="R214" s="15">
        <f>((F$192 * R167 * F$197) * 10 ^ -3)</f>
        <v>0</v>
      </c>
      <c r="S214" s="15">
        <f>((G$192 * S167 * G$197) * 10 ^ -3)</f>
        <v>0</v>
      </c>
      <c r="T214" s="16"/>
    </row>
    <row r="215" spans="1:20" ht="20.100000000000001" customHeight="1" x14ac:dyDescent="0.2">
      <c r="D215" s="15"/>
      <c r="E215" s="15" t="str">
        <f>INDEX(X_Table_Poultry_Stage2MMS_BeltManureRemoval,6,1)</f>
        <v>Direct application</v>
      </c>
      <c r="F215" s="15">
        <f>((D$192 * F168 * D$197) * 10 ^ -3)</f>
        <v>0</v>
      </c>
      <c r="G215" s="15">
        <f>((E$192 * G168 * E$197) * 10 ^ -3)</f>
        <v>0</v>
      </c>
      <c r="H215" s="15">
        <f>((F$192 * H168 * F$197) * 10 ^ -3)</f>
        <v>0</v>
      </c>
      <c r="I215" s="15">
        <f>((G$192 * I168 * G$197) * 10 ^ -3)</f>
        <v>0</v>
      </c>
      <c r="N215" s="15"/>
      <c r="O215" s="15" t="str">
        <f>INDEX(X_Table_Poultry_Stage2MMS_BeltManureRemoval,6,1)</f>
        <v>Direct application</v>
      </c>
      <c r="P215" s="15">
        <f>((D$192 * P168 * D$197) * 10 ^ -3)</f>
        <v>0</v>
      </c>
      <c r="Q215" s="15">
        <f>((E$192 * Q168 * E$197) * 10 ^ -3)</f>
        <v>0</v>
      </c>
      <c r="R215" s="15">
        <f>((F$192 * R168 * F$197) * 10 ^ -3)</f>
        <v>0</v>
      </c>
      <c r="S215" s="15">
        <f>((G$192 * S168 * G$197) * 10 ^ -3)</f>
        <v>0</v>
      </c>
    </row>
    <row r="216" spans="1:20" ht="20.100000000000001" customHeight="1" x14ac:dyDescent="0.2">
      <c r="D216" s="15" t="str">
        <f>INDEX(X_Table_Poultry_Stage1MMS,4,1)</f>
        <v>Manure stored in house</v>
      </c>
      <c r="E216" s="15" t="str">
        <f>INDEX(X_Table_Poultry_Stage2MMS_ManureStoredInHouse,2,1)</f>
        <v>Solid storage</v>
      </c>
      <c r="F216" s="15">
        <f>((D$192 * F169 * D$197) * 10 ^ -3)</f>
        <v>1.3075455983615998E-4</v>
      </c>
      <c r="G216" s="15">
        <f>((E$192 * G169 * E$197) * 10 ^ -3)</f>
        <v>1.3529579765759992E-4</v>
      </c>
      <c r="H216" s="15">
        <f>((F$192 * H169 * F$197) * 10 ^ -3)</f>
        <v>1.4455513055232E-4</v>
      </c>
      <c r="I216" s="15">
        <f>((G$192 * I169 * G$197) * 10 ^ -3)</f>
        <v>1.3529579765759992E-4</v>
      </c>
      <c r="J216" s="16"/>
      <c r="N216" s="15" t="str">
        <f>INDEX(X_Table_Poultry_Stage1MMS,4,1)</f>
        <v>Manure stored in house</v>
      </c>
      <c r="O216" s="15" t="str">
        <f>INDEX(X_Table_Poultry_Stage2MMS_ManureStoredInHouse,2,1)</f>
        <v>Solid storage</v>
      </c>
      <c r="P216" s="15">
        <f>((D$192 * P169 * D$197) * 10 ^ -3)</f>
        <v>1.3075455983615998E-4</v>
      </c>
      <c r="Q216" s="15">
        <f>((E$192 * Q169 * E$197) * 10 ^ -3)</f>
        <v>1.3529579765759992E-4</v>
      </c>
      <c r="R216" s="15">
        <f>((F$192 * R169 * F$197) * 10 ^ -3)</f>
        <v>1.4455513055232E-4</v>
      </c>
      <c r="S216" s="15">
        <f>((G$192 * S169 * G$197) * 10 ^ -3)</f>
        <v>1.3529579765759992E-4</v>
      </c>
      <c r="T216" s="16"/>
    </row>
    <row r="217" spans="1:20" ht="20.100000000000001" customHeight="1" x14ac:dyDescent="0.2">
      <c r="D217" s="15"/>
      <c r="E217" s="15" t="str">
        <f>INDEX(X_Table_Poultry_Stage2MMS_ManureStoredInHouse,3,1)</f>
        <v>Composting (passive windrow)</v>
      </c>
      <c r="F217" s="15">
        <f>((D$192 * F170 * D$197) * 10 ^ -3)</f>
        <v>6.5377279918079988E-5</v>
      </c>
      <c r="G217" s="15">
        <f>((E$192 * G170 * E$197) * 10 ^ -3)</f>
        <v>6.7647898828799961E-5</v>
      </c>
      <c r="H217" s="15">
        <f>((F$192 * H170 * F$197) * 10 ^ -3)</f>
        <v>7.227756527616E-5</v>
      </c>
      <c r="I217" s="15">
        <f>((G$192 * I170 * G$197) * 10 ^ -3)</f>
        <v>6.7647898828799961E-5</v>
      </c>
      <c r="J217" s="16"/>
      <c r="N217" s="15"/>
      <c r="O217" s="15" t="str">
        <f>INDEX(X_Table_Poultry_Stage2MMS_ManureStoredInHouse,3,1)</f>
        <v>Composting (passive windrow)</v>
      </c>
      <c r="P217" s="15">
        <f>((D$192 * P170 * D$197) * 10 ^ -3)</f>
        <v>3.2688639959039994E-5</v>
      </c>
      <c r="Q217" s="15">
        <f>((E$192 * Q170 * E$197) * 10 ^ -3)</f>
        <v>3.3823949414399981E-5</v>
      </c>
      <c r="R217" s="15">
        <f>((F$192 * R170 * F$197) * 10 ^ -3)</f>
        <v>3.613878263808E-5</v>
      </c>
      <c r="S217" s="15">
        <f>((G$192 * S170 * G$197) * 10 ^ -3)</f>
        <v>3.3823949414399981E-5</v>
      </c>
      <c r="T217" s="16"/>
    </row>
    <row r="218" spans="1:20" ht="20.100000000000001" customHeight="1" x14ac:dyDescent="0.2">
      <c r="A218" s="79" t="str">
        <f>HYPERLINK("#A1", "▲ Back to top")</f>
        <v>▲ Back to top</v>
      </c>
      <c r="D218" s="15"/>
      <c r="E218" s="15" t="str">
        <f>INDEX(X_Table_Poultry_Stage2MMS_ManureStoredInHouse,4,1)</f>
        <v>Digester / covered lagoons</v>
      </c>
      <c r="F218" s="15">
        <f>((D$192 * F171 * D$197) * 10 ^ -3)</f>
        <v>6.5377279918080004E-4</v>
      </c>
      <c r="G218" s="15">
        <f>((E$192 * G171 * E$197) * 10 ^ -3)</f>
        <v>6.7647898828799972E-4</v>
      </c>
      <c r="H218" s="15">
        <f>((F$192 * H171 * F$197) * 10 ^ -3)</f>
        <v>7.2277565276159992E-4</v>
      </c>
      <c r="I218" s="15">
        <f>((G$192 * I171 * G$197) * 10 ^ -3)</f>
        <v>6.7647898828799972E-4</v>
      </c>
      <c r="J218" s="16"/>
      <c r="N218" s="15"/>
      <c r="O218" s="15" t="str">
        <f>INDEX(X_Table_Poultry_Stage2MMS_ManureStoredInHouse,4,1)</f>
        <v>Digester / covered lagoons</v>
      </c>
      <c r="P218" s="15">
        <f>((D$192 * P171 * D$197) * 10 ^ -3)</f>
        <v>6.5377279918080004E-4</v>
      </c>
      <c r="Q218" s="15">
        <f>((E$192 * Q171 * E$197) * 10 ^ -3)</f>
        <v>6.7647898828799972E-4</v>
      </c>
      <c r="R218" s="15">
        <f>((F$192 * R171 * F$197) * 10 ^ -3)</f>
        <v>7.2277565276159992E-4</v>
      </c>
      <c r="S218" s="15">
        <f>((G$192 * S171 * G$197) * 10 ^ -3)</f>
        <v>6.7647898828799972E-4</v>
      </c>
      <c r="T218" s="16"/>
    </row>
    <row r="219" spans="1:20" ht="20.100000000000001" customHeight="1" x14ac:dyDescent="0.2">
      <c r="D219" s="15"/>
      <c r="E219" s="15" t="str">
        <f>INDEX(X_Table_Poultry_Stage2MMS_ManureStoredInHouse,5,1)</f>
        <v>Direct processing</v>
      </c>
      <c r="F219" s="15">
        <f>((D$192 * F172 * D$197) * 10 ^ -3)</f>
        <v>0</v>
      </c>
      <c r="G219" s="15">
        <f>((E$192 * G172 * E$197) * 10 ^ -3)</f>
        <v>0</v>
      </c>
      <c r="H219" s="15">
        <f>((F$192 * H172 * F$197) * 10 ^ -3)</f>
        <v>0</v>
      </c>
      <c r="I219" s="15">
        <f>((G$192 * I172 * G$197) * 10 ^ -3)</f>
        <v>0</v>
      </c>
      <c r="J219" s="16"/>
      <c r="N219" s="15"/>
      <c r="O219" s="15" t="str">
        <f>INDEX(X_Table_Poultry_Stage2MMS_ManureStoredInHouse,5,1)</f>
        <v>Direct processing</v>
      </c>
      <c r="P219" s="15">
        <f>((D$192 * P172 * D$197) * 10 ^ -3)</f>
        <v>0</v>
      </c>
      <c r="Q219" s="15">
        <f>((E$192 * Q172 * E$197) * 10 ^ -3)</f>
        <v>0</v>
      </c>
      <c r="R219" s="15">
        <f>((F$192 * R172 * F$197) * 10 ^ -3)</f>
        <v>0</v>
      </c>
      <c r="S219" s="15">
        <f>((G$192 * S172 * G$197) * 10 ^ -3)</f>
        <v>0</v>
      </c>
      <c r="T219" s="16"/>
    </row>
    <row r="220" spans="1:20" ht="20.100000000000001" customHeight="1" x14ac:dyDescent="0.2">
      <c r="D220" s="15"/>
      <c r="E220" s="15" t="str">
        <f>INDEX(X_Table_Poultry_Stage2MMS_ManureStoredInHouse,6,1)</f>
        <v>Direct application</v>
      </c>
      <c r="F220" s="15">
        <f>((D$192 * F173 * D$197) * 10 ^ -3)</f>
        <v>0</v>
      </c>
      <c r="G220" s="15">
        <f>((E$192 * G173 * E$197) * 10 ^ -3)</f>
        <v>0</v>
      </c>
      <c r="H220" s="15">
        <f>((F$192 * H173 * F$197) * 10 ^ -3)</f>
        <v>0</v>
      </c>
      <c r="I220" s="15">
        <f>((G$192 * I173 * G$197) * 10 ^ -3)</f>
        <v>0</v>
      </c>
      <c r="N220" s="15"/>
      <c r="O220" s="15" t="str">
        <f>INDEX(X_Table_Poultry_Stage2MMS_ManureStoredInHouse,6,1)</f>
        <v>Direct application</v>
      </c>
      <c r="P220" s="15">
        <f>((D$192 * P173 * D$197) * 10 ^ -3)</f>
        <v>0</v>
      </c>
      <c r="Q220" s="15">
        <f>((E$192 * Q173 * E$197) * 10 ^ -3)</f>
        <v>0</v>
      </c>
      <c r="R220" s="15">
        <f>((F$192 * R173 * F$197) * 10 ^ -3)</f>
        <v>0</v>
      </c>
      <c r="S220" s="15">
        <f>((G$192 * S173 * G$197) * 10 ^ -3)</f>
        <v>0</v>
      </c>
    </row>
    <row r="222" spans="1:20" ht="20.100000000000001" customHeight="1" x14ac:dyDescent="0.2">
      <c r="D222" s="85" t="s">
        <v>375</v>
      </c>
      <c r="E222" s="86">
        <f>SUM(F202:I220)</f>
        <v>1.9999321060623357E-2</v>
      </c>
      <c r="F222" s="95" t="str">
        <f>$E$183</f>
        <v>t CH4</v>
      </c>
      <c r="N222" s="85" t="s">
        <v>375</v>
      </c>
      <c r="O222" s="86">
        <f>SUM(P202:S220)</f>
        <v>1.924586355691776E-2</v>
      </c>
      <c r="P222" s="95" t="str">
        <f>$E$183</f>
        <v>t CH4</v>
      </c>
    </row>
    <row r="224" spans="1:20" ht="20.100000000000001" customHeight="1" x14ac:dyDescent="0.2">
      <c r="D224" s="126" t="str" cm="1">
        <f t="array" ref="D224:E225">Common_Equations.Common_ConvertCH4ToCO2e_Arguments()</f>
        <v>ECH4</v>
      </c>
      <c r="E224" s="129" t="str">
        <v>Methane emissions (t CH4)</v>
      </c>
      <c r="F224" s="130"/>
      <c r="G224" s="15">
        <f>VEERG_4_6_1_1__1_TotalAnnualMethaneEmissions_Result_Method1</f>
        <v>1.9999321060623357E-2</v>
      </c>
      <c r="N224" s="126" t="str" cm="1">
        <f t="array" ref="N224:O225">Common_Equations.Common_ConvertCH4ToCO2e_Arguments()</f>
        <v>ECH4</v>
      </c>
      <c r="O224" s="129" t="str">
        <v>Methane emissions (t CH4)</v>
      </c>
      <c r="P224" s="130"/>
      <c r="Q224" s="15">
        <f>VEERG_4_6_1_1__1_TotalAnnualMethaneEmissions_Result_Method2</f>
        <v>1.924586355691776E-2</v>
      </c>
    </row>
    <row r="225" spans="4:17" ht="20.100000000000001" customHeight="1" x14ac:dyDescent="0.2">
      <c r="D225" s="126" t="str">
        <v>GWPCH4</v>
      </c>
      <c r="E225" s="129" t="str">
        <v>Global warming potential for methane (t CO2-e / t CH4)</v>
      </c>
      <c r="F225" s="130"/>
      <c r="G225" s="15">
        <f>Common_InputFunctions.Utility_LookupValueInTableNumber("CH4", Table_GWPData[Gas],Table_GWPData[CO2-e factor])</f>
        <v>28</v>
      </c>
      <c r="N225" s="126" t="str">
        <v>GWPCH4</v>
      </c>
      <c r="O225" s="129" t="str">
        <v>Global warming potential for methane (t CO2-e / t CH4)</v>
      </c>
      <c r="P225" s="130"/>
      <c r="Q225" s="15">
        <f>Common_InputFunctions.Utility_LookupValueInTableNumber("CH4", Table_GWPData[Gas],Table_GWPData[CO2-e factor])</f>
        <v>28</v>
      </c>
    </row>
    <row r="227" spans="4:17" ht="20.100000000000001" customHeight="1" x14ac:dyDescent="0.2">
      <c r="D227" s="83" t="s">
        <v>376</v>
      </c>
      <c r="E227" s="83" cm="1">
        <f t="array" ref="E227">Common_Equations.Common_ConvertN2OToCO2e(G224,G225)</f>
        <v>0.55998098969745402</v>
      </c>
      <c r="F227" s="89" t="str" cm="1">
        <f t="array" ref="F227">Common_Equations.Common_ConvertN2OToCO2e_Unit()</f>
        <v>t CO2e</v>
      </c>
      <c r="N227" s="83" t="s">
        <v>376</v>
      </c>
      <c r="O227" s="83" cm="1">
        <f t="array" ref="O227">Common_Equations.Common_ConvertN2OToCO2e(Q224,Q225)</f>
        <v>0.53888417959369728</v>
      </c>
      <c r="P227" s="89" t="str" cm="1">
        <f t="array" ref="P227">Common_Equations.Common_ConvertN2OToCO2e_Unit()</f>
        <v>t CO2e</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O182:T182 P157:S157 E269 O176:T176 P177:T177 G136 J132:J137 I136:I137 F138:I138 F133:F136 H132:H136 I133 P148:T148 I156:J156 F157:I157 S156:T156 P150:T150 P133:P135 R132:R135 S133" xr:uid="{42137F42-AD79-456F-A92C-7A462EFFD628}"/>
  </dataValidation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46998-58E6-4DD2-9C9B-0D89D285E6FC}">
  <sheetPr>
    <tabColor rgb="FF008000"/>
  </sheetPr>
  <dimension ref="A1:U250"/>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0" customFormat="1" ht="30" customHeight="1" x14ac:dyDescent="0.35">
      <c r="A1" s="10" t="e" vm="1">
        <v>#VALUE!</v>
      </c>
      <c r="C1" s="20" t="s">
        <v>377</v>
      </c>
      <c r="L1"/>
    </row>
    <row r="2" spans="1:21" s="3" customFormat="1" ht="20.100000000000001" customHeight="1" x14ac:dyDescent="0.2">
      <c r="A2"/>
      <c r="L2"/>
    </row>
    <row r="3" spans="1:21" ht="20.100000000000001" customHeight="1" x14ac:dyDescent="0.2">
      <c r="A3" s="5" t="str">
        <f>HYPERLINK("#'Home'!A1", "Home")</f>
        <v>Home</v>
      </c>
      <c r="C3" s="22"/>
      <c r="D3" s="22" t="s">
        <v>130</v>
      </c>
      <c r="E3" s="22"/>
      <c r="F3" s="22"/>
      <c r="G3" s="22"/>
      <c r="H3" s="22"/>
      <c r="I3" s="22"/>
      <c r="J3" s="22"/>
      <c r="K3" s="22"/>
      <c r="M3" s="22"/>
      <c r="N3" s="22" t="s">
        <v>131</v>
      </c>
      <c r="O3" s="22"/>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1251</v>
      </c>
    </row>
    <row r="6" spans="1:21" ht="20.100000000000001" customHeight="1" x14ac:dyDescent="0.2">
      <c r="D6" s="17" t="s">
        <v>1252</v>
      </c>
    </row>
    <row r="7" spans="1:21" ht="20.100000000000001" customHeight="1" x14ac:dyDescent="0.2">
      <c r="D7" s="112"/>
      <c r="E7" s="112"/>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328</v>
      </c>
      <c r="E10" s="1" t="s">
        <v>1253</v>
      </c>
    </row>
    <row r="11" spans="1:21" ht="20.100000000000001" customHeight="1" x14ac:dyDescent="0.2">
      <c r="A11" s="5" t="str">
        <f>HYPERLINK("#'Input - Poultry'!A1", "Poultry")</f>
        <v>Poultry</v>
      </c>
      <c r="D11" s="75" t="s">
        <v>118</v>
      </c>
      <c r="E11" s="9" t="s">
        <v>1254</v>
      </c>
    </row>
    <row r="12" spans="1:21" ht="20.100000000000001" customHeight="1" x14ac:dyDescent="0.2">
      <c r="A12" s="5" t="str">
        <f>HYPERLINK("#'Input - Livestock sales'!A1", "Livestock sales")</f>
        <v>Livestock sales</v>
      </c>
    </row>
    <row r="13" spans="1:21" ht="20.100000000000001" customHeight="1" x14ac:dyDescent="0.2">
      <c r="A13" s="5" t="str">
        <f>HYPERLINK("#'Input - Poultry purchases'!A1", "Poultry purchases")</f>
        <v>Poultry purchases</v>
      </c>
      <c r="D13" s="113" t="s">
        <v>1195</v>
      </c>
      <c r="E13" s="113" t="s">
        <v>1196</v>
      </c>
      <c r="F13" s="113"/>
      <c r="G13" s="113" t="s">
        <v>1201</v>
      </c>
      <c r="H13" s="114" t="s">
        <v>1202</v>
      </c>
      <c r="I13" s="116" t="str" cm="1">
        <f t="array" aca="1" ref="I13" ca="1">HYPERLINK(Common_InputFunctions.Utility_SourceHyperlink($D$17),$D$17)</f>
        <v>M1_Table_I_j_k</v>
      </c>
    </row>
    <row r="14" spans="1:21" ht="20.100000000000001" customHeight="1" x14ac:dyDescent="0.2">
      <c r="A14" s="5" t="str">
        <f>HYPERLINK("#'Input - Fuel'!A1", "Fuel")</f>
        <v>Fuel</v>
      </c>
      <c r="D14" s="113" t="s">
        <v>1255</v>
      </c>
      <c r="E14" s="113" t="s">
        <v>1256</v>
      </c>
      <c r="F14" s="113"/>
      <c r="G14" s="113" t="s">
        <v>307</v>
      </c>
      <c r="H14" s="114" t="s">
        <v>1202</v>
      </c>
      <c r="I14" s="116" t="str" cm="1">
        <f t="array" aca="1" ref="I14" ca="1">HYPERLINK(Common_InputFunctions.Utility_SourceHyperlink($D$22),$D$22)</f>
        <v>M1_Table_CP_j_k</v>
      </c>
    </row>
    <row r="15" spans="1:21" ht="20.100000000000001" customHeight="1" x14ac:dyDescent="0.2">
      <c r="A15" s="5" t="str">
        <f>HYPERLINK("#'Input - Electricity'!A1", "Electricity")</f>
        <v>Electricity</v>
      </c>
      <c r="D15" s="113">
        <v>6.25</v>
      </c>
      <c r="E15" s="113" t="s">
        <v>1257</v>
      </c>
      <c r="F15" s="113"/>
      <c r="G15" s="113" t="s">
        <v>1258</v>
      </c>
      <c r="H15" s="115" t="s">
        <v>1203</v>
      </c>
      <c r="I15" s="113">
        <f>$D$15</f>
        <v>6.25</v>
      </c>
    </row>
    <row r="16" spans="1:21" ht="20.100000000000001" customHeight="1" x14ac:dyDescent="0.2">
      <c r="A16" s="5" t="str">
        <f>HYPERLINK("#'Input - Common farm inputs'!A1", "Common farm inputs")</f>
        <v>Common farm inputs</v>
      </c>
    </row>
    <row r="17" spans="1:18" ht="20.100000000000001" customHeight="1" x14ac:dyDescent="0.2">
      <c r="A17" s="5" t="str">
        <f>HYPERLINK("#'Input - Livestock farm Inputs'!A1", "Livestock farm Inputs")</f>
        <v>Livestock farm Inputs</v>
      </c>
      <c r="D17" s="118" t="s">
        <v>329</v>
      </c>
      <c r="N17" s="118" t="s">
        <v>330</v>
      </c>
    </row>
    <row r="18" spans="1:18" ht="20.100000000000001" customHeight="1" x14ac:dyDescent="0.2">
      <c r="A18" s="5" t="str">
        <f>HYPERLINK("#'Input - Freight'!A1", "Freight")</f>
        <v>Freight</v>
      </c>
      <c r="D18" s="119" t="s">
        <v>331</v>
      </c>
      <c r="N18" s="119" t="s">
        <v>332</v>
      </c>
    </row>
    <row r="19" spans="1:18" ht="20.100000000000001" customHeight="1" x14ac:dyDescent="0.2">
      <c r="A19" s="5" t="str">
        <f>HYPERLINK("#'Input - Solid waste'!A1", "Solid waste")</f>
        <v>Solid waste</v>
      </c>
      <c r="D19" s="78" t="s">
        <v>297</v>
      </c>
      <c r="E19" s="78" t="s">
        <v>298</v>
      </c>
      <c r="F19" s="78" t="s">
        <v>299</v>
      </c>
      <c r="G19" s="78" t="s">
        <v>300</v>
      </c>
      <c r="N19" s="78" t="s">
        <v>297</v>
      </c>
      <c r="O19" s="78" t="s">
        <v>298</v>
      </c>
      <c r="P19" s="78" t="s">
        <v>299</v>
      </c>
      <c r="Q19" s="78" t="s">
        <v>300</v>
      </c>
    </row>
    <row r="20" spans="1:18" ht="20.100000000000001" customHeight="1" x14ac:dyDescent="0.2">
      <c r="A20" s="5" t="str">
        <f>HYPERLINK("#'Input - Manure sent off-site'!A1", "Manure sent off-site")</f>
        <v>Manure sent off-site</v>
      </c>
      <c r="D20" s="15">
        <f>INDEX(X_Table_Poultry_Diet_Method1,2,2)</f>
        <v>8.5999999999999993E-2</v>
      </c>
      <c r="E20" s="15">
        <f>INDEX(X_Table_Poultry_Diet_Method1,2,3)</f>
        <v>9.2999999999999999E-2</v>
      </c>
      <c r="F20" s="15">
        <f>INDEX(X_Table_Poultry_Diet_Method1,2,4)</f>
        <v>0.10299999999999999</v>
      </c>
      <c r="G20" s="15">
        <f>INDEX(X_Table_Poultry_Diet_Method1,2,5)</f>
        <v>9.2999999999999999E-2</v>
      </c>
      <c r="H20" s="16" t="str">
        <f>$G$13</f>
        <v>kg DM/bird/day</v>
      </c>
      <c r="N20" s="15">
        <f>INDEX(X_Table_Poultry_Diet_Method2,2,2)</f>
        <v>8.5999999999999993E-2</v>
      </c>
      <c r="O20" s="15">
        <f>INDEX(X_Table_Poultry_Diet_Method2,2,3)</f>
        <v>9.2999999999999999E-2</v>
      </c>
      <c r="P20" s="15">
        <f>INDEX(X_Table_Poultry_Diet_Method2,2,4)</f>
        <v>0.10299999999999999</v>
      </c>
      <c r="Q20" s="15">
        <f>INDEX(X_Table_Poultry_Diet_Method2,2,5)</f>
        <v>9.2999999999999999E-2</v>
      </c>
      <c r="R20" s="16" t="str">
        <f>$G$13</f>
        <v>kg DM/bird/day</v>
      </c>
    </row>
    <row r="21" spans="1:18" ht="20.100000000000001" customHeight="1" x14ac:dyDescent="0.2">
      <c r="A21" s="5" t="str">
        <f>HYPERLINK("#'Input - Data quality'!A1", "Data quality")</f>
        <v>Data quality</v>
      </c>
    </row>
    <row r="22" spans="1:18" ht="20.100000000000001" customHeight="1" x14ac:dyDescent="0.2">
      <c r="A22" s="5" t="str">
        <f>HYPERLINK("#'Input - Fert Prod System'!A1", "Fert Prod System")</f>
        <v>Fert Prod System</v>
      </c>
      <c r="D22" s="118" t="s">
        <v>378</v>
      </c>
      <c r="N22" s="118" t="s">
        <v>379</v>
      </c>
    </row>
    <row r="23" spans="1:18" ht="20.100000000000001" customHeight="1" x14ac:dyDescent="0.2">
      <c r="A23" s="5" t="str">
        <f>HYPERLINK("#'Input - Fertiliser'!A1", "Fertiliser")</f>
        <v>Fertiliser</v>
      </c>
      <c r="D23" s="119" t="s">
        <v>380</v>
      </c>
      <c r="E23" s="119"/>
      <c r="N23" s="119" t="s">
        <v>381</v>
      </c>
      <c r="O23" s="119"/>
    </row>
    <row r="24" spans="1:18" ht="20.100000000000001" customHeight="1" x14ac:dyDescent="0.2">
      <c r="D24" s="78" t="s">
        <v>297</v>
      </c>
      <c r="E24" s="78" t="s">
        <v>298</v>
      </c>
      <c r="F24" s="78" t="s">
        <v>299</v>
      </c>
      <c r="G24" s="78" t="s">
        <v>300</v>
      </c>
      <c r="N24" s="78" t="s">
        <v>297</v>
      </c>
      <c r="O24" s="78" t="s">
        <v>298</v>
      </c>
      <c r="P24" s="78" t="s">
        <v>299</v>
      </c>
      <c r="Q24" s="78" t="s">
        <v>300</v>
      </c>
    </row>
    <row r="25" spans="1:18" ht="20.100000000000001" customHeight="1" x14ac:dyDescent="0.2">
      <c r="D25" s="15">
        <f>INDEX(X_Table_Poultry_Diet_Method1,4,2)</f>
        <v>0.19</v>
      </c>
      <c r="E25" s="15">
        <f>INDEX(X_Table_Poultry_Diet_Method1,4,3)</f>
        <v>0.23</v>
      </c>
      <c r="F25" s="15">
        <f>INDEX(X_Table_Poultry_Diet_Method1,4,4)</f>
        <v>0.19</v>
      </c>
      <c r="G25" s="15">
        <f>INDEX(X_Table_Poultry_Diet_Method1,4,5)</f>
        <v>0.23</v>
      </c>
      <c r="H25" s="16" t="str">
        <f>$G$14</f>
        <v>fraction</v>
      </c>
      <c r="N25" s="15">
        <f>INDEX(X_Table_Poultry_Diet_Method2,4,2)</f>
        <v>0.19</v>
      </c>
      <c r="O25" s="15">
        <f>INDEX(X_Table_Poultry_Diet_Method2,4,3)</f>
        <v>0.23</v>
      </c>
      <c r="P25" s="15">
        <f>INDEX(X_Table_Poultry_Diet_Method2,4,4)</f>
        <v>0.19</v>
      </c>
      <c r="Q25" s="15">
        <f>INDEX(X_Table_Poultry_Diet_Method2,4,5)</f>
        <v>0.23</v>
      </c>
      <c r="R25" s="16" t="str">
        <f>$G$14</f>
        <v>fraction</v>
      </c>
    </row>
    <row r="26" spans="1:18" ht="20.100000000000001" customHeight="1" x14ac:dyDescent="0.2">
      <c r="A26" s="6" t="s">
        <v>2</v>
      </c>
    </row>
    <row r="27" spans="1:18" ht="20.100000000000001" customHeight="1" x14ac:dyDescent="0.2">
      <c r="A27" s="5" t="str">
        <f>HYPERLINK("#'4.6.1.1-2 Methane'!A1", "4.6.1.1-2 Manure Methane")</f>
        <v>4.6.1.1-2 Manure Methane</v>
      </c>
      <c r="D27" s="118" t="s">
        <v>382</v>
      </c>
      <c r="N27" s="118" t="s">
        <v>383</v>
      </c>
    </row>
    <row r="28" spans="1:18" ht="20.100000000000001" customHeight="1" x14ac:dyDescent="0.2">
      <c r="A28" s="117" t="str">
        <f>HYPERLINK("#'4.6.1.3-4 Direct N20'!A1", "4.6.1.3-4 Manure Direct N2O")</f>
        <v>4.6.1.3-4 Manure Direct N2O</v>
      </c>
      <c r="D28" s="119" t="s">
        <v>384</v>
      </c>
      <c r="E28" s="119"/>
      <c r="N28" s="119" t="s">
        <v>385</v>
      </c>
      <c r="O28" s="119"/>
    </row>
    <row r="29" spans="1:18" ht="20.100000000000001" customHeight="1" x14ac:dyDescent="0.2">
      <c r="A29" s="5" t="str">
        <f>HYPERLINK("#'4.6.1.5-6 Atmos Dep'!A1", "4.6.1.5-6 Manure Atmos Dep")</f>
        <v>4.6.1.5-6 Manure Atmos Dep</v>
      </c>
      <c r="D29" s="120" t="s">
        <v>297</v>
      </c>
      <c r="E29" s="120" t="s">
        <v>298</v>
      </c>
      <c r="F29" s="120" t="s">
        <v>299</v>
      </c>
      <c r="G29" s="120" t="s">
        <v>300</v>
      </c>
      <c r="N29" s="120" t="s">
        <v>297</v>
      </c>
      <c r="O29" s="120" t="s">
        <v>298</v>
      </c>
      <c r="P29" s="120" t="s">
        <v>299</v>
      </c>
      <c r="Q29" s="120" t="s">
        <v>300</v>
      </c>
    </row>
    <row r="30" spans="1:18" ht="20.100000000000001" customHeight="1" x14ac:dyDescent="0.2">
      <c r="A30" s="5" t="str">
        <f>HYPERLINK("#'4.6.1.7-8 Leaching and runoff'!A1", "4.6.1.7-8 Manure Leaching and runoff")</f>
        <v>4.6.1.7-8 Manure Leaching and runoff</v>
      </c>
      <c r="D30" s="15">
        <f>(D20 * D25 / 6.25)</f>
        <v>2.6144000000000002E-3</v>
      </c>
      <c r="E30" s="15">
        <f>(E20 * E25 / 6.25)</f>
        <v>3.4223999999999999E-3</v>
      </c>
      <c r="F30" s="15">
        <f>(F20 * F25 / 6.25)</f>
        <v>3.1312000000000002E-3</v>
      </c>
      <c r="G30" s="15">
        <f>(G20 * G25 / 6.25)</f>
        <v>3.4223999999999999E-3</v>
      </c>
      <c r="H30" s="16" t="str">
        <f>$E$11</f>
        <v>kg N/bird/day</v>
      </c>
      <c r="N30" s="15">
        <f>(N20 * N25 / 6.25)</f>
        <v>2.6144000000000002E-3</v>
      </c>
      <c r="O30" s="15">
        <f>(O20 * O25 / 6.25)</f>
        <v>3.4223999999999999E-3</v>
      </c>
      <c r="P30" s="15">
        <f>(P20 * P25 / 6.25)</f>
        <v>3.1312000000000002E-3</v>
      </c>
      <c r="Q30" s="15">
        <f>(Q20 * Q25 / 6.25)</f>
        <v>3.4223999999999999E-3</v>
      </c>
      <c r="R30" s="16" t="str">
        <f>$E$11</f>
        <v>kg N/bird/day</v>
      </c>
    </row>
    <row r="31" spans="1:18" ht="20.100000000000001" customHeight="1" x14ac:dyDescent="0.2">
      <c r="A31" s="5" t="str">
        <f>HYPERLINK("#'4.6.1.9 Manure applied to soils'!A1", "4.6.1.9 Manure applied to soils")</f>
        <v>4.6.1.9 Manure applied to soils</v>
      </c>
    </row>
    <row r="32" spans="1:18" ht="20.100000000000001" customHeight="1" x14ac:dyDescent="0.2">
      <c r="A32" s="5" t="str">
        <f>HYPERLINK("#'4.6.1.10-11 Soil direct N2O'!A1", "4.6.1.10-11 Soil direct N2O")</f>
        <v>4.6.1.10-11 Soil direct N2O</v>
      </c>
    </row>
    <row r="33" spans="1:21" ht="20.100000000000001" customHeight="1" x14ac:dyDescent="0.2">
      <c r="A33" s="5" t="str">
        <f>HYPERLINK("#'4.6.1.12-13 Soil atmos dep'!A1", "4.6.1.12-13 Soil atmos dep")</f>
        <v>4.6.1.12-13 Soil atmos dep</v>
      </c>
      <c r="C33" s="83"/>
      <c r="D33" s="83"/>
      <c r="E33" s="83"/>
      <c r="F33" s="83"/>
      <c r="G33" s="83"/>
      <c r="H33" s="83"/>
      <c r="I33" s="83"/>
      <c r="J33" s="83"/>
      <c r="K33" s="83"/>
      <c r="M33" s="83"/>
      <c r="N33" s="83"/>
      <c r="O33" s="83"/>
      <c r="P33" s="83"/>
      <c r="Q33" s="83"/>
      <c r="R33" s="83"/>
      <c r="S33" s="83"/>
      <c r="T33" s="83"/>
      <c r="U33" s="83"/>
    </row>
    <row r="34" spans="1:21" ht="20.100000000000001" customHeight="1" x14ac:dyDescent="0.2">
      <c r="A34" s="5" t="str">
        <f>HYPERLINK("#'4.6.1.14-15 Soil leach runoff'!A1", "4.6.1.14-15 Soil leach runoff")</f>
        <v>4.6.1.14-15 Soil leach runoff</v>
      </c>
      <c r="D34" s="2" t="s">
        <v>1259</v>
      </c>
    </row>
    <row r="35" spans="1:21" ht="20.100000000000001" customHeight="1" x14ac:dyDescent="0.2">
      <c r="A35" s="5" t="str">
        <f>HYPERLINK("#'8.1.1.1-2 Transport fuel'!A1", "8.1.1.1-2 Transport fuel")</f>
        <v>8.1.1.1-2 Transport fuel</v>
      </c>
      <c r="D35" s="17" t="s">
        <v>1260</v>
      </c>
    </row>
    <row r="36" spans="1:21" ht="20.100000000000001" customHeight="1" x14ac:dyDescent="0.2">
      <c r="A36" s="5" t="str">
        <f>HYPERLINK("#'8.2.1.1-2 Stationary fuel'!A1", "8.2.1.1-2 Stationary fuel")</f>
        <v>8.2.1.1-2 Stationary fuel</v>
      </c>
      <c r="D36" s="112"/>
      <c r="E36" s="112"/>
    </row>
    <row r="37" spans="1:21" ht="20.100000000000001" customHeight="1" x14ac:dyDescent="0.2">
      <c r="A37" s="5" t="str">
        <f>HYPERLINK("#'10.1.1-2 Solid waste treatment'!A1", "10.1.1.1-2 Solid waste")</f>
        <v>10.1.1.1-2 Solid waste</v>
      </c>
    </row>
    <row r="38" spans="1:21" ht="20.100000000000001" customHeight="1" x14ac:dyDescent="0.2">
      <c r="A38" s="5" t="str">
        <f>HYPERLINK("#'14.1.1-2 Purchased electricity'!A1", "14.1.1-2 Purchased electricity")</f>
        <v>14.1.1-2 Purchased electricity</v>
      </c>
    </row>
    <row r="39" spans="1:21" ht="20.100000000000001" customHeight="1" x14ac:dyDescent="0.2">
      <c r="A39" s="5" t="str">
        <f>HYPERLINK("#'15 Scope 3'!A1", "15 Scope 3")</f>
        <v>15 Scope 3</v>
      </c>
      <c r="D39" s="75" t="s">
        <v>328</v>
      </c>
      <c r="E39" s="1" t="s">
        <v>1261</v>
      </c>
    </row>
    <row r="40" spans="1:21" ht="20.100000000000001" customHeight="1" x14ac:dyDescent="0.2">
      <c r="A40" s="5" t="str">
        <f>HYPERLINK("#'Calcs - Manure sent off-site'!A1", "Calcs - Manure sent off-site")</f>
        <v>Calcs - Manure sent off-site</v>
      </c>
      <c r="D40" s="75" t="s">
        <v>118</v>
      </c>
      <c r="E40" s="9" t="s">
        <v>1254</v>
      </c>
    </row>
    <row r="41" spans="1:21" ht="20.100000000000001" customHeight="1" x14ac:dyDescent="0.2">
      <c r="A41" s="5" t="str">
        <f>HYPERLINK("#'5.1.1.1-2 Inorganic fert N2O'!A1", "5.1.1.1-2 Inorganic fert N2O")</f>
        <v>5.1.1.1-2 Inorganic fert N2O</v>
      </c>
    </row>
    <row r="42" spans="1:21" ht="20.100000000000001" customHeight="1" x14ac:dyDescent="0.2">
      <c r="A42" s="5" t="str">
        <f>HYPERLINK("#'5.1.1.3-4 Inorganic fert CO2'!A1", "5.1.1.3-4 Inorganic fert CO2")</f>
        <v>5.1.1.3-4 Inorganic fert CO2</v>
      </c>
      <c r="D42" s="113" t="s">
        <v>1253</v>
      </c>
      <c r="E42" s="122" t="s">
        <v>1262</v>
      </c>
      <c r="F42" s="123"/>
      <c r="G42" s="113" t="s">
        <v>1254</v>
      </c>
      <c r="H42" s="115" t="s">
        <v>1265</v>
      </c>
      <c r="I42" s="116" t="str" cm="1">
        <f t="array" aca="1" ref="I42" ca="1">HYPERLINK(Common_InputFunctions.Utility_SourceHyperlink($D$27),$D$27)</f>
        <v>M1_Table_NI_j_k</v>
      </c>
    </row>
    <row r="43" spans="1:21" ht="20.100000000000001" customHeight="1" x14ac:dyDescent="0.2">
      <c r="A43" s="5" t="str">
        <f>HYPERLINK("#'5.2.1.1-2 Organic Fert N2O'!A1", "5.2.1.1-2 Organic Fert N2O")</f>
        <v>5.2.1.1-2 Organic Fert N2O</v>
      </c>
      <c r="D43" s="113" t="s">
        <v>1263</v>
      </c>
      <c r="E43" s="122" t="s">
        <v>1264</v>
      </c>
      <c r="F43" s="123"/>
      <c r="G43" s="113" t="s">
        <v>307</v>
      </c>
      <c r="H43" s="115" t="s">
        <v>1203</v>
      </c>
      <c r="I43" s="116" t="str" cm="1">
        <f t="array" aca="1" ref="I43" ca="1">HYPERLINK(Common_InputFunctions.Utility_SourceHyperlink($D$45),$D$45)</f>
        <v>Table_NR_j_k</v>
      </c>
    </row>
    <row r="44" spans="1:21" ht="20.100000000000001" customHeight="1" x14ac:dyDescent="0.2">
      <c r="A44" s="5" t="str">
        <f>HYPERLINK("#'5.3.1.1-2 Lime CO2'!A1", "5.3.1.1-2 Lime CO2")</f>
        <v>5.3.1.1-2 Lime CO2</v>
      </c>
    </row>
    <row r="45" spans="1:21" ht="20.100000000000001" customHeight="1" x14ac:dyDescent="0.2">
      <c r="A45" s="5" t="str">
        <f>HYPERLINK("#'5.4.1.1-4 Atmos deposition'!A1", "5.4.1.1-4 Atmos deposition")</f>
        <v>5.4.1.1-4 Atmos deposition</v>
      </c>
      <c r="D45" s="118" t="s">
        <v>386</v>
      </c>
    </row>
    <row r="46" spans="1:21" ht="20.100000000000001" customHeight="1" x14ac:dyDescent="0.2">
      <c r="A46" s="5" t="str">
        <f>HYPERLINK("#'5.5.1.1-2 Leaching and runoff'!A1", "5.5.1.1-2 Leaching and runoff")</f>
        <v>5.5.1.1-2 Leaching and runoff</v>
      </c>
      <c r="D46" s="119" t="s">
        <v>387</v>
      </c>
      <c r="E46" s="119"/>
    </row>
    <row r="47" spans="1:21" ht="20.100000000000001" customHeight="1" x14ac:dyDescent="0.2">
      <c r="D47" s="120" t="s">
        <v>297</v>
      </c>
      <c r="E47" s="120" t="s">
        <v>298</v>
      </c>
      <c r="F47" s="120" t="s">
        <v>299</v>
      </c>
      <c r="G47" s="120" t="s">
        <v>300</v>
      </c>
    </row>
    <row r="48" spans="1:21" ht="20.100000000000001" customHeight="1" x14ac:dyDescent="0.2">
      <c r="D48" s="15">
        <f>'Constants - Poultry'!E12</f>
        <v>0.35</v>
      </c>
      <c r="E48" s="15">
        <f>'Constants - Poultry'!F12</f>
        <v>0.47</v>
      </c>
      <c r="F48" s="15">
        <f>'Constants - Poultry'!G12</f>
        <v>0.32</v>
      </c>
      <c r="G48" s="15">
        <f>'Constants - Poultry'!H12</f>
        <v>0.47</v>
      </c>
      <c r="H48" s="16" t="str">
        <f>$G$43</f>
        <v>fraction</v>
      </c>
    </row>
    <row r="49" spans="1:21" ht="20.100000000000001" customHeight="1" x14ac:dyDescent="0.2">
      <c r="A49" s="80" t="s">
        <v>1</v>
      </c>
    </row>
    <row r="50" spans="1:21" ht="20.100000000000001" customHeight="1" x14ac:dyDescent="0.2">
      <c r="A50" s="5" t="str">
        <f>HYPERLINK("#'Constants - Poultry'!A1", "Constants - Poultry")</f>
        <v>Constants - Poultry</v>
      </c>
      <c r="D50" s="118" t="s">
        <v>388</v>
      </c>
      <c r="N50" s="118" t="s">
        <v>389</v>
      </c>
    </row>
    <row r="51" spans="1:21" ht="20.100000000000001" customHeight="1" x14ac:dyDescent="0.2">
      <c r="A51" s="5" t="str">
        <f>HYPERLINK("#'Constants - Common livestock'!A1", "Constants - Common Livestock")</f>
        <v>Constants - Common Livestock</v>
      </c>
      <c r="D51" s="119" t="s">
        <v>390</v>
      </c>
      <c r="E51" s="119"/>
      <c r="N51" s="119" t="s">
        <v>391</v>
      </c>
      <c r="O51" s="119"/>
    </row>
    <row r="52" spans="1:21" ht="20.100000000000001" customHeight="1" x14ac:dyDescent="0.2">
      <c r="A52" s="5" t="str">
        <f>HYPERLINK("#'Constants - Electricity'!A1", "Constants - Electricity")</f>
        <v>Constants - Electricity</v>
      </c>
      <c r="D52" s="120" t="s">
        <v>297</v>
      </c>
      <c r="E52" s="120" t="s">
        <v>298</v>
      </c>
      <c r="F52" s="120" t="s">
        <v>299</v>
      </c>
      <c r="G52" s="120" t="s">
        <v>300</v>
      </c>
      <c r="N52" s="120" t="s">
        <v>297</v>
      </c>
      <c r="O52" s="120" t="s">
        <v>298</v>
      </c>
      <c r="P52" s="120" t="s">
        <v>299</v>
      </c>
      <c r="Q52" s="120" t="s">
        <v>300</v>
      </c>
    </row>
    <row r="53" spans="1:21" ht="20.100000000000001" customHeight="1" x14ac:dyDescent="0.2">
      <c r="A53" s="5" t="str">
        <f>HYPERLINK("#'Constants - Fertiliser'!A1", "Constants - Fertiliser")</f>
        <v>Constants - Fertiliser</v>
      </c>
      <c r="D53" s="15">
        <f>(D30 * (1 - D48))</f>
        <v>1.6993600000000002E-3</v>
      </c>
      <c r="E53" s="15">
        <f>(E30 * (1 - E48))</f>
        <v>1.813872E-3</v>
      </c>
      <c r="F53" s="15">
        <f>(F30 * (1 - F48))</f>
        <v>2.1292159999999997E-3</v>
      </c>
      <c r="G53" s="15">
        <f>(G30 * (1 - G48))</f>
        <v>1.813872E-3</v>
      </c>
      <c r="H53" s="16" t="str">
        <f>$E$40</f>
        <v>kg N/bird/day</v>
      </c>
      <c r="N53" s="15">
        <f>(N30 * (1 - D48))</f>
        <v>1.6993600000000002E-3</v>
      </c>
      <c r="O53" s="15">
        <f>(O30 * (1 - E48))</f>
        <v>1.813872E-3</v>
      </c>
      <c r="P53" s="15">
        <f>(P30 * (1 - F48))</f>
        <v>2.1292159999999997E-3</v>
      </c>
      <c r="Q53" s="15">
        <f>(Q30 * (1 - G48))</f>
        <v>1.813872E-3</v>
      </c>
      <c r="R53" s="16" t="str">
        <f>$E$40</f>
        <v>kg N/bird/day</v>
      </c>
    </row>
    <row r="54" spans="1:21" ht="20.100000000000001" customHeight="1" x14ac:dyDescent="0.2">
      <c r="A54" s="5" t="str">
        <f>HYPERLINK("#'Constants - Fuel'!A1", "Constants - Fuel")</f>
        <v>Constants - Fuel</v>
      </c>
    </row>
    <row r="55" spans="1:21" ht="20.100000000000001" customHeight="1" x14ac:dyDescent="0.2">
      <c r="A55" s="5" t="str">
        <f>HYPERLINK("#'Constants - Scope 3'!A1", "Constants - Scope 3")</f>
        <v>Constants - Scope 3</v>
      </c>
    </row>
    <row r="56" spans="1:21" ht="20.100000000000001" customHeight="1" x14ac:dyDescent="0.2">
      <c r="A56" s="5" t="str">
        <f>HYPERLINK("#'Constants - Solid Waste'!A1", "Constants - Solid Waste")</f>
        <v>Constants - Solid Waste</v>
      </c>
      <c r="C56" s="83"/>
      <c r="D56" s="83"/>
      <c r="E56" s="83"/>
      <c r="F56" s="83"/>
      <c r="G56" s="83"/>
      <c r="H56" s="83"/>
      <c r="I56" s="83"/>
      <c r="J56" s="83"/>
      <c r="K56" s="83"/>
      <c r="M56" s="83"/>
      <c r="N56" s="83"/>
      <c r="O56" s="83"/>
      <c r="P56" s="83"/>
      <c r="Q56" s="83"/>
      <c r="R56" s="83"/>
      <c r="S56" s="83"/>
      <c r="T56" s="83"/>
      <c r="U56" s="83"/>
    </row>
    <row r="57" spans="1:21" ht="20.100000000000001" customHeight="1" x14ac:dyDescent="0.2">
      <c r="A57" s="5" t="str">
        <f>HYPERLINK("#'Constants - Common'!A1", "Constants - Common")</f>
        <v>Constants - Common</v>
      </c>
      <c r="D57" s="2" t="s">
        <v>1266</v>
      </c>
    </row>
    <row r="58" spans="1:21" ht="20.100000000000001" customHeight="1" x14ac:dyDescent="0.2">
      <c r="D58" s="17" t="s">
        <v>1267</v>
      </c>
    </row>
    <row r="59" spans="1:21" ht="20.100000000000001" customHeight="1" x14ac:dyDescent="0.2">
      <c r="D59" s="112"/>
      <c r="E59" s="112"/>
    </row>
    <row r="62" spans="1:21" ht="20.100000000000001" customHeight="1" x14ac:dyDescent="0.2">
      <c r="D62" s="75" t="s">
        <v>328</v>
      </c>
      <c r="E62" s="1" t="s">
        <v>1268</v>
      </c>
    </row>
    <row r="63" spans="1:21" ht="20.100000000000001" customHeight="1" x14ac:dyDescent="0.2">
      <c r="D63" s="75" t="s">
        <v>118</v>
      </c>
      <c r="E63" s="9" t="s">
        <v>482</v>
      </c>
    </row>
    <row r="65" spans="1:15" ht="20.100000000000001" customHeight="1" x14ac:dyDescent="0.2">
      <c r="D65" s="113" t="s">
        <v>1246</v>
      </c>
      <c r="E65" s="122" t="s">
        <v>1269</v>
      </c>
      <c r="F65" s="123"/>
      <c r="G65" s="113" t="s">
        <v>1272</v>
      </c>
      <c r="H65" s="114" t="s">
        <v>1202</v>
      </c>
      <c r="I65" s="116" t="str" cm="1">
        <f t="array" aca="1" ref="I65" ca="1">HYPERLINK(Common_InputFunctions.Utility_SourceHyperlink($D$69),$D$69)</f>
        <v>Table_N_j_k</v>
      </c>
    </row>
    <row r="66" spans="1:15" ht="20.100000000000001" customHeight="1" x14ac:dyDescent="0.2">
      <c r="D66" s="113" t="s">
        <v>1261</v>
      </c>
      <c r="E66" s="122" t="s">
        <v>1270</v>
      </c>
      <c r="F66" s="123"/>
      <c r="G66" s="113" t="s">
        <v>1254</v>
      </c>
      <c r="H66" s="115" t="s">
        <v>1273</v>
      </c>
      <c r="I66" s="116" t="str" cm="1">
        <f t="array" aca="1" ref="I66" ca="1">HYPERLINK(Common_InputFunctions.Utility_SourceHyperlink($D$50),$D$50)</f>
        <v>M1_Table_NE_j_k</v>
      </c>
    </row>
    <row r="67" spans="1:15" ht="20.100000000000001" customHeight="1" x14ac:dyDescent="0.2">
      <c r="D67" s="113" t="s">
        <v>1242</v>
      </c>
      <c r="E67" s="122" t="s">
        <v>1271</v>
      </c>
      <c r="F67" s="123"/>
      <c r="G67" s="113" t="s">
        <v>1248</v>
      </c>
      <c r="H67" s="114" t="s">
        <v>1202</v>
      </c>
      <c r="I67" s="116" t="str" cm="1">
        <f t="array" aca="1" ref="I67" ca="1">HYPERLINK(Common_InputFunctions.Utility_SourceHyperlink($D$74),$D$74)</f>
        <v>Table_D_j_k</v>
      </c>
    </row>
    <row r="68" spans="1:15" ht="20.100000000000001" customHeight="1" x14ac:dyDescent="0.2">
      <c r="A68" s="79" t="str">
        <f>HYPERLINK("#A1", "▲ Back to top")</f>
        <v>▲ Back to top</v>
      </c>
    </row>
    <row r="69" spans="1:15" ht="20.100000000000001" customHeight="1" x14ac:dyDescent="0.2">
      <c r="D69" s="118" t="s">
        <v>369</v>
      </c>
    </row>
    <row r="70" spans="1:15" ht="20.100000000000001" customHeight="1" x14ac:dyDescent="0.2">
      <c r="D70" s="119" t="s">
        <v>370</v>
      </c>
      <c r="E70" s="119"/>
    </row>
    <row r="71" spans="1:15" ht="20.100000000000001" customHeight="1" x14ac:dyDescent="0.2">
      <c r="D71" s="78" t="s">
        <v>297</v>
      </c>
      <c r="E71" s="78" t="s">
        <v>298</v>
      </c>
      <c r="F71" s="78" t="s">
        <v>299</v>
      </c>
      <c r="G71" s="78" t="s">
        <v>300</v>
      </c>
    </row>
    <row r="72" spans="1:15" ht="20.100000000000001" customHeight="1" x14ac:dyDescent="0.2">
      <c r="D72" s="15">
        <f>INDEX(X_Table_Poultry_Movement,3,2)</f>
        <v>100</v>
      </c>
      <c r="E72" s="15">
        <f>INDEX(X_Table_Poultry_Movement,3,3)</f>
        <v>100</v>
      </c>
      <c r="F72" s="15">
        <f>INDEX(X_Table_Poultry_Movement,3,4)</f>
        <v>100</v>
      </c>
      <c r="G72" s="15">
        <f>INDEX(X_Table_Poultry_Movement,3,5)</f>
        <v>100</v>
      </c>
      <c r="H72" s="16" t="str">
        <f>$G$65</f>
        <v>bird</v>
      </c>
    </row>
    <row r="74" spans="1:15" ht="20.100000000000001" customHeight="1" x14ac:dyDescent="0.2">
      <c r="D74" s="118" t="s">
        <v>367</v>
      </c>
    </row>
    <row r="75" spans="1:15" ht="20.100000000000001" customHeight="1" x14ac:dyDescent="0.2">
      <c r="D75" s="119" t="s">
        <v>368</v>
      </c>
      <c r="E75" s="119"/>
    </row>
    <row r="76" spans="1:15" ht="20.100000000000001" customHeight="1" x14ac:dyDescent="0.2">
      <c r="D76" s="78" t="s">
        <v>297</v>
      </c>
      <c r="E76" s="78" t="s">
        <v>298</v>
      </c>
      <c r="F76" s="78" t="s">
        <v>299</v>
      </c>
      <c r="G76" s="78" t="s">
        <v>300</v>
      </c>
    </row>
    <row r="77" spans="1:15" ht="20.100000000000001" customHeight="1" x14ac:dyDescent="0.2">
      <c r="D77" s="15">
        <f>INDEX(X_Table_Poultry_Movement,3,2)</f>
        <v>100</v>
      </c>
      <c r="E77" s="15">
        <f>INDEX(X_Table_Poultry_Movement,3,3)</f>
        <v>100</v>
      </c>
      <c r="F77" s="15">
        <f>INDEX(X_Table_Poultry_Movement,3,4)</f>
        <v>100</v>
      </c>
      <c r="G77" s="15">
        <f>INDEX(X_Table_Poultry_Movement,3,5)</f>
        <v>100</v>
      </c>
      <c r="H77" s="16" t="str">
        <f>$G$67</f>
        <v>days</v>
      </c>
    </row>
    <row r="79" spans="1:15" ht="20.100000000000001" customHeight="1" x14ac:dyDescent="0.2">
      <c r="D79" s="118" t="s">
        <v>392</v>
      </c>
      <c r="N79" s="118" t="s">
        <v>393</v>
      </c>
    </row>
    <row r="80" spans="1:15" ht="20.100000000000001" customHeight="1" x14ac:dyDescent="0.2">
      <c r="D80" s="119" t="s">
        <v>394</v>
      </c>
      <c r="E80" s="119"/>
      <c r="N80" s="119" t="s">
        <v>395</v>
      </c>
      <c r="O80" s="119"/>
    </row>
    <row r="81" spans="3:21" ht="20.100000000000001" customHeight="1" x14ac:dyDescent="0.2">
      <c r="D81" s="120" t="s">
        <v>297</v>
      </c>
      <c r="E81" s="120" t="s">
        <v>298</v>
      </c>
      <c r="F81" s="120" t="s">
        <v>299</v>
      </c>
      <c r="G81" s="120" t="s">
        <v>300</v>
      </c>
      <c r="N81" s="120" t="s">
        <v>297</v>
      </c>
      <c r="O81" s="120" t="s">
        <v>298</v>
      </c>
      <c r="P81" s="120" t="s">
        <v>299</v>
      </c>
      <c r="Q81" s="120" t="s">
        <v>300</v>
      </c>
    </row>
    <row r="82" spans="3:21" ht="20.100000000000001" customHeight="1" x14ac:dyDescent="0.2">
      <c r="D82" s="15">
        <f>(D72 * D53 * D77)</f>
        <v>16.993600000000004</v>
      </c>
      <c r="E82" s="15">
        <f>(E72 * E53 * E77)</f>
        <v>18.138719999999999</v>
      </c>
      <c r="F82" s="15">
        <f>(F72 * F53 * F77)</f>
        <v>21.292159999999999</v>
      </c>
      <c r="G82" s="15">
        <f>(G72 * G53 * G77)</f>
        <v>18.138719999999999</v>
      </c>
      <c r="H82" s="16" t="str">
        <f>$E$63</f>
        <v>kg N</v>
      </c>
      <c r="N82" s="15">
        <f>(D72 * N53 * D77)</f>
        <v>16.993600000000004</v>
      </c>
      <c r="O82" s="15">
        <f>(E72 * O53 * E77)</f>
        <v>18.138719999999999</v>
      </c>
      <c r="P82" s="15">
        <f>(F72 * P53 * F77)</f>
        <v>21.292159999999999</v>
      </c>
      <c r="Q82" s="15">
        <f>(G72 * Q53 * G77)</f>
        <v>18.138719999999999</v>
      </c>
      <c r="R82" s="16" t="str">
        <f>$E$63</f>
        <v>kg N</v>
      </c>
    </row>
    <row r="85" spans="3:21" ht="20.100000000000001" customHeight="1" x14ac:dyDescent="0.2">
      <c r="C85" s="83"/>
      <c r="D85" s="83"/>
      <c r="E85" s="83"/>
      <c r="F85" s="83"/>
      <c r="G85" s="83"/>
      <c r="H85" s="83"/>
      <c r="I85" s="83"/>
      <c r="J85" s="83"/>
      <c r="K85" s="83"/>
      <c r="M85" s="83"/>
      <c r="N85" s="83"/>
      <c r="O85" s="83"/>
      <c r="P85" s="83"/>
      <c r="Q85" s="83"/>
      <c r="R85" s="83"/>
      <c r="S85" s="83"/>
      <c r="T85" s="83"/>
      <c r="U85" s="83"/>
    </row>
    <row r="86" spans="3:21" ht="20.100000000000001" customHeight="1" x14ac:dyDescent="0.2">
      <c r="D86" s="2" t="s">
        <v>1274</v>
      </c>
    </row>
    <row r="87" spans="3:21" ht="20.100000000000001" customHeight="1" x14ac:dyDescent="0.2">
      <c r="D87" s="17" t="s">
        <v>1275</v>
      </c>
    </row>
    <row r="88" spans="3:21" ht="20.100000000000001" customHeight="1" x14ac:dyDescent="0.2">
      <c r="D88" s="112"/>
      <c r="E88" s="112"/>
    </row>
    <row r="91" spans="3:21" ht="20.100000000000001" customHeight="1" x14ac:dyDescent="0.2">
      <c r="D91" s="75" t="s">
        <v>328</v>
      </c>
      <c r="E91" s="1" t="s">
        <v>1276</v>
      </c>
    </row>
    <row r="92" spans="3:21" ht="20.100000000000001" customHeight="1" x14ac:dyDescent="0.2">
      <c r="D92" s="75" t="s">
        <v>118</v>
      </c>
      <c r="E92" s="9" t="s">
        <v>482</v>
      </c>
    </row>
    <row r="94" spans="3:21" ht="20.100000000000001" customHeight="1" x14ac:dyDescent="0.2">
      <c r="D94" s="113" t="s">
        <v>1268</v>
      </c>
      <c r="E94" s="113" t="s">
        <v>1277</v>
      </c>
      <c r="F94" s="113"/>
      <c r="G94" s="113" t="s">
        <v>482</v>
      </c>
      <c r="H94" s="115" t="s">
        <v>1278</v>
      </c>
      <c r="I94" s="116" t="str" cm="1">
        <f t="array" aca="1" ref="I94" ca="1">HYPERLINK(Common_InputFunctions.Utility_SourceHyperlink($D$79),$D$79)</f>
        <v>M1_Table_AE_j_k</v>
      </c>
    </row>
    <row r="95" spans="3:21" ht="20.100000000000001" customHeight="1" x14ac:dyDescent="0.2">
      <c r="D95" s="113" t="s">
        <v>1211</v>
      </c>
      <c r="E95" s="113" t="s">
        <v>1212</v>
      </c>
      <c r="F95" s="113"/>
      <c r="G95" s="113" t="s">
        <v>307</v>
      </c>
      <c r="H95" s="114" t="s">
        <v>1202</v>
      </c>
      <c r="I95" s="116" t="str" cm="1">
        <f t="array" aca="1" ref="I95" ca="1">HYPERLINK(Common_InputFunctions.Utility_SourceHyperlink($D$97),$D$97)</f>
        <v>Table_MMS_j_m_T-1</v>
      </c>
    </row>
    <row r="97" spans="1:19" ht="20.100000000000001" customHeight="1" x14ac:dyDescent="0.2">
      <c r="D97" s="118" t="s">
        <v>343</v>
      </c>
    </row>
    <row r="98" spans="1:19" ht="20.100000000000001" customHeight="1" x14ac:dyDescent="0.2">
      <c r="A98" s="79" t="str">
        <f>HYPERLINK("#A1", "▲ Back to top")</f>
        <v>▲ Back to top</v>
      </c>
      <c r="D98" s="119" t="s">
        <v>344</v>
      </c>
    </row>
    <row r="99" spans="1:19" ht="20.100000000000001" customHeight="1" x14ac:dyDescent="0.2">
      <c r="D99" s="78" t="s">
        <v>314</v>
      </c>
      <c r="E99" s="78" t="s">
        <v>297</v>
      </c>
      <c r="F99" s="78" t="s">
        <v>298</v>
      </c>
      <c r="G99" s="78" t="s">
        <v>299</v>
      </c>
      <c r="H99" s="78" t="s">
        <v>300</v>
      </c>
    </row>
    <row r="100" spans="1:19" ht="20.100000000000001" customHeight="1" x14ac:dyDescent="0.2">
      <c r="D100" s="15" t="str">
        <f>INDEX(X_Table_Poultry_Stage1MMS,2,1)</f>
        <v>Poultry manure with bedding</v>
      </c>
      <c r="E100" s="15">
        <f>INDEX(X_Table_Poultry_Stage1MMS,2,2)</f>
        <v>0.3</v>
      </c>
      <c r="F100" s="15">
        <f>INDEX(X_Table_Poultry_Stage1MMS,2,3)</f>
        <v>0.3</v>
      </c>
      <c r="G100" s="15">
        <f>INDEX(X_Table_Poultry_Stage1MMS,2,4)</f>
        <v>0.3</v>
      </c>
      <c r="H100" s="15">
        <f>INDEX(X_Table_Poultry_Stage1MMS,2,5)</f>
        <v>0.3</v>
      </c>
      <c r="I100" s="16" t="str">
        <f>$G$95</f>
        <v>fraction</v>
      </c>
    </row>
    <row r="101" spans="1:19" ht="20.100000000000001" customHeight="1" x14ac:dyDescent="0.2">
      <c r="D101" s="15" t="str">
        <f>INDEX(X_Table_Poultry_Stage1MMS,3,1)</f>
        <v>Belt manure removal</v>
      </c>
      <c r="E101" s="15">
        <f>INDEX(X_Table_Poultry_Stage1MMS,3,2)</f>
        <v>0.3</v>
      </c>
      <c r="F101" s="15">
        <f>INDEX(X_Table_Poultry_Stage1MMS,3,3)</f>
        <v>0.3</v>
      </c>
      <c r="G101" s="15">
        <f>INDEX(X_Table_Poultry_Stage1MMS,3,4)</f>
        <v>0.3</v>
      </c>
      <c r="H101" s="15">
        <f>INDEX(X_Table_Poultry_Stage1MMS,3,5)</f>
        <v>0.3</v>
      </c>
      <c r="I101" s="16"/>
    </row>
    <row r="102" spans="1:19" ht="20.100000000000001" customHeight="1" x14ac:dyDescent="0.2">
      <c r="D102" s="15" t="str">
        <f>INDEX(X_Table_Poultry_Stage1MMS,4,1)</f>
        <v>Manure stored in house</v>
      </c>
      <c r="E102" s="15">
        <f>INDEX(X_Table_Poultry_Stage1MMS,4,2)</f>
        <v>0.3</v>
      </c>
      <c r="F102" s="15">
        <f>INDEX(X_Table_Poultry_Stage1MMS,4,3)</f>
        <v>0.3</v>
      </c>
      <c r="G102" s="15">
        <f>INDEX(X_Table_Poultry_Stage1MMS,4,4)</f>
        <v>0.3</v>
      </c>
      <c r="H102" s="15">
        <f>INDEX(X_Table_Poultry_Stage1MMS,4,5)</f>
        <v>0.3</v>
      </c>
      <c r="I102" s="16"/>
    </row>
    <row r="103" spans="1:19" ht="20.100000000000001" customHeight="1" x14ac:dyDescent="0.2">
      <c r="D103" s="15" t="str">
        <f>INDEX(X_Table_Poultry_Stage1MMS,5,1)</f>
        <v>Pasture range and paddock</v>
      </c>
      <c r="E103" s="15">
        <f>INDEX(X_Table_Poultry_Stage1MMS,5,2)</f>
        <v>0.1</v>
      </c>
      <c r="F103" s="15">
        <f>INDEX(X_Table_Poultry_Stage1MMS,5,3)</f>
        <v>0.1</v>
      </c>
      <c r="G103" s="15">
        <f>INDEX(X_Table_Poultry_Stage1MMS,5,4)</f>
        <v>0.1</v>
      </c>
      <c r="H103" s="15">
        <f>INDEX(X_Table_Poultry_Stage1MMS,5,5)</f>
        <v>0.1</v>
      </c>
      <c r="I103" s="16"/>
    </row>
    <row r="105" spans="1:19" ht="20.100000000000001" customHeight="1" x14ac:dyDescent="0.2">
      <c r="D105" s="118" t="s">
        <v>396</v>
      </c>
      <c r="N105" s="118" t="s">
        <v>397</v>
      </c>
    </row>
    <row r="106" spans="1:19" ht="20.100000000000001" customHeight="1" x14ac:dyDescent="0.2">
      <c r="D106" s="119" t="s">
        <v>398</v>
      </c>
      <c r="N106" s="119" t="s">
        <v>399</v>
      </c>
    </row>
    <row r="107" spans="1:19" ht="20.100000000000001" customHeight="1" x14ac:dyDescent="0.2">
      <c r="D107" s="120" t="s">
        <v>314</v>
      </c>
      <c r="E107" s="120" t="s">
        <v>297</v>
      </c>
      <c r="F107" s="120" t="s">
        <v>298</v>
      </c>
      <c r="G107" s="120" t="s">
        <v>299</v>
      </c>
      <c r="H107" s="120" t="s">
        <v>300</v>
      </c>
      <c r="N107" s="120" t="s">
        <v>314</v>
      </c>
      <c r="O107" s="120" t="s">
        <v>297</v>
      </c>
      <c r="P107" s="120" t="s">
        <v>298</v>
      </c>
      <c r="Q107" s="120" t="s">
        <v>299</v>
      </c>
      <c r="R107" s="120" t="s">
        <v>300</v>
      </c>
    </row>
    <row r="108" spans="1:19" ht="20.100000000000001" customHeight="1" x14ac:dyDescent="0.2">
      <c r="D108" s="15" t="str">
        <f>INDEX(X_Table_Poultry_Stage1MMS,2,1)</f>
        <v>Poultry manure with bedding</v>
      </c>
      <c r="E108" s="15">
        <f>(D$82 * E100)</f>
        <v>5.0980800000000013</v>
      </c>
      <c r="F108" s="15">
        <f>(E$82 * F100)</f>
        <v>5.4416159999999998</v>
      </c>
      <c r="G108" s="15">
        <f>(F$82 * G100)</f>
        <v>6.3876479999999995</v>
      </c>
      <c r="H108" s="15">
        <f>(G$82 * H100)</f>
        <v>5.4416159999999998</v>
      </c>
      <c r="I108" s="16" t="str">
        <f>$E$92</f>
        <v>kg N</v>
      </c>
      <c r="N108" s="15" t="str">
        <f>INDEX(X_Table_Poultry_Stage1MMS,2,1)</f>
        <v>Poultry manure with bedding</v>
      </c>
      <c r="O108" s="15">
        <f>(N$82 * E100)</f>
        <v>5.0980800000000013</v>
      </c>
      <c r="P108" s="15">
        <f>(O$82 * F100)</f>
        <v>5.4416159999999998</v>
      </c>
      <c r="Q108" s="15">
        <f>(P$82 * G100)</f>
        <v>6.3876479999999995</v>
      </c>
      <c r="R108" s="15">
        <f>(Q$82 * H100)</f>
        <v>5.4416159999999998</v>
      </c>
      <c r="S108" s="16" t="str">
        <f>$E$92</f>
        <v>kg N</v>
      </c>
    </row>
    <row r="109" spans="1:19" ht="20.100000000000001" customHeight="1" x14ac:dyDescent="0.2">
      <c r="D109" s="15" t="str">
        <f>INDEX(X_Table_Poultry_Stage1MMS,3,1)</f>
        <v>Belt manure removal</v>
      </c>
      <c r="E109" s="15">
        <f>(D$82 * E101)</f>
        <v>5.0980800000000013</v>
      </c>
      <c r="F109" s="15">
        <f>(E$82 * F101)</f>
        <v>5.4416159999999998</v>
      </c>
      <c r="G109" s="15">
        <f>(F$82 * G101)</f>
        <v>6.3876479999999995</v>
      </c>
      <c r="H109" s="15">
        <f>(G$82 * H101)</f>
        <v>5.4416159999999998</v>
      </c>
      <c r="I109" s="16"/>
      <c r="N109" s="15" t="str">
        <f>INDEX(X_Table_Poultry_Stage1MMS,3,1)</f>
        <v>Belt manure removal</v>
      </c>
      <c r="O109" s="15">
        <f>(N$82 * E101)</f>
        <v>5.0980800000000013</v>
      </c>
      <c r="P109" s="15">
        <f>(O$82 * F101)</f>
        <v>5.4416159999999998</v>
      </c>
      <c r="Q109" s="15">
        <f>(P$82 * G101)</f>
        <v>6.3876479999999995</v>
      </c>
      <c r="R109" s="15">
        <f>(Q$82 * H101)</f>
        <v>5.4416159999999998</v>
      </c>
      <c r="S109" s="16"/>
    </row>
    <row r="110" spans="1:19" ht="20.100000000000001" customHeight="1" x14ac:dyDescent="0.2">
      <c r="D110" s="15" t="str">
        <f>INDEX(X_Table_Poultry_Stage1MMS,4,1)</f>
        <v>Manure stored in house</v>
      </c>
      <c r="E110" s="15">
        <f>(D$82 * E102)</f>
        <v>5.0980800000000013</v>
      </c>
      <c r="F110" s="15">
        <f>(E$82 * F102)</f>
        <v>5.4416159999999998</v>
      </c>
      <c r="G110" s="15">
        <f>(F$82 * G102)</f>
        <v>6.3876479999999995</v>
      </c>
      <c r="H110" s="15">
        <f>(G$82 * H102)</f>
        <v>5.4416159999999998</v>
      </c>
      <c r="I110" s="16"/>
      <c r="N110" s="15" t="str">
        <f>INDEX(X_Table_Poultry_Stage1MMS,4,1)</f>
        <v>Manure stored in house</v>
      </c>
      <c r="O110" s="15">
        <f>(N$82 * E102)</f>
        <v>5.0980800000000013</v>
      </c>
      <c r="P110" s="15">
        <f>(O$82 * F102)</f>
        <v>5.4416159999999998</v>
      </c>
      <c r="Q110" s="15">
        <f>(P$82 * G102)</f>
        <v>6.3876479999999995</v>
      </c>
      <c r="R110" s="15">
        <f>(Q$82 * H102)</f>
        <v>5.4416159999999998</v>
      </c>
      <c r="S110" s="16"/>
    </row>
    <row r="111" spans="1:19" ht="20.100000000000001" customHeight="1" x14ac:dyDescent="0.2">
      <c r="D111" s="15" t="str">
        <f>INDEX(X_Table_Poultry_Stage1MMS,5,1)</f>
        <v>Pasture range and paddock</v>
      </c>
      <c r="E111" s="15">
        <f>(D$82 * E103)</f>
        <v>1.6993600000000004</v>
      </c>
      <c r="F111" s="15">
        <f>(E$82 * F103)</f>
        <v>1.8138719999999999</v>
      </c>
      <c r="G111" s="15">
        <f>(F$82 * G103)</f>
        <v>2.129216</v>
      </c>
      <c r="H111" s="15">
        <f>(G$82 * H103)</f>
        <v>1.8138719999999999</v>
      </c>
      <c r="I111" s="16"/>
      <c r="N111" s="15" t="str">
        <f>INDEX(X_Table_Poultry_Stage1MMS,5,1)</f>
        <v>Pasture range and paddock</v>
      </c>
      <c r="O111" s="15">
        <f>(N$82 * E103)</f>
        <v>1.6993600000000004</v>
      </c>
      <c r="P111" s="15">
        <f>(O$82 * F103)</f>
        <v>1.8138719999999999</v>
      </c>
      <c r="Q111" s="15">
        <f>(P$82 * G103)</f>
        <v>2.129216</v>
      </c>
      <c r="R111" s="15">
        <f>(Q$82 * H103)</f>
        <v>1.8138719999999999</v>
      </c>
      <c r="S111" s="16"/>
    </row>
    <row r="114" spans="1:21" ht="20.100000000000001" customHeight="1" x14ac:dyDescent="0.2">
      <c r="C114" s="83"/>
      <c r="D114" s="83"/>
      <c r="E114" s="83"/>
      <c r="F114" s="83"/>
      <c r="G114" s="83"/>
      <c r="H114" s="83"/>
      <c r="I114" s="83"/>
      <c r="J114" s="83"/>
      <c r="K114" s="83"/>
      <c r="M114" s="83"/>
      <c r="N114" s="83"/>
      <c r="O114" s="83"/>
      <c r="P114" s="83"/>
      <c r="Q114" s="83"/>
      <c r="R114" s="83"/>
      <c r="S114" s="83"/>
      <c r="T114" s="83"/>
      <c r="U114" s="83"/>
    </row>
    <row r="115" spans="1:21" ht="20.100000000000001" customHeight="1" x14ac:dyDescent="0.2">
      <c r="D115" s="2" t="s">
        <v>1279</v>
      </c>
    </row>
    <row r="116" spans="1:21" ht="20.100000000000001" customHeight="1" x14ac:dyDescent="0.2">
      <c r="D116" s="17" t="s">
        <v>1280</v>
      </c>
    </row>
    <row r="117" spans="1:21" ht="20.100000000000001" customHeight="1" x14ac:dyDescent="0.2">
      <c r="D117" s="112"/>
      <c r="E117" s="112"/>
    </row>
    <row r="120" spans="1:21" ht="20.100000000000001" customHeight="1" x14ac:dyDescent="0.2">
      <c r="D120" s="75" t="s">
        <v>328</v>
      </c>
      <c r="E120" s="1" t="s">
        <v>1281</v>
      </c>
    </row>
    <row r="121" spans="1:21" ht="20.100000000000001" customHeight="1" x14ac:dyDescent="0.2">
      <c r="D121" s="75" t="s">
        <v>118</v>
      </c>
      <c r="E121" s="9" t="s">
        <v>482</v>
      </c>
    </row>
    <row r="123" spans="1:21" ht="20.100000000000001" customHeight="1" x14ac:dyDescent="0.2">
      <c r="D123" s="113" t="s">
        <v>1276</v>
      </c>
      <c r="E123" s="122" t="s">
        <v>1282</v>
      </c>
      <c r="F123" s="123"/>
      <c r="G123" s="113" t="s">
        <v>482</v>
      </c>
      <c r="H123" s="115" t="s">
        <v>1287</v>
      </c>
      <c r="I123" s="116" t="str" cm="1">
        <f t="array" aca="1" ref="I123" ca="1">HYPERLINK(Common_InputFunctions.Utility_SourceHyperlink($D$105),$D$105)</f>
        <v>M1_Table_MN_j_k_m_T-1</v>
      </c>
    </row>
    <row r="124" spans="1:21" ht="20.100000000000001" customHeight="1" x14ac:dyDescent="0.2">
      <c r="D124" s="113" t="s">
        <v>1283</v>
      </c>
      <c r="E124" s="122" t="s">
        <v>1284</v>
      </c>
      <c r="F124" s="123"/>
      <c r="G124" s="113" t="s">
        <v>307</v>
      </c>
      <c r="H124" s="115" t="s">
        <v>1203</v>
      </c>
      <c r="I124" s="116" t="str" cm="1">
        <f t="array" aca="1" ref="I124" ca="1">HYPERLINK(Common_InputFunctions.Utility_SourceHyperlink($D$127),$D$127)</f>
        <v>Table_FracGASM_m_T-1</v>
      </c>
    </row>
    <row r="125" spans="1:21" ht="20.100000000000001" customHeight="1" x14ac:dyDescent="0.2">
      <c r="D125" s="113" t="s">
        <v>1285</v>
      </c>
      <c r="E125" s="122" t="s">
        <v>1286</v>
      </c>
      <c r="F125" s="123"/>
      <c r="G125" s="113" t="s">
        <v>1288</v>
      </c>
      <c r="H125" s="115" t="s">
        <v>1203</v>
      </c>
      <c r="I125" s="116" t="str" cm="1">
        <f t="array" aca="1" ref="I125" ca="1">HYPERLINK(Common_InputFunctions.Utility_SourceHyperlink($D$135),$D$135)</f>
        <v>Table_EF_m</v>
      </c>
    </row>
    <row r="127" spans="1:21" ht="20.100000000000001" customHeight="1" x14ac:dyDescent="0.2">
      <c r="D127" s="118" t="s">
        <v>400</v>
      </c>
    </row>
    <row r="128" spans="1:21" ht="20.100000000000001" customHeight="1" x14ac:dyDescent="0.2">
      <c r="A128" s="79" t="str">
        <f>HYPERLINK("#A1", "▲ Back to top")</f>
        <v>▲ Back to top</v>
      </c>
      <c r="D128" s="119" t="s">
        <v>401</v>
      </c>
    </row>
    <row r="129" spans="4:6" ht="20.100000000000001" customHeight="1" x14ac:dyDescent="0.2">
      <c r="D129" s="120" t="s">
        <v>314</v>
      </c>
      <c r="E129" s="120" t="s">
        <v>402</v>
      </c>
    </row>
    <row r="130" spans="4:6" ht="20.100000000000001" customHeight="1" x14ac:dyDescent="0.2">
      <c r="D130" s="15" t="str">
        <f>INDEX(X_Table_Poultry_Stage1MMS,2,1)</f>
        <v>Poultry manure with bedding</v>
      </c>
      <c r="E130" s="15" cm="1">
        <f t="array" ref="E130">Common_InputFunctions.Utility_LookupValueInTableNumber(D130, Table_SourceData_Poultry_FracGASM[NIR reference],Table_SourceData_Poultry_FracGASM[FracGASMmT])</f>
        <v>0.3</v>
      </c>
      <c r="F130" s="16" t="str">
        <f>G124</f>
        <v>fraction</v>
      </c>
    </row>
    <row r="131" spans="4:6" ht="20.100000000000001" customHeight="1" x14ac:dyDescent="0.2">
      <c r="D131" s="15" t="str">
        <f>INDEX(X_Table_Poultry_Stage1MMS,3,1)</f>
        <v>Belt manure removal</v>
      </c>
      <c r="E131" s="15" cm="1">
        <f t="array" ref="E131">Common_InputFunctions.Utility_LookupValueInTableNumber(D131, Table_SourceData_Poultry_FracGASM[NIR reference],Table_SourceData_Poultry_FracGASM[FracGASMmT])</f>
        <v>0.05</v>
      </c>
    </row>
    <row r="132" spans="4:6" ht="20.100000000000001" customHeight="1" x14ac:dyDescent="0.2">
      <c r="D132" s="15" t="str">
        <f>INDEX(X_Table_Poultry_Stage1MMS,4,1)</f>
        <v>Manure stored in house</v>
      </c>
      <c r="E132" s="15" cm="1">
        <f t="array" ref="E132">Common_InputFunctions.Utility_LookupValueInTableNumber(D132, Table_SourceData_Poultry_FracGASM[NIR reference],Table_SourceData_Poultry_FracGASM[FracGASMmT])</f>
        <v>0.4</v>
      </c>
    </row>
    <row r="133" spans="4:6" ht="20.100000000000001" customHeight="1" x14ac:dyDescent="0.2">
      <c r="D133" s="15" t="str">
        <f>INDEX(X_Table_Poultry_Stage1MMS,5,1)</f>
        <v>Pasture range and paddock</v>
      </c>
      <c r="E133" s="15" cm="1">
        <f t="array" ref="E133">Common_InputFunctions.Utility_LookupValueInTableNumber(D133, Table_SourceData_Poultry_FracGASM[NIR reference],Table_SourceData_Poultry_FracGASM[FracGASMmT])</f>
        <v>0</v>
      </c>
    </row>
    <row r="135" spans="4:6" ht="20.100000000000001" customHeight="1" x14ac:dyDescent="0.2">
      <c r="D135" s="118" t="s">
        <v>403</v>
      </c>
    </row>
    <row r="136" spans="4:6" ht="20.100000000000001" customHeight="1" x14ac:dyDescent="0.2">
      <c r="D136" s="119" t="s">
        <v>404</v>
      </c>
    </row>
    <row r="137" spans="4:6" ht="20.100000000000001" customHeight="1" x14ac:dyDescent="0.2">
      <c r="D137" s="120" t="s">
        <v>349</v>
      </c>
      <c r="E137" s="120" t="s">
        <v>405</v>
      </c>
    </row>
    <row r="138" spans="4:6" ht="20.100000000000001" customHeight="1" x14ac:dyDescent="0.2">
      <c r="D138" s="15" t="str">
        <f>'Constants - Poultry'!$D$29</f>
        <v>Poultry manure with bedding</v>
      </c>
      <c r="E138" s="15" cm="1">
        <f t="array" ref="E138">Common_InputFunctions.Utility_LookupValueInTableNumber(D138, Table_SourceData_Poultry_EFmT[NIR reference],Table_SourceData_Poultry_EFmT[EFmT])</f>
        <v>1E-3</v>
      </c>
      <c r="F138" s="16" t="str">
        <f>G125</f>
        <v>kg N2O-N/kg N</v>
      </c>
    </row>
    <row r="139" spans="4:6" ht="20.100000000000001" customHeight="1" x14ac:dyDescent="0.2">
      <c r="D139" s="15" t="str">
        <f>'Constants - Poultry'!$D$30</f>
        <v>Belt manure removal</v>
      </c>
      <c r="E139" s="15" cm="1">
        <f t="array" ref="E139">Common_InputFunctions.Utility_LookupValueInTableNumber(D139, Table_SourceData_Poultry_EFmT[NIR reference],Table_SourceData_Poultry_EFmT[EFmT])</f>
        <v>1E-3</v>
      </c>
    </row>
    <row r="140" spans="4:6" ht="20.100000000000001" customHeight="1" x14ac:dyDescent="0.2">
      <c r="D140" s="15" t="str">
        <f>'Constants - Poultry'!$D$31</f>
        <v>Manure stored in house</v>
      </c>
      <c r="E140" s="15" cm="1">
        <f t="array" ref="E140">Common_InputFunctions.Utility_LookupValueInTableNumber(D140, Table_SourceData_Poultry_EFmT[NIR reference],Table_SourceData_Poultry_EFmT[EFmT])</f>
        <v>1E-3</v>
      </c>
    </row>
    <row r="141" spans="4:6" ht="20.100000000000001" customHeight="1" x14ac:dyDescent="0.2">
      <c r="D141" s="15" t="str">
        <f>'Constants - Poultry'!$D$32</f>
        <v>Pasture range and paddock</v>
      </c>
      <c r="E141" s="15" cm="1">
        <f t="array" ref="E141">Common_InputFunctions.Utility_LookupValueInTableNumber(D141, Table_SourceData_Poultry_EFmT[NIR reference],Table_SourceData_Poultry_EFmT[EFmT])</f>
        <v>0.02</v>
      </c>
    </row>
    <row r="142" spans="4:6" ht="20.100000000000001" customHeight="1" x14ac:dyDescent="0.2">
      <c r="D142" s="15" t="str">
        <f>'Constants - Poultry'!$D$33</f>
        <v>Solid storage</v>
      </c>
      <c r="E142" s="15" cm="1">
        <f t="array" ref="E142">Common_InputFunctions.Utility_LookupValueInTableNumber(D142, Table_SourceData_Poultry_EFmT[NIR reference],Table_SourceData_Poultry_EFmT[EFmT])</f>
        <v>5.0000000000000001E-3</v>
      </c>
    </row>
    <row r="143" spans="4:6" ht="20.100000000000001" customHeight="1" x14ac:dyDescent="0.2">
      <c r="D143" s="15" t="str">
        <f>'Constants - Poultry'!$D$34</f>
        <v>Composting (passive windrow)</v>
      </c>
      <c r="E143" s="15" cm="1">
        <f t="array" ref="E143">Common_InputFunctions.Utility_LookupValueInTableNumber(D143, Table_SourceData_Poultry_EFmT[NIR reference],Table_SourceData_Poultry_EFmT[EFmT])</f>
        <v>0.01</v>
      </c>
    </row>
    <row r="144" spans="4:6" ht="20.100000000000001" customHeight="1" x14ac:dyDescent="0.2">
      <c r="D144" s="15" t="str">
        <f>'Constants - Poultry'!$D$35</f>
        <v>Digester / covered lagoons</v>
      </c>
      <c r="E144" s="15" cm="1">
        <f t="array" ref="E144">Common_InputFunctions.Utility_LookupValueInTableNumber(D144, Table_SourceData_Poultry_EFmT[NIR reference],Table_SourceData_Poultry_EFmT[EFmT])</f>
        <v>0</v>
      </c>
    </row>
    <row r="145" spans="1:21" ht="20.100000000000001" customHeight="1" x14ac:dyDescent="0.2">
      <c r="D145" s="15" t="str">
        <f>'Constants - Poultry'!$D$36</f>
        <v>Direct processing</v>
      </c>
      <c r="E145" s="15" cm="1">
        <f t="array" ref="E145">Common_InputFunctions.Utility_LookupValueInTableNumber(D145, Table_SourceData_Poultry_EFmT[NIR reference],Table_SourceData_Poultry_EFmT[EFmT])</f>
        <v>0</v>
      </c>
    </row>
    <row r="147" spans="1:21" ht="20.100000000000001" customHeight="1" x14ac:dyDescent="0.2">
      <c r="D147" s="118" t="s">
        <v>406</v>
      </c>
      <c r="N147" s="118" t="s">
        <v>407</v>
      </c>
    </row>
    <row r="148" spans="1:21" ht="20.100000000000001" customHeight="1" x14ac:dyDescent="0.2">
      <c r="D148" s="119" t="s">
        <v>408</v>
      </c>
      <c r="N148" s="119" t="s">
        <v>409</v>
      </c>
    </row>
    <row r="149" spans="1:21" ht="20.100000000000001" customHeight="1" x14ac:dyDescent="0.2">
      <c r="D149" s="120" t="s">
        <v>314</v>
      </c>
      <c r="E149" s="120" t="s">
        <v>297</v>
      </c>
      <c r="F149" s="120" t="s">
        <v>298</v>
      </c>
      <c r="G149" s="120" t="s">
        <v>299</v>
      </c>
      <c r="H149" s="120" t="s">
        <v>300</v>
      </c>
      <c r="N149" s="120" t="s">
        <v>314</v>
      </c>
      <c r="O149" s="120" t="s">
        <v>297</v>
      </c>
      <c r="P149" s="120" t="s">
        <v>298</v>
      </c>
      <c r="Q149" s="120" t="s">
        <v>299</v>
      </c>
      <c r="R149" s="120" t="s">
        <v>300</v>
      </c>
    </row>
    <row r="150" spans="1:21" ht="20.100000000000001" customHeight="1" x14ac:dyDescent="0.2">
      <c r="D150" s="15" t="str">
        <f>INDEX(X_Table_Poultry_Stage1MMS,2,1)</f>
        <v>Poultry manure with bedding</v>
      </c>
      <c r="E150" s="15">
        <f>(E108 * (1 - (_xlfn.XLOOKUP($D150, $D$130:$D$133,$E$130:$E$133)) - (_xlfn.XLOOKUP($D150, $D$138:$D$145,$E$138:$E$145))))</f>
        <v>3.5635579200000005</v>
      </c>
      <c r="F150" s="15">
        <f>(F108 * (1 - (_xlfn.XLOOKUP($D150, $D$130:$D$133,$E$130:$E$133)) - (_xlfn.XLOOKUP($D150, $D$138:$D$145,$E$138:$E$145))))</f>
        <v>3.8036895839999998</v>
      </c>
      <c r="G150" s="15">
        <f>(G108 * (1 - (_xlfn.XLOOKUP($D150, $D$130:$D$133,$E$130:$E$133)) - (_xlfn.XLOOKUP($D150, $D$138:$D$145,$E$138:$E$145))))</f>
        <v>4.4649659519999991</v>
      </c>
      <c r="H150" s="15">
        <f>(H108 * (1 - (_xlfn.XLOOKUP($D150, $D$130:$D$133,$E$130:$E$133)) - (_xlfn.XLOOKUP($D150, $D$138:$D$145,$E$138:$E$145))))</f>
        <v>3.8036895839999998</v>
      </c>
      <c r="I150" s="16" t="str">
        <f>$E$121</f>
        <v>kg N</v>
      </c>
      <c r="N150" s="15" t="str">
        <f>INDEX(X_Table_Poultry_Stage1MMS,2,1)</f>
        <v>Poultry manure with bedding</v>
      </c>
      <c r="O150" s="15">
        <f>(O108 * (1 - (_xlfn.XLOOKUP($N150, $D$130:$D$133,$E$130:$E$133)) - (_xlfn.XLOOKUP($N150, $D$138:$D$145,$E$138:$E$145))))</f>
        <v>3.5635579200000005</v>
      </c>
      <c r="P150" s="15">
        <f>(P108 * (1 - (_xlfn.XLOOKUP($N150, $D$130:$D$133,$E$130:$E$133)) - (_xlfn.XLOOKUP($N150, $D$138:$D$145,$E$138:$E$145))))</f>
        <v>3.8036895839999998</v>
      </c>
      <c r="Q150" s="15">
        <f>(Q108 * (1 - (_xlfn.XLOOKUP($N150, $D$130:$D$133,$E$130:$E$133)) - (_xlfn.XLOOKUP($N150, $D$138:$D$145,$E$138:$E$145))))</f>
        <v>4.4649659519999991</v>
      </c>
      <c r="R150" s="15">
        <f>(R108 * (1 - (_xlfn.XLOOKUP($N150, $D$130:$D$133,$E$130:$E$133)) - (_xlfn.XLOOKUP($N150, $D$138:$D$145,$E$138:$E$145))))</f>
        <v>3.8036895839999998</v>
      </c>
      <c r="S150" s="16" t="str">
        <f t="shared" ref="S150" si="0">$E$121</f>
        <v>kg N</v>
      </c>
    </row>
    <row r="151" spans="1:21" ht="20.100000000000001" customHeight="1" x14ac:dyDescent="0.2">
      <c r="D151" s="15" t="str">
        <f>INDEX(X_Table_Poultry_Stage1MMS,3,1)</f>
        <v>Belt manure removal</v>
      </c>
      <c r="E151" s="15">
        <f>(E109 * (1 - (_xlfn.XLOOKUP($D151, $D$130:$D$133,$E$130:$E$133)) - (_xlfn.XLOOKUP($D151, $D$138:$D$145,$E$138:$E$145))))</f>
        <v>4.8380779200000008</v>
      </c>
      <c r="F151" s="15">
        <f>(F109 * (1 - (_xlfn.XLOOKUP($D151, $D$130:$D$133,$E$130:$E$133)) - (_xlfn.XLOOKUP($D151, $D$138:$D$145,$E$138:$E$145))))</f>
        <v>5.1640935839999997</v>
      </c>
      <c r="G151" s="15">
        <f>(G109 * (1 - (_xlfn.XLOOKUP($D151, $D$130:$D$133,$E$130:$E$133)) - (_xlfn.XLOOKUP($D151, $D$138:$D$145,$E$138:$E$145))))</f>
        <v>6.0618779519999997</v>
      </c>
      <c r="H151" s="15">
        <f>(H109 * (1 - (_xlfn.XLOOKUP($D151, $D$130:$D$133,$E$130:$E$133)) - (_xlfn.XLOOKUP($D151, $D$138:$D$145,$E$138:$E$145))))</f>
        <v>5.1640935839999997</v>
      </c>
      <c r="I151" s="16"/>
      <c r="N151" s="15" t="str">
        <f>INDEX(X_Table_Poultry_Stage1MMS,3,1)</f>
        <v>Belt manure removal</v>
      </c>
      <c r="O151" s="15">
        <f>(O109 * (1 - (_xlfn.XLOOKUP($N151, $D$130:$D$133,$E$130:$E$133)) - (_xlfn.XLOOKUP($N151, $D$138:$D$145,$E$138:$E$145))))</f>
        <v>4.8380779200000008</v>
      </c>
      <c r="P151" s="15">
        <f>(P109 * (1 - (_xlfn.XLOOKUP($N151, $D$130:$D$133,$E$130:$E$133)) - (_xlfn.XLOOKUP($N151, $D$138:$D$145,$E$138:$E$145))))</f>
        <v>5.1640935839999997</v>
      </c>
      <c r="Q151" s="15">
        <f>(Q109 * (1 - (_xlfn.XLOOKUP($N151, $D$130:$D$133,$E$130:$E$133)) - (_xlfn.XLOOKUP($N151, $D$138:$D$145,$E$138:$E$145))))</f>
        <v>6.0618779519999997</v>
      </c>
      <c r="R151" s="15">
        <f>(R109 * (1 - (_xlfn.XLOOKUP($N151, $D$130:$D$133,$E$130:$E$133)) - (_xlfn.XLOOKUP($N151, $D$138:$D$145,$E$138:$E$145))))</f>
        <v>5.1640935839999997</v>
      </c>
      <c r="S151" s="16"/>
    </row>
    <row r="152" spans="1:21" ht="20.100000000000001" customHeight="1" x14ac:dyDescent="0.2">
      <c r="D152" s="15" t="str">
        <f>INDEX(X_Table_Poultry_Stage1MMS,4,1)</f>
        <v>Manure stored in house</v>
      </c>
      <c r="E152" s="15">
        <f>(E110 * (1 - (_xlfn.XLOOKUP($D152, $D$130:$D$133,$E$130:$E$133)) - (_xlfn.XLOOKUP($D152, $D$138:$D$145,$E$138:$E$145))))</f>
        <v>3.0537499200000005</v>
      </c>
      <c r="F152" s="15">
        <f>(F110 * (1 - (_xlfn.XLOOKUP($D152, $D$130:$D$133,$E$130:$E$133)) - (_xlfn.XLOOKUP($D152, $D$138:$D$145,$E$138:$E$145))))</f>
        <v>3.2595279839999995</v>
      </c>
      <c r="G152" s="15">
        <f>(G110 * (1 - (_xlfn.XLOOKUP($D152, $D$130:$D$133,$E$130:$E$133)) - (_xlfn.XLOOKUP($D152, $D$138:$D$145,$E$138:$E$145))))</f>
        <v>3.8262011519999994</v>
      </c>
      <c r="H152" s="15">
        <f>(H110 * (1 - (_xlfn.XLOOKUP($D152, $D$130:$D$133,$E$130:$E$133)) - (_xlfn.XLOOKUP($D152, $D$138:$D$145,$E$138:$E$145))))</f>
        <v>3.2595279839999995</v>
      </c>
      <c r="I152" s="16"/>
      <c r="N152" s="15" t="str">
        <f>INDEX(X_Table_Poultry_Stage1MMS,4,1)</f>
        <v>Manure stored in house</v>
      </c>
      <c r="O152" s="15">
        <f>(O110 * (1 - (_xlfn.XLOOKUP($N152, $D$130:$D$133,$E$130:$E$133)) - (_xlfn.XLOOKUP($N152, $D$138:$D$145,$E$138:$E$145))))</f>
        <v>3.0537499200000005</v>
      </c>
      <c r="P152" s="15">
        <f>(P110 * (1 - (_xlfn.XLOOKUP($N152, $D$130:$D$133,$E$130:$E$133)) - (_xlfn.XLOOKUP($N152, $D$138:$D$145,$E$138:$E$145))))</f>
        <v>3.2595279839999995</v>
      </c>
      <c r="Q152" s="15">
        <f>(Q110 * (1 - (_xlfn.XLOOKUP($N152, $D$130:$D$133,$E$130:$E$133)) - (_xlfn.XLOOKUP($N152, $D$138:$D$145,$E$138:$E$145))))</f>
        <v>3.8262011519999994</v>
      </c>
      <c r="R152" s="15">
        <f>(R110 * (1 - (_xlfn.XLOOKUP($N152, $D$130:$D$133,$E$130:$E$133)) - (_xlfn.XLOOKUP($N152, $D$138:$D$145,$E$138:$E$145))))</f>
        <v>3.2595279839999995</v>
      </c>
      <c r="S152" s="16"/>
    </row>
    <row r="155" spans="1:21" ht="20.100000000000001" customHeight="1" x14ac:dyDescent="0.2">
      <c r="C155" s="83"/>
      <c r="D155" s="83"/>
      <c r="E155" s="83"/>
      <c r="F155" s="83"/>
      <c r="G155" s="83"/>
      <c r="H155" s="83"/>
      <c r="I155" s="83"/>
      <c r="J155" s="83"/>
      <c r="K155" s="83"/>
      <c r="M155" s="83"/>
      <c r="N155" s="83"/>
      <c r="O155" s="83"/>
      <c r="P155" s="83"/>
      <c r="Q155" s="83"/>
      <c r="R155" s="83"/>
      <c r="S155" s="83"/>
      <c r="T155" s="83"/>
      <c r="U155" s="83"/>
    </row>
    <row r="156" spans="1:21" ht="20.100000000000001" customHeight="1" x14ac:dyDescent="0.2">
      <c r="D156" s="2" t="s">
        <v>1289</v>
      </c>
    </row>
    <row r="157" spans="1:21" ht="20.100000000000001" customHeight="1" x14ac:dyDescent="0.2">
      <c r="D157" s="17" t="s">
        <v>1290</v>
      </c>
    </row>
    <row r="158" spans="1:21" ht="20.100000000000001" customHeight="1" x14ac:dyDescent="0.2">
      <c r="A158" s="79" t="str">
        <f>HYPERLINK("#A1", "▲ Back to top")</f>
        <v>▲ Back to top</v>
      </c>
      <c r="D158" s="112"/>
      <c r="E158" s="112"/>
    </row>
    <row r="161" spans="4:10" ht="20.100000000000001" customHeight="1" x14ac:dyDescent="0.2">
      <c r="D161" s="75" t="s">
        <v>328</v>
      </c>
      <c r="E161" s="1" t="s">
        <v>1291</v>
      </c>
    </row>
    <row r="162" spans="4:10" ht="20.100000000000001" customHeight="1" x14ac:dyDescent="0.2">
      <c r="D162" s="75" t="s">
        <v>118</v>
      </c>
      <c r="E162" s="9" t="s">
        <v>482</v>
      </c>
    </row>
    <row r="164" spans="4:10" ht="20.100000000000001" customHeight="1" x14ac:dyDescent="0.2">
      <c r="D164" s="113" t="s">
        <v>1281</v>
      </c>
      <c r="E164" s="113" t="s">
        <v>1292</v>
      </c>
      <c r="F164" s="113"/>
      <c r="G164" s="113" t="s">
        <v>482</v>
      </c>
      <c r="H164" s="115" t="s">
        <v>1294</v>
      </c>
      <c r="I164" s="116" t="str" cm="1">
        <f t="array" aca="1" ref="I164" ca="1">HYPERLINK(Common_InputFunctions.Utility_SourceHyperlink($D$147),$D$147)</f>
        <v>M1_Table_NT_j_k_m_T-1</v>
      </c>
    </row>
    <row r="165" spans="4:10" ht="20.100000000000001" customHeight="1" x14ac:dyDescent="0.2">
      <c r="D165" s="113" t="s">
        <v>1293</v>
      </c>
      <c r="E165" s="113" t="s">
        <v>1237</v>
      </c>
      <c r="F165" s="113"/>
      <c r="G165" s="113" t="s">
        <v>307</v>
      </c>
      <c r="H165" s="114" t="s">
        <v>1202</v>
      </c>
      <c r="I165" s="116" t="str" cm="1">
        <f t="array" aca="1" ref="I165" ca="1">HYPERLINK(Common_InputFunctions.Utility_SourceHyperlink($D$167),$D$167)</f>
        <v>Table_MMS_j_m_T-2</v>
      </c>
    </row>
    <row r="167" spans="4:10" ht="20.100000000000001" customHeight="1" x14ac:dyDescent="0.2">
      <c r="D167" s="118" t="s">
        <v>363</v>
      </c>
    </row>
    <row r="168" spans="4:10" ht="20.100000000000001" customHeight="1" x14ac:dyDescent="0.2">
      <c r="D168" s="119" t="s">
        <v>364</v>
      </c>
    </row>
    <row r="169" spans="4:10" ht="20.100000000000001" customHeight="1" x14ac:dyDescent="0.2">
      <c r="D169" s="78" t="s">
        <v>314</v>
      </c>
      <c r="E169" s="78" t="s">
        <v>318</v>
      </c>
      <c r="F169" s="78" t="s">
        <v>297</v>
      </c>
      <c r="G169" s="78" t="s">
        <v>298</v>
      </c>
      <c r="H169" s="78" t="s">
        <v>299</v>
      </c>
      <c r="I169" s="78" t="s">
        <v>300</v>
      </c>
    </row>
    <row r="170" spans="4:10" ht="20.100000000000001" customHeight="1" x14ac:dyDescent="0.2">
      <c r="D170" s="15" t="str">
        <f>INDEX(X_Table_Poultry_Stage1MMS,2,1)</f>
        <v>Poultry manure with bedding</v>
      </c>
      <c r="E170" s="15" t="str">
        <f>INDEX(X_Table_Poultry_Stage2MMS_PoultryManureWithBedding,2,1)</f>
        <v>Solid storage</v>
      </c>
      <c r="F170" s="15">
        <f>INDEX(X_Table_Poultry_Stage2MMS_PoultryManureWithBedding,2,2)</f>
        <v>0.2</v>
      </c>
      <c r="G170" s="15">
        <f>INDEX(X_Table_Poultry_Stage2MMS_PoultryManureWithBedding,2,3)</f>
        <v>0.2</v>
      </c>
      <c r="H170" s="15">
        <f>INDEX(X_Table_Poultry_Stage2MMS_PoultryManureWithBedding,2,4)</f>
        <v>0.2</v>
      </c>
      <c r="I170" s="15">
        <f>INDEX(X_Table_Poultry_Stage2MMS_PoultryManureWithBedding,2,5)</f>
        <v>0.2</v>
      </c>
      <c r="J170" s="16" t="str">
        <f>$G$165</f>
        <v>fraction</v>
      </c>
    </row>
    <row r="171" spans="4:10" ht="20.100000000000001" customHeight="1" x14ac:dyDescent="0.2">
      <c r="D171" s="15"/>
      <c r="E171" s="15" t="str">
        <f>INDEX(X_Table_Poultry_Stage2MMS_PoultryManureWithBedding,3,1)</f>
        <v>Composting (passive windrow)</v>
      </c>
      <c r="F171" s="15">
        <f>INDEX(X_Table_Poultry_Stage2MMS_PoultryManureWithBedding,3,2)</f>
        <v>0.2</v>
      </c>
      <c r="G171" s="15">
        <f>INDEX(X_Table_Poultry_Stage2MMS_PoultryManureWithBedding,3,3)</f>
        <v>0.2</v>
      </c>
      <c r="H171" s="15">
        <f>INDEX(X_Table_Poultry_Stage2MMS_PoultryManureWithBedding,3,4)</f>
        <v>0.2</v>
      </c>
      <c r="I171" s="15">
        <f>INDEX(X_Table_Poultry_Stage2MMS_PoultryManureWithBedding,3,5)</f>
        <v>0.2</v>
      </c>
      <c r="J171" s="16"/>
    </row>
    <row r="172" spans="4:10" ht="20.100000000000001" customHeight="1" x14ac:dyDescent="0.2">
      <c r="D172" s="15"/>
      <c r="E172" s="15" t="str">
        <f>INDEX(X_Table_Poultry_Stage2MMS_PoultryManureWithBedding,4,1)</f>
        <v>Digester / covered lagoons</v>
      </c>
      <c r="F172" s="15">
        <f>INDEX(X_Table_Poultry_Stage2MMS_PoultryManureWithBedding,4,2)</f>
        <v>0.2</v>
      </c>
      <c r="G172" s="15">
        <f>INDEX(X_Table_Poultry_Stage2MMS_PoultryManureWithBedding,4,3)</f>
        <v>0.2</v>
      </c>
      <c r="H172" s="15">
        <f>INDEX(X_Table_Poultry_Stage2MMS_PoultryManureWithBedding,4,4)</f>
        <v>0.2</v>
      </c>
      <c r="I172" s="15">
        <f>INDEX(X_Table_Poultry_Stage2MMS_PoultryManureWithBedding,4,5)</f>
        <v>0.2</v>
      </c>
      <c r="J172" s="16"/>
    </row>
    <row r="173" spans="4:10" ht="20.100000000000001" customHeight="1" x14ac:dyDescent="0.2">
      <c r="D173" s="15"/>
      <c r="E173" s="15" t="str">
        <f>INDEX(X_Table_Poultry_Stage2MMS_PoultryManureWithBedding,5,1)</f>
        <v>Direct processing</v>
      </c>
      <c r="F173" s="15">
        <f>INDEX(X_Table_Poultry_Stage2MMS_PoultryManureWithBedding,5,2)</f>
        <v>0.2</v>
      </c>
      <c r="G173" s="15">
        <f>INDEX(X_Table_Poultry_Stage2MMS_PoultryManureWithBedding,5,3)</f>
        <v>0.2</v>
      </c>
      <c r="H173" s="15">
        <f>INDEX(X_Table_Poultry_Stage2MMS_PoultryManureWithBedding,5,4)</f>
        <v>0.2</v>
      </c>
      <c r="I173" s="15">
        <f>INDEX(X_Table_Poultry_Stage2MMS_PoultryManureWithBedding,5,5)</f>
        <v>0.2</v>
      </c>
      <c r="J173" s="16"/>
    </row>
    <row r="174" spans="4:10" ht="20.100000000000001" customHeight="1" x14ac:dyDescent="0.2">
      <c r="D174" s="15"/>
      <c r="E174" s="15" t="str">
        <f>INDEX(X_Table_Poultry_Stage2MMS_PoultryManureWithBedding,6,1)</f>
        <v>Direct application</v>
      </c>
      <c r="F174" s="15">
        <f>INDEX(X_Table_Poultry_Stage2MMS_PoultryManureWithBedding,6,2)</f>
        <v>0.19999999999999996</v>
      </c>
      <c r="G174" s="15">
        <f>INDEX(X_Table_Poultry_Stage2MMS_PoultryManureWithBedding,6,3)</f>
        <v>0.19999999999999996</v>
      </c>
      <c r="H174" s="15">
        <f>INDEX(X_Table_Poultry_Stage2MMS_PoultryManureWithBedding,6,4)</f>
        <v>0.19999999999999996</v>
      </c>
      <c r="I174" s="15">
        <f>INDEX(X_Table_Poultry_Stage2MMS_PoultryManureWithBedding,6,5)</f>
        <v>0.19999999999999996</v>
      </c>
    </row>
    <row r="175" spans="4:10" ht="20.100000000000001" customHeight="1" x14ac:dyDescent="0.2">
      <c r="D175" s="15" t="str">
        <f>INDEX(X_Table_Poultry_Stage1MMS,3,1)</f>
        <v>Belt manure removal</v>
      </c>
      <c r="E175" s="15" t="str">
        <f>INDEX(X_Table_Poultry_Stage2MMS_BeltManureRemoval,2,1)</f>
        <v>Solid storage</v>
      </c>
      <c r="F175" s="15">
        <f>INDEX(X_Table_Poultry_Stage2MMS_BeltManureRemoval,2,2)</f>
        <v>0.2</v>
      </c>
      <c r="G175" s="15">
        <f>INDEX(X_Table_Poultry_Stage2MMS_BeltManureRemoval,2,3)</f>
        <v>0.2</v>
      </c>
      <c r="H175" s="15">
        <f>INDEX(X_Table_Poultry_Stage2MMS_BeltManureRemoval,2,4)</f>
        <v>0.2</v>
      </c>
      <c r="I175" s="15">
        <f>INDEX(X_Table_Poultry_Stage2MMS_BeltManureRemoval,2,5)</f>
        <v>0.2</v>
      </c>
      <c r="J175" s="16"/>
    </row>
    <row r="176" spans="4:10" ht="20.100000000000001" customHeight="1" x14ac:dyDescent="0.2">
      <c r="D176" s="15"/>
      <c r="E176" s="15" t="str">
        <f>INDEX(X_Table_Poultry_Stage2MMS_BeltManureRemoval,3,1)</f>
        <v>Composting (passive windrow)</v>
      </c>
      <c r="F176" s="15">
        <f>INDEX(X_Table_Poultry_Stage2MMS_BeltManureRemoval,3,2)</f>
        <v>0.2</v>
      </c>
      <c r="G176" s="15">
        <f>INDEX(X_Table_Poultry_Stage2MMS_BeltManureRemoval,3,3)</f>
        <v>0.2</v>
      </c>
      <c r="H176" s="15">
        <f>INDEX(X_Table_Poultry_Stage2MMS_BeltManureRemoval,3,4)</f>
        <v>0.2</v>
      </c>
      <c r="I176" s="15">
        <f>INDEX(X_Table_Poultry_Stage2MMS_BeltManureRemoval,3,5)</f>
        <v>0.2</v>
      </c>
      <c r="J176" s="16"/>
    </row>
    <row r="177" spans="1:20" ht="20.100000000000001" customHeight="1" x14ac:dyDescent="0.2">
      <c r="D177" s="15"/>
      <c r="E177" s="15" t="str">
        <f>INDEX(X_Table_Poultry_Stage2MMS_BeltManureRemoval,4,1)</f>
        <v>Digester / covered lagoons</v>
      </c>
      <c r="F177" s="15">
        <f>INDEX(X_Table_Poultry_Stage2MMS_BeltManureRemoval,4,2)</f>
        <v>0.2</v>
      </c>
      <c r="G177" s="15">
        <f>INDEX(X_Table_Poultry_Stage2MMS_BeltManureRemoval,4,3)</f>
        <v>0.2</v>
      </c>
      <c r="H177" s="15">
        <f>INDEX(X_Table_Poultry_Stage2MMS_BeltManureRemoval,4,4)</f>
        <v>0.2</v>
      </c>
      <c r="I177" s="15">
        <f>INDEX(X_Table_Poultry_Stage2MMS_BeltManureRemoval,4,5)</f>
        <v>0.2</v>
      </c>
      <c r="J177" s="16"/>
    </row>
    <row r="178" spans="1:20" ht="20.100000000000001" customHeight="1" x14ac:dyDescent="0.2">
      <c r="D178" s="15"/>
      <c r="E178" s="15" t="str">
        <f>INDEX(X_Table_Poultry_Stage2MMS_BeltManureRemoval,5,1)</f>
        <v>Direct processing</v>
      </c>
      <c r="F178" s="15">
        <f>INDEX(X_Table_Poultry_Stage2MMS_BeltManureRemoval,5,2)</f>
        <v>0.2</v>
      </c>
      <c r="G178" s="15">
        <f>INDEX(X_Table_Poultry_Stage2MMS_BeltManureRemoval,5,3)</f>
        <v>0.2</v>
      </c>
      <c r="H178" s="15">
        <f>INDEX(X_Table_Poultry_Stage2MMS_BeltManureRemoval,5,4)</f>
        <v>0.2</v>
      </c>
      <c r="I178" s="15">
        <f>INDEX(X_Table_Poultry_Stage2MMS_BeltManureRemoval,5,5)</f>
        <v>0.2</v>
      </c>
      <c r="J178" s="16"/>
    </row>
    <row r="179" spans="1:20" ht="20.100000000000001" customHeight="1" x14ac:dyDescent="0.2">
      <c r="D179" s="15"/>
      <c r="E179" s="15" t="str">
        <f>INDEX(X_Table_Poultry_Stage2MMS_BeltManureRemoval,6,1)</f>
        <v>Direct application</v>
      </c>
      <c r="F179" s="15">
        <f>INDEX(X_Table_Poultry_Stage2MMS_BeltManureRemoval,6,2)</f>
        <v>0.19999999999999996</v>
      </c>
      <c r="G179" s="15">
        <f>INDEX(X_Table_Poultry_Stage2MMS_BeltManureRemoval,6,3)</f>
        <v>0.19999999999999996</v>
      </c>
      <c r="H179" s="15">
        <f>INDEX(X_Table_Poultry_Stage2MMS_BeltManureRemoval,6,4)</f>
        <v>0.19999999999999996</v>
      </c>
      <c r="I179" s="15">
        <f>INDEX(X_Table_Poultry_Stage2MMS_BeltManureRemoval,6,5)</f>
        <v>0.19999999999999996</v>
      </c>
    </row>
    <row r="180" spans="1:20" ht="20.100000000000001" customHeight="1" x14ac:dyDescent="0.2">
      <c r="D180" s="15" t="str">
        <f>INDEX(X_Table_Poultry_Stage1MMS,4,1)</f>
        <v>Manure stored in house</v>
      </c>
      <c r="E180" s="15" t="str">
        <f>INDEX(X_Table_Poultry_Stage2MMS_ManureStoredInHouse,2,1)</f>
        <v>Solid storage</v>
      </c>
      <c r="F180" s="15">
        <f>INDEX(X_Table_Poultry_Stage2MMS_ManureStoredInHouse,2,2)</f>
        <v>0.2</v>
      </c>
      <c r="G180" s="15">
        <f>INDEX(X_Table_Poultry_Stage2MMS_ManureStoredInHouse,2,3)</f>
        <v>0.2</v>
      </c>
      <c r="H180" s="15">
        <f>INDEX(X_Table_Poultry_Stage2MMS_ManureStoredInHouse,2,4)</f>
        <v>0.2</v>
      </c>
      <c r="I180" s="15">
        <f>INDEX(X_Table_Poultry_Stage2MMS_ManureStoredInHouse,2,5)</f>
        <v>0.2</v>
      </c>
      <c r="J180" s="16"/>
    </row>
    <row r="181" spans="1:20" ht="20.100000000000001" customHeight="1" x14ac:dyDescent="0.2">
      <c r="D181" s="15"/>
      <c r="E181" s="15" t="str">
        <f>INDEX(X_Table_Poultry_Stage2MMS_ManureStoredInHouse,3,1)</f>
        <v>Composting (passive windrow)</v>
      </c>
      <c r="F181" s="15">
        <f>INDEX(X_Table_Poultry_Stage2MMS_ManureStoredInHouse,3,2)</f>
        <v>0.2</v>
      </c>
      <c r="G181" s="15">
        <f>INDEX(X_Table_Poultry_Stage2MMS_ManureStoredInHouse,3,3)</f>
        <v>0.2</v>
      </c>
      <c r="H181" s="15">
        <f>INDEX(X_Table_Poultry_Stage2MMS_ManureStoredInHouse,3,4)</f>
        <v>0.2</v>
      </c>
      <c r="I181" s="15">
        <f>INDEX(X_Table_Poultry_Stage2MMS_ManureStoredInHouse,3,5)</f>
        <v>0.2</v>
      </c>
      <c r="J181" s="16"/>
    </row>
    <row r="182" spans="1:20" ht="20.100000000000001" customHeight="1" x14ac:dyDescent="0.2">
      <c r="D182" s="15"/>
      <c r="E182" s="15" t="str">
        <f>INDEX(X_Table_Poultry_Stage2MMS_ManureStoredInHouse,4,1)</f>
        <v>Digester / covered lagoons</v>
      </c>
      <c r="F182" s="15">
        <f>INDEX(X_Table_Poultry_Stage2MMS_ManureStoredInHouse,4,2)</f>
        <v>0.2</v>
      </c>
      <c r="G182" s="15">
        <f>INDEX(X_Table_Poultry_Stage2MMS_ManureStoredInHouse,4,3)</f>
        <v>0.2</v>
      </c>
      <c r="H182" s="15">
        <f>INDEX(X_Table_Poultry_Stage2MMS_ManureStoredInHouse,4,4)</f>
        <v>0.2</v>
      </c>
      <c r="I182" s="15">
        <f>INDEX(X_Table_Poultry_Stage2MMS_ManureStoredInHouse,4,5)</f>
        <v>0.2</v>
      </c>
      <c r="J182" s="16"/>
    </row>
    <row r="183" spans="1:20" ht="20.100000000000001" customHeight="1" x14ac:dyDescent="0.2">
      <c r="D183" s="15"/>
      <c r="E183" s="15" t="str">
        <f>INDEX(X_Table_Poultry_Stage2MMS_ManureStoredInHouse,5,1)</f>
        <v>Direct processing</v>
      </c>
      <c r="F183" s="15">
        <f>INDEX(X_Table_Poultry_Stage2MMS_ManureStoredInHouse,5,2)</f>
        <v>0.2</v>
      </c>
      <c r="G183" s="15">
        <f>INDEX(X_Table_Poultry_Stage2MMS_ManureStoredInHouse,5,3)</f>
        <v>0.2</v>
      </c>
      <c r="H183" s="15">
        <f>INDEX(X_Table_Poultry_Stage2MMS_ManureStoredInHouse,5,4)</f>
        <v>0.2</v>
      </c>
      <c r="I183" s="15">
        <f>INDEX(X_Table_Poultry_Stage2MMS_ManureStoredInHouse,5,5)</f>
        <v>0.2</v>
      </c>
      <c r="J183" s="16"/>
    </row>
    <row r="184" spans="1:20" ht="20.100000000000001" customHeight="1" x14ac:dyDescent="0.2">
      <c r="D184" s="15"/>
      <c r="E184" s="15" t="str">
        <f>INDEX(X_Table_Poultry_Stage2MMS_ManureStoredInHouse,6,1)</f>
        <v>Direct application</v>
      </c>
      <c r="F184" s="15">
        <f>INDEX(X_Table_Poultry_Stage2MMS_ManureStoredInHouse,6,2)</f>
        <v>0.19999999999999996</v>
      </c>
      <c r="G184" s="15">
        <f>INDEX(X_Table_Poultry_Stage2MMS_ManureStoredInHouse,6,3)</f>
        <v>0.19999999999999996</v>
      </c>
      <c r="H184" s="15">
        <f>INDEX(X_Table_Poultry_Stage2MMS_ManureStoredInHouse,6,4)</f>
        <v>0.19999999999999996</v>
      </c>
      <c r="I184" s="15">
        <f>INDEX(X_Table_Poultry_Stage2MMS_ManureStoredInHouse,6,5)</f>
        <v>0.19999999999999996</v>
      </c>
    </row>
    <row r="186" spans="1:20" ht="20.100000000000001" customHeight="1" x14ac:dyDescent="0.2">
      <c r="D186" s="118" t="s">
        <v>410</v>
      </c>
      <c r="N186" s="118" t="s">
        <v>411</v>
      </c>
    </row>
    <row r="187" spans="1:20" ht="20.100000000000001" customHeight="1" x14ac:dyDescent="0.2">
      <c r="D187" s="119" t="s">
        <v>412</v>
      </c>
      <c r="N187" s="119" t="s">
        <v>413</v>
      </c>
    </row>
    <row r="188" spans="1:20" ht="20.100000000000001" customHeight="1" x14ac:dyDescent="0.2">
      <c r="A188" s="79" t="str">
        <f>HYPERLINK("#A1", "▲ Back to top")</f>
        <v>▲ Back to top</v>
      </c>
      <c r="D188" s="120" t="s">
        <v>314</v>
      </c>
      <c r="E188" s="120" t="s">
        <v>318</v>
      </c>
      <c r="F188" s="120" t="s">
        <v>297</v>
      </c>
      <c r="G188" s="120" t="s">
        <v>298</v>
      </c>
      <c r="H188" s="120" t="s">
        <v>299</v>
      </c>
      <c r="I188" s="120" t="s">
        <v>300</v>
      </c>
      <c r="N188" s="120" t="s">
        <v>314</v>
      </c>
      <c r="O188" s="120" t="s">
        <v>318</v>
      </c>
      <c r="P188" s="120" t="s">
        <v>297</v>
      </c>
      <c r="Q188" s="120" t="s">
        <v>298</v>
      </c>
      <c r="R188" s="120" t="s">
        <v>299</v>
      </c>
      <c r="S188" s="120" t="s">
        <v>300</v>
      </c>
    </row>
    <row r="189" spans="1:20" ht="20.100000000000001" customHeight="1" x14ac:dyDescent="0.2">
      <c r="D189" s="15" t="str">
        <f>INDEX(X_Table_Poultry_Stage1MMS,2,1)</f>
        <v>Poultry manure with bedding</v>
      </c>
      <c r="E189" s="15" t="str">
        <f>INDEX(X_Table_Poultry_Stage2MMS_PoultryManureWithBedding,2,1)</f>
        <v>Solid storage</v>
      </c>
      <c r="F189" s="15">
        <f>(E$150 * F170)</f>
        <v>0.71271158400000012</v>
      </c>
      <c r="G189" s="15">
        <f>(F$150 * G170)</f>
        <v>0.76073791680000002</v>
      </c>
      <c r="H189" s="15">
        <f>(G$150 * H170)</f>
        <v>0.89299319039999991</v>
      </c>
      <c r="I189" s="15">
        <f>(H$150 * I170)</f>
        <v>0.76073791680000002</v>
      </c>
      <c r="J189" s="16" t="str">
        <f t="shared" ref="J189" si="1">$E$162</f>
        <v>kg N</v>
      </c>
      <c r="N189" s="15" t="str">
        <f>INDEX(X_Table_Poultry_Stage1MMS,2,1)</f>
        <v>Poultry manure with bedding</v>
      </c>
      <c r="O189" s="15" t="str">
        <f>INDEX(X_Table_Poultry_Stage2MMS_PoultryManureWithBedding,2,1)</f>
        <v>Solid storage</v>
      </c>
      <c r="P189" s="15">
        <f>(O$150 * F170)</f>
        <v>0.71271158400000012</v>
      </c>
      <c r="Q189" s="15">
        <f>(P$150 * G170)</f>
        <v>0.76073791680000002</v>
      </c>
      <c r="R189" s="15">
        <f>(Q$150 * H170)</f>
        <v>0.89299319039999991</v>
      </c>
      <c r="S189" s="15">
        <f>(R$150 * I170)</f>
        <v>0.76073791680000002</v>
      </c>
      <c r="T189" s="16" t="str">
        <f t="shared" ref="T189" si="2">$E$162</f>
        <v>kg N</v>
      </c>
    </row>
    <row r="190" spans="1:20" ht="20.100000000000001" customHeight="1" x14ac:dyDescent="0.2">
      <c r="D190" s="15"/>
      <c r="E190" s="15" t="str">
        <f>INDEX(X_Table_Poultry_Stage2MMS_PoultryManureWithBedding,3,1)</f>
        <v>Composting (passive windrow)</v>
      </c>
      <c r="F190" s="15">
        <f>(E$150 * F171)</f>
        <v>0.71271158400000012</v>
      </c>
      <c r="G190" s="15">
        <f>(F$150 * G171)</f>
        <v>0.76073791680000002</v>
      </c>
      <c r="H190" s="15">
        <f>(G$150 * H171)</f>
        <v>0.89299319039999991</v>
      </c>
      <c r="I190" s="15">
        <f>(H$150 * I171)</f>
        <v>0.76073791680000002</v>
      </c>
      <c r="J190" s="16"/>
      <c r="N190" s="15"/>
      <c r="O190" s="15" t="str">
        <f>INDEX(X_Table_Poultry_Stage2MMS_PoultryManureWithBedding,3,1)</f>
        <v>Composting (passive windrow)</v>
      </c>
      <c r="P190" s="15">
        <f>(O$150 * F171)</f>
        <v>0.71271158400000012</v>
      </c>
      <c r="Q190" s="15">
        <f>(P$150 * G171)</f>
        <v>0.76073791680000002</v>
      </c>
      <c r="R190" s="15">
        <f>(Q$150 * H171)</f>
        <v>0.89299319039999991</v>
      </c>
      <c r="S190" s="15">
        <f>(R$150 * I171)</f>
        <v>0.76073791680000002</v>
      </c>
      <c r="T190" s="16"/>
    </row>
    <row r="191" spans="1:20" ht="20.100000000000001" customHeight="1" x14ac:dyDescent="0.2">
      <c r="D191" s="15"/>
      <c r="E191" s="15" t="str">
        <f>INDEX(X_Table_Poultry_Stage2MMS_PoultryManureWithBedding,4,1)</f>
        <v>Digester / covered lagoons</v>
      </c>
      <c r="F191" s="15">
        <f>(E$150 * F172)</f>
        <v>0.71271158400000012</v>
      </c>
      <c r="G191" s="15">
        <f>(F$150 * G172)</f>
        <v>0.76073791680000002</v>
      </c>
      <c r="H191" s="15">
        <f>(G$150 * H172)</f>
        <v>0.89299319039999991</v>
      </c>
      <c r="I191" s="15">
        <f>(H$150 * I172)</f>
        <v>0.76073791680000002</v>
      </c>
      <c r="J191" s="16"/>
      <c r="N191" s="15"/>
      <c r="O191" s="15" t="str">
        <f>INDEX(X_Table_Poultry_Stage2MMS_PoultryManureWithBedding,4,1)</f>
        <v>Digester / covered lagoons</v>
      </c>
      <c r="P191" s="15">
        <f>(O$150 * F172)</f>
        <v>0.71271158400000012</v>
      </c>
      <c r="Q191" s="15">
        <f>(P$150 * G172)</f>
        <v>0.76073791680000002</v>
      </c>
      <c r="R191" s="15">
        <f>(Q$150 * H172)</f>
        <v>0.89299319039999991</v>
      </c>
      <c r="S191" s="15">
        <f>(R$150 * I172)</f>
        <v>0.76073791680000002</v>
      </c>
      <c r="T191" s="16"/>
    </row>
    <row r="192" spans="1:20" ht="20.100000000000001" customHeight="1" x14ac:dyDescent="0.2">
      <c r="D192" s="15"/>
      <c r="E192" s="15" t="str">
        <f>INDEX(X_Table_Poultry_Stage2MMS_PoultryManureWithBedding,5,1)</f>
        <v>Direct processing</v>
      </c>
      <c r="F192" s="15">
        <f>(E$150 * F173)</f>
        <v>0.71271158400000012</v>
      </c>
      <c r="G192" s="15">
        <f>(F$150 * G173)</f>
        <v>0.76073791680000002</v>
      </c>
      <c r="H192" s="15">
        <f>(G$150 * H173)</f>
        <v>0.89299319039999991</v>
      </c>
      <c r="I192" s="15">
        <f>(H$150 * I173)</f>
        <v>0.76073791680000002</v>
      </c>
      <c r="J192" s="16"/>
      <c r="N192" s="15"/>
      <c r="O192" s="15" t="str">
        <f>INDEX(X_Table_Poultry_Stage2MMS_PoultryManureWithBedding,5,1)</f>
        <v>Direct processing</v>
      </c>
      <c r="P192" s="15">
        <f>(O$150 * F173)</f>
        <v>0.71271158400000012</v>
      </c>
      <c r="Q192" s="15">
        <f>(P$150 * G173)</f>
        <v>0.76073791680000002</v>
      </c>
      <c r="R192" s="15">
        <f>(Q$150 * H173)</f>
        <v>0.89299319039999991</v>
      </c>
      <c r="S192" s="15">
        <f>(R$150 * I173)</f>
        <v>0.76073791680000002</v>
      </c>
      <c r="T192" s="16"/>
    </row>
    <row r="193" spans="3:21" ht="20.100000000000001" customHeight="1" x14ac:dyDescent="0.2">
      <c r="D193" s="15"/>
      <c r="E193" s="15" t="str">
        <f>INDEX(X_Table_Poultry_Stage2MMS_PoultryManureWithBedding,6,1)</f>
        <v>Direct application</v>
      </c>
      <c r="F193" s="15">
        <f>(E$150 * F174)</f>
        <v>0.7127115839999999</v>
      </c>
      <c r="G193" s="15">
        <f>(F$150 * G174)</f>
        <v>0.7607379167999998</v>
      </c>
      <c r="H193" s="15">
        <f>(G$150 * H174)</f>
        <v>0.89299319039999958</v>
      </c>
      <c r="I193" s="15">
        <f>(H$150 * I174)</f>
        <v>0.7607379167999998</v>
      </c>
      <c r="N193" s="15"/>
      <c r="O193" s="15" t="str">
        <f>INDEX(X_Table_Poultry_Stage2MMS_PoultryManureWithBedding,6,1)</f>
        <v>Direct application</v>
      </c>
      <c r="P193" s="15">
        <f>(O$150 * F174)</f>
        <v>0.7127115839999999</v>
      </c>
      <c r="Q193" s="15">
        <f>(P$150 * G174)</f>
        <v>0.7607379167999998</v>
      </c>
      <c r="R193" s="15">
        <f>(Q$150 * H174)</f>
        <v>0.89299319039999958</v>
      </c>
      <c r="S193" s="15">
        <f>(R$150 * I174)</f>
        <v>0.7607379167999998</v>
      </c>
    </row>
    <row r="194" spans="3:21" ht="20.100000000000001" customHeight="1" x14ac:dyDescent="0.2">
      <c r="D194" s="15" t="str">
        <f>INDEX(X_Table_Poultry_Stage1MMS,3,1)</f>
        <v>Belt manure removal</v>
      </c>
      <c r="E194" s="15" t="str">
        <f>INDEX(X_Table_Poultry_Stage2MMS_BeltManureRemoval,2,1)</f>
        <v>Solid storage</v>
      </c>
      <c r="F194" s="15">
        <f>(E$151 * F175)</f>
        <v>0.96761558400000025</v>
      </c>
      <c r="G194" s="15">
        <f>(F$151 * G175)</f>
        <v>1.0328187168</v>
      </c>
      <c r="H194" s="15">
        <f>(G$151 * H175)</f>
        <v>1.2123755904</v>
      </c>
      <c r="I194" s="15">
        <f>(H$151 * I175)</f>
        <v>1.0328187168</v>
      </c>
      <c r="J194" s="16"/>
      <c r="N194" s="15" t="str">
        <f>INDEX(X_Table_Poultry_Stage1MMS,3,1)</f>
        <v>Belt manure removal</v>
      </c>
      <c r="O194" s="15" t="str">
        <f>INDEX(X_Table_Poultry_Stage2MMS_BeltManureRemoval,2,1)</f>
        <v>Solid storage</v>
      </c>
      <c r="P194" s="15">
        <f>(O$151 * F175)</f>
        <v>0.96761558400000025</v>
      </c>
      <c r="Q194" s="15">
        <f>(P$151 * G175)</f>
        <v>1.0328187168</v>
      </c>
      <c r="R194" s="15">
        <f>(Q$151 * H175)</f>
        <v>1.2123755904</v>
      </c>
      <c r="S194" s="15">
        <f>(R$151 * I175)</f>
        <v>1.0328187168</v>
      </c>
      <c r="T194" s="16"/>
    </row>
    <row r="195" spans="3:21" ht="20.100000000000001" customHeight="1" x14ac:dyDescent="0.2">
      <c r="D195" s="15"/>
      <c r="E195" s="15" t="str">
        <f>INDEX(X_Table_Poultry_Stage2MMS_BeltManureRemoval,3,1)</f>
        <v>Composting (passive windrow)</v>
      </c>
      <c r="F195" s="15">
        <f>(E$151 * F176)</f>
        <v>0.96761558400000025</v>
      </c>
      <c r="G195" s="15">
        <f>(F$151 * G176)</f>
        <v>1.0328187168</v>
      </c>
      <c r="H195" s="15">
        <f>(G$151 * H176)</f>
        <v>1.2123755904</v>
      </c>
      <c r="I195" s="15">
        <f>(H$151 * I176)</f>
        <v>1.0328187168</v>
      </c>
      <c r="J195" s="16"/>
      <c r="N195" s="15"/>
      <c r="O195" s="15" t="str">
        <f>INDEX(X_Table_Poultry_Stage2MMS_BeltManureRemoval,3,1)</f>
        <v>Composting (passive windrow)</v>
      </c>
      <c r="P195" s="15">
        <f>(O$151 * F176)</f>
        <v>0.96761558400000025</v>
      </c>
      <c r="Q195" s="15">
        <f>(P$151 * G176)</f>
        <v>1.0328187168</v>
      </c>
      <c r="R195" s="15">
        <f>(Q$151 * H176)</f>
        <v>1.2123755904</v>
      </c>
      <c r="S195" s="15">
        <f>(R$151 * I176)</f>
        <v>1.0328187168</v>
      </c>
      <c r="T195" s="16"/>
    </row>
    <row r="196" spans="3:21" ht="20.100000000000001" customHeight="1" x14ac:dyDescent="0.2">
      <c r="D196" s="15"/>
      <c r="E196" s="15" t="str">
        <f>INDEX(X_Table_Poultry_Stage2MMS_BeltManureRemoval,4,1)</f>
        <v>Digester / covered lagoons</v>
      </c>
      <c r="F196" s="15">
        <f>(E$151 * F177)</f>
        <v>0.96761558400000025</v>
      </c>
      <c r="G196" s="15">
        <f>(F$151 * G177)</f>
        <v>1.0328187168</v>
      </c>
      <c r="H196" s="15">
        <f>(G$151 * H177)</f>
        <v>1.2123755904</v>
      </c>
      <c r="I196" s="15">
        <f>(H$151 * I177)</f>
        <v>1.0328187168</v>
      </c>
      <c r="J196" s="16"/>
      <c r="N196" s="15"/>
      <c r="O196" s="15" t="str">
        <f>INDEX(X_Table_Poultry_Stage2MMS_BeltManureRemoval,4,1)</f>
        <v>Digester / covered lagoons</v>
      </c>
      <c r="P196" s="15">
        <f>(O$151 * F177)</f>
        <v>0.96761558400000025</v>
      </c>
      <c r="Q196" s="15">
        <f>(P$151 * G177)</f>
        <v>1.0328187168</v>
      </c>
      <c r="R196" s="15">
        <f>(Q$151 * H177)</f>
        <v>1.2123755904</v>
      </c>
      <c r="S196" s="15">
        <f>(R$151 * I177)</f>
        <v>1.0328187168</v>
      </c>
      <c r="T196" s="16"/>
    </row>
    <row r="197" spans="3:21" ht="20.100000000000001" customHeight="1" x14ac:dyDescent="0.2">
      <c r="D197" s="15"/>
      <c r="E197" s="15" t="str">
        <f>INDEX(X_Table_Poultry_Stage2MMS_BeltManureRemoval,5,1)</f>
        <v>Direct processing</v>
      </c>
      <c r="F197" s="15">
        <f>(E$151 * F178)</f>
        <v>0.96761558400000025</v>
      </c>
      <c r="G197" s="15">
        <f>(F$151 * G178)</f>
        <v>1.0328187168</v>
      </c>
      <c r="H197" s="15">
        <f>(G$151 * H178)</f>
        <v>1.2123755904</v>
      </c>
      <c r="I197" s="15">
        <f>(H$151 * I178)</f>
        <v>1.0328187168</v>
      </c>
      <c r="J197" s="16"/>
      <c r="N197" s="15"/>
      <c r="O197" s="15" t="str">
        <f>INDEX(X_Table_Poultry_Stage2MMS_BeltManureRemoval,5,1)</f>
        <v>Direct processing</v>
      </c>
      <c r="P197" s="15">
        <f>(O$151 * F178)</f>
        <v>0.96761558400000025</v>
      </c>
      <c r="Q197" s="15">
        <f>(P$151 * G178)</f>
        <v>1.0328187168</v>
      </c>
      <c r="R197" s="15">
        <f>(Q$151 * H178)</f>
        <v>1.2123755904</v>
      </c>
      <c r="S197" s="15">
        <f>(R$151 * I178)</f>
        <v>1.0328187168</v>
      </c>
      <c r="T197" s="16"/>
    </row>
    <row r="198" spans="3:21" ht="20.100000000000001" customHeight="1" x14ac:dyDescent="0.2">
      <c r="D198" s="15"/>
      <c r="E198" s="15" t="str">
        <f>INDEX(X_Table_Poultry_Stage2MMS_BeltManureRemoval,6,1)</f>
        <v>Direct application</v>
      </c>
      <c r="F198" s="15">
        <f>(E$151 * F179)</f>
        <v>0.96761558399999992</v>
      </c>
      <c r="G198" s="15">
        <f>(F$151 * G179)</f>
        <v>1.0328187167999998</v>
      </c>
      <c r="H198" s="15">
        <f>(G$151 * H179)</f>
        <v>1.2123755903999998</v>
      </c>
      <c r="I198" s="15">
        <f>(H$151 * I179)</f>
        <v>1.0328187167999998</v>
      </c>
      <c r="N198" s="15"/>
      <c r="O198" s="15" t="str">
        <f>INDEX(X_Table_Poultry_Stage2MMS_BeltManureRemoval,6,1)</f>
        <v>Direct application</v>
      </c>
      <c r="P198" s="15">
        <f>(O$151 * F179)</f>
        <v>0.96761558399999992</v>
      </c>
      <c r="Q198" s="15">
        <f>(P$151 * G179)</f>
        <v>1.0328187167999998</v>
      </c>
      <c r="R198" s="15">
        <f>(Q$151 * H179)</f>
        <v>1.2123755903999998</v>
      </c>
      <c r="S198" s="15">
        <f>(R$151 * I179)</f>
        <v>1.0328187167999998</v>
      </c>
    </row>
    <row r="199" spans="3:21" ht="20.100000000000001" customHeight="1" x14ac:dyDescent="0.2">
      <c r="D199" s="15" t="str">
        <f>INDEX(X_Table_Poultry_Stage1MMS,4,1)</f>
        <v>Manure stored in house</v>
      </c>
      <c r="E199" s="15" t="str">
        <f>INDEX(X_Table_Poultry_Stage2MMS_ManureStoredInHouse,2,1)</f>
        <v>Solid storage</v>
      </c>
      <c r="F199" s="15">
        <f>(E$152 * F180)</f>
        <v>0.61074998400000013</v>
      </c>
      <c r="G199" s="15">
        <f>(F$152 * G180)</f>
        <v>0.65190559679999993</v>
      </c>
      <c r="H199" s="15">
        <f>(G$152 * H180)</f>
        <v>0.76524023039999989</v>
      </c>
      <c r="I199" s="15">
        <f>(H$152 * I180)</f>
        <v>0.65190559679999993</v>
      </c>
      <c r="J199" s="16"/>
      <c r="N199" s="15" t="str">
        <f>INDEX(X_Table_Poultry_Stage1MMS,4,1)</f>
        <v>Manure stored in house</v>
      </c>
      <c r="O199" s="15" t="str">
        <f>INDEX(X_Table_Poultry_Stage2MMS_ManureStoredInHouse,2,1)</f>
        <v>Solid storage</v>
      </c>
      <c r="P199" s="15">
        <f>(O$152 * F180)</f>
        <v>0.61074998400000013</v>
      </c>
      <c r="Q199" s="15">
        <f>(P$152 * G180)</f>
        <v>0.65190559679999993</v>
      </c>
      <c r="R199" s="15">
        <f>(Q$152 * H180)</f>
        <v>0.76524023039999989</v>
      </c>
      <c r="S199" s="15">
        <f>(R$152 * I180)</f>
        <v>0.65190559679999993</v>
      </c>
      <c r="T199" s="16"/>
    </row>
    <row r="200" spans="3:21" ht="20.100000000000001" customHeight="1" x14ac:dyDescent="0.2">
      <c r="D200" s="15"/>
      <c r="E200" s="15" t="str">
        <f>INDEX(X_Table_Poultry_Stage2MMS_ManureStoredInHouse,3,1)</f>
        <v>Composting (passive windrow)</v>
      </c>
      <c r="F200" s="15">
        <f>(E$152 * F181)</f>
        <v>0.61074998400000013</v>
      </c>
      <c r="G200" s="15">
        <f>(F$152 * G181)</f>
        <v>0.65190559679999993</v>
      </c>
      <c r="H200" s="15">
        <f>(G$152 * H181)</f>
        <v>0.76524023039999989</v>
      </c>
      <c r="I200" s="15">
        <f>(H$152 * I181)</f>
        <v>0.65190559679999993</v>
      </c>
      <c r="J200" s="16"/>
      <c r="N200" s="15"/>
      <c r="O200" s="15" t="str">
        <f>INDEX(X_Table_Poultry_Stage2MMS_ManureStoredInHouse,3,1)</f>
        <v>Composting (passive windrow)</v>
      </c>
      <c r="P200" s="15">
        <f>(O$152 * F181)</f>
        <v>0.61074998400000013</v>
      </c>
      <c r="Q200" s="15">
        <f>(P$152 * G181)</f>
        <v>0.65190559679999993</v>
      </c>
      <c r="R200" s="15">
        <f>(Q$152 * H181)</f>
        <v>0.76524023039999989</v>
      </c>
      <c r="S200" s="15">
        <f>(R$152 * I181)</f>
        <v>0.65190559679999993</v>
      </c>
      <c r="T200" s="16"/>
    </row>
    <row r="201" spans="3:21" ht="20.100000000000001" customHeight="1" x14ac:dyDescent="0.2">
      <c r="D201" s="15"/>
      <c r="E201" s="15" t="str">
        <f>INDEX(X_Table_Poultry_Stage2MMS_ManureStoredInHouse,4,1)</f>
        <v>Digester / covered lagoons</v>
      </c>
      <c r="F201" s="15">
        <f>(E$152 * F182)</f>
        <v>0.61074998400000013</v>
      </c>
      <c r="G201" s="15">
        <f>(F$152 * G182)</f>
        <v>0.65190559679999993</v>
      </c>
      <c r="H201" s="15">
        <f>(G$152 * H182)</f>
        <v>0.76524023039999989</v>
      </c>
      <c r="I201" s="15">
        <f>(H$152 * I182)</f>
        <v>0.65190559679999993</v>
      </c>
      <c r="J201" s="16"/>
      <c r="N201" s="15"/>
      <c r="O201" s="15" t="str">
        <f>INDEX(X_Table_Poultry_Stage2MMS_ManureStoredInHouse,4,1)</f>
        <v>Digester / covered lagoons</v>
      </c>
      <c r="P201" s="15">
        <f>(O$152 * F182)</f>
        <v>0.61074998400000013</v>
      </c>
      <c r="Q201" s="15">
        <f>(P$152 * G182)</f>
        <v>0.65190559679999993</v>
      </c>
      <c r="R201" s="15">
        <f>(Q$152 * H182)</f>
        <v>0.76524023039999989</v>
      </c>
      <c r="S201" s="15">
        <f>(R$152 * I182)</f>
        <v>0.65190559679999993</v>
      </c>
      <c r="T201" s="16"/>
    </row>
    <row r="202" spans="3:21" ht="20.100000000000001" customHeight="1" x14ac:dyDescent="0.2">
      <c r="D202" s="15"/>
      <c r="E202" s="15" t="str">
        <f>INDEX(X_Table_Poultry_Stage2MMS_ManureStoredInHouse,5,1)</f>
        <v>Direct processing</v>
      </c>
      <c r="F202" s="15">
        <f>(E$152 * F183)</f>
        <v>0.61074998400000013</v>
      </c>
      <c r="G202" s="15">
        <f>(F$152 * G183)</f>
        <v>0.65190559679999993</v>
      </c>
      <c r="H202" s="15">
        <f>(G$152 * H183)</f>
        <v>0.76524023039999989</v>
      </c>
      <c r="I202" s="15">
        <f>(H$152 * I183)</f>
        <v>0.65190559679999993</v>
      </c>
      <c r="J202" s="16"/>
      <c r="N202" s="15"/>
      <c r="O202" s="15" t="str">
        <f>INDEX(X_Table_Poultry_Stage2MMS_ManureStoredInHouse,5,1)</f>
        <v>Direct processing</v>
      </c>
      <c r="P202" s="15">
        <f>(O$152 * F183)</f>
        <v>0.61074998400000013</v>
      </c>
      <c r="Q202" s="15">
        <f>(P$152 * G183)</f>
        <v>0.65190559679999993</v>
      </c>
      <c r="R202" s="15">
        <f>(Q$152 * H183)</f>
        <v>0.76524023039999989</v>
      </c>
      <c r="S202" s="15">
        <f>(R$152 * I183)</f>
        <v>0.65190559679999993</v>
      </c>
      <c r="T202" s="16"/>
    </row>
    <row r="203" spans="3:21" ht="20.100000000000001" customHeight="1" x14ac:dyDescent="0.2">
      <c r="D203" s="15"/>
      <c r="E203" s="15" t="str">
        <f>INDEX(X_Table_Poultry_Stage2MMS_ManureStoredInHouse,6,1)</f>
        <v>Direct application</v>
      </c>
      <c r="F203" s="15">
        <f>(E$152 * F184)</f>
        <v>0.61074998399999991</v>
      </c>
      <c r="G203" s="15">
        <f>(F$152 * G184)</f>
        <v>0.65190559679999971</v>
      </c>
      <c r="H203" s="15">
        <f>(G$152 * H184)</f>
        <v>0.76524023039999967</v>
      </c>
      <c r="I203" s="15">
        <f>(H$152 * I184)</f>
        <v>0.65190559679999971</v>
      </c>
      <c r="N203" s="15"/>
      <c r="O203" s="15" t="str">
        <f>INDEX(X_Table_Poultry_Stage2MMS_ManureStoredInHouse,6,1)</f>
        <v>Direct application</v>
      </c>
      <c r="P203" s="15">
        <f>(O$152 * F184)</f>
        <v>0.61074998399999991</v>
      </c>
      <c r="Q203" s="15">
        <f>(P$152 * G184)</f>
        <v>0.65190559679999971</v>
      </c>
      <c r="R203" s="15">
        <f>(Q$152 * H184)</f>
        <v>0.76524023039999967</v>
      </c>
      <c r="S203" s="15">
        <f>(R$152 * I184)</f>
        <v>0.65190559679999971</v>
      </c>
    </row>
    <row r="206" spans="3:21" ht="20.100000000000001" customHeight="1" x14ac:dyDescent="0.2">
      <c r="C206" s="83"/>
      <c r="D206" s="83"/>
      <c r="E206" s="83"/>
      <c r="F206" s="83"/>
      <c r="G206" s="83"/>
      <c r="H206" s="83"/>
      <c r="I206" s="83"/>
      <c r="J206" s="83"/>
      <c r="K206" s="83"/>
      <c r="M206" s="83"/>
      <c r="N206" s="83"/>
      <c r="O206" s="83"/>
      <c r="P206" s="83"/>
      <c r="Q206" s="83"/>
      <c r="R206" s="83"/>
      <c r="S206" s="83"/>
      <c r="T206" s="83"/>
      <c r="U206" s="83"/>
    </row>
    <row r="207" spans="3:21" ht="20.100000000000001" customHeight="1" x14ac:dyDescent="0.2">
      <c r="D207" s="2" t="s">
        <v>1295</v>
      </c>
    </row>
    <row r="208" spans="3:21" ht="20.100000000000001" customHeight="1" x14ac:dyDescent="0.2">
      <c r="D208" s="17" t="s">
        <v>1296</v>
      </c>
    </row>
    <row r="209" spans="1:19" ht="20.100000000000001" customHeight="1" x14ac:dyDescent="0.2">
      <c r="D209" s="112"/>
      <c r="E209" s="112"/>
    </row>
    <row r="212" spans="1:19" ht="20.100000000000001" customHeight="1" x14ac:dyDescent="0.2">
      <c r="D212" s="75" t="s">
        <v>328</v>
      </c>
      <c r="E212" s="1" t="s">
        <v>1297</v>
      </c>
    </row>
    <row r="213" spans="1:19" ht="20.100000000000001" customHeight="1" x14ac:dyDescent="0.2">
      <c r="D213" s="75" t="s">
        <v>118</v>
      </c>
      <c r="E213" s="9" t="s">
        <v>12</v>
      </c>
    </row>
    <row r="215" spans="1:19" ht="20.100000000000001" customHeight="1" x14ac:dyDescent="0.2">
      <c r="D215" s="113" t="s">
        <v>1298</v>
      </c>
      <c r="E215" s="122" t="s">
        <v>1299</v>
      </c>
      <c r="F215" s="123"/>
      <c r="G215" s="113" t="s">
        <v>482</v>
      </c>
      <c r="H215" s="115" t="s">
        <v>1304</v>
      </c>
      <c r="I215" s="116" t="str" cm="1">
        <f t="array" aca="1" ref="I215" ca="1">HYPERLINK(Common_InputFunctions.Utility_SourceHyperlink($D$105),$D$105)</f>
        <v>M1_Table_MN_j_k_m_T-1</v>
      </c>
      <c r="J215" s="116" t="str" cm="1">
        <f t="array" aca="1" ref="J215" ca="1">HYPERLINK(Common_InputFunctions.Utility_SourceHyperlink($D$186),$D$186)</f>
        <v>M1_Table_MN_j_k_m_T-2</v>
      </c>
    </row>
    <row r="216" spans="1:19" ht="20.100000000000001" customHeight="1" x14ac:dyDescent="0.2">
      <c r="D216" s="113" t="s">
        <v>1300</v>
      </c>
      <c r="E216" s="122" t="s">
        <v>1301</v>
      </c>
      <c r="F216" s="123"/>
      <c r="G216" s="113" t="s">
        <v>1288</v>
      </c>
      <c r="H216" s="115" t="s">
        <v>1203</v>
      </c>
      <c r="I216" s="116" t="str" cm="1">
        <f t="array" aca="1" ref="I216" ca="1">HYPERLINK(Common_InputFunctions.Utility_SourceHyperlink($D$135),$D$135)</f>
        <v>Table_EF_m</v>
      </c>
      <c r="J216" s="116"/>
    </row>
    <row r="217" spans="1:19" ht="20.100000000000001" customHeight="1" x14ac:dyDescent="0.2">
      <c r="D217" s="113" t="s">
        <v>1302</v>
      </c>
      <c r="E217" s="122" t="s">
        <v>1303</v>
      </c>
      <c r="F217" s="123"/>
      <c r="G217" s="113" t="s">
        <v>1258</v>
      </c>
      <c r="H217" s="115" t="s">
        <v>1203</v>
      </c>
      <c r="I217" s="113">
        <f>Common_InputFunctions.Utility_LookupValueInTableNumber("N2O",Table_GasToMolecularConversionFactor[Gas],Table_GasToMolecularConversionFactor[Conversion factor combined])</f>
        <v>1.5714285714285714</v>
      </c>
      <c r="J217" s="113"/>
    </row>
    <row r="218" spans="1:19" ht="20.100000000000001" customHeight="1" x14ac:dyDescent="0.2">
      <c r="A218" s="79" t="str">
        <f>HYPERLINK("#A1", "▲ Back to top")</f>
        <v>▲ Back to top</v>
      </c>
    </row>
    <row r="219" spans="1:19" ht="20.100000000000001" customHeight="1" x14ac:dyDescent="0.2">
      <c r="D219" s="131" t="s">
        <v>414</v>
      </c>
      <c r="E219" s="43"/>
      <c r="F219" s="43"/>
      <c r="G219" s="44"/>
    </row>
    <row r="220" spans="1:19" ht="20.100000000000001" customHeight="1" x14ac:dyDescent="0.2">
      <c r="D220" s="45" t="s">
        <v>415</v>
      </c>
      <c r="E220" s="46"/>
      <c r="F220" s="46"/>
      <c r="G220" s="47"/>
    </row>
    <row r="222" spans="1:19" ht="20.100000000000001" customHeight="1" x14ac:dyDescent="0.2">
      <c r="D222" s="118" t="s">
        <v>416</v>
      </c>
      <c r="N222" s="118" t="s">
        <v>417</v>
      </c>
    </row>
    <row r="223" spans="1:19" ht="20.100000000000001" customHeight="1" x14ac:dyDescent="0.2">
      <c r="D223" s="119" t="s">
        <v>418</v>
      </c>
      <c r="N223" s="119" t="s">
        <v>419</v>
      </c>
    </row>
    <row r="224" spans="1:19" ht="20.100000000000001" customHeight="1" x14ac:dyDescent="0.2">
      <c r="D224" s="120" t="s">
        <v>314</v>
      </c>
      <c r="E224" s="120" t="s">
        <v>318</v>
      </c>
      <c r="F224" s="120" t="s">
        <v>297</v>
      </c>
      <c r="G224" s="120" t="s">
        <v>298</v>
      </c>
      <c r="H224" s="120" t="s">
        <v>299</v>
      </c>
      <c r="I224" s="120" t="s">
        <v>300</v>
      </c>
      <c r="N224" s="120" t="s">
        <v>314</v>
      </c>
      <c r="O224" s="120" t="s">
        <v>318</v>
      </c>
      <c r="P224" s="120" t="s">
        <v>297</v>
      </c>
      <c r="Q224" s="120" t="s">
        <v>298</v>
      </c>
      <c r="R224" s="120" t="s">
        <v>299</v>
      </c>
      <c r="S224" s="120" t="s">
        <v>300</v>
      </c>
    </row>
    <row r="225" spans="4:20" ht="20.100000000000001" customHeight="1" x14ac:dyDescent="0.2">
      <c r="D225" s="15" t="str">
        <f>INDEX(X_Table_Poultry_Stage1MMS,2,1)</f>
        <v>Poultry manure with bedding</v>
      </c>
      <c r="E225" s="15" t="s">
        <v>124</v>
      </c>
      <c r="F225" s="15">
        <f>(E108 * (_xlfn.XLOOKUP($D225, $D$138:$D$145,$E$138:$E$145)) * $I$217 * 10 ^ -3)</f>
        <v>8.0112685714285736E-6</v>
      </c>
      <c r="G225" s="15">
        <f>(F108 * (_xlfn.XLOOKUP($D225, $D$138:$D$145,$E$138:$E$145)) * $I$217 * 10 ^ -3)</f>
        <v>8.5511108571428573E-6</v>
      </c>
      <c r="H225" s="15">
        <f>(G108 * (_xlfn.XLOOKUP($D225, $D$138:$D$145,$E$138:$E$145)) * $I$217 * 10 ^ -3)</f>
        <v>1.0037732571428572E-5</v>
      </c>
      <c r="I225" s="15">
        <f>(H108 * (_xlfn.XLOOKUP($D225, $D$138:$D$145,$E$138:$E$145)) * $I$217 * 10 ^ -3)</f>
        <v>8.5511108571428573E-6</v>
      </c>
      <c r="J225" s="16" t="str">
        <f>$E$213</f>
        <v>t N2O</v>
      </c>
      <c r="N225" s="15" t="str">
        <f>INDEX(X_Table_Poultry_Stage1MMS,2,1)</f>
        <v>Poultry manure with bedding</v>
      </c>
      <c r="O225" s="15" t="s">
        <v>124</v>
      </c>
      <c r="P225" s="15">
        <f>(O108 * (_xlfn.XLOOKUP($N225, $D$138:$D$145,$E$138:$E$145)) * $I$217 * 10 ^ -3)</f>
        <v>8.0112685714285736E-6</v>
      </c>
      <c r="Q225" s="15">
        <f>(P108 * (_xlfn.XLOOKUP($N225, $D$138:$D$145,$E$138:$E$145)) * $I$217 * 10 ^ -3)</f>
        <v>8.5511108571428573E-6</v>
      </c>
      <c r="R225" s="15">
        <f>(Q108 * (_xlfn.XLOOKUP($N225, $D$138:$D$145,$E$138:$E$145)) * $I$217 * 10 ^ -3)</f>
        <v>1.0037732571428572E-5</v>
      </c>
      <c r="S225" s="15">
        <f>(R108 * (_xlfn.XLOOKUP($N225, $D$138:$D$145,$E$138:$E$145)) * $I$217 * 10 ^ -3)</f>
        <v>8.5511108571428573E-6</v>
      </c>
      <c r="T225" s="16" t="str">
        <f>$E$213</f>
        <v>t N2O</v>
      </c>
    </row>
    <row r="226" spans="4:20" ht="20.100000000000001" customHeight="1" x14ac:dyDescent="0.2">
      <c r="D226" s="15" t="str">
        <f>INDEX(X_Table_Poultry_Stage1MMS,3,1)</f>
        <v>Belt manure removal</v>
      </c>
      <c r="E226" s="15" t="s">
        <v>124</v>
      </c>
      <c r="F226" s="15">
        <f>(E109 * (_xlfn.XLOOKUP($D226, $D$138:$D$145,$E$138:$E$145)) * $I$217 * 10 ^ -3)</f>
        <v>8.0112685714285736E-6</v>
      </c>
      <c r="G226" s="15">
        <f>(F109 * (_xlfn.XLOOKUP($D226, $D$138:$D$145,$E$138:$E$145)) * $I$217 * 10 ^ -3)</f>
        <v>8.5511108571428573E-6</v>
      </c>
      <c r="H226" s="15">
        <f>(G109 * (_xlfn.XLOOKUP($D226, $D$138:$D$145,$E$138:$E$145)) * $I$217 * 10 ^ -3)</f>
        <v>1.0037732571428572E-5</v>
      </c>
      <c r="I226" s="15">
        <f>(H109 * (_xlfn.XLOOKUP($D226, $D$138:$D$145,$E$138:$E$145)) * $I$217 * 10 ^ -3)</f>
        <v>8.5511108571428573E-6</v>
      </c>
      <c r="J226" s="16"/>
      <c r="N226" s="15" t="str">
        <f>INDEX(X_Table_Poultry_Stage1MMS,3,1)</f>
        <v>Belt manure removal</v>
      </c>
      <c r="O226" s="15" t="s">
        <v>124</v>
      </c>
      <c r="P226" s="15">
        <f>(O109 * (_xlfn.XLOOKUP($N226, $D$138:$D$145,$E$138:$E$145)) * $I$217 * 10 ^ -3)</f>
        <v>8.0112685714285736E-6</v>
      </c>
      <c r="Q226" s="15">
        <f>(P109 * (_xlfn.XLOOKUP($N226, $D$138:$D$145,$E$138:$E$145)) * $I$217 * 10 ^ -3)</f>
        <v>8.5511108571428573E-6</v>
      </c>
      <c r="R226" s="15">
        <f>(Q109 * (_xlfn.XLOOKUP($N226, $D$138:$D$145,$E$138:$E$145)) * $I$217 * 10 ^ -3)</f>
        <v>1.0037732571428572E-5</v>
      </c>
      <c r="S226" s="15">
        <f>(R109 * (_xlfn.XLOOKUP($N226, $D$138:$D$145,$E$138:$E$145)) * $I$217 * 10 ^ -3)</f>
        <v>8.5511108571428573E-6</v>
      </c>
      <c r="T226" s="16"/>
    </row>
    <row r="227" spans="4:20" ht="20.100000000000001" customHeight="1" x14ac:dyDescent="0.2">
      <c r="D227" s="15" t="str">
        <f>INDEX(X_Table_Poultry_Stage1MMS,4,1)</f>
        <v>Manure stored in house</v>
      </c>
      <c r="E227" s="15" t="s">
        <v>124</v>
      </c>
      <c r="F227" s="15">
        <f>(E110 * (_xlfn.XLOOKUP($D227, $D$138:$D$145,$E$138:$E$145)) * $I$217 * 10 ^ -3)</f>
        <v>8.0112685714285736E-6</v>
      </c>
      <c r="G227" s="15">
        <f>(F110 * (_xlfn.XLOOKUP($D227, $D$138:$D$145,$E$138:$E$145)) * $I$217 * 10 ^ -3)</f>
        <v>8.5511108571428573E-6</v>
      </c>
      <c r="H227" s="15">
        <f>(G110 * (_xlfn.XLOOKUP($D227, $D$138:$D$145,$E$138:$E$145)) * $I$217 * 10 ^ -3)</f>
        <v>1.0037732571428572E-5</v>
      </c>
      <c r="I227" s="15">
        <f>(H110 * (_xlfn.XLOOKUP($D227, $D$138:$D$145,$E$138:$E$145)) * $I$217 * 10 ^ -3)</f>
        <v>8.5511108571428573E-6</v>
      </c>
      <c r="J227" s="16"/>
      <c r="N227" s="15" t="str">
        <f>INDEX(X_Table_Poultry_Stage1MMS,4,1)</f>
        <v>Manure stored in house</v>
      </c>
      <c r="O227" s="15" t="s">
        <v>124</v>
      </c>
      <c r="P227" s="15">
        <f>(O110 * (_xlfn.XLOOKUP($N227, $D$138:$D$145,$E$138:$E$145)) * $I$217 * 10 ^ -3)</f>
        <v>8.0112685714285736E-6</v>
      </c>
      <c r="Q227" s="15">
        <f>(P110 * (_xlfn.XLOOKUP($N227, $D$138:$D$145,$E$138:$E$145)) * $I$217 * 10 ^ -3)</f>
        <v>8.5511108571428573E-6</v>
      </c>
      <c r="R227" s="15">
        <f>(Q110 * (_xlfn.XLOOKUP($N227, $D$138:$D$145,$E$138:$E$145)) * $I$217 * 10 ^ -3)</f>
        <v>1.0037732571428572E-5</v>
      </c>
      <c r="S227" s="15">
        <f>(R110 * (_xlfn.XLOOKUP($N227, $D$138:$D$145,$E$138:$E$145)) * $I$217 * 10 ^ -3)</f>
        <v>8.5511108571428573E-6</v>
      </c>
      <c r="T227" s="16"/>
    </row>
    <row r="228" spans="4:20" ht="20.100000000000001" customHeight="1" x14ac:dyDescent="0.2">
      <c r="D228" s="15" t="str">
        <f>INDEX(X_Table_Poultry_Stage1MMS,5,1)</f>
        <v>Pasture range and paddock</v>
      </c>
      <c r="E228" s="15" t="s">
        <v>124</v>
      </c>
      <c r="F228" s="15">
        <f>(E111 * (_xlfn.XLOOKUP($D228, $D$138:$D$145,$E$138:$E$145)) * $I$217 * 10 ^ -3)</f>
        <v>5.3408457142857159E-5</v>
      </c>
      <c r="G228" s="15">
        <f>(F111 * (_xlfn.XLOOKUP($D228, $D$138:$D$145,$E$138:$E$145)) * $I$217 * 10 ^ -3)</f>
        <v>5.700740571428572E-5</v>
      </c>
      <c r="H228" s="15">
        <f>(G111 * (_xlfn.XLOOKUP($D228, $D$138:$D$145,$E$138:$E$145)) * $I$217 * 10 ^ -3)</f>
        <v>6.6918217142857147E-5</v>
      </c>
      <c r="I228" s="15">
        <f>(H111 * (_xlfn.XLOOKUP($D228, $D$138:$D$145,$E$138:$E$145)) * $I$217 * 10 ^ -3)</f>
        <v>5.700740571428572E-5</v>
      </c>
      <c r="J228" s="16"/>
      <c r="N228" s="15" t="str">
        <f>INDEX(X_Table_Poultry_Stage1MMS,5,1)</f>
        <v>Pasture range and paddock</v>
      </c>
      <c r="O228" s="15" t="s">
        <v>124</v>
      </c>
      <c r="P228" s="15">
        <f>(O111 * (_xlfn.XLOOKUP($N228, $D$138:$D$145,$E$138:$E$145)) * $I$217 * 10 ^ -3)</f>
        <v>5.3408457142857159E-5</v>
      </c>
      <c r="Q228" s="15">
        <f>(P111 * (_xlfn.XLOOKUP($N228, $D$138:$D$145,$E$138:$E$145)) * $I$217 * 10 ^ -3)</f>
        <v>5.700740571428572E-5</v>
      </c>
      <c r="R228" s="15">
        <f>(Q111 * (_xlfn.XLOOKUP($N228, $D$138:$D$145,$E$138:$E$145)) * $I$217 * 10 ^ -3)</f>
        <v>6.6918217142857147E-5</v>
      </c>
      <c r="S228" s="15">
        <f>(R111 * (_xlfn.XLOOKUP($N228, $D$138:$D$145,$E$138:$E$145)) * $I$217 * 10 ^ -3)</f>
        <v>5.700740571428572E-5</v>
      </c>
      <c r="T228" s="16"/>
    </row>
    <row r="229" spans="4:20" ht="20.100000000000001" customHeight="1" x14ac:dyDescent="0.2">
      <c r="D229" s="15" t="str">
        <f>INDEX(X_Table_Poultry_Stage1MMS,2,1)</f>
        <v>Poultry manure with bedding</v>
      </c>
      <c r="E229" s="15" t="str">
        <f>INDEX(X_Table_Poultry_Stage2MMS_PoultryManureWithBedding,2,1)</f>
        <v>Solid storage</v>
      </c>
      <c r="F229" s="15">
        <f>(F189 * (_xlfn.XLOOKUP($E229, $D$138:$D$145,$E$138:$E$145)) * $I$217 * 10 ^ -3)</f>
        <v>5.5998767314285723E-6</v>
      </c>
      <c r="G229" s="15">
        <f>(G189 * (_xlfn.XLOOKUP($E229, $D$138:$D$145,$E$138:$E$145)) * $I$217 * 10 ^ -3)</f>
        <v>5.9772264891428572E-6</v>
      </c>
      <c r="H229" s="15">
        <f>(H189 * (_xlfn.XLOOKUP($E229, $D$138:$D$145,$E$138:$E$145)) * $I$217 * 10 ^ -3)</f>
        <v>7.0163750674285713E-6</v>
      </c>
      <c r="I229" s="15">
        <f>(I189 * (_xlfn.XLOOKUP($E229, $D$138:$D$145,$E$138:$E$145)) * $I$217 * 10 ^ -3)</f>
        <v>5.9772264891428572E-6</v>
      </c>
      <c r="J229" s="16"/>
      <c r="N229" s="15" t="str">
        <f>INDEX(X_Table_Poultry_Stage1MMS,2,1)</f>
        <v>Poultry manure with bedding</v>
      </c>
      <c r="O229" s="15" t="str">
        <f>INDEX(X_Table_Poultry_Stage2MMS_PoultryManureWithBedding,2,1)</f>
        <v>Solid storage</v>
      </c>
      <c r="P229" s="15">
        <f>(P189 * (_xlfn.XLOOKUP($O229, $D$138:$D$145,$E$138:$E$145)) * $I$217 * 10 ^ -3)</f>
        <v>5.5998767314285723E-6</v>
      </c>
      <c r="Q229" s="15">
        <f>(Q189 * (_xlfn.XLOOKUP($O229, $D$138:$D$145,$E$138:$E$145)) * $I$217 * 10 ^ -3)</f>
        <v>5.9772264891428572E-6</v>
      </c>
      <c r="R229" s="15">
        <f>(R189 * (_xlfn.XLOOKUP($O229, $D$138:$D$145,$E$138:$E$145)) * $I$217 * 10 ^ -3)</f>
        <v>7.0163750674285713E-6</v>
      </c>
      <c r="S229" s="15">
        <f>(S189 * (_xlfn.XLOOKUP($O229, $D$138:$D$145,$E$138:$E$145)) * $I$217 * 10 ^ -3)</f>
        <v>5.9772264891428572E-6</v>
      </c>
      <c r="T229" s="16"/>
    </row>
    <row r="230" spans="4:20" ht="20.100000000000001" customHeight="1" x14ac:dyDescent="0.2">
      <c r="D230" s="15"/>
      <c r="E230" s="15" t="str">
        <f>INDEX(X_Table_Poultry_Stage2MMS_PoultryManureWithBedding,3,1)</f>
        <v>Composting (passive windrow)</v>
      </c>
      <c r="F230" s="15">
        <f>(F190 * (_xlfn.XLOOKUP($E230, $D$138:$D$145,$E$138:$E$145)) * $I$217 * 10 ^ -3)</f>
        <v>1.1199753462857145E-5</v>
      </c>
      <c r="G230" s="15">
        <f>(G190 * (_xlfn.XLOOKUP($E230, $D$138:$D$145,$E$138:$E$145)) * $I$217 * 10 ^ -3)</f>
        <v>1.1954452978285714E-5</v>
      </c>
      <c r="H230" s="15">
        <f>(H190 * (_xlfn.XLOOKUP($E230, $D$138:$D$145,$E$138:$E$145)) * $I$217 * 10 ^ -3)</f>
        <v>1.4032750134857143E-5</v>
      </c>
      <c r="I230" s="15">
        <f>(I190 * (_xlfn.XLOOKUP($E230, $D$138:$D$145,$E$138:$E$145)) * $I$217 * 10 ^ -3)</f>
        <v>1.1954452978285714E-5</v>
      </c>
      <c r="J230" s="16"/>
      <c r="N230" s="15"/>
      <c r="O230" s="15" t="str">
        <f>INDEX(X_Table_Poultry_Stage2MMS_PoultryManureWithBedding,3,1)</f>
        <v>Composting (passive windrow)</v>
      </c>
      <c r="P230" s="15">
        <f>(P190 * (_xlfn.XLOOKUP($O230, $D$138:$D$145,$E$138:$E$145)) * $I$217 * 10 ^ -3)</f>
        <v>1.1199753462857145E-5</v>
      </c>
      <c r="Q230" s="15">
        <f>(Q190 * (_xlfn.XLOOKUP($O230, $D$138:$D$145,$E$138:$E$145)) * $I$217 * 10 ^ -3)</f>
        <v>1.1954452978285714E-5</v>
      </c>
      <c r="R230" s="15">
        <f>(R190 * (_xlfn.XLOOKUP($O230, $D$138:$D$145,$E$138:$E$145)) * $I$217 * 10 ^ -3)</f>
        <v>1.4032750134857143E-5</v>
      </c>
      <c r="S230" s="15">
        <f>(S190 * (_xlfn.XLOOKUP($O230, $D$138:$D$145,$E$138:$E$145)) * $I$217 * 10 ^ -3)</f>
        <v>1.1954452978285714E-5</v>
      </c>
      <c r="T230" s="16"/>
    </row>
    <row r="231" spans="4:20" ht="20.100000000000001" customHeight="1" x14ac:dyDescent="0.2">
      <c r="D231" s="15"/>
      <c r="E231" s="15" t="str">
        <f>INDEX(X_Table_Poultry_Stage2MMS_PoultryManureWithBedding,4,1)</f>
        <v>Digester / covered lagoons</v>
      </c>
      <c r="F231" s="15">
        <f>(F191 * (_xlfn.XLOOKUP($E231, $D$138:$D$145,$E$138:$E$145)) * $I$217 * 10 ^ -3)</f>
        <v>0</v>
      </c>
      <c r="G231" s="15">
        <f>(G191 * (_xlfn.XLOOKUP($E231, $D$138:$D$145,$E$138:$E$145)) * $I$217 * 10 ^ -3)</f>
        <v>0</v>
      </c>
      <c r="H231" s="15">
        <f>(H191 * (_xlfn.XLOOKUP($E231, $D$138:$D$145,$E$138:$E$145)) * $I$217 * 10 ^ -3)</f>
        <v>0</v>
      </c>
      <c r="I231" s="15">
        <f>(I191 * (_xlfn.XLOOKUP($E231, $D$138:$D$145,$E$138:$E$145)) * $I$217 * 10 ^ -3)</f>
        <v>0</v>
      </c>
      <c r="J231" s="16"/>
      <c r="N231" s="15"/>
      <c r="O231" s="15" t="str">
        <f>INDEX(X_Table_Poultry_Stage2MMS_PoultryManureWithBedding,4,1)</f>
        <v>Digester / covered lagoons</v>
      </c>
      <c r="P231" s="15">
        <f>(P191 * (_xlfn.XLOOKUP($O231, $D$138:$D$145,$E$138:$E$145)) * $I$217 * 10 ^ -3)</f>
        <v>0</v>
      </c>
      <c r="Q231" s="15">
        <f>(Q191 * (_xlfn.XLOOKUP($O231, $D$138:$D$145,$E$138:$E$145)) * $I$217 * 10 ^ -3)</f>
        <v>0</v>
      </c>
      <c r="R231" s="15">
        <f>(R191 * (_xlfn.XLOOKUP($O231, $D$138:$D$145,$E$138:$E$145)) * $I$217 * 10 ^ -3)</f>
        <v>0</v>
      </c>
      <c r="S231" s="15">
        <f>(S191 * (_xlfn.XLOOKUP($O231, $D$138:$D$145,$E$138:$E$145)) * $I$217 * 10 ^ -3)</f>
        <v>0</v>
      </c>
      <c r="T231" s="16"/>
    </row>
    <row r="232" spans="4:20" ht="20.100000000000001" customHeight="1" x14ac:dyDescent="0.2">
      <c r="D232" s="15"/>
      <c r="E232" s="15" t="str">
        <f>INDEX(X_Table_Poultry_Stage2MMS_PoultryManureWithBedding,5,1)</f>
        <v>Direct processing</v>
      </c>
      <c r="F232" s="15">
        <f>(F192 * (_xlfn.XLOOKUP($E232, $D$138:$D$145,$E$138:$E$145)) * $I$217 * 10 ^ -3)</f>
        <v>0</v>
      </c>
      <c r="G232" s="15">
        <f>(G192 * (_xlfn.XLOOKUP($E232, $D$138:$D$145,$E$138:$E$145)) * $I$217 * 10 ^ -3)</f>
        <v>0</v>
      </c>
      <c r="H232" s="15">
        <f>(H192 * (_xlfn.XLOOKUP($E232, $D$138:$D$145,$E$138:$E$145)) * $I$217 * 10 ^ -3)</f>
        <v>0</v>
      </c>
      <c r="I232" s="15">
        <f>(I192 * (_xlfn.XLOOKUP($E232, $D$138:$D$145,$E$138:$E$145)) * $I$217 * 10 ^ -3)</f>
        <v>0</v>
      </c>
      <c r="J232" s="16"/>
      <c r="N232" s="15"/>
      <c r="O232" s="15" t="str">
        <f>INDEX(X_Table_Poultry_Stage2MMS_PoultryManureWithBedding,5,1)</f>
        <v>Direct processing</v>
      </c>
      <c r="P232" s="15">
        <f>(P192 * (_xlfn.XLOOKUP($O232, $D$138:$D$145,$E$138:$E$145)) * $I$217 * 10 ^ -3)</f>
        <v>0</v>
      </c>
      <c r="Q232" s="15">
        <f>(Q192 * (_xlfn.XLOOKUP($O232, $D$138:$D$145,$E$138:$E$145)) * $I$217 * 10 ^ -3)</f>
        <v>0</v>
      </c>
      <c r="R232" s="15">
        <f>(R192 * (_xlfn.XLOOKUP($O232, $D$138:$D$145,$E$138:$E$145)) * $I$217 * 10 ^ -3)</f>
        <v>0</v>
      </c>
      <c r="S232" s="15">
        <f>(S192 * (_xlfn.XLOOKUP($O232, $D$138:$D$145,$E$138:$E$145)) * $I$217 * 10 ^ -3)</f>
        <v>0</v>
      </c>
      <c r="T232" s="16"/>
    </row>
    <row r="233" spans="4:20" ht="20.100000000000001" customHeight="1" x14ac:dyDescent="0.2">
      <c r="D233" s="15"/>
      <c r="E233" s="15" t="str">
        <f>INDEX(X_Table_Poultry_Stage2MMS_PoultryManureWithBedding,6,1)</f>
        <v>Direct application</v>
      </c>
      <c r="F233" s="15" t="s">
        <v>124</v>
      </c>
      <c r="G233" s="15" t="s">
        <v>124</v>
      </c>
      <c r="H233" s="15" t="s">
        <v>124</v>
      </c>
      <c r="I233" s="15" t="s">
        <v>124</v>
      </c>
      <c r="N233" s="15"/>
      <c r="O233" s="15" t="str">
        <f>INDEX(X_Table_Poultry_Stage2MMS_PoultryManureWithBedding,6,1)</f>
        <v>Direct application</v>
      </c>
      <c r="P233" s="15" t="s">
        <v>124</v>
      </c>
      <c r="Q233" s="15" t="s">
        <v>124</v>
      </c>
      <c r="R233" s="15" t="s">
        <v>124</v>
      </c>
      <c r="S233" s="15" t="s">
        <v>124</v>
      </c>
    </row>
    <row r="234" spans="4:20" ht="20.100000000000001" customHeight="1" x14ac:dyDescent="0.2">
      <c r="D234" s="15" t="str">
        <f>INDEX(X_Table_Poultry_Stage1MMS,3,1)</f>
        <v>Belt manure removal</v>
      </c>
      <c r="E234" s="15" t="str">
        <f>INDEX(X_Table_Poultry_Stage2MMS_BeltManureRemoval,2,1)</f>
        <v>Solid storage</v>
      </c>
      <c r="F234" s="15">
        <f>(F194 * (_xlfn.XLOOKUP($E234, $D$138:$D$145,$E$138:$E$145)) * $I$217 * 10 ^ -3)</f>
        <v>7.6026938742857157E-6</v>
      </c>
      <c r="G234" s="15">
        <f>(G194 * (_xlfn.XLOOKUP($E234, $D$138:$D$145,$E$138:$E$145)) * $I$217 * 10 ^ -3)</f>
        <v>8.1150042034285711E-6</v>
      </c>
      <c r="H234" s="15">
        <f>(H194 * (_xlfn.XLOOKUP($E234, $D$138:$D$145,$E$138:$E$145)) * $I$217 * 10 ^ -3)</f>
        <v>9.5258082102857138E-6</v>
      </c>
      <c r="I234" s="15">
        <f>(I194 * (_xlfn.XLOOKUP($E234, $D$138:$D$145,$E$138:$E$145)) * $I$217 * 10 ^ -3)</f>
        <v>8.1150042034285711E-6</v>
      </c>
      <c r="J234" s="16"/>
      <c r="N234" s="15" t="str">
        <f>INDEX(X_Table_Poultry_Stage1MMS,3,1)</f>
        <v>Belt manure removal</v>
      </c>
      <c r="O234" s="15" t="str">
        <f>INDEX(X_Table_Poultry_Stage2MMS_BeltManureRemoval,2,1)</f>
        <v>Solid storage</v>
      </c>
      <c r="P234" s="15">
        <f>(P194 * (_xlfn.XLOOKUP($O234, $D$138:$D$145,$E$138:$E$145)) * $I$217 * 10 ^ -3)</f>
        <v>7.6026938742857157E-6</v>
      </c>
      <c r="Q234" s="15">
        <f>(Q194 * (_xlfn.XLOOKUP($O234, $D$138:$D$145,$E$138:$E$145)) * $I$217 * 10 ^ -3)</f>
        <v>8.1150042034285711E-6</v>
      </c>
      <c r="R234" s="15">
        <f>(R194 * (_xlfn.XLOOKUP($O234, $D$138:$D$145,$E$138:$E$145)) * $I$217 * 10 ^ -3)</f>
        <v>9.5258082102857138E-6</v>
      </c>
      <c r="S234" s="15">
        <f>(S194 * (_xlfn.XLOOKUP($O234, $D$138:$D$145,$E$138:$E$145)) * $I$217 * 10 ^ -3)</f>
        <v>8.1150042034285711E-6</v>
      </c>
      <c r="T234" s="16"/>
    </row>
    <row r="235" spans="4:20" ht="20.100000000000001" customHeight="1" x14ac:dyDescent="0.2">
      <c r="D235" s="15"/>
      <c r="E235" s="15" t="str">
        <f>INDEX(X_Table_Poultry_Stage2MMS_BeltManureRemoval,3,1)</f>
        <v>Composting (passive windrow)</v>
      </c>
      <c r="F235" s="15">
        <f>(F195 * (_xlfn.XLOOKUP($E235, $D$138:$D$145,$E$138:$E$145)) * $I$217 * 10 ^ -3)</f>
        <v>1.5205387748571431E-5</v>
      </c>
      <c r="G235" s="15">
        <f>(G195 * (_xlfn.XLOOKUP($E235, $D$138:$D$145,$E$138:$E$145)) * $I$217 * 10 ^ -3)</f>
        <v>1.6230008406857142E-5</v>
      </c>
      <c r="H235" s="15">
        <f>(H195 * (_xlfn.XLOOKUP($E235, $D$138:$D$145,$E$138:$E$145)) * $I$217 * 10 ^ -3)</f>
        <v>1.9051616420571428E-5</v>
      </c>
      <c r="I235" s="15">
        <f>(I195 * (_xlfn.XLOOKUP($E235, $D$138:$D$145,$E$138:$E$145)) * $I$217 * 10 ^ -3)</f>
        <v>1.6230008406857142E-5</v>
      </c>
      <c r="J235" s="16"/>
      <c r="N235" s="15"/>
      <c r="O235" s="15" t="str">
        <f>INDEX(X_Table_Poultry_Stage2MMS_BeltManureRemoval,3,1)</f>
        <v>Composting (passive windrow)</v>
      </c>
      <c r="P235" s="15">
        <f>(P195 * (_xlfn.XLOOKUP($O235, $D$138:$D$145,$E$138:$E$145)) * $I$217 * 10 ^ -3)</f>
        <v>1.5205387748571431E-5</v>
      </c>
      <c r="Q235" s="15">
        <f>(Q195 * (_xlfn.XLOOKUP($O235, $D$138:$D$145,$E$138:$E$145)) * $I$217 * 10 ^ -3)</f>
        <v>1.6230008406857142E-5</v>
      </c>
      <c r="R235" s="15">
        <f>(R195 * (_xlfn.XLOOKUP($O235, $D$138:$D$145,$E$138:$E$145)) * $I$217 * 10 ^ -3)</f>
        <v>1.9051616420571428E-5</v>
      </c>
      <c r="S235" s="15">
        <f>(S195 * (_xlfn.XLOOKUP($O235, $D$138:$D$145,$E$138:$E$145)) * $I$217 * 10 ^ -3)</f>
        <v>1.6230008406857142E-5</v>
      </c>
      <c r="T235" s="16"/>
    </row>
    <row r="236" spans="4:20" ht="20.100000000000001" customHeight="1" x14ac:dyDescent="0.2">
      <c r="D236" s="15"/>
      <c r="E236" s="15" t="str">
        <f>INDEX(X_Table_Poultry_Stage2MMS_BeltManureRemoval,4,1)</f>
        <v>Digester / covered lagoons</v>
      </c>
      <c r="F236" s="15">
        <f>(F196 * (_xlfn.XLOOKUP($E236, $D$138:$D$145,$E$138:$E$145)) * $I$217 * 10 ^ -3)</f>
        <v>0</v>
      </c>
      <c r="G236" s="15">
        <f>(G196 * (_xlfn.XLOOKUP($E236, $D$138:$D$145,$E$138:$E$145)) * $I$217 * 10 ^ -3)</f>
        <v>0</v>
      </c>
      <c r="H236" s="15">
        <f>(H196 * (_xlfn.XLOOKUP($E236, $D$138:$D$145,$E$138:$E$145)) * $I$217 * 10 ^ -3)</f>
        <v>0</v>
      </c>
      <c r="I236" s="15">
        <f>(I196 * (_xlfn.XLOOKUP($E236, $D$138:$D$145,$E$138:$E$145)) * $I$217 * 10 ^ -3)</f>
        <v>0</v>
      </c>
      <c r="J236" s="16"/>
      <c r="N236" s="15"/>
      <c r="O236" s="15" t="str">
        <f>INDEX(X_Table_Poultry_Stage2MMS_BeltManureRemoval,4,1)</f>
        <v>Digester / covered lagoons</v>
      </c>
      <c r="P236" s="15">
        <f>(P196 * (_xlfn.XLOOKUP($O236, $D$138:$D$145,$E$138:$E$145)) * $I$217 * 10 ^ -3)</f>
        <v>0</v>
      </c>
      <c r="Q236" s="15">
        <f>(Q196 * (_xlfn.XLOOKUP($O236, $D$138:$D$145,$E$138:$E$145)) * $I$217 * 10 ^ -3)</f>
        <v>0</v>
      </c>
      <c r="R236" s="15">
        <f>(R196 * (_xlfn.XLOOKUP($O236, $D$138:$D$145,$E$138:$E$145)) * $I$217 * 10 ^ -3)</f>
        <v>0</v>
      </c>
      <c r="S236" s="15">
        <f>(S196 * (_xlfn.XLOOKUP($O236, $D$138:$D$145,$E$138:$E$145)) * $I$217 * 10 ^ -3)</f>
        <v>0</v>
      </c>
      <c r="T236" s="16"/>
    </row>
    <row r="237" spans="4:20" ht="20.100000000000001" customHeight="1" x14ac:dyDescent="0.2">
      <c r="D237" s="15"/>
      <c r="E237" s="15" t="str">
        <f>INDEX(X_Table_Poultry_Stage2MMS_BeltManureRemoval,5,1)</f>
        <v>Direct processing</v>
      </c>
      <c r="F237" s="15">
        <f>(F197 * (_xlfn.XLOOKUP($E237, $D$138:$D$145,$E$138:$E$145)) * $I$217 * 10 ^ -3)</f>
        <v>0</v>
      </c>
      <c r="G237" s="15">
        <f>(G197 * (_xlfn.XLOOKUP($E237, $D$138:$D$145,$E$138:$E$145)) * $I$217 * 10 ^ -3)</f>
        <v>0</v>
      </c>
      <c r="H237" s="15">
        <f>(H197 * (_xlfn.XLOOKUP($E237, $D$138:$D$145,$E$138:$E$145)) * $I$217 * 10 ^ -3)</f>
        <v>0</v>
      </c>
      <c r="I237" s="15">
        <f>(I197 * (_xlfn.XLOOKUP($E237, $D$138:$D$145,$E$138:$E$145)) * $I$217 * 10 ^ -3)</f>
        <v>0</v>
      </c>
      <c r="J237" s="16"/>
      <c r="N237" s="15"/>
      <c r="O237" s="15" t="str">
        <f>INDEX(X_Table_Poultry_Stage2MMS_BeltManureRemoval,5,1)</f>
        <v>Direct processing</v>
      </c>
      <c r="P237" s="15">
        <f>(P197 * (_xlfn.XLOOKUP($O237, $D$138:$D$145,$E$138:$E$145)) * $I$217 * 10 ^ -3)</f>
        <v>0</v>
      </c>
      <c r="Q237" s="15">
        <f>(Q197 * (_xlfn.XLOOKUP($O237, $D$138:$D$145,$E$138:$E$145)) * $I$217 * 10 ^ -3)</f>
        <v>0</v>
      </c>
      <c r="R237" s="15">
        <f>(R197 * (_xlfn.XLOOKUP($O237, $D$138:$D$145,$E$138:$E$145)) * $I$217 * 10 ^ -3)</f>
        <v>0</v>
      </c>
      <c r="S237" s="15">
        <f>(S197 * (_xlfn.XLOOKUP($O237, $D$138:$D$145,$E$138:$E$145)) * $I$217 * 10 ^ -3)</f>
        <v>0</v>
      </c>
      <c r="T237" s="16"/>
    </row>
    <row r="238" spans="4:20" ht="20.100000000000001" customHeight="1" x14ac:dyDescent="0.2">
      <c r="D238" s="15"/>
      <c r="E238" s="15" t="str">
        <f>INDEX(X_Table_Poultry_Stage2MMS_BeltManureRemoval,6,1)</f>
        <v>Direct application</v>
      </c>
      <c r="F238" s="15" t="s">
        <v>124</v>
      </c>
      <c r="G238" s="15" t="s">
        <v>124</v>
      </c>
      <c r="H238" s="15" t="s">
        <v>124</v>
      </c>
      <c r="I238" s="15" t="s">
        <v>124</v>
      </c>
      <c r="N238" s="15"/>
      <c r="O238" s="15" t="str">
        <f>INDEX(X_Table_Poultry_Stage2MMS_BeltManureRemoval,6,1)</f>
        <v>Direct application</v>
      </c>
      <c r="P238" s="15" t="s">
        <v>124</v>
      </c>
      <c r="Q238" s="15" t="s">
        <v>124</v>
      </c>
      <c r="R238" s="15" t="s">
        <v>124</v>
      </c>
      <c r="S238" s="15" t="s">
        <v>124</v>
      </c>
    </row>
    <row r="239" spans="4:20" ht="20.100000000000001" customHeight="1" x14ac:dyDescent="0.2">
      <c r="D239" s="15" t="str">
        <f>INDEX(X_Table_Poultry_Stage1MMS,4,1)</f>
        <v>Manure stored in house</v>
      </c>
      <c r="E239" s="15" t="str">
        <f>INDEX(X_Table_Poultry_Stage2MMS_ManureStoredInHouse,2,1)</f>
        <v>Solid storage</v>
      </c>
      <c r="F239" s="15">
        <f>(F199 * (_xlfn.XLOOKUP($E239, $D$138:$D$145,$E$138:$E$145)) * $I$217 * 10 ^ -3)</f>
        <v>4.7987498742857158E-6</v>
      </c>
      <c r="G239" s="15">
        <f>(G199 * (_xlfn.XLOOKUP($E239, $D$138:$D$145,$E$138:$E$145)) * $I$217 * 10 ^ -3)</f>
        <v>5.1221154034285713E-6</v>
      </c>
      <c r="H239" s="15">
        <f>(H199 * (_xlfn.XLOOKUP($E239, $D$138:$D$145,$E$138:$E$145)) * $I$217 * 10 ^ -3)</f>
        <v>6.0126018102857129E-6</v>
      </c>
      <c r="I239" s="15">
        <f>(I199 * (_xlfn.XLOOKUP($E239, $D$138:$D$145,$E$138:$E$145)) * $I$217 * 10 ^ -3)</f>
        <v>5.1221154034285713E-6</v>
      </c>
      <c r="J239" s="16"/>
      <c r="N239" s="15" t="str">
        <f>INDEX(X_Table_Poultry_Stage1MMS,4,1)</f>
        <v>Manure stored in house</v>
      </c>
      <c r="O239" s="15" t="str">
        <f>INDEX(X_Table_Poultry_Stage2MMS_ManureStoredInHouse,2,1)</f>
        <v>Solid storage</v>
      </c>
      <c r="P239" s="15">
        <f>(P199 * (_xlfn.XLOOKUP($O239, $D$138:$D$145,$E$138:$E$145)) * $I$217 * 10 ^ -3)</f>
        <v>4.7987498742857158E-6</v>
      </c>
      <c r="Q239" s="15">
        <f>(Q199 * (_xlfn.XLOOKUP($O239, $D$138:$D$145,$E$138:$E$145)) * $I$217 * 10 ^ -3)</f>
        <v>5.1221154034285713E-6</v>
      </c>
      <c r="R239" s="15">
        <f>(R199 * (_xlfn.XLOOKUP($O239, $D$138:$D$145,$E$138:$E$145)) * $I$217 * 10 ^ -3)</f>
        <v>6.0126018102857129E-6</v>
      </c>
      <c r="S239" s="15">
        <f>(S199 * (_xlfn.XLOOKUP($O239, $D$138:$D$145,$E$138:$E$145)) * $I$217 * 10 ^ -3)</f>
        <v>5.1221154034285713E-6</v>
      </c>
      <c r="T239" s="16"/>
    </row>
    <row r="240" spans="4:20" ht="20.100000000000001" customHeight="1" x14ac:dyDescent="0.2">
      <c r="D240" s="15"/>
      <c r="E240" s="15" t="str">
        <f>INDEX(X_Table_Poultry_Stage2MMS_ManureStoredInHouse,3,1)</f>
        <v>Composting (passive windrow)</v>
      </c>
      <c r="F240" s="15">
        <f>(F200 * (_xlfn.XLOOKUP($E240, $D$138:$D$145,$E$138:$E$145)) * $I$217 * 10 ^ -3)</f>
        <v>9.5974997485714317E-6</v>
      </c>
      <c r="G240" s="15">
        <f>(G200 * (_xlfn.XLOOKUP($E240, $D$138:$D$145,$E$138:$E$145)) * $I$217 * 10 ^ -3)</f>
        <v>1.0244230806857143E-5</v>
      </c>
      <c r="H240" s="15">
        <f>(H200 * (_xlfn.XLOOKUP($E240, $D$138:$D$145,$E$138:$E$145)) * $I$217 * 10 ^ -3)</f>
        <v>1.2025203620571426E-5</v>
      </c>
      <c r="I240" s="15">
        <f>(I200 * (_xlfn.XLOOKUP($E240, $D$138:$D$145,$E$138:$E$145)) * $I$217 * 10 ^ -3)</f>
        <v>1.0244230806857143E-5</v>
      </c>
      <c r="J240" s="16"/>
      <c r="N240" s="15"/>
      <c r="O240" s="15" t="str">
        <f>INDEX(X_Table_Poultry_Stage2MMS_ManureStoredInHouse,3,1)</f>
        <v>Composting (passive windrow)</v>
      </c>
      <c r="P240" s="15">
        <f>(P200 * (_xlfn.XLOOKUP($O240, $D$138:$D$145,$E$138:$E$145)) * $I$217 * 10 ^ -3)</f>
        <v>9.5974997485714317E-6</v>
      </c>
      <c r="Q240" s="15">
        <f>(Q200 * (_xlfn.XLOOKUP($O240, $D$138:$D$145,$E$138:$E$145)) * $I$217 * 10 ^ -3)</f>
        <v>1.0244230806857143E-5</v>
      </c>
      <c r="R240" s="15">
        <f>(R200 * (_xlfn.XLOOKUP($O240, $D$138:$D$145,$E$138:$E$145)) * $I$217 * 10 ^ -3)</f>
        <v>1.2025203620571426E-5</v>
      </c>
      <c r="S240" s="15">
        <f>(S200 * (_xlfn.XLOOKUP($O240, $D$138:$D$145,$E$138:$E$145)) * $I$217 * 10 ^ -3)</f>
        <v>1.0244230806857143E-5</v>
      </c>
      <c r="T240" s="16"/>
    </row>
    <row r="241" spans="1:20" ht="20.100000000000001" customHeight="1" x14ac:dyDescent="0.2">
      <c r="D241" s="15"/>
      <c r="E241" s="15" t="str">
        <f>INDEX(X_Table_Poultry_Stage2MMS_ManureStoredInHouse,4,1)</f>
        <v>Digester / covered lagoons</v>
      </c>
      <c r="F241" s="15">
        <f>(F201 * (_xlfn.XLOOKUP($E241, $D$138:$D$145,$E$138:$E$145)) * $I$217 * 10 ^ -3)</f>
        <v>0</v>
      </c>
      <c r="G241" s="15">
        <f>(G201 * (_xlfn.XLOOKUP($E241, $D$138:$D$145,$E$138:$E$145)) * $I$217 * 10 ^ -3)</f>
        <v>0</v>
      </c>
      <c r="H241" s="15">
        <f>(H201 * (_xlfn.XLOOKUP($E241, $D$138:$D$145,$E$138:$E$145)) * $I$217 * 10 ^ -3)</f>
        <v>0</v>
      </c>
      <c r="I241" s="15">
        <f>(I201 * (_xlfn.XLOOKUP($E241, $D$138:$D$145,$E$138:$E$145)) * $I$217 * 10 ^ -3)</f>
        <v>0</v>
      </c>
      <c r="J241" s="16"/>
      <c r="N241" s="15"/>
      <c r="O241" s="15" t="str">
        <f>INDEX(X_Table_Poultry_Stage2MMS_ManureStoredInHouse,4,1)</f>
        <v>Digester / covered lagoons</v>
      </c>
      <c r="P241" s="15">
        <f>(P201 * (_xlfn.XLOOKUP($O241, $D$138:$D$145,$E$138:$E$145)) * $I$217 * 10 ^ -3)</f>
        <v>0</v>
      </c>
      <c r="Q241" s="15">
        <f>(Q201 * (_xlfn.XLOOKUP($O241, $D$138:$D$145,$E$138:$E$145)) * $I$217 * 10 ^ -3)</f>
        <v>0</v>
      </c>
      <c r="R241" s="15">
        <f>(R201 * (_xlfn.XLOOKUP($O241, $D$138:$D$145,$E$138:$E$145)) * $I$217 * 10 ^ -3)</f>
        <v>0</v>
      </c>
      <c r="S241" s="15">
        <f>(S201 * (_xlfn.XLOOKUP($O241, $D$138:$D$145,$E$138:$E$145)) * $I$217 * 10 ^ -3)</f>
        <v>0</v>
      </c>
      <c r="T241" s="16"/>
    </row>
    <row r="242" spans="1:20" ht="20.100000000000001" customHeight="1" x14ac:dyDescent="0.2">
      <c r="D242" s="15"/>
      <c r="E242" s="15" t="str">
        <f>INDEX(X_Table_Poultry_Stage2MMS_ManureStoredInHouse,5,1)</f>
        <v>Direct processing</v>
      </c>
      <c r="F242" s="15">
        <f>(F202 * (_xlfn.XLOOKUP($E242, $D$138:$D$145,$E$138:$E$145)) * $I$217 * 10 ^ -3)</f>
        <v>0</v>
      </c>
      <c r="G242" s="15">
        <f>(G202 * (_xlfn.XLOOKUP($E242, $D$138:$D$145,$E$138:$E$145)) * $I$217 * 10 ^ -3)</f>
        <v>0</v>
      </c>
      <c r="H242" s="15">
        <f>(H202 * (_xlfn.XLOOKUP($E242, $D$138:$D$145,$E$138:$E$145)) * $I$217 * 10 ^ -3)</f>
        <v>0</v>
      </c>
      <c r="I242" s="15">
        <f>(I202 * (_xlfn.XLOOKUP($E242, $D$138:$D$145,$E$138:$E$145)) * $I$217 * 10 ^ -3)</f>
        <v>0</v>
      </c>
      <c r="J242" s="16"/>
      <c r="N242" s="15"/>
      <c r="O242" s="15" t="str">
        <f>INDEX(X_Table_Poultry_Stage2MMS_ManureStoredInHouse,5,1)</f>
        <v>Direct processing</v>
      </c>
      <c r="P242" s="15">
        <f>(P202 * (_xlfn.XLOOKUP($O242, $D$138:$D$145,$E$138:$E$145)) * $I$217 * 10 ^ -3)</f>
        <v>0</v>
      </c>
      <c r="Q242" s="15">
        <f>(Q202 * (_xlfn.XLOOKUP($O242, $D$138:$D$145,$E$138:$E$145)) * $I$217 * 10 ^ -3)</f>
        <v>0</v>
      </c>
      <c r="R242" s="15">
        <f>(R202 * (_xlfn.XLOOKUP($O242, $D$138:$D$145,$E$138:$E$145)) * $I$217 * 10 ^ -3)</f>
        <v>0</v>
      </c>
      <c r="S242" s="15">
        <f>(S202 * (_xlfn.XLOOKUP($O242, $D$138:$D$145,$E$138:$E$145)) * $I$217 * 10 ^ -3)</f>
        <v>0</v>
      </c>
      <c r="T242" s="16"/>
    </row>
    <row r="243" spans="1:20" ht="20.100000000000001" customHeight="1" x14ac:dyDescent="0.2">
      <c r="D243" s="15"/>
      <c r="E243" s="15" t="str">
        <f>INDEX(X_Table_Poultry_Stage2MMS_ManureStoredInHouse,6,1)</f>
        <v>Direct application</v>
      </c>
      <c r="F243" s="15" t="s">
        <v>124</v>
      </c>
      <c r="G243" s="15" t="s">
        <v>124</v>
      </c>
      <c r="H243" s="15" t="s">
        <v>124</v>
      </c>
      <c r="I243" s="15" t="s">
        <v>124</v>
      </c>
      <c r="N243" s="15"/>
      <c r="O243" s="15" t="str">
        <f>INDEX(X_Table_Poultry_Stage2MMS_ManureStoredInHouse,6,1)</f>
        <v>Direct application</v>
      </c>
      <c r="P243" s="15" t="s">
        <v>124</v>
      </c>
      <c r="Q243" s="15" t="s">
        <v>124</v>
      </c>
      <c r="R243" s="15" t="s">
        <v>124</v>
      </c>
      <c r="S243" s="15" t="s">
        <v>124</v>
      </c>
    </row>
    <row r="245" spans="1:20" ht="20.100000000000001" customHeight="1" x14ac:dyDescent="0.2">
      <c r="D245" s="85" t="s">
        <v>420</v>
      </c>
      <c r="E245" s="86">
        <f>SUM(F225:I243)</f>
        <v>5.7674954756571411E-4</v>
      </c>
      <c r="F245" s="95" t="str">
        <f>$E$213</f>
        <v>t N2O</v>
      </c>
      <c r="N245" s="85" t="s">
        <v>420</v>
      </c>
      <c r="O245" s="86">
        <f>SUM(P225:S243)</f>
        <v>5.7674954756571411E-4</v>
      </c>
      <c r="P245" s="95" t="str">
        <f>$E$213</f>
        <v>t N2O</v>
      </c>
    </row>
    <row r="247" spans="1:20" ht="20.100000000000001" customHeight="1" x14ac:dyDescent="0.2">
      <c r="D247" s="126" t="str" cm="1">
        <f t="array" ref="D247:E248">Common_Equations.Common_ConvertN2OToCO2e_Arguments()</f>
        <v>EN2O</v>
      </c>
      <c r="E247" s="129" t="str">
        <v>Nitrous oxide emissions (t N2O)</v>
      </c>
      <c r="F247" s="130"/>
      <c r="G247" s="15">
        <f>VEERG_4_6_1_3__1_TotalAnnualDirectNitrousOxideEmissionsFromMMS_Result_Method1</f>
        <v>5.7674954756571411E-4</v>
      </c>
      <c r="N247" s="126" t="str" cm="1">
        <f t="array" ref="N247:O248">Common_Equations.Common_ConvertN2OToCO2e_Arguments()</f>
        <v>EN2O</v>
      </c>
      <c r="O247" s="129" t="str">
        <v>Nitrous oxide emissions (t N2O)</v>
      </c>
      <c r="P247" s="130"/>
      <c r="Q247" s="15">
        <f>VEERG_4_6_1_3__1_TotalAnnualDirectNitrousOxideEmissionsFromMMS_Result_Method2</f>
        <v>5.7674954756571411E-4</v>
      </c>
    </row>
    <row r="248" spans="1:20" ht="20.100000000000001" customHeight="1" x14ac:dyDescent="0.2">
      <c r="A248" s="79" t="str">
        <f>HYPERLINK("#A1", "▲ Back to top")</f>
        <v>▲ Back to top</v>
      </c>
      <c r="D248" s="126" t="str">
        <v>GWPN2O</v>
      </c>
      <c r="E248" s="129" t="str">
        <v>Global warming potential for nitrous oxide (t CO2-e / t N2O)</v>
      </c>
      <c r="F248" s="130"/>
      <c r="G248" s="15">
        <f>Common_InputFunctions.Utility_LookupValueInTableNumber("N2O", Table_GWPData[Gas],Table_GWPData[CO2-e factor])</f>
        <v>265</v>
      </c>
      <c r="N248" s="126" t="str">
        <v>GWPN2O</v>
      </c>
      <c r="O248" s="129" t="str">
        <v>Global warming potential for nitrous oxide (t CO2-e / t N2O)</v>
      </c>
      <c r="P248" s="130"/>
      <c r="Q248" s="15">
        <f>Common_InputFunctions.Utility_LookupValueInTableNumber("N2O", Table_GWPData[Gas],Table_GWPData[CO2-e factor])</f>
        <v>265</v>
      </c>
    </row>
    <row r="250" spans="1:20" ht="20.100000000000001" customHeight="1" x14ac:dyDescent="0.2">
      <c r="D250" s="83" t="s">
        <v>376</v>
      </c>
      <c r="E250" s="83" cm="1">
        <f t="array" ref="E250">Common_Equations.Common_ConvertN2OToCO2e(G247,G248)</f>
        <v>0.15283863010491425</v>
      </c>
      <c r="F250" s="89" t="str" cm="1">
        <f t="array" ref="F250">Common_Equations.Common_ConvertN2OToCO2e_Unit()</f>
        <v>t CO2e</v>
      </c>
      <c r="N250" s="83" t="s">
        <v>376</v>
      </c>
      <c r="O250" s="83" cm="1">
        <f t="array" ref="O250">Common_Equations.Common_ConvertN2OToCO2e(Q247,Q248)</f>
        <v>0.15283863010491425</v>
      </c>
      <c r="P250" s="89" t="str" cm="1">
        <f t="array" ref="P250">Common_Equations.Common_ConvertN2OToCO2e_Unit()</f>
        <v>t CO2e</v>
      </c>
    </row>
  </sheetData>
  <dataValidations count="1">
    <dataValidation operator="equal" allowBlank="1" showInputMessage="1" showErrorMessage="1" sqref="E18 O23 E33 J101 J106 F168:I168 U126 O85 U103 E23 O33 O18 E28 O28 E46 E51 O51 E56 O56 E70 E75 E80 O80 E85 O114 E114 O155 E155 I167:J167 F187:I187 I186:J186 P187:S187 S186:T186 O206 E206" xr:uid="{0E4180FC-80B9-4DD4-B141-94FC83C59792}"/>
  </dataValidation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CF47-0384-4DAE-A82C-0D3A28A3314B}">
  <sheetPr>
    <tabColor rgb="FF008000"/>
  </sheetPr>
  <dimension ref="A1:U101"/>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0" customFormat="1" ht="30" customHeight="1" x14ac:dyDescent="0.35">
      <c r="A1" s="10" t="e" vm="1">
        <v>#VALUE!</v>
      </c>
      <c r="C1" s="20" t="s">
        <v>421</v>
      </c>
      <c r="L1"/>
    </row>
    <row r="2" spans="1:21" s="3" customFormat="1" ht="20.100000000000001" customHeight="1" x14ac:dyDescent="0.2">
      <c r="A2"/>
      <c r="L2"/>
    </row>
    <row r="3" spans="1:21" ht="20.100000000000001" customHeight="1" x14ac:dyDescent="0.2">
      <c r="A3" s="5" t="str">
        <f>HYPERLINK("#'Home'!A1", "Home")</f>
        <v>Home</v>
      </c>
      <c r="C3" s="22"/>
      <c r="D3" s="22" t="s">
        <v>130</v>
      </c>
      <c r="E3" s="22"/>
      <c r="F3" s="22"/>
      <c r="G3" s="22"/>
      <c r="H3" s="22"/>
      <c r="I3" s="22"/>
      <c r="J3" s="22"/>
      <c r="K3" s="22"/>
      <c r="M3" s="22"/>
      <c r="N3" s="22" t="s">
        <v>131</v>
      </c>
      <c r="O3" s="22"/>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1305</v>
      </c>
    </row>
    <row r="6" spans="1:21" ht="20.100000000000001" customHeight="1" x14ac:dyDescent="0.2">
      <c r="D6" s="17" t="s">
        <v>1306</v>
      </c>
    </row>
    <row r="7" spans="1:21" ht="20.100000000000001" customHeight="1" x14ac:dyDescent="0.2">
      <c r="D7" s="112"/>
      <c r="E7" s="112"/>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328</v>
      </c>
      <c r="E10" s="1" t="s">
        <v>1307</v>
      </c>
    </row>
    <row r="11" spans="1:21" ht="20.100000000000001" customHeight="1" x14ac:dyDescent="0.2">
      <c r="A11" s="5" t="str">
        <f>HYPERLINK("#'Input - Poultry'!A1", "Poultry")</f>
        <v>Poultry</v>
      </c>
      <c r="D11" s="75" t="s">
        <v>118</v>
      </c>
      <c r="E11" s="9" t="s">
        <v>482</v>
      </c>
    </row>
    <row r="12" spans="1:21" ht="20.100000000000001" customHeight="1" x14ac:dyDescent="0.2">
      <c r="A12" s="5" t="str">
        <f>HYPERLINK("#'Input - Livestock sales'!A1", "Livestock sales")</f>
        <v>Livestock sales</v>
      </c>
    </row>
    <row r="13" spans="1:21" ht="20.100000000000001" customHeight="1" x14ac:dyDescent="0.2">
      <c r="A13" s="5" t="str">
        <f>HYPERLINK("#'Input - Poultry purchases'!A1", "Poultry purchases")</f>
        <v>Poultry purchases</v>
      </c>
      <c r="D13" s="113" t="s">
        <v>1298</v>
      </c>
      <c r="E13" s="122" t="s">
        <v>1308</v>
      </c>
      <c r="F13" s="123"/>
      <c r="G13" s="113" t="s">
        <v>482</v>
      </c>
      <c r="H13" s="115" t="s">
        <v>1304</v>
      </c>
      <c r="I13" s="116" t="str" cm="1">
        <f t="array" aca="1" ref="I13" ca="1">HYPERLINK(Common_InputFunctions.Utility_SourceHyperlink($D$19),$D$19)</f>
        <v>M1_Table_MN_j_k_m_T</v>
      </c>
    </row>
    <row r="14" spans="1:21" ht="20.100000000000001" customHeight="1" x14ac:dyDescent="0.2">
      <c r="A14" s="5" t="str">
        <f>HYPERLINK("#'Input - Fuel'!A1", "Fuel")</f>
        <v>Fuel</v>
      </c>
      <c r="D14" s="113" t="s">
        <v>1309</v>
      </c>
      <c r="E14" s="122" t="s">
        <v>1310</v>
      </c>
      <c r="F14" s="123"/>
      <c r="G14" s="113" t="s">
        <v>1311</v>
      </c>
      <c r="H14" s="115" t="s">
        <v>1203</v>
      </c>
      <c r="I14" s="116" t="str" cm="1">
        <f t="array" aca="1" ref="I14" ca="1">HYPERLINK(Common_InputFunctions.Utility_SourceHyperlink($D$42),$D$42)</f>
        <v>Table_FracGASM_m_T</v>
      </c>
    </row>
    <row r="15" spans="1:21" ht="20.100000000000001" customHeight="1" x14ac:dyDescent="0.2">
      <c r="A15" s="5" t="str">
        <f>HYPERLINK("#'Input - Electricity'!A1", "Electricity")</f>
        <v>Electricity</v>
      </c>
    </row>
    <row r="16" spans="1:21" ht="20.100000000000001" customHeight="1" x14ac:dyDescent="0.2">
      <c r="A16" s="5" t="str">
        <f>HYPERLINK("#'Input - Common farm inputs'!A1", "Common farm inputs")</f>
        <v>Common farm inputs</v>
      </c>
      <c r="D16" s="131" t="s">
        <v>422</v>
      </c>
      <c r="E16" s="43"/>
      <c r="F16" s="43"/>
      <c r="G16" s="44"/>
    </row>
    <row r="17" spans="1:20" ht="20.100000000000001" customHeight="1" x14ac:dyDescent="0.2">
      <c r="A17" s="5" t="str">
        <f>HYPERLINK("#'Input - Livestock farm Inputs'!A1", "Livestock farm Inputs")</f>
        <v>Livestock farm Inputs</v>
      </c>
      <c r="D17" s="45" t="s">
        <v>415</v>
      </c>
      <c r="E17" s="46"/>
      <c r="F17" s="46"/>
      <c r="G17" s="47"/>
    </row>
    <row r="18" spans="1:20" ht="20.100000000000001" customHeight="1" x14ac:dyDescent="0.2">
      <c r="A18" s="5" t="str">
        <f>HYPERLINK("#'Input - Freight'!A1", "Freight")</f>
        <v>Freight</v>
      </c>
    </row>
    <row r="19" spans="1:20" ht="20.100000000000001" customHeight="1" x14ac:dyDescent="0.2">
      <c r="A19" s="5" t="str">
        <f>HYPERLINK("#'Input - Solid waste'!A1", "Solid waste")</f>
        <v>Solid waste</v>
      </c>
      <c r="D19" s="118" t="s">
        <v>423</v>
      </c>
      <c r="N19" s="118" t="s">
        <v>424</v>
      </c>
    </row>
    <row r="20" spans="1:20" ht="20.100000000000001" customHeight="1" x14ac:dyDescent="0.2">
      <c r="A20" s="5" t="str">
        <f>HYPERLINK("#'Input - Manure sent off-site'!A1", "Manure sent off-site")</f>
        <v>Manure sent off-site</v>
      </c>
      <c r="D20" s="119" t="s">
        <v>425</v>
      </c>
      <c r="N20" s="119" t="s">
        <v>426</v>
      </c>
    </row>
    <row r="21" spans="1:20" ht="20.100000000000001" customHeight="1" x14ac:dyDescent="0.2">
      <c r="A21" s="5" t="str">
        <f>HYPERLINK("#'Input - Data quality'!A1", "Data quality")</f>
        <v>Data quality</v>
      </c>
      <c r="D21" s="120" t="s">
        <v>314</v>
      </c>
      <c r="E21" s="120" t="s">
        <v>318</v>
      </c>
      <c r="F21" s="120" t="s">
        <v>297</v>
      </c>
      <c r="G21" s="120" t="s">
        <v>298</v>
      </c>
      <c r="H21" s="120" t="s">
        <v>299</v>
      </c>
      <c r="I21" s="120" t="s">
        <v>300</v>
      </c>
      <c r="N21" s="120" t="s">
        <v>314</v>
      </c>
      <c r="O21" s="120" t="s">
        <v>318</v>
      </c>
      <c r="P21" s="120" t="s">
        <v>297</v>
      </c>
      <c r="Q21" s="120" t="s">
        <v>298</v>
      </c>
      <c r="R21" s="120" t="s">
        <v>299</v>
      </c>
      <c r="S21" s="120" t="s">
        <v>300</v>
      </c>
    </row>
    <row r="22" spans="1:20" ht="20.100000000000001" customHeight="1" x14ac:dyDescent="0.2">
      <c r="A22" s="5" t="str">
        <f>HYPERLINK("#'Input - Fert Prod System'!A1", "Fert Prod System")</f>
        <v>Fert Prod System</v>
      </c>
      <c r="D22" s="15" t="str">
        <f>INDEX(X_Table_Poultry_Stage1MMS,2,1)</f>
        <v>Poultry manure with bedding</v>
      </c>
      <c r="E22" s="15" t="s">
        <v>124</v>
      </c>
      <c r="F22" s="15">
        <f>INDEX(M1_Table_MN_j_k_m_T1,2,2)</f>
        <v>5.0980800000000013</v>
      </c>
      <c r="G22" s="15">
        <f>INDEX(M1_Table_MN_j_k_m_T1,2,3)</f>
        <v>5.4416159999999998</v>
      </c>
      <c r="H22" s="15">
        <f>INDEX(M1_Table_MN_j_k_m_T1,2,4)</f>
        <v>6.3876479999999995</v>
      </c>
      <c r="I22" s="15">
        <f>INDEX(M1_Table_MN_j_k_m_T1,2,5)</f>
        <v>5.4416159999999998</v>
      </c>
      <c r="J22" s="16" t="str">
        <f>$G$13</f>
        <v>kg N</v>
      </c>
      <c r="N22" s="15" t="str">
        <f>INDEX(X_Table_Poultry_Stage1MMS,2,1)</f>
        <v>Poultry manure with bedding</v>
      </c>
      <c r="O22" s="15" t="s">
        <v>124</v>
      </c>
      <c r="P22" s="15">
        <f>INDEX(M2_Table_MN_j_k_m_T1,2,2)</f>
        <v>5.0980800000000013</v>
      </c>
      <c r="Q22" s="15">
        <f>INDEX(M2_Table_MN_j_k_m_T1,2,3)</f>
        <v>5.4416159999999998</v>
      </c>
      <c r="R22" s="15">
        <f>INDEX(M2_Table_MN_j_k_m_T1,2,4)</f>
        <v>6.3876479999999995</v>
      </c>
      <c r="S22" s="15">
        <f>INDEX(M2_Table_MN_j_k_m_T1,2,5)</f>
        <v>5.4416159999999998</v>
      </c>
      <c r="T22" s="16" t="str">
        <f>$G$13</f>
        <v>kg N</v>
      </c>
    </row>
    <row r="23" spans="1:20" ht="20.100000000000001" customHeight="1" x14ac:dyDescent="0.2">
      <c r="A23" s="5" t="str">
        <f>HYPERLINK("#'Input - Fertiliser'!A1", "Fertiliser")</f>
        <v>Fertiliser</v>
      </c>
      <c r="D23" s="15" t="str">
        <f>INDEX(X_Table_Poultry_Stage1MMS,3,1)</f>
        <v>Belt manure removal</v>
      </c>
      <c r="E23" s="15" t="s">
        <v>124</v>
      </c>
      <c r="F23" s="15">
        <f>INDEX(M1_Table_MN_j_k_m_T1,3,2)</f>
        <v>5.0980800000000013</v>
      </c>
      <c r="G23" s="15">
        <f>INDEX(M1_Table_MN_j_k_m_T1,3,3)</f>
        <v>5.4416159999999998</v>
      </c>
      <c r="H23" s="15">
        <f>INDEX(M1_Table_MN_j_k_m_T1,3,4)</f>
        <v>6.3876479999999995</v>
      </c>
      <c r="I23" s="15">
        <f>INDEX(M1_Table_MN_j_k_m_T1,3,5)</f>
        <v>5.4416159999999998</v>
      </c>
      <c r="J23" s="16"/>
      <c r="N23" s="15" t="str">
        <f>INDEX(X_Table_Poultry_Stage1MMS,3,1)</f>
        <v>Belt manure removal</v>
      </c>
      <c r="O23" s="15" t="s">
        <v>124</v>
      </c>
      <c r="P23" s="15">
        <f>INDEX(M2_Table_MN_j_k_m_T1,3,2)</f>
        <v>5.0980800000000013</v>
      </c>
      <c r="Q23" s="15">
        <f>INDEX(M2_Table_MN_j_k_m_T1,3,3)</f>
        <v>5.4416159999999998</v>
      </c>
      <c r="R23" s="15">
        <f>INDEX(M2_Table_MN_j_k_m_T1,3,4)</f>
        <v>6.3876479999999995</v>
      </c>
      <c r="S23" s="15">
        <f>INDEX(M2_Table_MN_j_k_m_T1,3,5)</f>
        <v>5.4416159999999998</v>
      </c>
      <c r="T23" s="16"/>
    </row>
    <row r="24" spans="1:20" ht="20.100000000000001" customHeight="1" x14ac:dyDescent="0.2">
      <c r="D24" s="15" t="str">
        <f>INDEX(X_Table_Poultry_Stage1MMS,4,1)</f>
        <v>Manure stored in house</v>
      </c>
      <c r="E24" s="15" t="s">
        <v>124</v>
      </c>
      <c r="F24" s="15">
        <f>INDEX(M1_Table_MN_j_k_m_T1,4,2)</f>
        <v>5.0980800000000013</v>
      </c>
      <c r="G24" s="15">
        <f>INDEX(M1_Table_MN_j_k_m_T1,4,3)</f>
        <v>5.4416159999999998</v>
      </c>
      <c r="H24" s="15">
        <f>INDEX(M1_Table_MN_j_k_m_T1,4,4)</f>
        <v>6.3876479999999995</v>
      </c>
      <c r="I24" s="15">
        <f>INDEX(M1_Table_MN_j_k_m_T1,4,5)</f>
        <v>5.4416159999999998</v>
      </c>
      <c r="J24" s="16"/>
      <c r="N24" s="15" t="str">
        <f>INDEX(X_Table_Poultry_Stage1MMS,4,1)</f>
        <v>Manure stored in house</v>
      </c>
      <c r="O24" s="15" t="s">
        <v>124</v>
      </c>
      <c r="P24" s="15">
        <f>INDEX(M2_Table_MN_j_k_m_T1,4,2)</f>
        <v>5.0980800000000013</v>
      </c>
      <c r="Q24" s="15">
        <f>INDEX(M2_Table_MN_j_k_m_T1,4,3)</f>
        <v>5.4416159999999998</v>
      </c>
      <c r="R24" s="15">
        <f>INDEX(M2_Table_MN_j_k_m_T1,4,4)</f>
        <v>6.3876479999999995</v>
      </c>
      <c r="S24" s="15">
        <f>INDEX(M2_Table_MN_j_k_m_T1,4,5)</f>
        <v>5.4416159999999998</v>
      </c>
      <c r="T24" s="16"/>
    </row>
    <row r="25" spans="1:20" ht="20.100000000000001" customHeight="1" x14ac:dyDescent="0.2">
      <c r="D25" s="15" t="str">
        <f>INDEX(X_Table_Poultry_Stage1MMS,5,1)</f>
        <v>Pasture range and paddock</v>
      </c>
      <c r="E25" s="15" t="s">
        <v>124</v>
      </c>
      <c r="F25" s="15">
        <f>INDEX(M1_Table_MN_j_k_m_T1,5,2)</f>
        <v>1.6993600000000004</v>
      </c>
      <c r="G25" s="15">
        <f>INDEX(M1_Table_MN_j_k_m_T1,5,3)</f>
        <v>1.8138719999999999</v>
      </c>
      <c r="H25" s="15">
        <f>INDEX(M1_Table_MN_j_k_m_T1,5,4)</f>
        <v>2.129216</v>
      </c>
      <c r="I25" s="15">
        <f>INDEX(M1_Table_MN_j_k_m_T1,5,5)</f>
        <v>1.8138719999999999</v>
      </c>
      <c r="J25" s="16"/>
      <c r="N25" s="15" t="str">
        <f>INDEX(X_Table_Poultry_Stage1MMS,5,1)</f>
        <v>Pasture range and paddock</v>
      </c>
      <c r="O25" s="15" t="s">
        <v>124</v>
      </c>
      <c r="P25" s="15">
        <f>INDEX(M2_Table_MN_j_k_m_T1,5,2)</f>
        <v>1.6993600000000004</v>
      </c>
      <c r="Q25" s="15">
        <f>INDEX(M2_Table_MN_j_k_m_T1,5,3)</f>
        <v>1.8138719999999999</v>
      </c>
      <c r="R25" s="15">
        <f>INDEX(M2_Table_MN_j_k_m_T1,5,4)</f>
        <v>2.129216</v>
      </c>
      <c r="S25" s="15">
        <f>INDEX(M2_Table_MN_j_k_m_T1,5,5)</f>
        <v>1.8138719999999999</v>
      </c>
      <c r="T25" s="16"/>
    </row>
    <row r="26" spans="1:20" ht="20.100000000000001" customHeight="1" x14ac:dyDescent="0.2">
      <c r="A26" s="6" t="s">
        <v>2</v>
      </c>
      <c r="D26" s="15" t="str">
        <f>INDEX(X_Table_Poultry_Stage1MMS,2,1)</f>
        <v>Poultry manure with bedding</v>
      </c>
      <c r="E26" s="15" t="str">
        <f>INDEX(X_Table_Poultry_Stage2MMS_PoultryManureWithBedding,2,1)</f>
        <v>Solid storage</v>
      </c>
      <c r="F26" s="15">
        <f>INDEX(M1_Table_MN_j_k_m_T2,2,3)</f>
        <v>0.71271158400000012</v>
      </c>
      <c r="G26" s="15">
        <f>INDEX(M1_Table_MN_j_k_m_T2,2,4)</f>
        <v>0.76073791680000002</v>
      </c>
      <c r="H26" s="15">
        <f>INDEX(M1_Table_MN_j_k_m_T2,2,5)</f>
        <v>0.89299319039999991</v>
      </c>
      <c r="I26" s="15">
        <f>INDEX(M1_Table_MN_j_k_m_T2,2,6)</f>
        <v>0.76073791680000002</v>
      </c>
      <c r="J26" s="16"/>
      <c r="N26" s="15" t="str">
        <f>INDEX(X_Table_Poultry_Stage1MMS,2,1)</f>
        <v>Poultry manure with bedding</v>
      </c>
      <c r="O26" s="15" t="str">
        <f>INDEX(X_Table_Poultry_Stage2MMS_PoultryManureWithBedding,2,1)</f>
        <v>Solid storage</v>
      </c>
      <c r="P26" s="15">
        <f>INDEX(M2_Table_MN_j_k_m_T2,2,3)</f>
        <v>0.71271158400000012</v>
      </c>
      <c r="Q26" s="15">
        <f>INDEX(M2_Table_MN_j_k_m_T2,2,4)</f>
        <v>0.76073791680000002</v>
      </c>
      <c r="R26" s="15">
        <f>INDEX(M2_Table_MN_j_k_m_T2,2,5)</f>
        <v>0.89299319039999991</v>
      </c>
      <c r="S26" s="15">
        <f>INDEX(M2_Table_MN_j_k_m_T2,2,6)</f>
        <v>0.76073791680000002</v>
      </c>
      <c r="T26" s="16"/>
    </row>
    <row r="27" spans="1:20" ht="20.100000000000001" customHeight="1" x14ac:dyDescent="0.2">
      <c r="A27" s="5" t="str">
        <f>HYPERLINK("#'4.6.1.1-2 Methane'!A1", "4.6.1.1-2 Manure Methane")</f>
        <v>4.6.1.1-2 Manure Methane</v>
      </c>
      <c r="D27" s="15"/>
      <c r="E27" s="15" t="str">
        <f>INDEX(X_Table_Poultry_Stage2MMS_PoultryManureWithBedding,3,1)</f>
        <v>Composting (passive windrow)</v>
      </c>
      <c r="F27" s="15">
        <f>'4.6.1.3-4 Direct N20'!F190</f>
        <v>0.71271158400000012</v>
      </c>
      <c r="G27" s="15">
        <f>'4.6.1.3-4 Direct N20'!G190</f>
        <v>0.76073791680000002</v>
      </c>
      <c r="H27" s="15">
        <f>'4.6.1.3-4 Direct N20'!H190</f>
        <v>0.89299319039999991</v>
      </c>
      <c r="I27" s="15">
        <f>'4.6.1.3-4 Direct N20'!I190</f>
        <v>0.76073791680000002</v>
      </c>
      <c r="J27" s="16"/>
      <c r="N27" s="15"/>
      <c r="O27" s="15" t="str">
        <f>INDEX(X_Table_Poultry_Stage2MMS_PoultryManureWithBedding,3,1)</f>
        <v>Composting (passive windrow)</v>
      </c>
      <c r="P27" s="15">
        <f>'4.6.1.3-4 Direct N20'!P190</f>
        <v>0.71271158400000012</v>
      </c>
      <c r="Q27" s="15">
        <f>'4.6.1.3-4 Direct N20'!Q190</f>
        <v>0.76073791680000002</v>
      </c>
      <c r="R27" s="15">
        <f>'4.6.1.3-4 Direct N20'!R190</f>
        <v>0.89299319039999991</v>
      </c>
      <c r="S27" s="15">
        <f>'4.6.1.3-4 Direct N20'!S190</f>
        <v>0.76073791680000002</v>
      </c>
      <c r="T27" s="16"/>
    </row>
    <row r="28" spans="1:20" ht="20.100000000000001" customHeight="1" x14ac:dyDescent="0.2">
      <c r="A28" s="5" t="str">
        <f>HYPERLINK("#'4.6.1.3-4 Direct N20'!A1", "4.6.1.3-4 Manure Direct N2O")</f>
        <v>4.6.1.3-4 Manure Direct N2O</v>
      </c>
      <c r="D28" s="15"/>
      <c r="E28" s="15" t="str">
        <f>INDEX(X_Table_Poultry_Stage2MMS_PoultryManureWithBedding,4,1)</f>
        <v>Digester / covered lagoons</v>
      </c>
      <c r="F28" s="15">
        <f>'4.6.1.3-4 Direct N20'!F191</f>
        <v>0.71271158400000012</v>
      </c>
      <c r="G28" s="15">
        <f>'4.6.1.3-4 Direct N20'!G191</f>
        <v>0.76073791680000002</v>
      </c>
      <c r="H28" s="15">
        <f>'4.6.1.3-4 Direct N20'!H191</f>
        <v>0.89299319039999991</v>
      </c>
      <c r="I28" s="15">
        <f>'4.6.1.3-4 Direct N20'!I191</f>
        <v>0.76073791680000002</v>
      </c>
      <c r="J28" s="16"/>
      <c r="N28" s="15"/>
      <c r="O28" s="15" t="str">
        <f>INDEX(X_Table_Poultry_Stage2MMS_PoultryManureWithBedding,4,1)</f>
        <v>Digester / covered lagoons</v>
      </c>
      <c r="P28" s="15">
        <f>'4.6.1.3-4 Direct N20'!P191</f>
        <v>0.71271158400000012</v>
      </c>
      <c r="Q28" s="15">
        <f>'4.6.1.3-4 Direct N20'!Q191</f>
        <v>0.76073791680000002</v>
      </c>
      <c r="R28" s="15">
        <f>'4.6.1.3-4 Direct N20'!R191</f>
        <v>0.89299319039999991</v>
      </c>
      <c r="S28" s="15">
        <f>'4.6.1.3-4 Direct N20'!S191</f>
        <v>0.76073791680000002</v>
      </c>
      <c r="T28" s="16"/>
    </row>
    <row r="29" spans="1:20" ht="20.100000000000001" customHeight="1" x14ac:dyDescent="0.2">
      <c r="A29" s="117" t="str">
        <f>HYPERLINK("#'4.6.1.5-6 Atmos Dep'!A1", "4.6.1.5-6 Manure Atmos Dep")</f>
        <v>4.6.1.5-6 Manure Atmos Dep</v>
      </c>
      <c r="D29" s="15"/>
      <c r="E29" s="15" t="str">
        <f>INDEX(X_Table_Poultry_Stage2MMS_PoultryManureWithBedding,5,1)</f>
        <v>Direct processing</v>
      </c>
      <c r="F29" s="15">
        <f>'4.6.1.3-4 Direct N20'!F192</f>
        <v>0.71271158400000012</v>
      </c>
      <c r="G29" s="15">
        <f>'4.6.1.3-4 Direct N20'!G192</f>
        <v>0.76073791680000002</v>
      </c>
      <c r="H29" s="15">
        <f>'4.6.1.3-4 Direct N20'!H192</f>
        <v>0.89299319039999991</v>
      </c>
      <c r="I29" s="15">
        <f>'4.6.1.3-4 Direct N20'!I192</f>
        <v>0.76073791680000002</v>
      </c>
      <c r="J29" s="16"/>
      <c r="N29" s="15"/>
      <c r="O29" s="15" t="str">
        <f>INDEX(X_Table_Poultry_Stage2MMS_PoultryManureWithBedding,5,1)</f>
        <v>Direct processing</v>
      </c>
      <c r="P29" s="15">
        <f>'4.6.1.3-4 Direct N20'!P192</f>
        <v>0.71271158400000012</v>
      </c>
      <c r="Q29" s="15">
        <f>'4.6.1.3-4 Direct N20'!Q192</f>
        <v>0.76073791680000002</v>
      </c>
      <c r="R29" s="15">
        <f>'4.6.1.3-4 Direct N20'!R192</f>
        <v>0.89299319039999991</v>
      </c>
      <c r="S29" s="15">
        <f>'4.6.1.3-4 Direct N20'!S192</f>
        <v>0.76073791680000002</v>
      </c>
      <c r="T29" s="16"/>
    </row>
    <row r="30" spans="1:20" ht="20.100000000000001" customHeight="1" x14ac:dyDescent="0.2">
      <c r="A30" s="5" t="str">
        <f>HYPERLINK("#'4.6.1.7-8 Leaching and runoff'!A1", "4.6.1.7-8 Manure Leaching and runoff")</f>
        <v>4.6.1.7-8 Manure Leaching and runoff</v>
      </c>
      <c r="D30" s="15"/>
      <c r="E30" s="15" t="str">
        <f>INDEX(X_Table_Poultry_Stage2MMS_PoultryManureWithBedding,6,1)</f>
        <v>Direct application</v>
      </c>
      <c r="F30" s="15">
        <f>'4.6.1.3-4 Direct N20'!F193</f>
        <v>0.7127115839999999</v>
      </c>
      <c r="G30" s="15">
        <f>'4.6.1.3-4 Direct N20'!G193</f>
        <v>0.7607379167999998</v>
      </c>
      <c r="H30" s="15">
        <f>'4.6.1.3-4 Direct N20'!H193</f>
        <v>0.89299319039999958</v>
      </c>
      <c r="I30" s="15">
        <f>'4.6.1.3-4 Direct N20'!I193</f>
        <v>0.7607379167999998</v>
      </c>
      <c r="N30" s="15"/>
      <c r="O30" s="15" t="str">
        <f>INDEX(X_Table_Poultry_Stage2MMS_PoultryManureWithBedding,6,1)</f>
        <v>Direct application</v>
      </c>
      <c r="P30" s="15">
        <f>'4.6.1.3-4 Direct N20'!P193</f>
        <v>0.7127115839999999</v>
      </c>
      <c r="Q30" s="15">
        <f>'4.6.1.3-4 Direct N20'!Q193</f>
        <v>0.7607379167999998</v>
      </c>
      <c r="R30" s="15">
        <f>'4.6.1.3-4 Direct N20'!R193</f>
        <v>0.89299319039999958</v>
      </c>
      <c r="S30" s="15">
        <f>'4.6.1.3-4 Direct N20'!S193</f>
        <v>0.7607379167999998</v>
      </c>
    </row>
    <row r="31" spans="1:20" ht="20.100000000000001" customHeight="1" x14ac:dyDescent="0.2">
      <c r="A31" s="5" t="str">
        <f>HYPERLINK("#'4.6.1.9 Manure applied to soils'!A1", "4.6.1.9 Manure applied to soils")</f>
        <v>4.6.1.9 Manure applied to soils</v>
      </c>
      <c r="D31" s="15" t="str">
        <f>INDEX(X_Table_Poultry_Stage1MMS,3,1)</f>
        <v>Belt manure removal</v>
      </c>
      <c r="E31" s="15" t="str">
        <f>INDEX(X_Table_Poultry_Stage2MMS_BeltManureRemoval,2,1)</f>
        <v>Solid storage</v>
      </c>
      <c r="F31" s="15">
        <f>'4.6.1.3-4 Direct N20'!F194</f>
        <v>0.96761558400000025</v>
      </c>
      <c r="G31" s="15">
        <f>'4.6.1.3-4 Direct N20'!G194</f>
        <v>1.0328187168</v>
      </c>
      <c r="H31" s="15">
        <f>'4.6.1.3-4 Direct N20'!H194</f>
        <v>1.2123755904</v>
      </c>
      <c r="I31" s="15">
        <f>'4.6.1.3-4 Direct N20'!I194</f>
        <v>1.0328187168</v>
      </c>
      <c r="J31" s="16"/>
      <c r="N31" s="15" t="str">
        <f>INDEX(X_Table_Poultry_Stage1MMS,3,1)</f>
        <v>Belt manure removal</v>
      </c>
      <c r="O31" s="15" t="str">
        <f>INDEX(X_Table_Poultry_Stage2MMS_BeltManureRemoval,2,1)</f>
        <v>Solid storage</v>
      </c>
      <c r="P31" s="15">
        <f>'4.6.1.3-4 Direct N20'!P194</f>
        <v>0.96761558400000025</v>
      </c>
      <c r="Q31" s="15">
        <f>'4.6.1.3-4 Direct N20'!Q194</f>
        <v>1.0328187168</v>
      </c>
      <c r="R31" s="15">
        <f>'4.6.1.3-4 Direct N20'!R194</f>
        <v>1.2123755904</v>
      </c>
      <c r="S31" s="15">
        <f>'4.6.1.3-4 Direct N20'!S194</f>
        <v>1.0328187168</v>
      </c>
      <c r="T31" s="16"/>
    </row>
    <row r="32" spans="1:20" ht="20.100000000000001" customHeight="1" x14ac:dyDescent="0.2">
      <c r="A32" s="5" t="str">
        <f>HYPERLINK("#'4.6.1.10-11 Soil direct N2O'!A1", "4.6.1.10-11 Soil direct N2O")</f>
        <v>4.6.1.10-11 Soil direct N2O</v>
      </c>
      <c r="D32" s="15"/>
      <c r="E32" s="15" t="str">
        <f>INDEX(X_Table_Poultry_Stage2MMS_BeltManureRemoval,3,1)</f>
        <v>Composting (passive windrow)</v>
      </c>
      <c r="F32" s="15">
        <f>'4.6.1.3-4 Direct N20'!F195</f>
        <v>0.96761558400000025</v>
      </c>
      <c r="G32" s="15">
        <f>'4.6.1.3-4 Direct N20'!G195</f>
        <v>1.0328187168</v>
      </c>
      <c r="H32" s="15">
        <f>'4.6.1.3-4 Direct N20'!H195</f>
        <v>1.2123755904</v>
      </c>
      <c r="I32" s="15">
        <f>'4.6.1.3-4 Direct N20'!I195</f>
        <v>1.0328187168</v>
      </c>
      <c r="J32" s="16"/>
      <c r="N32" s="15"/>
      <c r="O32" s="15" t="str">
        <f>INDEX(X_Table_Poultry_Stage2MMS_BeltManureRemoval,3,1)</f>
        <v>Composting (passive windrow)</v>
      </c>
      <c r="P32" s="15">
        <f>'4.6.1.3-4 Direct N20'!P195</f>
        <v>0.96761558400000025</v>
      </c>
      <c r="Q32" s="15">
        <f>'4.6.1.3-4 Direct N20'!Q195</f>
        <v>1.0328187168</v>
      </c>
      <c r="R32" s="15">
        <f>'4.6.1.3-4 Direct N20'!R195</f>
        <v>1.2123755904</v>
      </c>
      <c r="S32" s="15">
        <f>'4.6.1.3-4 Direct N20'!S195</f>
        <v>1.0328187168</v>
      </c>
      <c r="T32" s="16"/>
    </row>
    <row r="33" spans="1:20" ht="20.100000000000001" customHeight="1" x14ac:dyDescent="0.2">
      <c r="A33" s="5" t="str">
        <f>HYPERLINK("#'4.6.1.12-13 Soil atmos dep'!A1", "4.6.1.12-13 Soil atmos dep")</f>
        <v>4.6.1.12-13 Soil atmos dep</v>
      </c>
      <c r="D33" s="15"/>
      <c r="E33" s="15" t="str">
        <f>INDEX(X_Table_Poultry_Stage2MMS_BeltManureRemoval,4,1)</f>
        <v>Digester / covered lagoons</v>
      </c>
      <c r="F33" s="15">
        <f>'4.6.1.3-4 Direct N20'!F196</f>
        <v>0.96761558400000025</v>
      </c>
      <c r="G33" s="15">
        <f>'4.6.1.3-4 Direct N20'!G196</f>
        <v>1.0328187168</v>
      </c>
      <c r="H33" s="15">
        <f>'4.6.1.3-4 Direct N20'!H196</f>
        <v>1.2123755904</v>
      </c>
      <c r="I33" s="15">
        <f>'4.6.1.3-4 Direct N20'!I196</f>
        <v>1.0328187168</v>
      </c>
      <c r="J33" s="16"/>
      <c r="N33" s="15"/>
      <c r="O33" s="15" t="str">
        <f>INDEX(X_Table_Poultry_Stage2MMS_BeltManureRemoval,4,1)</f>
        <v>Digester / covered lagoons</v>
      </c>
      <c r="P33" s="15">
        <f>'4.6.1.3-4 Direct N20'!P196</f>
        <v>0.96761558400000025</v>
      </c>
      <c r="Q33" s="15">
        <f>'4.6.1.3-4 Direct N20'!Q196</f>
        <v>1.0328187168</v>
      </c>
      <c r="R33" s="15">
        <f>'4.6.1.3-4 Direct N20'!R196</f>
        <v>1.2123755904</v>
      </c>
      <c r="S33" s="15">
        <f>'4.6.1.3-4 Direct N20'!S196</f>
        <v>1.0328187168</v>
      </c>
      <c r="T33" s="16"/>
    </row>
    <row r="34" spans="1:20" ht="20.100000000000001" customHeight="1" x14ac:dyDescent="0.2">
      <c r="A34" s="5" t="str">
        <f>HYPERLINK("#'4.6.1.14-15 Soil leach runoff'!A1", "4.6.1.14-15 Soil leach runoff")</f>
        <v>4.6.1.14-15 Soil leach runoff</v>
      </c>
      <c r="D34" s="15"/>
      <c r="E34" s="15" t="str">
        <f>INDEX(X_Table_Poultry_Stage2MMS_BeltManureRemoval,5,1)</f>
        <v>Direct processing</v>
      </c>
      <c r="F34" s="15">
        <f>'4.6.1.3-4 Direct N20'!F197</f>
        <v>0.96761558400000025</v>
      </c>
      <c r="G34" s="15">
        <f>'4.6.1.3-4 Direct N20'!G197</f>
        <v>1.0328187168</v>
      </c>
      <c r="H34" s="15">
        <f>'4.6.1.3-4 Direct N20'!H197</f>
        <v>1.2123755904</v>
      </c>
      <c r="I34" s="15">
        <f>'4.6.1.3-4 Direct N20'!I197</f>
        <v>1.0328187168</v>
      </c>
      <c r="J34" s="16"/>
      <c r="N34" s="15"/>
      <c r="O34" s="15" t="str">
        <f>INDEX(X_Table_Poultry_Stage2MMS_BeltManureRemoval,5,1)</f>
        <v>Direct processing</v>
      </c>
      <c r="P34" s="15">
        <f>'4.6.1.3-4 Direct N20'!P197</f>
        <v>0.96761558400000025</v>
      </c>
      <c r="Q34" s="15">
        <f>'4.6.1.3-4 Direct N20'!Q197</f>
        <v>1.0328187168</v>
      </c>
      <c r="R34" s="15">
        <f>'4.6.1.3-4 Direct N20'!R197</f>
        <v>1.2123755904</v>
      </c>
      <c r="S34" s="15">
        <f>'4.6.1.3-4 Direct N20'!S197</f>
        <v>1.0328187168</v>
      </c>
      <c r="T34" s="16"/>
    </row>
    <row r="35" spans="1:20" ht="20.100000000000001" customHeight="1" x14ac:dyDescent="0.2">
      <c r="A35" s="5" t="str">
        <f>HYPERLINK("#'8.1.1.1-2 Transport fuel'!A1", "8.1.1.1-2 Transport fuel")</f>
        <v>8.1.1.1-2 Transport fuel</v>
      </c>
      <c r="D35" s="15"/>
      <c r="E35" s="15" t="str">
        <f>INDEX(X_Table_Poultry_Stage2MMS_BeltManureRemoval,6,1)</f>
        <v>Direct application</v>
      </c>
      <c r="F35" s="15">
        <f>'4.6.1.3-4 Direct N20'!F198</f>
        <v>0.96761558399999992</v>
      </c>
      <c r="G35" s="15">
        <f>'4.6.1.3-4 Direct N20'!G198</f>
        <v>1.0328187167999998</v>
      </c>
      <c r="H35" s="15">
        <f>'4.6.1.3-4 Direct N20'!H198</f>
        <v>1.2123755903999998</v>
      </c>
      <c r="I35" s="15">
        <f>'4.6.1.3-4 Direct N20'!I198</f>
        <v>1.0328187167999998</v>
      </c>
      <c r="N35" s="15"/>
      <c r="O35" s="15" t="str">
        <f>INDEX(X_Table_Poultry_Stage2MMS_BeltManureRemoval,6,1)</f>
        <v>Direct application</v>
      </c>
      <c r="P35" s="15">
        <f>'4.6.1.3-4 Direct N20'!P198</f>
        <v>0.96761558399999992</v>
      </c>
      <c r="Q35" s="15">
        <f>'4.6.1.3-4 Direct N20'!Q198</f>
        <v>1.0328187167999998</v>
      </c>
      <c r="R35" s="15">
        <f>'4.6.1.3-4 Direct N20'!R198</f>
        <v>1.2123755903999998</v>
      </c>
      <c r="S35" s="15">
        <f>'4.6.1.3-4 Direct N20'!S198</f>
        <v>1.0328187167999998</v>
      </c>
    </row>
    <row r="36" spans="1:20" ht="20.100000000000001" customHeight="1" x14ac:dyDescent="0.2">
      <c r="A36" s="5" t="str">
        <f>HYPERLINK("#'8.2.1.1-2 Stationary fuel'!A1", "8.2.1.1-2 Stationary fuel")</f>
        <v>8.2.1.1-2 Stationary fuel</v>
      </c>
      <c r="D36" s="15" t="str">
        <f>INDEX(X_Table_Poultry_Stage1MMS,4,1)</f>
        <v>Manure stored in house</v>
      </c>
      <c r="E36" s="15" t="str">
        <f>INDEX(X_Table_Poultry_Stage2MMS_ManureStoredInHouse,2,1)</f>
        <v>Solid storage</v>
      </c>
      <c r="F36" s="15">
        <f>'4.6.1.3-4 Direct N20'!F199</f>
        <v>0.61074998400000013</v>
      </c>
      <c r="G36" s="15">
        <f>'4.6.1.3-4 Direct N20'!G199</f>
        <v>0.65190559679999993</v>
      </c>
      <c r="H36" s="15">
        <f>'4.6.1.3-4 Direct N20'!H199</f>
        <v>0.76524023039999989</v>
      </c>
      <c r="I36" s="15">
        <f>'4.6.1.3-4 Direct N20'!I199</f>
        <v>0.65190559679999993</v>
      </c>
      <c r="J36" s="16"/>
      <c r="N36" s="15" t="str">
        <f>INDEX(X_Table_Poultry_Stage1MMS,4,1)</f>
        <v>Manure stored in house</v>
      </c>
      <c r="O36" s="15" t="str">
        <f>INDEX(X_Table_Poultry_Stage2MMS_ManureStoredInHouse,2,1)</f>
        <v>Solid storage</v>
      </c>
      <c r="P36" s="15">
        <f>'4.6.1.3-4 Direct N20'!P199</f>
        <v>0.61074998400000013</v>
      </c>
      <c r="Q36" s="15">
        <f>'4.6.1.3-4 Direct N20'!Q199</f>
        <v>0.65190559679999993</v>
      </c>
      <c r="R36" s="15">
        <f>'4.6.1.3-4 Direct N20'!R199</f>
        <v>0.76524023039999989</v>
      </c>
      <c r="S36" s="15">
        <f>'4.6.1.3-4 Direct N20'!S199</f>
        <v>0.65190559679999993</v>
      </c>
      <c r="T36" s="16"/>
    </row>
    <row r="37" spans="1:20" ht="20.100000000000001" customHeight="1" x14ac:dyDescent="0.2">
      <c r="A37" s="5" t="str">
        <f>HYPERLINK("#'10.1.1-2 Solid waste treatment'!A1", "10.1.1.1-2 Solid waste")</f>
        <v>10.1.1.1-2 Solid waste</v>
      </c>
      <c r="D37" s="15"/>
      <c r="E37" s="15" t="str">
        <f>INDEX(X_Table_Poultry_Stage2MMS_ManureStoredInHouse,3,1)</f>
        <v>Composting (passive windrow)</v>
      </c>
      <c r="F37" s="15">
        <f>'4.6.1.3-4 Direct N20'!F200</f>
        <v>0.61074998400000013</v>
      </c>
      <c r="G37" s="15">
        <f>'4.6.1.3-4 Direct N20'!G200</f>
        <v>0.65190559679999993</v>
      </c>
      <c r="H37" s="15">
        <f>'4.6.1.3-4 Direct N20'!H200</f>
        <v>0.76524023039999989</v>
      </c>
      <c r="I37" s="15">
        <f>'4.6.1.3-4 Direct N20'!I200</f>
        <v>0.65190559679999993</v>
      </c>
      <c r="J37" s="16"/>
      <c r="N37" s="15"/>
      <c r="O37" s="15" t="str">
        <f>INDEX(X_Table_Poultry_Stage2MMS_ManureStoredInHouse,3,1)</f>
        <v>Composting (passive windrow)</v>
      </c>
      <c r="P37" s="15">
        <f>'4.6.1.3-4 Direct N20'!P200</f>
        <v>0.61074998400000013</v>
      </c>
      <c r="Q37" s="15">
        <f>'4.6.1.3-4 Direct N20'!Q200</f>
        <v>0.65190559679999993</v>
      </c>
      <c r="R37" s="15">
        <f>'4.6.1.3-4 Direct N20'!R200</f>
        <v>0.76524023039999989</v>
      </c>
      <c r="S37" s="15">
        <f>'4.6.1.3-4 Direct N20'!S200</f>
        <v>0.65190559679999993</v>
      </c>
      <c r="T37" s="16"/>
    </row>
    <row r="38" spans="1:20" ht="20.100000000000001" customHeight="1" x14ac:dyDescent="0.2">
      <c r="A38" s="5" t="str">
        <f>HYPERLINK("#'14.1.1-2 Purchased electricity'!A1", "14.1.1-2 Purchased electricity")</f>
        <v>14.1.1-2 Purchased electricity</v>
      </c>
      <c r="D38" s="15"/>
      <c r="E38" s="15" t="str">
        <f>INDEX(X_Table_Poultry_Stage2MMS_ManureStoredInHouse,4,1)</f>
        <v>Digester / covered lagoons</v>
      </c>
      <c r="F38" s="15">
        <f>'4.6.1.3-4 Direct N20'!F201</f>
        <v>0.61074998400000013</v>
      </c>
      <c r="G38" s="15">
        <f>'4.6.1.3-4 Direct N20'!G201</f>
        <v>0.65190559679999993</v>
      </c>
      <c r="H38" s="15">
        <f>'4.6.1.3-4 Direct N20'!H201</f>
        <v>0.76524023039999989</v>
      </c>
      <c r="I38" s="15">
        <f>'4.6.1.3-4 Direct N20'!I201</f>
        <v>0.65190559679999993</v>
      </c>
      <c r="J38" s="16"/>
      <c r="N38" s="15"/>
      <c r="O38" s="15" t="str">
        <f>INDEX(X_Table_Poultry_Stage2MMS_ManureStoredInHouse,4,1)</f>
        <v>Digester / covered lagoons</v>
      </c>
      <c r="P38" s="15">
        <f>'4.6.1.3-4 Direct N20'!P201</f>
        <v>0.61074998400000013</v>
      </c>
      <c r="Q38" s="15">
        <f>'4.6.1.3-4 Direct N20'!Q201</f>
        <v>0.65190559679999993</v>
      </c>
      <c r="R38" s="15">
        <f>'4.6.1.3-4 Direct N20'!R201</f>
        <v>0.76524023039999989</v>
      </c>
      <c r="S38" s="15">
        <f>'4.6.1.3-4 Direct N20'!S201</f>
        <v>0.65190559679999993</v>
      </c>
      <c r="T38" s="16"/>
    </row>
    <row r="39" spans="1:20" ht="20.100000000000001" customHeight="1" x14ac:dyDescent="0.2">
      <c r="A39" s="5" t="str">
        <f>HYPERLINK("#'15 Scope 3'!A1", "15 Scope 3")</f>
        <v>15 Scope 3</v>
      </c>
      <c r="D39" s="15"/>
      <c r="E39" s="15" t="str">
        <f>INDEX(X_Table_Poultry_Stage2MMS_ManureStoredInHouse,5,1)</f>
        <v>Direct processing</v>
      </c>
      <c r="F39" s="15">
        <f>'4.6.1.3-4 Direct N20'!F202</f>
        <v>0.61074998400000013</v>
      </c>
      <c r="G39" s="15">
        <f>'4.6.1.3-4 Direct N20'!G202</f>
        <v>0.65190559679999993</v>
      </c>
      <c r="H39" s="15">
        <f>'4.6.1.3-4 Direct N20'!H202</f>
        <v>0.76524023039999989</v>
      </c>
      <c r="I39" s="15">
        <f>'4.6.1.3-4 Direct N20'!I202</f>
        <v>0.65190559679999993</v>
      </c>
      <c r="J39" s="16"/>
      <c r="N39" s="15"/>
      <c r="O39" s="15" t="str">
        <f>INDEX(X_Table_Poultry_Stage2MMS_ManureStoredInHouse,5,1)</f>
        <v>Direct processing</v>
      </c>
      <c r="P39" s="15">
        <f>'4.6.1.3-4 Direct N20'!P202</f>
        <v>0.61074998400000013</v>
      </c>
      <c r="Q39" s="15">
        <f>'4.6.1.3-4 Direct N20'!Q202</f>
        <v>0.65190559679999993</v>
      </c>
      <c r="R39" s="15">
        <f>'4.6.1.3-4 Direct N20'!R202</f>
        <v>0.76524023039999989</v>
      </c>
      <c r="S39" s="15">
        <f>'4.6.1.3-4 Direct N20'!S202</f>
        <v>0.65190559679999993</v>
      </c>
      <c r="T39" s="16"/>
    </row>
    <row r="40" spans="1:20" ht="20.100000000000001" customHeight="1" x14ac:dyDescent="0.2">
      <c r="A40" s="5" t="str">
        <f>HYPERLINK("#'Calcs - Manure sent off-site'!A1", "Calcs - Manure sent off-site")</f>
        <v>Calcs - Manure sent off-site</v>
      </c>
      <c r="D40" s="15"/>
      <c r="E40" s="15" t="str">
        <f>INDEX(X_Table_Poultry_Stage2MMS_ManureStoredInHouse,6,1)</f>
        <v>Direct application</v>
      </c>
      <c r="F40" s="15">
        <f>'4.6.1.3-4 Direct N20'!F203</f>
        <v>0.61074998399999991</v>
      </c>
      <c r="G40" s="15">
        <f>'4.6.1.3-4 Direct N20'!G203</f>
        <v>0.65190559679999971</v>
      </c>
      <c r="H40" s="15">
        <f>'4.6.1.3-4 Direct N20'!H203</f>
        <v>0.76524023039999967</v>
      </c>
      <c r="I40" s="15">
        <f>'4.6.1.3-4 Direct N20'!I203</f>
        <v>0.65190559679999971</v>
      </c>
      <c r="N40" s="15"/>
      <c r="O40" s="15" t="str">
        <f>INDEX(X_Table_Poultry_Stage2MMS_ManureStoredInHouse,6,1)</f>
        <v>Direct application</v>
      </c>
      <c r="P40" s="15">
        <f>'4.6.1.3-4 Direct N20'!P203</f>
        <v>0.61074998399999991</v>
      </c>
      <c r="Q40" s="15">
        <f>'4.6.1.3-4 Direct N20'!Q203</f>
        <v>0.65190559679999971</v>
      </c>
      <c r="R40" s="15">
        <f>'4.6.1.3-4 Direct N20'!R203</f>
        <v>0.76524023039999967</v>
      </c>
      <c r="S40" s="15">
        <f>'4.6.1.3-4 Direct N20'!S203</f>
        <v>0.65190559679999971</v>
      </c>
    </row>
    <row r="41" spans="1:20" ht="20.100000000000001" customHeight="1" x14ac:dyDescent="0.2">
      <c r="A41" s="5" t="str">
        <f>HYPERLINK("#'5.1.1.1-2 Inorganic fert N2O'!A1", "5.1.1.1-2 Inorganic fert N2O")</f>
        <v>5.1.1.1-2 Inorganic fert N2O</v>
      </c>
    </row>
    <row r="42" spans="1:20" ht="20.100000000000001" customHeight="1" x14ac:dyDescent="0.2">
      <c r="A42" s="5" t="str">
        <f>HYPERLINK("#'5.1.1.3-4 Inorganic fert CO2'!A1", "5.1.1.3-4 Inorganic fert CO2")</f>
        <v>5.1.1.3-4 Inorganic fert CO2</v>
      </c>
      <c r="D42" s="118" t="s">
        <v>427</v>
      </c>
    </row>
    <row r="43" spans="1:20" ht="20.100000000000001" customHeight="1" x14ac:dyDescent="0.2">
      <c r="A43" s="5" t="str">
        <f>HYPERLINK("#'5.2.1.1-2 Organic Fert N2O'!A1", "5.2.1.1-2 Organic Fert N2O")</f>
        <v>5.2.1.1-2 Organic Fert N2O</v>
      </c>
      <c r="D43" s="119" t="s">
        <v>428</v>
      </c>
    </row>
    <row r="44" spans="1:20" ht="20.100000000000001" customHeight="1" x14ac:dyDescent="0.2">
      <c r="A44" s="5" t="str">
        <f>HYPERLINK("#'5.3.1.1-2 Lime CO2'!A1", "5.3.1.1-2 Lime CO2")</f>
        <v>5.3.1.1-2 Lime CO2</v>
      </c>
      <c r="D44" s="120" t="s">
        <v>314</v>
      </c>
      <c r="E44" s="120" t="s">
        <v>402</v>
      </c>
    </row>
    <row r="45" spans="1:20" ht="20.100000000000001" customHeight="1" x14ac:dyDescent="0.2">
      <c r="A45" s="5" t="str">
        <f>HYPERLINK("#'5.4.1.1-4 Atmos deposition'!A1", "5.4.1.1-4 Atmos deposition")</f>
        <v>5.4.1.1-4 Atmos deposition</v>
      </c>
      <c r="D45" s="15" t="str">
        <f>'Constants - Poultry'!$D$29</f>
        <v>Poultry manure with bedding</v>
      </c>
      <c r="E45" s="15" cm="1">
        <f t="array" ref="E45">Common_InputFunctions.Utility_LookupValueInTableNumber(D45, Table_SourceData_Poultry_FracGASM[NIR reference],Table_SourceData_Poultry_FracGASM[FracGASMmT])</f>
        <v>0.3</v>
      </c>
      <c r="F45" s="16" t="str">
        <f>$G$14</f>
        <v>(kg NH3-N + NOx-N)/kg N</v>
      </c>
    </row>
    <row r="46" spans="1:20" ht="20.100000000000001" customHeight="1" x14ac:dyDescent="0.2">
      <c r="A46" s="5" t="str">
        <f>HYPERLINK("#'5.5.1.1-2 Leaching and runoff'!A1", "5.5.1.1-2 Leaching and runoff")</f>
        <v>5.5.1.1-2 Leaching and runoff</v>
      </c>
      <c r="D46" s="15" t="str">
        <f>'Constants - Poultry'!$D$30</f>
        <v>Belt manure removal</v>
      </c>
      <c r="E46" s="15" cm="1">
        <f t="array" ref="E46">Common_InputFunctions.Utility_LookupValueInTableNumber(D46, Table_SourceData_Poultry_FracGASM[NIR reference],Table_SourceData_Poultry_FracGASM[FracGASMmT])</f>
        <v>0.05</v>
      </c>
    </row>
    <row r="47" spans="1:20" ht="20.100000000000001" customHeight="1" x14ac:dyDescent="0.2">
      <c r="D47" s="15" t="str">
        <f>'Constants - Poultry'!$D$31</f>
        <v>Manure stored in house</v>
      </c>
      <c r="E47" s="15" cm="1">
        <f t="array" ref="E47">Common_InputFunctions.Utility_LookupValueInTableNumber(D47, Table_SourceData_Poultry_FracGASM[NIR reference],Table_SourceData_Poultry_FracGASM[FracGASMmT])</f>
        <v>0.4</v>
      </c>
    </row>
    <row r="48" spans="1:20" ht="20.100000000000001" customHeight="1" x14ac:dyDescent="0.2">
      <c r="D48" s="15" t="str">
        <f>'Constants - Poultry'!$D$32</f>
        <v>Pasture range and paddock</v>
      </c>
      <c r="E48" s="15" cm="1">
        <f t="array" ref="E48">Common_InputFunctions.Utility_LookupValueInTableNumber(D48, Table_SourceData_Poultry_FracGASM[NIR reference],Table_SourceData_Poultry_FracGASM[FracGASMmT])</f>
        <v>0</v>
      </c>
    </row>
    <row r="49" spans="1:20" ht="20.100000000000001" customHeight="1" x14ac:dyDescent="0.2">
      <c r="A49" s="80" t="s">
        <v>1</v>
      </c>
      <c r="D49" s="15" t="str">
        <f>'Constants - Poultry'!$D$33</f>
        <v>Solid storage</v>
      </c>
      <c r="E49" s="15" cm="1">
        <f t="array" ref="E49">Common_InputFunctions.Utility_LookupValueInTableNumber(D49, Table_SourceData_Poultry_FracGASM[NIR reference],Table_SourceData_Poultry_FracGASM[FracGASMmT])</f>
        <v>0.2</v>
      </c>
    </row>
    <row r="50" spans="1:20" ht="20.100000000000001" customHeight="1" x14ac:dyDescent="0.2">
      <c r="A50" s="5" t="str">
        <f>HYPERLINK("#'Constants - Poultry'!A1", "Constants - Poultry")</f>
        <v>Constants - Poultry</v>
      </c>
      <c r="D50" s="15" t="str">
        <f>'Constants - Poultry'!$D$34</f>
        <v>Composting (passive windrow)</v>
      </c>
      <c r="E50" s="15" cm="1">
        <f t="array" ref="E50">Common_InputFunctions.Utility_LookupValueInTableNumber(D50, Table_SourceData_Poultry_FracGASM[NIR reference],Table_SourceData_Poultry_FracGASM[FracGASMmT])</f>
        <v>0.2</v>
      </c>
    </row>
    <row r="51" spans="1:20" ht="20.100000000000001" customHeight="1" x14ac:dyDescent="0.2">
      <c r="A51" s="5" t="str">
        <f>HYPERLINK("#'Constants - Common livestock'!A1", "Constants - Common Livestock")</f>
        <v>Constants - Common Livestock</v>
      </c>
      <c r="D51" s="15" t="str">
        <f>'Constants - Poultry'!$D$35</f>
        <v>Digester / covered lagoons</v>
      </c>
      <c r="E51" s="15" cm="1">
        <f t="array" ref="E51">Common_InputFunctions.Utility_LookupValueInTableNumber(D51, Table_SourceData_Poultry_FracGASM[NIR reference],Table_SourceData_Poultry_FracGASM[FracGASMmT])</f>
        <v>0</v>
      </c>
    </row>
    <row r="52" spans="1:20" ht="20.100000000000001" customHeight="1" x14ac:dyDescent="0.2">
      <c r="A52" s="5" t="str">
        <f>HYPERLINK("#'Constants - Electricity'!A1", "Constants - Electricity")</f>
        <v>Constants - Electricity</v>
      </c>
      <c r="D52" s="15" t="str">
        <f>'Constants - Poultry'!$D$36</f>
        <v>Direct processing</v>
      </c>
      <c r="E52" s="15" cm="1">
        <f t="array" ref="E52">Common_InputFunctions.Utility_LookupValueInTableNumber(D52, Table_SourceData_Poultry_FracGASM[NIR reference],Table_SourceData_Poultry_FracGASM[FracGASMmT])</f>
        <v>0</v>
      </c>
    </row>
    <row r="53" spans="1:20" ht="20.100000000000001" customHeight="1" x14ac:dyDescent="0.2">
      <c r="A53" s="5" t="str">
        <f>HYPERLINK("#'Constants - Fertiliser'!A1", "Constants - Fertiliser")</f>
        <v>Constants - Fertiliser</v>
      </c>
    </row>
    <row r="54" spans="1:20" ht="20.100000000000001" customHeight="1" x14ac:dyDescent="0.2">
      <c r="A54" s="5" t="str">
        <f>HYPERLINK("#'Constants - Fuel'!A1", "Constants - Fuel")</f>
        <v>Constants - Fuel</v>
      </c>
      <c r="D54" s="118" t="s">
        <v>429</v>
      </c>
      <c r="N54" s="118" t="s">
        <v>430</v>
      </c>
    </row>
    <row r="55" spans="1:20" ht="20.100000000000001" customHeight="1" x14ac:dyDescent="0.2">
      <c r="A55" s="5" t="str">
        <f>HYPERLINK("#'Constants - Scope 3'!A1", "Constants - Scope 3")</f>
        <v>Constants - Scope 3</v>
      </c>
      <c r="D55" s="119" t="s">
        <v>431</v>
      </c>
      <c r="N55" s="119" t="s">
        <v>432</v>
      </c>
    </row>
    <row r="56" spans="1:20" ht="20.100000000000001" customHeight="1" x14ac:dyDescent="0.2">
      <c r="A56" s="5" t="str">
        <f>HYPERLINK("#'Constants - Solid Waste'!A1", "Constants - Solid Waste")</f>
        <v>Constants - Solid Waste</v>
      </c>
      <c r="D56" s="120" t="s">
        <v>314</v>
      </c>
      <c r="E56" s="120" t="s">
        <v>318</v>
      </c>
      <c r="F56" s="120" t="s">
        <v>297</v>
      </c>
      <c r="G56" s="120" t="s">
        <v>298</v>
      </c>
      <c r="H56" s="120" t="s">
        <v>299</v>
      </c>
      <c r="I56" s="120" t="s">
        <v>300</v>
      </c>
      <c r="N56" s="120" t="s">
        <v>314</v>
      </c>
      <c r="O56" s="120" t="s">
        <v>318</v>
      </c>
      <c r="P56" s="120" t="s">
        <v>297</v>
      </c>
      <c r="Q56" s="120" t="s">
        <v>298</v>
      </c>
      <c r="R56" s="120" t="s">
        <v>299</v>
      </c>
      <c r="S56" s="120" t="s">
        <v>300</v>
      </c>
    </row>
    <row r="57" spans="1:20" ht="20.100000000000001" customHeight="1" x14ac:dyDescent="0.2">
      <c r="A57" s="5" t="str">
        <f>HYPERLINK("#'Constants - Common'!A1", "Constants - Common")</f>
        <v>Constants - Common</v>
      </c>
      <c r="D57" s="15" t="str">
        <f>INDEX(X_Table_Poultry_Stage1MMS,2,1)</f>
        <v>Poultry manure with bedding</v>
      </c>
      <c r="E57" s="15" t="s">
        <v>124</v>
      </c>
      <c r="F57" s="15">
        <f>(F22 * (_xlfn.XLOOKUP($D57, $D$45:$D$52, $E$45:$E$52)))</f>
        <v>1.5294240000000003</v>
      </c>
      <c r="G57" s="15">
        <f>(G22 * (_xlfn.XLOOKUP($D57, $D$45:$D$52, $E$45:$E$52)))</f>
        <v>1.6324847999999998</v>
      </c>
      <c r="H57" s="15">
        <f>(H22 * (_xlfn.XLOOKUP($D57, $D$45:$D$52, $E$45:$E$52)))</f>
        <v>1.9162943999999997</v>
      </c>
      <c r="I57" s="15">
        <f>(I22 * (_xlfn.XLOOKUP($D57, $D$45:$D$52, $E$45:$E$52)))</f>
        <v>1.6324847999999998</v>
      </c>
      <c r="J57" s="16" t="str">
        <f>$E$11</f>
        <v>kg N</v>
      </c>
      <c r="N57" s="15" t="str">
        <f>INDEX(X_Table_Poultry_Stage1MMS,2,1)</f>
        <v>Poultry manure with bedding</v>
      </c>
      <c r="O57" s="15" t="s">
        <v>124</v>
      </c>
      <c r="P57" s="15">
        <f>(P22 * (_xlfn.XLOOKUP($N57, $D$45:$D$52, $E$45:$E$52)))</f>
        <v>1.5294240000000003</v>
      </c>
      <c r="Q57" s="15">
        <f>(Q22 * (_xlfn.XLOOKUP($N57, $D$45:$D$52, $E$45:$E$52)))</f>
        <v>1.6324847999999998</v>
      </c>
      <c r="R57" s="15">
        <f>(R22 * (_xlfn.XLOOKUP($N57, $D$45:$D$52, $E$45:$E$52)))</f>
        <v>1.9162943999999997</v>
      </c>
      <c r="S57" s="15">
        <f>(S22 * (_xlfn.XLOOKUP($N57, $D$45:$D$52, $E$45:$E$52)))</f>
        <v>1.6324847999999998</v>
      </c>
      <c r="T57" s="16" t="str">
        <f>$E$11</f>
        <v>kg N</v>
      </c>
    </row>
    <row r="58" spans="1:20" ht="20.100000000000001" customHeight="1" x14ac:dyDescent="0.2">
      <c r="D58" s="15" t="str">
        <f>INDEX(X_Table_Poultry_Stage1MMS,3,1)</f>
        <v>Belt manure removal</v>
      </c>
      <c r="E58" s="15" t="s">
        <v>124</v>
      </c>
      <c r="F58" s="15">
        <f>(F23 * (_xlfn.XLOOKUP($D58, $D$45:$D$52, $E$45:$E$52)))</f>
        <v>0.25490400000000007</v>
      </c>
      <c r="G58" s="15">
        <f>(G23 * (_xlfn.XLOOKUP($D58, $D$45:$D$52, $E$45:$E$52)))</f>
        <v>0.27208080000000001</v>
      </c>
      <c r="H58" s="15">
        <f>(H23 * (_xlfn.XLOOKUP($D58, $D$45:$D$52, $E$45:$E$52)))</f>
        <v>0.31938240000000001</v>
      </c>
      <c r="I58" s="15">
        <f>(I23 * (_xlfn.XLOOKUP($D58, $D$45:$D$52, $E$45:$E$52)))</f>
        <v>0.27208080000000001</v>
      </c>
      <c r="J58" s="16"/>
      <c r="N58" s="15" t="str">
        <f>INDEX(X_Table_Poultry_Stage1MMS,3,1)</f>
        <v>Belt manure removal</v>
      </c>
      <c r="O58" s="15" t="s">
        <v>124</v>
      </c>
      <c r="P58" s="15">
        <f>(P23 * (_xlfn.XLOOKUP($N58, $D$45:$D$52, $E$45:$E$52)))</f>
        <v>0.25490400000000007</v>
      </c>
      <c r="Q58" s="15">
        <f>(Q23 * (_xlfn.XLOOKUP($N58, $D$45:$D$52, $E$45:$E$52)))</f>
        <v>0.27208080000000001</v>
      </c>
      <c r="R58" s="15">
        <f>(R23 * (_xlfn.XLOOKUP($N58, $D$45:$D$52, $E$45:$E$52)))</f>
        <v>0.31938240000000001</v>
      </c>
      <c r="S58" s="15">
        <f>(S23 * (_xlfn.XLOOKUP($N58, $D$45:$D$52, $E$45:$E$52)))</f>
        <v>0.27208080000000001</v>
      </c>
      <c r="T58" s="16"/>
    </row>
    <row r="59" spans="1:20" ht="20.100000000000001" customHeight="1" x14ac:dyDescent="0.2">
      <c r="D59" s="15" t="str">
        <f>INDEX(X_Table_Poultry_Stage1MMS,4,1)</f>
        <v>Manure stored in house</v>
      </c>
      <c r="E59" s="15" t="s">
        <v>124</v>
      </c>
      <c r="F59" s="15">
        <f>(F24 * (_xlfn.XLOOKUP($D59, $D$45:$D$52, $E$45:$E$52)))</f>
        <v>2.0392320000000006</v>
      </c>
      <c r="G59" s="15">
        <f>(G24 * (_xlfn.XLOOKUP($D59, $D$45:$D$52, $E$45:$E$52)))</f>
        <v>2.1766464000000001</v>
      </c>
      <c r="H59" s="15">
        <f>(H24 * (_xlfn.XLOOKUP($D59, $D$45:$D$52, $E$45:$E$52)))</f>
        <v>2.5550592000000001</v>
      </c>
      <c r="I59" s="15">
        <f>(I24 * (_xlfn.XLOOKUP($D59, $D$45:$D$52, $E$45:$E$52)))</f>
        <v>2.1766464000000001</v>
      </c>
      <c r="J59" s="16"/>
      <c r="N59" s="15" t="str">
        <f>INDEX(X_Table_Poultry_Stage1MMS,4,1)</f>
        <v>Manure stored in house</v>
      </c>
      <c r="O59" s="15" t="s">
        <v>124</v>
      </c>
      <c r="P59" s="15">
        <f>(P24 * (_xlfn.XLOOKUP($N59, $D$45:$D$52, $E$45:$E$52)))</f>
        <v>2.0392320000000006</v>
      </c>
      <c r="Q59" s="15">
        <f>(Q24 * (_xlfn.XLOOKUP($N59, $D$45:$D$52, $E$45:$E$52)))</f>
        <v>2.1766464000000001</v>
      </c>
      <c r="R59" s="15">
        <f>(R24 * (_xlfn.XLOOKUP($N59, $D$45:$D$52, $E$45:$E$52)))</f>
        <v>2.5550592000000001</v>
      </c>
      <c r="S59" s="15">
        <f>(S24 * (_xlfn.XLOOKUP($N59, $D$45:$D$52, $E$45:$E$52)))</f>
        <v>2.1766464000000001</v>
      </c>
      <c r="T59" s="16"/>
    </row>
    <row r="60" spans="1:20" ht="20.100000000000001" customHeight="1" x14ac:dyDescent="0.2">
      <c r="D60" s="15" t="str">
        <f>INDEX(X_Table_Poultry_Stage1MMS,5,1)</f>
        <v>Pasture range and paddock</v>
      </c>
      <c r="E60" s="15" t="s">
        <v>124</v>
      </c>
      <c r="F60" s="15">
        <f>(F25 * (_xlfn.XLOOKUP($D60, $D$45:$D$52, $E$45:$E$52)))</f>
        <v>0</v>
      </c>
      <c r="G60" s="15">
        <f>(G25 * (_xlfn.XLOOKUP($D60, $D$45:$D$52, $E$45:$E$52)))</f>
        <v>0</v>
      </c>
      <c r="H60" s="15">
        <f>(H25 * (_xlfn.XLOOKUP($D60, $D$45:$D$52, $E$45:$E$52)))</f>
        <v>0</v>
      </c>
      <c r="I60" s="15">
        <f>(I25 * (_xlfn.XLOOKUP($D60, $D$45:$D$52, $E$45:$E$52)))</f>
        <v>0</v>
      </c>
      <c r="J60" s="16"/>
      <c r="N60" s="15" t="str">
        <f>INDEX(X_Table_Poultry_Stage1MMS,5,1)</f>
        <v>Pasture range and paddock</v>
      </c>
      <c r="O60" s="15" t="s">
        <v>124</v>
      </c>
      <c r="P60" s="15">
        <f>(P25 * (_xlfn.XLOOKUP($N60, $D$45:$D$52, $E$45:$E$52)))</f>
        <v>0</v>
      </c>
      <c r="Q60" s="15">
        <f>(Q25 * (_xlfn.XLOOKUP($N60, $D$45:$D$52, $E$45:$E$52)))</f>
        <v>0</v>
      </c>
      <c r="R60" s="15">
        <f>(R25 * (_xlfn.XLOOKUP($N60, $D$45:$D$52, $E$45:$E$52)))</f>
        <v>0</v>
      </c>
      <c r="S60" s="15">
        <f>(S25 * (_xlfn.XLOOKUP($N60, $D$45:$D$52, $E$45:$E$52)))</f>
        <v>0</v>
      </c>
      <c r="T60" s="16"/>
    </row>
    <row r="61" spans="1:20" ht="20.100000000000001" customHeight="1" x14ac:dyDescent="0.2">
      <c r="D61" s="15" t="str">
        <f>INDEX(X_Table_Poultry_Stage1MMS,2,1)</f>
        <v>Poultry manure with bedding</v>
      </c>
      <c r="E61" s="15" t="str">
        <f>INDEX(X_Table_Poultry_Stage2MMS_PoultryManureWithBedding,2,1)</f>
        <v>Solid storage</v>
      </c>
      <c r="F61" s="15">
        <f>(F26 * (_xlfn.XLOOKUP($E61, $D$45:$D$52, $E$45:$E$52)))</f>
        <v>0.14254231680000004</v>
      </c>
      <c r="G61" s="15">
        <f>(G26 * (_xlfn.XLOOKUP($E61, $D$45:$D$52, $E$45:$E$52)))</f>
        <v>0.15214758336</v>
      </c>
      <c r="H61" s="15">
        <f>(H26 * (_xlfn.XLOOKUP($E61, $D$45:$D$52, $E$45:$E$52)))</f>
        <v>0.17859863807999998</v>
      </c>
      <c r="I61" s="15">
        <f>(I26 * (_xlfn.XLOOKUP($E61, $D$45:$D$52, $E$45:$E$52)))</f>
        <v>0.15214758336</v>
      </c>
      <c r="J61" s="16"/>
      <c r="N61" s="15" t="str">
        <f>INDEX(X_Table_Poultry_Stage1MMS,2,1)</f>
        <v>Poultry manure with bedding</v>
      </c>
      <c r="O61" s="15" t="str">
        <f>INDEX(X_Table_Poultry_Stage2MMS_PoultryManureWithBedding,2,1)</f>
        <v>Solid storage</v>
      </c>
      <c r="P61" s="15">
        <f>(P26 * (_xlfn.XLOOKUP($O61, $D$45:$D$52, $E$45:$E$52)))</f>
        <v>0.14254231680000004</v>
      </c>
      <c r="Q61" s="15">
        <f>(Q26 * (_xlfn.XLOOKUP($O61, $D$45:$D$52, $E$45:$E$52)))</f>
        <v>0.15214758336</v>
      </c>
      <c r="R61" s="15">
        <f>(R26 * (_xlfn.XLOOKUP($O61, $D$45:$D$52, $E$45:$E$52)))</f>
        <v>0.17859863807999998</v>
      </c>
      <c r="S61" s="15">
        <f>(S26 * (_xlfn.XLOOKUP($O61, $D$45:$D$52, $E$45:$E$52)))</f>
        <v>0.15214758336</v>
      </c>
      <c r="T61" s="16"/>
    </row>
    <row r="62" spans="1:20" ht="20.100000000000001" customHeight="1" x14ac:dyDescent="0.2">
      <c r="D62" s="15"/>
      <c r="E62" s="15" t="str">
        <f>INDEX(X_Table_Poultry_Stage2MMS_PoultryManureWithBedding,3,1)</f>
        <v>Composting (passive windrow)</v>
      </c>
      <c r="F62" s="15">
        <f>(F27 * (_xlfn.XLOOKUP($E62, $D$45:$D$52, $E$45:$E$52)))</f>
        <v>0.14254231680000004</v>
      </c>
      <c r="G62" s="15">
        <f>(G27 * (_xlfn.XLOOKUP($E62, $D$45:$D$52, $E$45:$E$52)))</f>
        <v>0.15214758336</v>
      </c>
      <c r="H62" s="15">
        <f>(H27 * (_xlfn.XLOOKUP($E62, $D$45:$D$52, $E$45:$E$52)))</f>
        <v>0.17859863807999998</v>
      </c>
      <c r="I62" s="15">
        <f>(I27 * (_xlfn.XLOOKUP($E62, $D$45:$D$52, $E$45:$E$52)))</f>
        <v>0.15214758336</v>
      </c>
      <c r="J62" s="16"/>
      <c r="N62" s="15"/>
      <c r="O62" s="15" t="str">
        <f>INDEX(X_Table_Poultry_Stage2MMS_PoultryManureWithBedding,3,1)</f>
        <v>Composting (passive windrow)</v>
      </c>
      <c r="P62" s="15">
        <f>(P27 * (_xlfn.XLOOKUP($O62, $D$45:$D$52, $E$45:$E$52)))</f>
        <v>0.14254231680000004</v>
      </c>
      <c r="Q62" s="15">
        <f>(Q27 * (_xlfn.XLOOKUP($O62, $D$45:$D$52, $E$45:$E$52)))</f>
        <v>0.15214758336</v>
      </c>
      <c r="R62" s="15">
        <f>(R27 * (_xlfn.XLOOKUP($O62, $D$45:$D$52, $E$45:$E$52)))</f>
        <v>0.17859863807999998</v>
      </c>
      <c r="S62" s="15">
        <f>(S27 * (_xlfn.XLOOKUP($O62, $D$45:$D$52, $E$45:$E$52)))</f>
        <v>0.15214758336</v>
      </c>
      <c r="T62" s="16"/>
    </row>
    <row r="63" spans="1:20" ht="20.100000000000001" customHeight="1" x14ac:dyDescent="0.2">
      <c r="D63" s="15"/>
      <c r="E63" s="15" t="str">
        <f>INDEX(X_Table_Poultry_Stage2MMS_PoultryManureWithBedding,4,1)</f>
        <v>Digester / covered lagoons</v>
      </c>
      <c r="F63" s="15">
        <f>(F28 * (_xlfn.XLOOKUP($E63, $D$45:$D$52, $E$45:$E$52)))</f>
        <v>0</v>
      </c>
      <c r="G63" s="15">
        <f>(G28 * (_xlfn.XLOOKUP($E63, $D$45:$D$52, $E$45:$E$52)))</f>
        <v>0</v>
      </c>
      <c r="H63" s="15">
        <f>(H28 * (_xlfn.XLOOKUP($E63, $D$45:$D$52, $E$45:$E$52)))</f>
        <v>0</v>
      </c>
      <c r="I63" s="15">
        <f>(I28 * (_xlfn.XLOOKUP($E63, $D$45:$D$52, $E$45:$E$52)))</f>
        <v>0</v>
      </c>
      <c r="J63" s="16"/>
      <c r="N63" s="15"/>
      <c r="O63" s="15" t="str">
        <f>INDEX(X_Table_Poultry_Stage2MMS_PoultryManureWithBedding,4,1)</f>
        <v>Digester / covered lagoons</v>
      </c>
      <c r="P63" s="15">
        <f>(P28 * (_xlfn.XLOOKUP($O63, $D$45:$D$52, $E$45:$E$52)))</f>
        <v>0</v>
      </c>
      <c r="Q63" s="15">
        <f>(Q28 * (_xlfn.XLOOKUP($O63, $D$45:$D$52, $E$45:$E$52)))</f>
        <v>0</v>
      </c>
      <c r="R63" s="15">
        <f>(R28 * (_xlfn.XLOOKUP($O63, $D$45:$D$52, $E$45:$E$52)))</f>
        <v>0</v>
      </c>
      <c r="S63" s="15">
        <f>(S28 * (_xlfn.XLOOKUP($O63, $D$45:$D$52, $E$45:$E$52)))</f>
        <v>0</v>
      </c>
      <c r="T63" s="16"/>
    </row>
    <row r="64" spans="1:20" ht="20.100000000000001" customHeight="1" x14ac:dyDescent="0.2">
      <c r="D64" s="15"/>
      <c r="E64" s="15" t="str">
        <f>INDEX(X_Table_Poultry_Stage2MMS_PoultryManureWithBedding,5,1)</f>
        <v>Direct processing</v>
      </c>
      <c r="F64" s="15">
        <f>(F29 * (_xlfn.XLOOKUP($E64, $D$45:$D$52, $E$45:$E$52)))</f>
        <v>0</v>
      </c>
      <c r="G64" s="15">
        <f>(G29 * (_xlfn.XLOOKUP($E64, $D$45:$D$52, $E$45:$E$52)))</f>
        <v>0</v>
      </c>
      <c r="H64" s="15">
        <f>(H29 * (_xlfn.XLOOKUP($E64, $D$45:$D$52, $E$45:$E$52)))</f>
        <v>0</v>
      </c>
      <c r="I64" s="15">
        <f>(I29 * (_xlfn.XLOOKUP($E64, $D$45:$D$52, $E$45:$E$52)))</f>
        <v>0</v>
      </c>
      <c r="J64" s="16"/>
      <c r="N64" s="15"/>
      <c r="O64" s="15" t="str">
        <f>INDEX(X_Table_Poultry_Stage2MMS_PoultryManureWithBedding,5,1)</f>
        <v>Direct processing</v>
      </c>
      <c r="P64" s="15">
        <f>(P29 * (_xlfn.XLOOKUP($O64, $D$45:$D$52, $E$45:$E$52)))</f>
        <v>0</v>
      </c>
      <c r="Q64" s="15">
        <f>(Q29 * (_xlfn.XLOOKUP($O64, $D$45:$D$52, $E$45:$E$52)))</f>
        <v>0</v>
      </c>
      <c r="R64" s="15">
        <f>(R29 * (_xlfn.XLOOKUP($O64, $D$45:$D$52, $E$45:$E$52)))</f>
        <v>0</v>
      </c>
      <c r="S64" s="15">
        <f>(S29 * (_xlfn.XLOOKUP($O64, $D$45:$D$52, $E$45:$E$52)))</f>
        <v>0</v>
      </c>
      <c r="T64" s="16"/>
    </row>
    <row r="65" spans="1:21" ht="20.100000000000001" customHeight="1" x14ac:dyDescent="0.2">
      <c r="D65" s="15"/>
      <c r="E65" s="15" t="str">
        <f>INDEX(X_Table_Poultry_Stage2MMS_PoultryManureWithBedding,6,1)</f>
        <v>Direct application</v>
      </c>
      <c r="F65" s="15" t="s">
        <v>124</v>
      </c>
      <c r="G65" s="15" t="s">
        <v>124</v>
      </c>
      <c r="H65" s="15" t="s">
        <v>124</v>
      </c>
      <c r="I65" s="15" t="s">
        <v>124</v>
      </c>
      <c r="N65" s="15"/>
      <c r="O65" s="15" t="str">
        <f>INDEX(X_Table_Poultry_Stage2MMS_PoultryManureWithBedding,6,1)</f>
        <v>Direct application</v>
      </c>
      <c r="P65" s="15" t="s">
        <v>124</v>
      </c>
      <c r="Q65" s="15" t="s">
        <v>124</v>
      </c>
      <c r="R65" s="15" t="s">
        <v>124</v>
      </c>
      <c r="S65" s="15" t="s">
        <v>124</v>
      </c>
    </row>
    <row r="66" spans="1:21" ht="20.100000000000001" customHeight="1" x14ac:dyDescent="0.2">
      <c r="D66" s="15" t="str">
        <f>INDEX(X_Table_Poultry_Stage1MMS,3,1)</f>
        <v>Belt manure removal</v>
      </c>
      <c r="E66" s="15" t="str">
        <f>INDEX(X_Table_Poultry_Stage2MMS_BeltManureRemoval,2,1)</f>
        <v>Solid storage</v>
      </c>
      <c r="F66" s="15">
        <f>(F31 * (_xlfn.XLOOKUP($E66, $D$45:$D$52, $E$45:$E$52)))</f>
        <v>0.19352311680000006</v>
      </c>
      <c r="G66" s="15">
        <f>(G31 * (_xlfn.XLOOKUP($E66, $D$45:$D$52, $E$45:$E$52)))</f>
        <v>0.20656374336000002</v>
      </c>
      <c r="H66" s="15">
        <f>(H31 * (_xlfn.XLOOKUP($E66, $D$45:$D$52, $E$45:$E$52)))</f>
        <v>0.24247511808</v>
      </c>
      <c r="I66" s="15">
        <f>(I31 * (_xlfn.XLOOKUP($E66, $D$45:$D$52, $E$45:$E$52)))</f>
        <v>0.20656374336000002</v>
      </c>
      <c r="J66" s="16"/>
      <c r="N66" s="15" t="str">
        <f>INDEX(X_Table_Poultry_Stage1MMS,3,1)</f>
        <v>Belt manure removal</v>
      </c>
      <c r="O66" s="15" t="str">
        <f>INDEX(X_Table_Poultry_Stage2MMS_BeltManureRemoval,2,1)</f>
        <v>Solid storage</v>
      </c>
      <c r="P66" s="15">
        <f>(P31 * (_xlfn.XLOOKUP($O66, $D$45:$D$52, $E$45:$E$52)))</f>
        <v>0.19352311680000006</v>
      </c>
      <c r="Q66" s="15">
        <f>(Q31 * (_xlfn.XLOOKUP($O66, $D$45:$D$52, $E$45:$E$52)))</f>
        <v>0.20656374336000002</v>
      </c>
      <c r="R66" s="15">
        <f>(R31 * (_xlfn.XLOOKUP($O66, $D$45:$D$52, $E$45:$E$52)))</f>
        <v>0.24247511808</v>
      </c>
      <c r="S66" s="15">
        <f>(S31 * (_xlfn.XLOOKUP($O66, $D$45:$D$52, $E$45:$E$52)))</f>
        <v>0.20656374336000002</v>
      </c>
      <c r="T66" s="16"/>
    </row>
    <row r="67" spans="1:21" ht="20.100000000000001" customHeight="1" x14ac:dyDescent="0.2">
      <c r="D67" s="15"/>
      <c r="E67" s="15" t="str">
        <f>INDEX(X_Table_Poultry_Stage2MMS_BeltManureRemoval,3,1)</f>
        <v>Composting (passive windrow)</v>
      </c>
      <c r="F67" s="15">
        <f>(F32 * (_xlfn.XLOOKUP($E67, $D$45:$D$52, $E$45:$E$52)))</f>
        <v>0.19352311680000006</v>
      </c>
      <c r="G67" s="15">
        <f>(G32 * (_xlfn.XLOOKUP($E67, $D$45:$D$52, $E$45:$E$52)))</f>
        <v>0.20656374336000002</v>
      </c>
      <c r="H67" s="15">
        <f>(H32 * (_xlfn.XLOOKUP($E67, $D$45:$D$52, $E$45:$E$52)))</f>
        <v>0.24247511808</v>
      </c>
      <c r="I67" s="15">
        <f>(I32 * (_xlfn.XLOOKUP($E67, $D$45:$D$52, $E$45:$E$52)))</f>
        <v>0.20656374336000002</v>
      </c>
      <c r="J67" s="16"/>
      <c r="N67" s="15"/>
      <c r="O67" s="15" t="str">
        <f>INDEX(X_Table_Poultry_Stage2MMS_BeltManureRemoval,3,1)</f>
        <v>Composting (passive windrow)</v>
      </c>
      <c r="P67" s="15">
        <f>(P32 * (_xlfn.XLOOKUP($O67, $D$45:$D$52, $E$45:$E$52)))</f>
        <v>0.19352311680000006</v>
      </c>
      <c r="Q67" s="15">
        <f>(Q32 * (_xlfn.XLOOKUP($O67, $D$45:$D$52, $E$45:$E$52)))</f>
        <v>0.20656374336000002</v>
      </c>
      <c r="R67" s="15">
        <f>(R32 * (_xlfn.XLOOKUP($O67, $D$45:$D$52, $E$45:$E$52)))</f>
        <v>0.24247511808</v>
      </c>
      <c r="S67" s="15">
        <f>(S32 * (_xlfn.XLOOKUP($O67, $D$45:$D$52, $E$45:$E$52)))</f>
        <v>0.20656374336000002</v>
      </c>
      <c r="T67" s="16"/>
    </row>
    <row r="68" spans="1:21" ht="20.100000000000001" customHeight="1" x14ac:dyDescent="0.2">
      <c r="A68" s="79" t="str">
        <f>HYPERLINK("#A1", "▲ Back to top")</f>
        <v>▲ Back to top</v>
      </c>
      <c r="D68" s="15"/>
      <c r="E68" s="15" t="str">
        <f>INDEX(X_Table_Poultry_Stage2MMS_BeltManureRemoval,4,1)</f>
        <v>Digester / covered lagoons</v>
      </c>
      <c r="F68" s="15">
        <f>(F33 * (_xlfn.XLOOKUP($E68, $D$45:$D$52, $E$45:$E$52)))</f>
        <v>0</v>
      </c>
      <c r="G68" s="15">
        <f>(G33 * (_xlfn.XLOOKUP($E68, $D$45:$D$52, $E$45:$E$52)))</f>
        <v>0</v>
      </c>
      <c r="H68" s="15">
        <f>(H33 * (_xlfn.XLOOKUP($E68, $D$45:$D$52, $E$45:$E$52)))</f>
        <v>0</v>
      </c>
      <c r="I68" s="15">
        <f>(I33 * (_xlfn.XLOOKUP($E68, $D$45:$D$52, $E$45:$E$52)))</f>
        <v>0</v>
      </c>
      <c r="J68" s="16"/>
      <c r="N68" s="15"/>
      <c r="O68" s="15" t="str">
        <f>INDEX(X_Table_Poultry_Stage2MMS_BeltManureRemoval,4,1)</f>
        <v>Digester / covered lagoons</v>
      </c>
      <c r="P68" s="15">
        <f>(P33 * (_xlfn.XLOOKUP($O68, $D$45:$D$52, $E$45:$E$52)))</f>
        <v>0</v>
      </c>
      <c r="Q68" s="15">
        <f>(Q33 * (_xlfn.XLOOKUP($O68, $D$45:$D$52, $E$45:$E$52)))</f>
        <v>0</v>
      </c>
      <c r="R68" s="15">
        <f>(R33 * (_xlfn.XLOOKUP($O68, $D$45:$D$52, $E$45:$E$52)))</f>
        <v>0</v>
      </c>
      <c r="S68" s="15">
        <f>(S33 * (_xlfn.XLOOKUP($O68, $D$45:$D$52, $E$45:$E$52)))</f>
        <v>0</v>
      </c>
      <c r="T68" s="16"/>
    </row>
    <row r="69" spans="1:21" ht="20.100000000000001" customHeight="1" x14ac:dyDescent="0.2">
      <c r="D69" s="15"/>
      <c r="E69" s="15" t="str">
        <f>INDEX(X_Table_Poultry_Stage2MMS_BeltManureRemoval,5,1)</f>
        <v>Direct processing</v>
      </c>
      <c r="F69" s="15">
        <f>(F34 * (_xlfn.XLOOKUP($E69, $D$45:$D$52, $E$45:$E$52)))</f>
        <v>0</v>
      </c>
      <c r="G69" s="15">
        <f>(G34 * (_xlfn.XLOOKUP($E69, $D$45:$D$52, $E$45:$E$52)))</f>
        <v>0</v>
      </c>
      <c r="H69" s="15">
        <f>(H34 * (_xlfn.XLOOKUP($E69, $D$45:$D$52, $E$45:$E$52)))</f>
        <v>0</v>
      </c>
      <c r="I69" s="15">
        <f>(I34 * (_xlfn.XLOOKUP($E69, $D$45:$D$52, $E$45:$E$52)))</f>
        <v>0</v>
      </c>
      <c r="J69" s="16"/>
      <c r="N69" s="15"/>
      <c r="O69" s="15" t="str">
        <f>INDEX(X_Table_Poultry_Stage2MMS_BeltManureRemoval,5,1)</f>
        <v>Direct processing</v>
      </c>
      <c r="P69" s="15">
        <f>(P34 * (_xlfn.XLOOKUP($O69, $D$45:$D$52, $E$45:$E$52)))</f>
        <v>0</v>
      </c>
      <c r="Q69" s="15">
        <f>(Q34 * (_xlfn.XLOOKUP($O69, $D$45:$D$52, $E$45:$E$52)))</f>
        <v>0</v>
      </c>
      <c r="R69" s="15">
        <f>(R34 * (_xlfn.XLOOKUP($O69, $D$45:$D$52, $E$45:$E$52)))</f>
        <v>0</v>
      </c>
      <c r="S69" s="15">
        <f>(S34 * (_xlfn.XLOOKUP($O69, $D$45:$D$52, $E$45:$E$52)))</f>
        <v>0</v>
      </c>
      <c r="T69" s="16"/>
    </row>
    <row r="70" spans="1:21" ht="20.100000000000001" customHeight="1" x14ac:dyDescent="0.2">
      <c r="D70" s="15"/>
      <c r="E70" s="15" t="str">
        <f>INDEX(X_Table_Poultry_Stage2MMS_BeltManureRemoval,6,1)</f>
        <v>Direct application</v>
      </c>
      <c r="F70" s="15" t="s">
        <v>124</v>
      </c>
      <c r="G70" s="15" t="s">
        <v>124</v>
      </c>
      <c r="H70" s="15" t="s">
        <v>124</v>
      </c>
      <c r="I70" s="15" t="s">
        <v>124</v>
      </c>
      <c r="N70" s="15"/>
      <c r="O70" s="15" t="str">
        <f>INDEX(X_Table_Poultry_Stage2MMS_BeltManureRemoval,6,1)</f>
        <v>Direct application</v>
      </c>
      <c r="P70" s="15" t="s">
        <v>124</v>
      </c>
      <c r="Q70" s="15" t="s">
        <v>124</v>
      </c>
      <c r="R70" s="15" t="s">
        <v>124</v>
      </c>
      <c r="S70" s="15" t="s">
        <v>124</v>
      </c>
    </row>
    <row r="71" spans="1:21" ht="20.100000000000001" customHeight="1" x14ac:dyDescent="0.2">
      <c r="D71" s="15" t="str">
        <f>INDEX(X_Table_Poultry_Stage1MMS,4,1)</f>
        <v>Manure stored in house</v>
      </c>
      <c r="E71" s="15" t="str">
        <f>INDEX(X_Table_Poultry_Stage2MMS_ManureStoredInHouse,2,1)</f>
        <v>Solid storage</v>
      </c>
      <c r="F71" s="15">
        <f>(F36 * (_xlfn.XLOOKUP($E71, $D$45:$D$52, $E$45:$E$52)))</f>
        <v>0.12214999680000004</v>
      </c>
      <c r="G71" s="15">
        <f>(G36 * (_xlfn.XLOOKUP($E71, $D$45:$D$52, $E$45:$E$52)))</f>
        <v>0.13038111935999999</v>
      </c>
      <c r="H71" s="15">
        <f>(H36 * (_xlfn.XLOOKUP($E71, $D$45:$D$52, $E$45:$E$52)))</f>
        <v>0.15304804608</v>
      </c>
      <c r="I71" s="15">
        <f>(I36 * (_xlfn.XLOOKUP($E71, $D$45:$D$52, $E$45:$E$52)))</f>
        <v>0.13038111935999999</v>
      </c>
      <c r="J71" s="16"/>
      <c r="N71" s="15" t="str">
        <f>INDEX(X_Table_Poultry_Stage1MMS,4,1)</f>
        <v>Manure stored in house</v>
      </c>
      <c r="O71" s="15" t="str">
        <f>INDEX(X_Table_Poultry_Stage2MMS_ManureStoredInHouse,2,1)</f>
        <v>Solid storage</v>
      </c>
      <c r="P71" s="15">
        <f>(P36 * (_xlfn.XLOOKUP($O71, $D$45:$D$52, $E$45:$E$52)))</f>
        <v>0.12214999680000004</v>
      </c>
      <c r="Q71" s="15">
        <f>(Q36 * (_xlfn.XLOOKUP($O71, $D$45:$D$52, $E$45:$E$52)))</f>
        <v>0.13038111935999999</v>
      </c>
      <c r="R71" s="15">
        <f>(R36 * (_xlfn.XLOOKUP($O71, $D$45:$D$52, $E$45:$E$52)))</f>
        <v>0.15304804608</v>
      </c>
      <c r="S71" s="15">
        <f>(S36 * (_xlfn.XLOOKUP($O71, $D$45:$D$52, $E$45:$E$52)))</f>
        <v>0.13038111935999999</v>
      </c>
      <c r="T71" s="16"/>
    </row>
    <row r="72" spans="1:21" ht="20.100000000000001" customHeight="1" x14ac:dyDescent="0.2">
      <c r="D72" s="15"/>
      <c r="E72" s="15" t="str">
        <f>INDEX(X_Table_Poultry_Stage2MMS_ManureStoredInHouse,3,1)</f>
        <v>Composting (passive windrow)</v>
      </c>
      <c r="F72" s="15">
        <f>(F37 * (_xlfn.XLOOKUP($E72, $D$45:$D$52, $E$45:$E$52)))</f>
        <v>0.12214999680000004</v>
      </c>
      <c r="G72" s="15">
        <f>(G37 * (_xlfn.XLOOKUP($E72, $D$45:$D$52, $E$45:$E$52)))</f>
        <v>0.13038111935999999</v>
      </c>
      <c r="H72" s="15">
        <f>(H37 * (_xlfn.XLOOKUP($E72, $D$45:$D$52, $E$45:$E$52)))</f>
        <v>0.15304804608</v>
      </c>
      <c r="I72" s="15">
        <f>(I37 * (_xlfn.XLOOKUP($E72, $D$45:$D$52, $E$45:$E$52)))</f>
        <v>0.13038111935999999</v>
      </c>
      <c r="J72" s="16"/>
      <c r="N72" s="15"/>
      <c r="O72" s="15" t="str">
        <f>INDEX(X_Table_Poultry_Stage2MMS_ManureStoredInHouse,3,1)</f>
        <v>Composting (passive windrow)</v>
      </c>
      <c r="P72" s="15">
        <f>(P37 * (_xlfn.XLOOKUP($O72, $D$45:$D$52, $E$45:$E$52)))</f>
        <v>0.12214999680000004</v>
      </c>
      <c r="Q72" s="15">
        <f>(Q37 * (_xlfn.XLOOKUP($O72, $D$45:$D$52, $E$45:$E$52)))</f>
        <v>0.13038111935999999</v>
      </c>
      <c r="R72" s="15">
        <f>(R37 * (_xlfn.XLOOKUP($O72, $D$45:$D$52, $E$45:$E$52)))</f>
        <v>0.15304804608</v>
      </c>
      <c r="S72" s="15">
        <f>(S37 * (_xlfn.XLOOKUP($O72, $D$45:$D$52, $E$45:$E$52)))</f>
        <v>0.13038111935999999</v>
      </c>
      <c r="T72" s="16"/>
    </row>
    <row r="73" spans="1:21" ht="20.100000000000001" customHeight="1" x14ac:dyDescent="0.2">
      <c r="D73" s="15"/>
      <c r="E73" s="15" t="str">
        <f>INDEX(X_Table_Poultry_Stage2MMS_ManureStoredInHouse,4,1)</f>
        <v>Digester / covered lagoons</v>
      </c>
      <c r="F73" s="15">
        <f>(F38 * (_xlfn.XLOOKUP($E73, $D$45:$D$52, $E$45:$E$52)))</f>
        <v>0</v>
      </c>
      <c r="G73" s="15">
        <f>(G38 * (_xlfn.XLOOKUP($E73, $D$45:$D$52, $E$45:$E$52)))</f>
        <v>0</v>
      </c>
      <c r="H73" s="15">
        <f>(H38 * (_xlfn.XLOOKUP($E73, $D$45:$D$52, $E$45:$E$52)))</f>
        <v>0</v>
      </c>
      <c r="I73" s="15">
        <f>(I38 * (_xlfn.XLOOKUP($E73, $D$45:$D$52, $E$45:$E$52)))</f>
        <v>0</v>
      </c>
      <c r="J73" s="16"/>
      <c r="N73" s="15"/>
      <c r="O73" s="15" t="str">
        <f>INDEX(X_Table_Poultry_Stage2MMS_ManureStoredInHouse,4,1)</f>
        <v>Digester / covered lagoons</v>
      </c>
      <c r="P73" s="15">
        <f>(P38 * (_xlfn.XLOOKUP($O73, $D$45:$D$52, $E$45:$E$52)))</f>
        <v>0</v>
      </c>
      <c r="Q73" s="15">
        <f>(Q38 * (_xlfn.XLOOKUP($O73, $D$45:$D$52, $E$45:$E$52)))</f>
        <v>0</v>
      </c>
      <c r="R73" s="15">
        <f>(R38 * (_xlfn.XLOOKUP($O73, $D$45:$D$52, $E$45:$E$52)))</f>
        <v>0</v>
      </c>
      <c r="S73" s="15">
        <f>(S38 * (_xlfn.XLOOKUP($O73, $D$45:$D$52, $E$45:$E$52)))</f>
        <v>0</v>
      </c>
      <c r="T73" s="16"/>
    </row>
    <row r="74" spans="1:21" ht="20.100000000000001" customHeight="1" x14ac:dyDescent="0.2">
      <c r="D74" s="15"/>
      <c r="E74" s="15" t="str">
        <f>INDEX(X_Table_Poultry_Stage2MMS_ManureStoredInHouse,5,1)</f>
        <v>Direct processing</v>
      </c>
      <c r="F74" s="15">
        <f>(F39 * (_xlfn.XLOOKUP($E74, $D$45:$D$52, $E$45:$E$52)))</f>
        <v>0</v>
      </c>
      <c r="G74" s="15">
        <f>(G39 * (_xlfn.XLOOKUP($E74, $D$45:$D$52, $E$45:$E$52)))</f>
        <v>0</v>
      </c>
      <c r="H74" s="15">
        <f>(H39 * (_xlfn.XLOOKUP($E74, $D$45:$D$52, $E$45:$E$52)))</f>
        <v>0</v>
      </c>
      <c r="I74" s="15">
        <f>(I39 * (_xlfn.XLOOKUP($E74, $D$45:$D$52, $E$45:$E$52)))</f>
        <v>0</v>
      </c>
      <c r="J74" s="16"/>
      <c r="N74" s="15"/>
      <c r="O74" s="15" t="str">
        <f>INDEX(X_Table_Poultry_Stage2MMS_ManureStoredInHouse,5,1)</f>
        <v>Direct processing</v>
      </c>
      <c r="P74" s="15">
        <f>(P39 * (_xlfn.XLOOKUP($O74, $D$45:$D$52, $E$45:$E$52)))</f>
        <v>0</v>
      </c>
      <c r="Q74" s="15">
        <f>(Q39 * (_xlfn.XLOOKUP($O74, $D$45:$D$52, $E$45:$E$52)))</f>
        <v>0</v>
      </c>
      <c r="R74" s="15">
        <f>(R39 * (_xlfn.XLOOKUP($O74, $D$45:$D$52, $E$45:$E$52)))</f>
        <v>0</v>
      </c>
      <c r="S74" s="15">
        <f>(S39 * (_xlfn.XLOOKUP($O74, $D$45:$D$52, $E$45:$E$52)))</f>
        <v>0</v>
      </c>
      <c r="T74" s="16"/>
    </row>
    <row r="75" spans="1:21" ht="20.100000000000001" customHeight="1" x14ac:dyDescent="0.2">
      <c r="D75" s="15"/>
      <c r="E75" s="15" t="str">
        <f>INDEX(X_Table_Poultry_Stage2MMS_ManureStoredInHouse,6,1)</f>
        <v>Direct application</v>
      </c>
      <c r="F75" s="15" t="s">
        <v>124</v>
      </c>
      <c r="G75" s="15" t="s">
        <v>124</v>
      </c>
      <c r="H75" s="15" t="s">
        <v>124</v>
      </c>
      <c r="I75" s="15" t="s">
        <v>124</v>
      </c>
      <c r="N75" s="15"/>
      <c r="O75" s="15" t="str">
        <f>INDEX(X_Table_Poultry_Stage2MMS_ManureStoredInHouse,6,1)</f>
        <v>Direct application</v>
      </c>
      <c r="P75" s="15" t="s">
        <v>124</v>
      </c>
      <c r="Q75" s="15" t="s">
        <v>124</v>
      </c>
      <c r="R75" s="15" t="s">
        <v>124</v>
      </c>
      <c r="S75" s="15" t="s">
        <v>124</v>
      </c>
    </row>
    <row r="77" spans="1:21" ht="20.100000000000001" customHeight="1" x14ac:dyDescent="0.2">
      <c r="D77" s="88" t="s">
        <v>433</v>
      </c>
      <c r="E77" s="83">
        <f>SUM(F57:I75)</f>
        <v>20.797764249600011</v>
      </c>
      <c r="F77" s="89" t="str">
        <f>$E$11</f>
        <v>kg N</v>
      </c>
      <c r="N77" s="88" t="s">
        <v>433</v>
      </c>
      <c r="O77" s="83">
        <f>SUM(P57:S75)</f>
        <v>20.797764249600011</v>
      </c>
      <c r="P77" s="89" t="str">
        <f>$E$11</f>
        <v>kg N</v>
      </c>
    </row>
    <row r="80" spans="1:21" ht="20.100000000000001" customHeight="1" x14ac:dyDescent="0.2">
      <c r="C80" s="83"/>
      <c r="D80" s="83"/>
      <c r="E80" s="83"/>
      <c r="F80" s="83"/>
      <c r="G80" s="83"/>
      <c r="H80" s="83"/>
      <c r="I80" s="83"/>
      <c r="J80" s="83"/>
      <c r="K80" s="83"/>
      <c r="M80" s="83"/>
      <c r="N80" s="83"/>
      <c r="O80" s="83"/>
      <c r="P80" s="83"/>
      <c r="Q80" s="83"/>
      <c r="R80" s="83"/>
      <c r="S80" s="83"/>
      <c r="T80" s="83"/>
      <c r="U80" s="83"/>
    </row>
    <row r="81" spans="4:19" ht="20.100000000000001" customHeight="1" x14ac:dyDescent="0.2">
      <c r="D81" s="2" t="s">
        <v>1312</v>
      </c>
    </row>
    <row r="82" spans="4:19" ht="20.100000000000001" customHeight="1" x14ac:dyDescent="0.2">
      <c r="D82" s="17" t="s">
        <v>1313</v>
      </c>
    </row>
    <row r="83" spans="4:19" ht="20.100000000000001" customHeight="1" x14ac:dyDescent="0.2">
      <c r="D83" s="112"/>
      <c r="E83" s="112"/>
    </row>
    <row r="86" spans="4:19" ht="20.100000000000001" customHeight="1" x14ac:dyDescent="0.2">
      <c r="D86" s="75" t="s">
        <v>328</v>
      </c>
      <c r="E86" s="1" t="s">
        <v>1314</v>
      </c>
    </row>
    <row r="87" spans="4:19" ht="20.100000000000001" customHeight="1" x14ac:dyDescent="0.2">
      <c r="D87" s="75" t="s">
        <v>118</v>
      </c>
      <c r="E87" s="9" t="s">
        <v>12</v>
      </c>
    </row>
    <row r="89" spans="4:19" ht="20.100000000000001" customHeight="1" x14ac:dyDescent="0.2">
      <c r="D89" s="113" t="s">
        <v>1307</v>
      </c>
      <c r="E89" s="122" t="s">
        <v>1315</v>
      </c>
      <c r="F89" s="123"/>
      <c r="G89" s="113" t="s">
        <v>482</v>
      </c>
      <c r="H89" s="115" t="s">
        <v>1324</v>
      </c>
      <c r="I89" s="113">
        <f>$E$77</f>
        <v>20.797764249600011</v>
      </c>
      <c r="N89" s="113" t="s">
        <v>1307</v>
      </c>
      <c r="O89" s="122" t="s">
        <v>1315</v>
      </c>
      <c r="P89" s="123"/>
      <c r="Q89" s="113" t="s">
        <v>482</v>
      </c>
      <c r="R89" s="115" t="s">
        <v>1324</v>
      </c>
      <c r="S89" s="113">
        <f>O77</f>
        <v>20.797764249600011</v>
      </c>
    </row>
    <row r="90" spans="4:19" ht="20.100000000000001" customHeight="1" x14ac:dyDescent="0.2">
      <c r="D90" s="113" t="s">
        <v>1316</v>
      </c>
      <c r="E90" s="122" t="s">
        <v>1317</v>
      </c>
      <c r="F90" s="123"/>
      <c r="G90" s="113" t="s">
        <v>1288</v>
      </c>
      <c r="H90" s="115" t="s">
        <v>1203</v>
      </c>
      <c r="I90" s="113">
        <f>Common_InputFunctions.Utility_LookupN2OEFFromProdIrrigationRainfall(I92,I93,I94,Table_SourceData_Common_EFN2O[Production system only],Table_SourceData_Common_EFN2O[Irrigation method],Table_SourceData_Common_EFN2O[Rainfall zone],Table_SourceData_Common_EFN2O[EFN2O])</f>
        <v>7.0000000000000001E-3</v>
      </c>
      <c r="N90" s="113" t="s">
        <v>1316</v>
      </c>
      <c r="O90" s="122" t="s">
        <v>1317</v>
      </c>
      <c r="P90" s="123"/>
      <c r="Q90" s="113" t="s">
        <v>1288</v>
      </c>
      <c r="R90" s="115" t="s">
        <v>1203</v>
      </c>
      <c r="S90" s="113"/>
    </row>
    <row r="91" spans="4:19" ht="20.100000000000001" customHeight="1" x14ac:dyDescent="0.2">
      <c r="D91" s="113" t="s">
        <v>1302</v>
      </c>
      <c r="E91" s="122" t="s">
        <v>1303</v>
      </c>
      <c r="F91" s="123"/>
      <c r="G91" s="113" t="s">
        <v>1258</v>
      </c>
      <c r="H91" s="115" t="s">
        <v>1203</v>
      </c>
      <c r="I91" s="113">
        <f>Common_InputFunctions.Utility_LookupValueInTableNumber("N2O",Table_GasToMolecularConversionFactor[Gas],Table_GasToMolecularConversionFactor[Conversion factor combined])</f>
        <v>1.5714285714285714</v>
      </c>
      <c r="N91" s="113" t="s">
        <v>1302</v>
      </c>
      <c r="O91" s="122" t="s">
        <v>1303</v>
      </c>
      <c r="P91" s="123"/>
      <c r="Q91" s="113" t="s">
        <v>1258</v>
      </c>
      <c r="R91" s="115" t="s">
        <v>1203</v>
      </c>
      <c r="S91" s="113"/>
    </row>
    <row r="92" spans="4:19" ht="20.100000000000001" customHeight="1" x14ac:dyDescent="0.2">
      <c r="D92" s="113" t="s">
        <v>1318</v>
      </c>
      <c r="E92" s="122" t="s">
        <v>1319</v>
      </c>
      <c r="F92" s="123"/>
      <c r="G92" s="113"/>
      <c r="H92" s="114" t="s">
        <v>1202</v>
      </c>
      <c r="I92" s="113" t="str">
        <f>X_Cell_Poultry_ManureAppliedProductionSystem</f>
        <v>Crop</v>
      </c>
      <c r="N92" s="113" t="s">
        <v>1318</v>
      </c>
      <c r="O92" s="122" t="s">
        <v>1319</v>
      </c>
      <c r="P92" s="123"/>
      <c r="Q92" s="113"/>
      <c r="R92" s="114" t="s">
        <v>1202</v>
      </c>
      <c r="S92" s="113"/>
    </row>
    <row r="93" spans="4:19" ht="20.100000000000001" customHeight="1" x14ac:dyDescent="0.2">
      <c r="D93" s="113" t="s">
        <v>1320</v>
      </c>
      <c r="E93" s="122" t="s">
        <v>1321</v>
      </c>
      <c r="F93" s="123"/>
      <c r="G93" s="113"/>
      <c r="H93" s="114" t="s">
        <v>1202</v>
      </c>
      <c r="I93" s="113" t="str">
        <f>X_Cell_Poultry_ManureAppliedIrrigationMethod</f>
        <v>Sprinkler irrigation</v>
      </c>
      <c r="N93" s="113" t="s">
        <v>1320</v>
      </c>
      <c r="O93" s="122" t="s">
        <v>1321</v>
      </c>
      <c r="P93" s="123"/>
      <c r="Q93" s="113"/>
      <c r="R93" s="114" t="s">
        <v>1202</v>
      </c>
      <c r="S93" s="113"/>
    </row>
    <row r="94" spans="4:19" ht="20.100000000000001" customHeight="1" x14ac:dyDescent="0.2">
      <c r="D94" s="113" t="s">
        <v>1322</v>
      </c>
      <c r="E94" s="122" t="s">
        <v>1323</v>
      </c>
      <c r="F94" s="123"/>
      <c r="G94" s="113"/>
      <c r="H94" s="114" t="s">
        <v>1202</v>
      </c>
      <c r="I94" s="113" t="str">
        <f>X_Cell_Site_RainfallZone</f>
        <v>High rainfall</v>
      </c>
      <c r="N94" s="113" t="s">
        <v>1322</v>
      </c>
      <c r="O94" s="122" t="s">
        <v>1323</v>
      </c>
      <c r="P94" s="123"/>
      <c r="Q94" s="113"/>
      <c r="R94" s="114" t="s">
        <v>1202</v>
      </c>
      <c r="S94" s="113"/>
    </row>
    <row r="96" spans="4:19" ht="20.100000000000001" customHeight="1" x14ac:dyDescent="0.2">
      <c r="D96" s="85" t="s">
        <v>434</v>
      </c>
      <c r="E96" s="86">
        <f>((I89 * $I$90 * $I$91) * 10 ^ -3)</f>
        <v>2.2877540674560014E-4</v>
      </c>
      <c r="F96" s="95" t="str">
        <f>$E$87</f>
        <v>t N2O</v>
      </c>
      <c r="N96" s="85" t="s">
        <v>434</v>
      </c>
      <c r="O96" s="86">
        <f>((S89 * $I$90 * $I$91) * 10 ^ -3)</f>
        <v>2.2877540674560014E-4</v>
      </c>
      <c r="P96" s="95" t="str">
        <f>$E$87</f>
        <v>t N2O</v>
      </c>
    </row>
    <row r="98" spans="1:17" ht="20.100000000000001" customHeight="1" x14ac:dyDescent="0.2">
      <c r="A98" s="79" t="str">
        <f>HYPERLINK("#A1", "▲ Back to top")</f>
        <v>▲ Back to top</v>
      </c>
      <c r="D98" s="126" t="str" cm="1">
        <f t="array" ref="D98:E99">Common_Equations.Common_ConvertN2OToCO2e_Arguments()</f>
        <v>EN2O</v>
      </c>
      <c r="E98" s="129" t="str">
        <v>Nitrous oxide emissions (t N2O)</v>
      </c>
      <c r="F98" s="130"/>
      <c r="G98" s="15">
        <f>VEERG_4_6_1_5__1_TotalAnnualAtmosphericDepositionEmissionsFromMMS_Result_Method1</f>
        <v>2.2877540674560014E-4</v>
      </c>
      <c r="N98" s="126" t="str" cm="1">
        <f t="array" ref="N98:O99">Common_Equations.Common_ConvertN2OToCO2e_Arguments()</f>
        <v>EN2O</v>
      </c>
      <c r="O98" s="129" t="str">
        <v>Nitrous oxide emissions (t N2O)</v>
      </c>
      <c r="P98" s="130"/>
      <c r="Q98" s="15">
        <f>VEERG_4_6_1_5__1_TotalAnnualAtmosphericDepositionEmissionsFromMMS_Result_Method2</f>
        <v>2.2877540674560014E-4</v>
      </c>
    </row>
    <row r="99" spans="1:17" ht="20.100000000000001" customHeight="1" x14ac:dyDescent="0.2">
      <c r="D99" s="126" t="str">
        <v>GWPN2O</v>
      </c>
      <c r="E99" s="129" t="str">
        <v>Global warming potential for nitrous oxide (t CO2-e / t N2O)</v>
      </c>
      <c r="F99" s="130"/>
      <c r="G99" s="15">
        <f>Common_InputFunctions.Utility_LookupValueInTableNumber("N2O", Table_GWPData[Gas],Table_GWPData[CO2-e factor])</f>
        <v>265</v>
      </c>
      <c r="N99" s="126" t="str">
        <v>GWPN2O</v>
      </c>
      <c r="O99" s="129" t="str">
        <v>Global warming potential for nitrous oxide (t CO2-e / t N2O)</v>
      </c>
      <c r="P99" s="130"/>
      <c r="Q99" s="15">
        <f>Common_InputFunctions.Utility_LookupValueInTableNumber("N2O", Table_GWPData[Gas],Table_GWPData[CO2-e factor])</f>
        <v>265</v>
      </c>
    </row>
    <row r="101" spans="1:17" ht="20.100000000000001" customHeight="1" x14ac:dyDescent="0.2">
      <c r="D101" s="83" t="s">
        <v>376</v>
      </c>
      <c r="E101" s="83" cm="1">
        <f t="array" ref="E101">Common_Equations.Common_ConvertN2OToCO2e(G98,G99)</f>
        <v>6.0625482787584034E-2</v>
      </c>
      <c r="F101" s="89" t="str" cm="1">
        <f t="array" ref="F101">Common_Equations.Common_ConvertN2OToCO2e_Unit()</f>
        <v>t CO2e</v>
      </c>
      <c r="N101" s="83" t="s">
        <v>376</v>
      </c>
      <c r="O101" s="83" cm="1">
        <f t="array" ref="O101">Common_Equations.Common_ConvertN2OToCO2e(Q98,Q99)</f>
        <v>6.0625482787584034E-2</v>
      </c>
      <c r="P101" s="89" t="str" cm="1">
        <f t="array" ref="P101">Common_Equations.Common_ConvertN2OToCO2e_Unit()</f>
        <v>t CO2e</v>
      </c>
    </row>
  </sheetData>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0B10C-29BB-4038-8324-4EF43A142B9C}">
  <sheetPr>
    <tabColor rgb="FF008000"/>
  </sheetPr>
  <dimension ref="A1:U64"/>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0" customFormat="1" ht="30" customHeight="1" x14ac:dyDescent="0.35">
      <c r="A1" s="10" t="e" vm="1">
        <v>#VALUE!</v>
      </c>
      <c r="C1" s="20" t="s">
        <v>435</v>
      </c>
      <c r="L1"/>
    </row>
    <row r="2" spans="1:21" s="3" customFormat="1" ht="20.100000000000001" customHeight="1" x14ac:dyDescent="0.2">
      <c r="A2"/>
      <c r="L2"/>
    </row>
    <row r="3" spans="1:21" ht="20.100000000000001" customHeight="1" x14ac:dyDescent="0.2">
      <c r="A3" s="5" t="str">
        <f>HYPERLINK("#'Home'!A1", "Home")</f>
        <v>Home</v>
      </c>
      <c r="C3" s="22"/>
      <c r="D3" s="22" t="s">
        <v>130</v>
      </c>
      <c r="E3" s="22"/>
      <c r="F3" s="22"/>
      <c r="G3" s="22"/>
      <c r="H3" s="22"/>
      <c r="I3" s="22"/>
      <c r="J3" s="22"/>
      <c r="K3" s="22"/>
      <c r="M3" s="22"/>
      <c r="N3" s="22" t="s">
        <v>131</v>
      </c>
      <c r="O3" s="22"/>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1325</v>
      </c>
    </row>
    <row r="6" spans="1:21" ht="20.100000000000001" customHeight="1" x14ac:dyDescent="0.2">
      <c r="D6" s="17" t="s">
        <v>1326</v>
      </c>
    </row>
    <row r="7" spans="1:21" ht="20.100000000000001" customHeight="1" x14ac:dyDescent="0.2">
      <c r="D7" s="112"/>
      <c r="E7" s="112"/>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328</v>
      </c>
      <c r="E10" s="1" t="s">
        <v>1327</v>
      </c>
    </row>
    <row r="11" spans="1:21" ht="20.100000000000001" customHeight="1" x14ac:dyDescent="0.2">
      <c r="A11" s="5" t="str">
        <f>HYPERLINK("#'Input - Poultry'!A1", "Poultry")</f>
        <v>Poultry</v>
      </c>
      <c r="D11" s="75" t="s">
        <v>118</v>
      </c>
      <c r="E11" s="9" t="s">
        <v>482</v>
      </c>
    </row>
    <row r="12" spans="1:21" ht="20.100000000000001" customHeight="1" x14ac:dyDescent="0.2">
      <c r="A12" s="5" t="str">
        <f>HYPERLINK("#'Input - Livestock sales'!A1", "Livestock sales")</f>
        <v>Livestock sales</v>
      </c>
    </row>
    <row r="13" spans="1:21" ht="20.100000000000001" customHeight="1" x14ac:dyDescent="0.2">
      <c r="A13" s="5" t="str">
        <f>HYPERLINK("#'Input - Poultry purchases'!A1", "Poultry purchases")</f>
        <v>Poultry purchases</v>
      </c>
      <c r="D13" s="113" t="s">
        <v>1328</v>
      </c>
      <c r="E13" s="122" t="s">
        <v>1329</v>
      </c>
      <c r="F13" s="123"/>
      <c r="G13" s="113" t="s">
        <v>482</v>
      </c>
      <c r="H13" s="115" t="s">
        <v>1287</v>
      </c>
      <c r="I13" s="116" t="str" cm="1">
        <f t="array" aca="1" ref="I13" ca="1">HYPERLINK(Common_InputFunctions.Utility_SourceHyperlink($D$24),$D$24)</f>
        <v>M1_Table_MN_j_k_m-4</v>
      </c>
    </row>
    <row r="14" spans="1:21" ht="20.100000000000001" customHeight="1" x14ac:dyDescent="0.2">
      <c r="A14" s="5" t="str">
        <f>HYPERLINK("#'Input - Fuel'!A1", "Fuel")</f>
        <v>Fuel</v>
      </c>
      <c r="D14" s="113" t="s">
        <v>56</v>
      </c>
      <c r="E14" s="122" t="s">
        <v>1330</v>
      </c>
      <c r="F14" s="123"/>
      <c r="G14" s="113" t="s">
        <v>307</v>
      </c>
      <c r="H14" s="115" t="s">
        <v>1203</v>
      </c>
      <c r="I14" s="113">
        <f>Common_InputFunctions.CommonCropping_GetFracWET(I16,I18,Table_SourceData_FracWET[Is in leaching zone],Table_SourceData_FracWET[FracWET],Table_SourceData_FracWETIrrigation[Irrigation type i],Table_SourceData_FracWETIrrigation[FracWET])</f>
        <v>1</v>
      </c>
    </row>
    <row r="15" spans="1:21" ht="20.100000000000001" customHeight="1" x14ac:dyDescent="0.2">
      <c r="A15" s="5" t="str">
        <f>HYPERLINK("#'Input - Electricity'!A1", "Electricity")</f>
        <v>Electricity</v>
      </c>
      <c r="D15" s="113" t="s">
        <v>1331</v>
      </c>
      <c r="E15" s="122" t="s">
        <v>1332</v>
      </c>
      <c r="F15" s="123"/>
      <c r="G15" s="113" t="s">
        <v>307</v>
      </c>
      <c r="H15" s="115" t="s">
        <v>1203</v>
      </c>
      <c r="I15" s="113">
        <f>SourceData_Poultry_FractionOfNitrogenLostThroughLeachingAndRunoff_Data</f>
        <v>0.02</v>
      </c>
    </row>
    <row r="16" spans="1:21" ht="20.100000000000001" customHeight="1" x14ac:dyDescent="0.2">
      <c r="A16" s="5" t="str">
        <f>HYPERLINK("#'Input - Common farm inputs'!A1", "Common farm inputs")</f>
        <v>Common farm inputs</v>
      </c>
      <c r="D16" s="113" t="s">
        <v>1333</v>
      </c>
      <c r="E16" s="122" t="s">
        <v>1334</v>
      </c>
      <c r="F16" s="123"/>
      <c r="G16" s="113"/>
      <c r="H16" s="114" t="s">
        <v>1202</v>
      </c>
      <c r="I16" s="113" t="str">
        <f>X_Cell_Site_LeachingZone</f>
        <v>NO - Not in leaching zone</v>
      </c>
    </row>
    <row r="17" spans="1:20" ht="20.100000000000001" customHeight="1" x14ac:dyDescent="0.2">
      <c r="A17" s="5" t="str">
        <f>HYPERLINK("#'Input - Livestock farm Inputs'!A1", "Livestock farm Inputs")</f>
        <v>Livestock farm Inputs</v>
      </c>
      <c r="D17" s="113" t="s">
        <v>1318</v>
      </c>
      <c r="E17" s="122" t="s">
        <v>1319</v>
      </c>
      <c r="F17" s="123"/>
      <c r="G17" s="113"/>
      <c r="H17" s="114" t="s">
        <v>1202</v>
      </c>
      <c r="I17" s="113" t="str">
        <f>X_Cell_Poultry_ManureAppliedProductionSystem</f>
        <v>Crop</v>
      </c>
    </row>
    <row r="18" spans="1:20" ht="20.100000000000001" customHeight="1" x14ac:dyDescent="0.2">
      <c r="A18" s="5" t="str">
        <f>HYPERLINK("#'Input - Freight'!A1", "Freight")</f>
        <v>Freight</v>
      </c>
      <c r="D18" s="113" t="s">
        <v>1320</v>
      </c>
      <c r="E18" s="122" t="s">
        <v>1321</v>
      </c>
      <c r="F18" s="123"/>
      <c r="G18" s="113"/>
      <c r="H18" s="114" t="s">
        <v>1202</v>
      </c>
      <c r="I18" s="113" t="str">
        <f>X_Cell_Poultry_ManureAppliedIrrigationMethod</f>
        <v>Sprinkler irrigation</v>
      </c>
    </row>
    <row r="19" spans="1:20" ht="20.100000000000001" customHeight="1" x14ac:dyDescent="0.2">
      <c r="A19" s="5" t="str">
        <f>HYPERLINK("#'Input - Solid waste'!A1", "Solid waste")</f>
        <v>Solid waste</v>
      </c>
    </row>
    <row r="20" spans="1:20" ht="20.100000000000001" customHeight="1" x14ac:dyDescent="0.2">
      <c r="A20" s="5" t="str">
        <f>HYPERLINK("#'Input - Manure sent off-site'!A1", "Manure sent off-site")</f>
        <v>Manure sent off-site</v>
      </c>
      <c r="D20" s="131" t="s">
        <v>436</v>
      </c>
      <c r="E20" s="43"/>
      <c r="F20" s="43"/>
      <c r="G20" s="43"/>
      <c r="H20" s="44"/>
    </row>
    <row r="21" spans="1:20" ht="20.100000000000001" customHeight="1" x14ac:dyDescent="0.2">
      <c r="A21" s="5" t="str">
        <f>HYPERLINK("#'Input - Data quality'!A1", "Data quality")</f>
        <v>Data quality</v>
      </c>
      <c r="D21" s="132" t="s">
        <v>437</v>
      </c>
      <c r="E21" s="133"/>
      <c r="F21" s="133"/>
      <c r="G21" s="133"/>
      <c r="H21" s="134"/>
    </row>
    <row r="22" spans="1:20" ht="20.100000000000001" customHeight="1" x14ac:dyDescent="0.2">
      <c r="A22" s="5" t="str">
        <f>HYPERLINK("#'Input - Fert Prod System'!A1", "Fert Prod System")</f>
        <v>Fert Prod System</v>
      </c>
      <c r="D22" s="45" t="s">
        <v>438</v>
      </c>
      <c r="E22" s="46"/>
      <c r="F22" s="46"/>
      <c r="G22" s="46"/>
      <c r="H22" s="47"/>
    </row>
    <row r="23" spans="1:20" ht="20.100000000000001" customHeight="1" x14ac:dyDescent="0.2">
      <c r="A23" s="5" t="str">
        <f>HYPERLINK("#'Input - Fertiliser'!A1", "Fertiliser")</f>
        <v>Fertiliser</v>
      </c>
    </row>
    <row r="24" spans="1:20" ht="20.100000000000001" customHeight="1" x14ac:dyDescent="0.2">
      <c r="D24" s="118" t="s">
        <v>439</v>
      </c>
      <c r="N24" s="118" t="s">
        <v>439</v>
      </c>
    </row>
    <row r="25" spans="1:20" ht="20.100000000000001" customHeight="1" x14ac:dyDescent="0.2">
      <c r="D25" s="119" t="s">
        <v>440</v>
      </c>
      <c r="N25" s="119" t="s">
        <v>440</v>
      </c>
    </row>
    <row r="26" spans="1:20" ht="20.100000000000001" customHeight="1" x14ac:dyDescent="0.2">
      <c r="A26" s="6" t="s">
        <v>2</v>
      </c>
      <c r="D26" s="120" t="s">
        <v>314</v>
      </c>
      <c r="E26" s="120" t="s">
        <v>318</v>
      </c>
      <c r="F26" s="120" t="s">
        <v>297</v>
      </c>
      <c r="G26" s="120" t="s">
        <v>298</v>
      </c>
      <c r="H26" s="120" t="s">
        <v>299</v>
      </c>
      <c r="I26" s="120" t="s">
        <v>300</v>
      </c>
      <c r="N26" s="120" t="s">
        <v>314</v>
      </c>
      <c r="O26" s="120" t="s">
        <v>318</v>
      </c>
      <c r="P26" s="120" t="s">
        <v>297</v>
      </c>
      <c r="Q26" s="120" t="s">
        <v>298</v>
      </c>
      <c r="R26" s="120" t="s">
        <v>299</v>
      </c>
      <c r="S26" s="120" t="s">
        <v>300</v>
      </c>
    </row>
    <row r="27" spans="1:20" ht="20.100000000000001" customHeight="1" x14ac:dyDescent="0.2">
      <c r="A27" s="5" t="str">
        <f>HYPERLINK("#'4.6.1.1-2 Methane'!A1", "4.6.1.1-2 Manure Methane")</f>
        <v>4.6.1.1-2 Manure Methane</v>
      </c>
      <c r="D27" s="15" t="str">
        <f>INDEX(X_Table_Poultry_Stage1MMS,2,1)</f>
        <v>Poultry manure with bedding</v>
      </c>
      <c r="E27" s="15" t="str">
        <f>INDEX(X_Table_Poultry_Stage2MMS_PoultryManureWithBedding,2,1)</f>
        <v>Solid storage</v>
      </c>
      <c r="F27" s="15">
        <f>INDEX(M1_Table_MN_j_k_m_T2,2,3)</f>
        <v>0.71271158400000012</v>
      </c>
      <c r="G27" s="15">
        <f>INDEX(M1_Table_MN_j_k_m_T2,2,4)</f>
        <v>0.76073791680000002</v>
      </c>
      <c r="H27" s="15">
        <f>INDEX(M1_Table_MN_j_k_m_T2,2,5)</f>
        <v>0.89299319039999991</v>
      </c>
      <c r="I27" s="15">
        <f>INDEX(M1_Table_MN_j_k_m_T2,2,6)</f>
        <v>0.76073791680000002</v>
      </c>
      <c r="J27" s="16" t="str">
        <f>$G$13</f>
        <v>kg N</v>
      </c>
      <c r="N27" s="15" t="str">
        <f>INDEX(X_Table_Poultry_Stage1MMS,2,1)</f>
        <v>Poultry manure with bedding</v>
      </c>
      <c r="O27" s="15" t="str">
        <f>INDEX(X_Table_Poultry_Stage2MMS_PoultryManureWithBedding,2,1)</f>
        <v>Solid storage</v>
      </c>
      <c r="P27" s="15">
        <f>INDEX(M2_Table_MN_j_k_m_T2,2,3)</f>
        <v>0.71271158400000012</v>
      </c>
      <c r="Q27" s="15">
        <f>INDEX(M2_Table_MN_j_k_m_T2,2,4)</f>
        <v>0.76073791680000002</v>
      </c>
      <c r="R27" s="15">
        <f>INDEX(M2_Table_MN_j_k_m_T2,2,5)</f>
        <v>0.89299319039999991</v>
      </c>
      <c r="S27" s="15">
        <f>INDEX(M2_Table_MN_j_k_m_T2,2,6)</f>
        <v>0.76073791680000002</v>
      </c>
      <c r="T27" s="16" t="str">
        <f>$G$13</f>
        <v>kg N</v>
      </c>
    </row>
    <row r="28" spans="1:20" ht="20.100000000000001" customHeight="1" x14ac:dyDescent="0.2">
      <c r="A28" s="5" t="str">
        <f>HYPERLINK("#'4.6.1.3-4 Direct N20'!A1", "4.6.1.3-4 Manure Direct N2O")</f>
        <v>4.6.1.3-4 Manure Direct N2O</v>
      </c>
      <c r="D28" s="15" t="str">
        <f>INDEX(X_Table_Poultry_Stage1MMS,3,1)</f>
        <v>Belt manure removal</v>
      </c>
      <c r="E28" s="15" t="str">
        <f>INDEX(X_Table_Poultry_Stage2MMS_BeltManureRemoval,2,1)</f>
        <v>Solid storage</v>
      </c>
      <c r="F28" s="15">
        <f>'4.6.1.3-4 Direct N20'!F194</f>
        <v>0.96761558400000025</v>
      </c>
      <c r="G28" s="15">
        <f>'4.6.1.3-4 Direct N20'!G194</f>
        <v>1.0328187168</v>
      </c>
      <c r="H28" s="15">
        <f>'4.6.1.3-4 Direct N20'!H194</f>
        <v>1.2123755904</v>
      </c>
      <c r="I28" s="15">
        <f>'4.6.1.3-4 Direct N20'!I194</f>
        <v>1.0328187168</v>
      </c>
      <c r="J28" s="16"/>
      <c r="N28" s="15" t="str">
        <f>INDEX(X_Table_Poultry_Stage1MMS,3,1)</f>
        <v>Belt manure removal</v>
      </c>
      <c r="O28" s="15" t="str">
        <f>INDEX(X_Table_Poultry_Stage2MMS_BeltManureRemoval,2,1)</f>
        <v>Solid storage</v>
      </c>
      <c r="P28" s="15">
        <f>'4.6.1.3-4 Direct N20'!P194</f>
        <v>0.96761558400000025</v>
      </c>
      <c r="Q28" s="15">
        <f>'4.6.1.3-4 Direct N20'!Q194</f>
        <v>1.0328187168</v>
      </c>
      <c r="R28" s="15">
        <f>'4.6.1.3-4 Direct N20'!R194</f>
        <v>1.2123755904</v>
      </c>
      <c r="S28" s="15">
        <f>'4.6.1.3-4 Direct N20'!S194</f>
        <v>1.0328187168</v>
      </c>
      <c r="T28" s="16"/>
    </row>
    <row r="29" spans="1:20" ht="20.100000000000001" customHeight="1" x14ac:dyDescent="0.2">
      <c r="A29" s="5" t="str">
        <f>HYPERLINK("#'4.6.1.5-6 Atmos Dep'!A1", "4.6.1.5-6 Manure Atmos Dep")</f>
        <v>4.6.1.5-6 Manure Atmos Dep</v>
      </c>
      <c r="D29" s="15" t="str">
        <f>INDEX(X_Table_Poultry_Stage1MMS,4,1)</f>
        <v>Manure stored in house</v>
      </c>
      <c r="E29" s="15" t="str">
        <f>INDEX(X_Table_Poultry_Stage2MMS_ManureStoredInHouse,2,1)</f>
        <v>Solid storage</v>
      </c>
      <c r="F29" s="15">
        <f>'4.6.1.3-4 Direct N20'!F199</f>
        <v>0.61074998400000013</v>
      </c>
      <c r="G29" s="15">
        <f>'4.6.1.3-4 Direct N20'!G199</f>
        <v>0.65190559679999993</v>
      </c>
      <c r="H29" s="15">
        <f>'4.6.1.3-4 Direct N20'!H199</f>
        <v>0.76524023039999989</v>
      </c>
      <c r="I29" s="15">
        <f>'4.6.1.3-4 Direct N20'!I199</f>
        <v>0.65190559679999993</v>
      </c>
      <c r="J29" s="16"/>
      <c r="N29" s="15" t="str">
        <f>INDEX(X_Table_Poultry_Stage1MMS,4,1)</f>
        <v>Manure stored in house</v>
      </c>
      <c r="O29" s="15" t="str">
        <f>INDEX(X_Table_Poultry_Stage2MMS_ManureStoredInHouse,2,1)</f>
        <v>Solid storage</v>
      </c>
      <c r="P29" s="15">
        <f>'4.6.1.3-4 Direct N20'!P199</f>
        <v>0.61074998400000013</v>
      </c>
      <c r="Q29" s="15">
        <f>'4.6.1.3-4 Direct N20'!Q199</f>
        <v>0.65190559679999993</v>
      </c>
      <c r="R29" s="15">
        <f>'4.6.1.3-4 Direct N20'!R199</f>
        <v>0.76524023039999989</v>
      </c>
      <c r="S29" s="15">
        <f>'4.6.1.3-4 Direct N20'!S199</f>
        <v>0.65190559679999993</v>
      </c>
      <c r="T29" s="16"/>
    </row>
    <row r="30" spans="1:20" ht="20.100000000000001" customHeight="1" x14ac:dyDescent="0.2">
      <c r="A30" s="117" t="str">
        <f>HYPERLINK("#'4.6.1.7-8 Leaching and runoff'!A1", "4.6.1.7-8 Manure Leaching and runoff")</f>
        <v>4.6.1.7-8 Manure Leaching and runoff</v>
      </c>
      <c r="J30" s="16"/>
      <c r="T30" s="16"/>
    </row>
    <row r="31" spans="1:20" ht="20.100000000000001" customHeight="1" x14ac:dyDescent="0.2">
      <c r="A31" s="5" t="str">
        <f>HYPERLINK("#'4.6.1.9 Manure applied to soils'!A1", "4.6.1.9 Manure applied to soils")</f>
        <v>4.6.1.9 Manure applied to soils</v>
      </c>
      <c r="D31" s="118" t="s">
        <v>441</v>
      </c>
      <c r="N31" s="118" t="s">
        <v>442</v>
      </c>
    </row>
    <row r="32" spans="1:20" ht="20.100000000000001" customHeight="1" x14ac:dyDescent="0.2">
      <c r="A32" s="5" t="str">
        <f>HYPERLINK("#'4.6.1.10-11 Soil direct N2O'!A1", "4.6.1.10-11 Soil direct N2O")</f>
        <v>4.6.1.10-11 Soil direct N2O</v>
      </c>
      <c r="D32" s="119" t="s">
        <v>443</v>
      </c>
      <c r="N32" s="119" t="s">
        <v>444</v>
      </c>
    </row>
    <row r="33" spans="1:21" ht="20.100000000000001" customHeight="1" x14ac:dyDescent="0.2">
      <c r="A33" s="5" t="str">
        <f>HYPERLINK("#'4.6.1.12-13 Soil atmos dep'!A1", "4.6.1.12-13 Soil atmos dep")</f>
        <v>4.6.1.12-13 Soil atmos dep</v>
      </c>
      <c r="D33" s="120" t="s">
        <v>314</v>
      </c>
      <c r="E33" s="120" t="s">
        <v>318</v>
      </c>
      <c r="F33" s="120" t="s">
        <v>297</v>
      </c>
      <c r="G33" s="120" t="s">
        <v>298</v>
      </c>
      <c r="H33" s="120" t="s">
        <v>299</v>
      </c>
      <c r="I33" s="120" t="s">
        <v>300</v>
      </c>
      <c r="N33" s="120" t="s">
        <v>314</v>
      </c>
      <c r="O33" s="120" t="s">
        <v>318</v>
      </c>
      <c r="P33" s="120" t="s">
        <v>297</v>
      </c>
      <c r="Q33" s="120" t="s">
        <v>298</v>
      </c>
      <c r="R33" s="120" t="s">
        <v>299</v>
      </c>
      <c r="S33" s="120" t="s">
        <v>300</v>
      </c>
    </row>
    <row r="34" spans="1:21" ht="20.100000000000001" customHeight="1" x14ac:dyDescent="0.2">
      <c r="A34" s="5" t="str">
        <f>HYPERLINK("#'4.6.1.14-15 Soil leach runoff'!A1", "4.6.1.14-15 Soil leach runoff")</f>
        <v>4.6.1.14-15 Soil leach runoff</v>
      </c>
      <c r="D34" s="15" t="str">
        <f>INDEX(X_Table_Poultry_Stage1MMS,2,1)</f>
        <v>Poultry manure with bedding</v>
      </c>
      <c r="E34" s="15" t="str">
        <f>INDEX(X_Table_Poultry_Stage2MMS_PoultryManureWithBedding,2,1)</f>
        <v>Solid storage</v>
      </c>
      <c r="F34" s="15">
        <f>(F27 * $I$14 * $I$15)</f>
        <v>1.4254231680000003E-2</v>
      </c>
      <c r="G34" s="15">
        <f>(G27 * $I$14 * $I$15)</f>
        <v>1.5214758336E-2</v>
      </c>
      <c r="H34" s="15">
        <f>(H27 * $I$14 * $I$15)</f>
        <v>1.7859863808E-2</v>
      </c>
      <c r="I34" s="15">
        <f>(I27 * $I$14 * $I$15)</f>
        <v>1.5214758336E-2</v>
      </c>
      <c r="J34" s="16" t="str">
        <f>$E$11</f>
        <v>kg N</v>
      </c>
      <c r="N34" s="15" t="str">
        <f>INDEX(X_Table_Poultry_Stage1MMS,2,1)</f>
        <v>Poultry manure with bedding</v>
      </c>
      <c r="O34" s="15" t="str">
        <f>INDEX(X_Table_Poultry_Stage2MMS_PoultryManureWithBedding,2,1)</f>
        <v>Solid storage</v>
      </c>
      <c r="P34" s="15">
        <f>(P27 * $I$14 * $I$15)</f>
        <v>1.4254231680000003E-2</v>
      </c>
      <c r="Q34" s="15">
        <f>(Q27 * $I$14 * $I$15)</f>
        <v>1.5214758336E-2</v>
      </c>
      <c r="R34" s="15">
        <f>(R27 * $I$14 * $I$15)</f>
        <v>1.7859863808E-2</v>
      </c>
      <c r="S34" s="15">
        <f>(S27 * $I$14 * $I$15)</f>
        <v>1.5214758336E-2</v>
      </c>
      <c r="T34" s="16" t="str">
        <f>$E$11</f>
        <v>kg N</v>
      </c>
    </row>
    <row r="35" spans="1:21" ht="20.100000000000001" customHeight="1" x14ac:dyDescent="0.2">
      <c r="A35" s="5" t="str">
        <f>HYPERLINK("#'8.1.1.1-2 Transport fuel'!A1", "8.1.1.1-2 Transport fuel")</f>
        <v>8.1.1.1-2 Transport fuel</v>
      </c>
      <c r="D35" s="15" t="str">
        <f>INDEX(X_Table_Poultry_Stage1MMS,3,1)</f>
        <v>Belt manure removal</v>
      </c>
      <c r="E35" s="15" t="str">
        <f>INDEX(X_Table_Poultry_Stage2MMS_BeltManureRemoval,2,1)</f>
        <v>Solid storage</v>
      </c>
      <c r="F35" s="15">
        <f>(F28 * $I$14 * $I$15)</f>
        <v>1.9352311680000005E-2</v>
      </c>
      <c r="G35" s="15">
        <f>(G28 * $I$14 * $I$15)</f>
        <v>2.0656374336E-2</v>
      </c>
      <c r="H35" s="15">
        <f>(H28 * $I$14 * $I$15)</f>
        <v>2.4247511808E-2</v>
      </c>
      <c r="I35" s="15">
        <f>(I28 * $I$14 * $I$15)</f>
        <v>2.0656374336E-2</v>
      </c>
      <c r="J35" s="16"/>
      <c r="N35" s="15" t="str">
        <f>INDEX(X_Table_Poultry_Stage1MMS,3,1)</f>
        <v>Belt manure removal</v>
      </c>
      <c r="O35" s="15" t="str">
        <f>INDEX(X_Table_Poultry_Stage2MMS_BeltManureRemoval,2,1)</f>
        <v>Solid storage</v>
      </c>
      <c r="P35" s="15">
        <f>(P28 * $I$14 * $I$15)</f>
        <v>1.9352311680000005E-2</v>
      </c>
      <c r="Q35" s="15">
        <f>(Q28 * $I$14 * $I$15)</f>
        <v>2.0656374336E-2</v>
      </c>
      <c r="R35" s="15">
        <f>(R28 * $I$14 * $I$15)</f>
        <v>2.4247511808E-2</v>
      </c>
      <c r="S35" s="15">
        <f>(S28 * $I$14 * $I$15)</f>
        <v>2.0656374336E-2</v>
      </c>
      <c r="T35" s="16"/>
    </row>
    <row r="36" spans="1:21" ht="20.100000000000001" customHeight="1" x14ac:dyDescent="0.2">
      <c r="A36" s="5" t="str">
        <f>HYPERLINK("#'8.2.1.1-2 Stationary fuel'!A1", "8.2.1.1-2 Stationary fuel")</f>
        <v>8.2.1.1-2 Stationary fuel</v>
      </c>
      <c r="D36" s="15" t="str">
        <f>INDEX(X_Table_Poultry_Stage1MMS,4,1)</f>
        <v>Manure stored in house</v>
      </c>
      <c r="E36" s="15" t="str">
        <f>INDEX(X_Table_Poultry_Stage2MMS_ManureStoredInHouse,2,1)</f>
        <v>Solid storage</v>
      </c>
      <c r="F36" s="15">
        <f>(F29 * $I$14 * $I$15)</f>
        <v>1.2214999680000003E-2</v>
      </c>
      <c r="G36" s="15">
        <f>(G29 * $I$14 * $I$15)</f>
        <v>1.3038111936E-2</v>
      </c>
      <c r="H36" s="15">
        <f>(H29 * $I$14 * $I$15)</f>
        <v>1.5304804607999998E-2</v>
      </c>
      <c r="I36" s="15">
        <f>(I29 * $I$14 * $I$15)</f>
        <v>1.3038111936E-2</v>
      </c>
      <c r="J36" s="16"/>
      <c r="N36" s="15" t="str">
        <f>INDEX(X_Table_Poultry_Stage1MMS,4,1)</f>
        <v>Manure stored in house</v>
      </c>
      <c r="O36" s="15" t="str">
        <f>INDEX(X_Table_Poultry_Stage2MMS_ManureStoredInHouse,2,1)</f>
        <v>Solid storage</v>
      </c>
      <c r="P36" s="15">
        <f>(P29 * $I$14 * $I$15)</f>
        <v>1.2214999680000003E-2</v>
      </c>
      <c r="Q36" s="15">
        <f>(Q29 * $I$14 * $I$15)</f>
        <v>1.3038111936E-2</v>
      </c>
      <c r="R36" s="15">
        <f>(R29 * $I$14 * $I$15)</f>
        <v>1.5304804607999998E-2</v>
      </c>
      <c r="S36" s="15">
        <f>(S29 * $I$14 * $I$15)</f>
        <v>1.3038111936E-2</v>
      </c>
      <c r="T36" s="16"/>
    </row>
    <row r="37" spans="1:21" ht="20.100000000000001" customHeight="1" x14ac:dyDescent="0.2">
      <c r="A37" s="5" t="str">
        <f>HYPERLINK("#'10.1.1-2 Solid waste treatment'!A1", "10.1.1.1-2 Solid waste")</f>
        <v>10.1.1.1-2 Solid waste</v>
      </c>
    </row>
    <row r="38" spans="1:21" ht="20.100000000000001" customHeight="1" x14ac:dyDescent="0.2">
      <c r="A38" s="5" t="str">
        <f>HYPERLINK("#'14.1.1-2 Purchased electricity'!A1", "14.1.1-2 Purchased electricity")</f>
        <v>14.1.1-2 Purchased electricity</v>
      </c>
    </row>
    <row r="39" spans="1:21" ht="20.100000000000001" customHeight="1" x14ac:dyDescent="0.2">
      <c r="A39" s="5" t="str">
        <f>HYPERLINK("#'15 Scope 3'!A1", "15 Scope 3")</f>
        <v>15 Scope 3</v>
      </c>
      <c r="C39" s="83"/>
      <c r="D39" s="83"/>
      <c r="E39" s="83"/>
      <c r="F39" s="83"/>
      <c r="G39" s="83"/>
      <c r="H39" s="83"/>
      <c r="I39" s="83"/>
      <c r="J39" s="83"/>
      <c r="K39" s="83"/>
      <c r="M39" s="83"/>
      <c r="N39" s="83"/>
      <c r="O39" s="83"/>
      <c r="P39" s="83"/>
      <c r="Q39" s="83"/>
      <c r="R39" s="83"/>
      <c r="S39" s="83"/>
      <c r="T39" s="83"/>
      <c r="U39" s="83"/>
    </row>
    <row r="40" spans="1:21" ht="20.100000000000001" customHeight="1" x14ac:dyDescent="0.2">
      <c r="A40" s="5" t="str">
        <f>HYPERLINK("#'Calcs - Manure sent off-site'!A1", "Calcs - Manure sent off-site")</f>
        <v>Calcs - Manure sent off-site</v>
      </c>
      <c r="D40" s="2" t="s">
        <v>1335</v>
      </c>
    </row>
    <row r="41" spans="1:21" ht="20.100000000000001" customHeight="1" x14ac:dyDescent="0.2">
      <c r="A41" s="5" t="str">
        <f>HYPERLINK("#'5.1.1.1-2 Inorganic fert N2O'!A1", "5.1.1.1-2 Inorganic fert N2O")</f>
        <v>5.1.1.1-2 Inorganic fert N2O</v>
      </c>
      <c r="D41" s="17" t="s">
        <v>1336</v>
      </c>
    </row>
    <row r="42" spans="1:21" ht="20.100000000000001" customHeight="1" x14ac:dyDescent="0.2">
      <c r="A42" s="5" t="str">
        <f>HYPERLINK("#'5.1.1.3-4 Inorganic fert CO2'!A1", "5.1.1.3-4 Inorganic fert CO2")</f>
        <v>5.1.1.3-4 Inorganic fert CO2</v>
      </c>
      <c r="D42" s="112"/>
      <c r="E42" s="112"/>
    </row>
    <row r="43" spans="1:21" ht="20.100000000000001" customHeight="1" x14ac:dyDescent="0.2">
      <c r="A43" s="5" t="str">
        <f>HYPERLINK("#'5.2.1.1-2 Organic Fert N2O'!A1", "5.2.1.1-2 Organic Fert N2O")</f>
        <v>5.2.1.1-2 Organic Fert N2O</v>
      </c>
    </row>
    <row r="44" spans="1:21" ht="20.100000000000001" customHeight="1" x14ac:dyDescent="0.2">
      <c r="A44" s="5" t="str">
        <f>HYPERLINK("#'5.3.1.1-2 Lime CO2'!A1", "5.3.1.1-2 Lime CO2")</f>
        <v>5.3.1.1-2 Lime CO2</v>
      </c>
    </row>
    <row r="45" spans="1:21" ht="20.100000000000001" customHeight="1" x14ac:dyDescent="0.2">
      <c r="A45" s="5" t="str">
        <f>HYPERLINK("#'5.4.1.1-4 Atmos deposition'!A1", "5.4.1.1-4 Atmos deposition")</f>
        <v>5.4.1.1-4 Atmos deposition</v>
      </c>
      <c r="D45" s="75" t="s">
        <v>328</v>
      </c>
      <c r="E45" s="1" t="s">
        <v>1337</v>
      </c>
    </row>
    <row r="46" spans="1:21" ht="20.100000000000001" customHeight="1" x14ac:dyDescent="0.2">
      <c r="A46" s="5" t="str">
        <f>HYPERLINK("#'5.5.1.1-2 Leaching and runoff'!A1", "5.5.1.1-2 Leaching and runoff")</f>
        <v>5.5.1.1-2 Leaching and runoff</v>
      </c>
      <c r="D46" s="75" t="s">
        <v>118</v>
      </c>
      <c r="E46" s="9" t="s">
        <v>12</v>
      </c>
    </row>
    <row r="48" spans="1:21" ht="20.100000000000001" customHeight="1" x14ac:dyDescent="0.2">
      <c r="D48" s="113" t="s">
        <v>1327</v>
      </c>
      <c r="E48" s="122" t="s">
        <v>1338</v>
      </c>
      <c r="F48" s="123"/>
      <c r="G48" s="113" t="s">
        <v>482</v>
      </c>
      <c r="H48" s="115" t="s">
        <v>1342</v>
      </c>
      <c r="I48" s="116" t="str" cm="1">
        <f t="array" aca="1" ref="I48" ca="1">HYPERLINK(Common_InputFunctions.Utility_SourceHyperlink($D$31),$D$31)</f>
        <v>M1_Table_MN_Leach_j_k_m-4</v>
      </c>
    </row>
    <row r="49" spans="1:20" ht="20.100000000000001" customHeight="1" x14ac:dyDescent="0.2">
      <c r="A49" s="80" t="s">
        <v>1</v>
      </c>
      <c r="D49" s="113" t="s">
        <v>1339</v>
      </c>
      <c r="E49" s="122" t="s">
        <v>1340</v>
      </c>
      <c r="F49" s="123"/>
      <c r="G49" s="113" t="s">
        <v>1288</v>
      </c>
      <c r="H49" s="115" t="s">
        <v>1203</v>
      </c>
      <c r="I49" s="113">
        <f>'Constants - Common'!$E$170</f>
        <v>1.0999999999999999E-2</v>
      </c>
    </row>
    <row r="50" spans="1:20" ht="20.100000000000001" customHeight="1" x14ac:dyDescent="0.2">
      <c r="A50" s="5" t="str">
        <f>HYPERLINK("#'Constants - Poultry'!A1", "Constants - Poultry")</f>
        <v>Constants - Poultry</v>
      </c>
      <c r="D50" s="113" t="s">
        <v>1302</v>
      </c>
      <c r="E50" s="122" t="s">
        <v>1341</v>
      </c>
      <c r="F50" s="123"/>
      <c r="G50" s="113" t="s">
        <v>1258</v>
      </c>
      <c r="H50" s="115" t="s">
        <v>1203</v>
      </c>
      <c r="I50" s="113">
        <f>Common_InputFunctions.Utility_LookupValueInTableNumber("N2O",Table_GasToMolecularConversionFactor[Gas],Table_GasToMolecularConversionFactor[Conversion factor combined])</f>
        <v>1.5714285714285714</v>
      </c>
    </row>
    <row r="51" spans="1:20" ht="20.100000000000001" customHeight="1" x14ac:dyDescent="0.2">
      <c r="A51" s="5" t="str">
        <f>HYPERLINK("#'Constants - Common livestock'!A1", "Constants - Common Livestock")</f>
        <v>Constants - Common Livestock</v>
      </c>
    </row>
    <row r="52" spans="1:20" ht="20.100000000000001" customHeight="1" x14ac:dyDescent="0.2">
      <c r="A52" s="5" t="str">
        <f>HYPERLINK("#'Constants - Electricity'!A1", "Constants - Electricity")</f>
        <v>Constants - Electricity</v>
      </c>
      <c r="D52" s="118" t="s">
        <v>445</v>
      </c>
      <c r="N52" s="118" t="s">
        <v>446</v>
      </c>
    </row>
    <row r="53" spans="1:20" ht="20.100000000000001" customHeight="1" x14ac:dyDescent="0.2">
      <c r="A53" s="5" t="str">
        <f>HYPERLINK("#'Constants - Fertiliser'!A1", "Constants - Fertiliser")</f>
        <v>Constants - Fertiliser</v>
      </c>
      <c r="D53" s="119" t="s">
        <v>447</v>
      </c>
      <c r="N53" s="119" t="s">
        <v>448</v>
      </c>
    </row>
    <row r="54" spans="1:20" ht="20.100000000000001" customHeight="1" x14ac:dyDescent="0.2">
      <c r="A54" s="5" t="str">
        <f>HYPERLINK("#'Constants - Fuel'!A1", "Constants - Fuel")</f>
        <v>Constants - Fuel</v>
      </c>
      <c r="D54" s="120" t="s">
        <v>314</v>
      </c>
      <c r="E54" s="120" t="s">
        <v>318</v>
      </c>
      <c r="F54" s="120" t="s">
        <v>297</v>
      </c>
      <c r="G54" s="120" t="s">
        <v>298</v>
      </c>
      <c r="H54" s="120" t="s">
        <v>299</v>
      </c>
      <c r="I54" s="120" t="s">
        <v>300</v>
      </c>
      <c r="N54" s="120" t="s">
        <v>314</v>
      </c>
      <c r="O54" s="120" t="s">
        <v>318</v>
      </c>
      <c r="P54" s="120" t="s">
        <v>297</v>
      </c>
      <c r="Q54" s="120" t="s">
        <v>298</v>
      </c>
      <c r="R54" s="120" t="s">
        <v>299</v>
      </c>
      <c r="S54" s="120" t="s">
        <v>300</v>
      </c>
    </row>
    <row r="55" spans="1:20" ht="20.100000000000001" customHeight="1" x14ac:dyDescent="0.2">
      <c r="A55" s="5" t="str">
        <f>HYPERLINK("#'Constants - Scope 3'!A1", "Constants - Scope 3")</f>
        <v>Constants - Scope 3</v>
      </c>
      <c r="D55" s="15" t="str">
        <f>INDEX(X_Table_Poultry_Stage1MMS,2,1)</f>
        <v>Poultry manure with bedding</v>
      </c>
      <c r="E55" s="15" t="str">
        <f>INDEX(X_Table_Poultry_Stage2MMS_PoultryManureWithBedding,2,1)</f>
        <v>Solid storage</v>
      </c>
      <c r="F55" s="15">
        <f>((F34 * $I$49 * $I$50) * 10 ^ -3)</f>
        <v>2.4639457618285716E-7</v>
      </c>
      <c r="G55" s="15">
        <f>((G34 * $I$49 * $I$50) * 10 ^ -3)</f>
        <v>2.6299796552228575E-7</v>
      </c>
      <c r="H55" s="15">
        <f>((H34 * $I$49 * $I$50) * 10 ^ -3)</f>
        <v>3.0872050296685714E-7</v>
      </c>
      <c r="I55" s="15">
        <f>((I34 * $I$49 * $I$50) * 10 ^ -3)</f>
        <v>2.6299796552228575E-7</v>
      </c>
      <c r="J55" s="16" t="str">
        <f>$E$46</f>
        <v>t N2O</v>
      </c>
      <c r="N55" s="15" t="str">
        <f>INDEX(X_Table_Poultry_Stage1MMS,2,1)</f>
        <v>Poultry manure with bedding</v>
      </c>
      <c r="O55" s="15" t="str">
        <f>INDEX(X_Table_Poultry_Stage2MMS_PoultryManureWithBedding,2,1)</f>
        <v>Solid storage</v>
      </c>
      <c r="P55" s="15">
        <f>((P34 * $I$49 * $I$50) * 10 ^ -3)</f>
        <v>2.4639457618285716E-7</v>
      </c>
      <c r="Q55" s="15">
        <f>((Q34 * $I$49 * $I$50) * 10 ^ -3)</f>
        <v>2.6299796552228575E-7</v>
      </c>
      <c r="R55" s="15">
        <f>((R34 * $I$49 * $I$50) * 10 ^ -3)</f>
        <v>3.0872050296685714E-7</v>
      </c>
      <c r="S55" s="15">
        <f>((S34 * $I$49 * $I$50) * 10 ^ -3)</f>
        <v>2.6299796552228575E-7</v>
      </c>
      <c r="T55" s="16" t="str">
        <f>$E$46</f>
        <v>t N2O</v>
      </c>
    </row>
    <row r="56" spans="1:20" ht="20.100000000000001" customHeight="1" x14ac:dyDescent="0.2">
      <c r="A56" s="5" t="str">
        <f>HYPERLINK("#'Constants - Solid Waste'!A1", "Constants - Solid Waste")</f>
        <v>Constants - Solid Waste</v>
      </c>
      <c r="D56" s="15" t="str">
        <f>INDEX(X_Table_Poultry_Stage1MMS,3,1)</f>
        <v>Belt manure removal</v>
      </c>
      <c r="E56" s="15" t="str">
        <f>INDEX(X_Table_Poultry_Stage2MMS_BeltManureRemoval,2,1)</f>
        <v>Solid storage</v>
      </c>
      <c r="F56" s="15">
        <f>((F35 * $I$49 * $I$50) * 10 ^ -3)</f>
        <v>3.345185304685715E-7</v>
      </c>
      <c r="G56" s="15">
        <f>((G35 * $I$49 * $I$50) * 10 ^ -3)</f>
        <v>3.5706018495085714E-7</v>
      </c>
      <c r="H56" s="15">
        <f>((H35 * $I$49 * $I$50) * 10 ^ -3)</f>
        <v>4.1913556125257138E-7</v>
      </c>
      <c r="I56" s="15">
        <f>((I35 * $I$49 * $I$50) * 10 ^ -3)</f>
        <v>3.5706018495085714E-7</v>
      </c>
      <c r="J56" s="16"/>
      <c r="N56" s="15" t="str">
        <f>INDEX(X_Table_Poultry_Stage1MMS,3,1)</f>
        <v>Belt manure removal</v>
      </c>
      <c r="O56" s="15" t="str">
        <f>INDEX(X_Table_Poultry_Stage2MMS_BeltManureRemoval,2,1)</f>
        <v>Solid storage</v>
      </c>
      <c r="P56" s="15">
        <f>((P35 * $I$49 * $I$50) * 10 ^ -3)</f>
        <v>3.345185304685715E-7</v>
      </c>
      <c r="Q56" s="15">
        <f>((Q35 * $I$49 * $I$50) * 10 ^ -3)</f>
        <v>3.5706018495085714E-7</v>
      </c>
      <c r="R56" s="15">
        <f>((R35 * $I$49 * $I$50) * 10 ^ -3)</f>
        <v>4.1913556125257138E-7</v>
      </c>
      <c r="S56" s="15">
        <f>((S35 * $I$49 * $I$50) * 10 ^ -3)</f>
        <v>3.5706018495085714E-7</v>
      </c>
      <c r="T56" s="16"/>
    </row>
    <row r="57" spans="1:20" ht="20.100000000000001" customHeight="1" x14ac:dyDescent="0.2">
      <c r="A57" s="5" t="str">
        <f>HYPERLINK("#'Constants - Common'!A1", "Constants - Common")</f>
        <v>Constants - Common</v>
      </c>
      <c r="D57" s="15" t="str">
        <f>INDEX(X_Table_Poultry_Stage1MMS,4,1)</f>
        <v>Manure stored in house</v>
      </c>
      <c r="E57" s="15" t="str">
        <f>INDEX(X_Table_Poultry_Stage2MMS_ManureStoredInHouse,2,1)</f>
        <v>Solid storage</v>
      </c>
      <c r="F57" s="15">
        <f>((F36 * $I$49 * $I$50) * 10 ^ -3)</f>
        <v>2.1114499446857149E-7</v>
      </c>
      <c r="G57" s="15">
        <f>((G36 * $I$49 * $I$50) * 10 ^ -3)</f>
        <v>2.253730777508571E-7</v>
      </c>
      <c r="H57" s="15">
        <f>((H36 * $I$49 * $I$50) * 10 ^ -3)</f>
        <v>2.6455447965257135E-7</v>
      </c>
      <c r="I57" s="15">
        <f>((I36 * $I$49 * $I$50) * 10 ^ -3)</f>
        <v>2.253730777508571E-7</v>
      </c>
      <c r="J57" s="16"/>
      <c r="N57" s="15" t="str">
        <f>INDEX(X_Table_Poultry_Stage1MMS,4,1)</f>
        <v>Manure stored in house</v>
      </c>
      <c r="O57" s="15" t="str">
        <f>INDEX(X_Table_Poultry_Stage2MMS_ManureStoredInHouse,2,1)</f>
        <v>Solid storage</v>
      </c>
      <c r="P57" s="15">
        <f>((P36 * $I$49 * $I$50) * 10 ^ -3)</f>
        <v>2.1114499446857149E-7</v>
      </c>
      <c r="Q57" s="15">
        <f>((Q36 * $I$49 * $I$50) * 10 ^ -3)</f>
        <v>2.253730777508571E-7</v>
      </c>
      <c r="R57" s="15">
        <f>((R36 * $I$49 * $I$50) * 10 ^ -3)</f>
        <v>2.6455447965257135E-7</v>
      </c>
      <c r="S57" s="15">
        <f>((S36 * $I$49 * $I$50) * 10 ^ -3)</f>
        <v>2.253730777508571E-7</v>
      </c>
      <c r="T57" s="16"/>
    </row>
    <row r="59" spans="1:20" ht="20.100000000000001" customHeight="1" x14ac:dyDescent="0.2">
      <c r="D59" s="85" t="s">
        <v>434</v>
      </c>
      <c r="E59" s="86">
        <f>SUM(F55:I57)</f>
        <v>3.4753311014399998E-6</v>
      </c>
      <c r="F59" s="95" t="str">
        <f>$E$46</f>
        <v>t N2O</v>
      </c>
      <c r="N59" s="85" t="s">
        <v>434</v>
      </c>
      <c r="O59" s="86">
        <f>SUM(P55:S57)</f>
        <v>3.4753311014399998E-6</v>
      </c>
      <c r="P59" s="95" t="str">
        <f>$E$46</f>
        <v>t N2O</v>
      </c>
    </row>
    <row r="61" spans="1:20" ht="20.100000000000001" customHeight="1" x14ac:dyDescent="0.2">
      <c r="D61" s="126" t="str" cm="1">
        <f t="array" ref="D61:E62">Common_Equations.Common_ConvertN2OToCO2e_Arguments()</f>
        <v>EN2O</v>
      </c>
      <c r="E61" s="129" t="str">
        <v>Nitrous oxide emissions (t N2O)</v>
      </c>
      <c r="F61" s="130"/>
      <c r="G61" s="15">
        <f>VEERG_4_6_1_7__1_AnnualEmissionsFromLeachingAndRunoffFromMMS_Result_Method1</f>
        <v>3.4753311014399998E-6</v>
      </c>
      <c r="N61" s="126" t="str" cm="1">
        <f t="array" ref="N61:O62">Common_Equations.Common_ConvertN2OToCO2e_Arguments()</f>
        <v>EN2O</v>
      </c>
      <c r="O61" s="129" t="str">
        <v>Nitrous oxide emissions (t N2O)</v>
      </c>
      <c r="P61" s="130"/>
      <c r="Q61" s="15">
        <f>VEERG_4_6_1_7__1_AnnualEmissionsFromLeachingAndRunoffFromMMS_Result_Method2</f>
        <v>3.4753311014399998E-6</v>
      </c>
    </row>
    <row r="62" spans="1:20" ht="20.100000000000001" customHeight="1" x14ac:dyDescent="0.2">
      <c r="D62" s="126" t="str">
        <v>GWPN2O</v>
      </c>
      <c r="E62" s="129" t="str">
        <v>Global warming potential for nitrous oxide (t CO2-e / t N2O)</v>
      </c>
      <c r="F62" s="130"/>
      <c r="G62" s="15">
        <f>Common_InputFunctions.Utility_LookupValueInTableNumber("N2O", Table_GWPData[Gas],Table_GWPData[CO2-e factor])</f>
        <v>265</v>
      </c>
      <c r="N62" s="126" t="str">
        <v>GWPN2O</v>
      </c>
      <c r="O62" s="129" t="str">
        <v>Global warming potential for nitrous oxide (t CO2-e / t N2O)</v>
      </c>
      <c r="P62" s="130"/>
      <c r="Q62" s="15">
        <f>Common_InputFunctions.Utility_LookupValueInTableNumber("N2O", Table_GWPData[Gas],Table_GWPData[CO2-e factor])</f>
        <v>265</v>
      </c>
    </row>
    <row r="64" spans="1:20" ht="20.100000000000001" customHeight="1" x14ac:dyDescent="0.2">
      <c r="D64" s="83" t="s">
        <v>376</v>
      </c>
      <c r="E64" s="83" cm="1">
        <f t="array" ref="E64">Common_Equations.Common_ConvertN2OToCO2e(G61,G62)</f>
        <v>9.2096274188159999E-4</v>
      </c>
      <c r="F64" s="89" t="str" cm="1">
        <f t="array" ref="F64">Common_Equations.Common_ConvertN2OToCO2e_Unit()</f>
        <v>t CO2e</v>
      </c>
      <c r="N64" s="83" t="s">
        <v>376</v>
      </c>
      <c r="O64" s="83" cm="1">
        <f t="array" ref="O64">Common_Equations.Common_ConvertN2OToCO2e(Q61,Q62)</f>
        <v>9.2096274188159999E-4</v>
      </c>
      <c r="P64" s="89" t="str" cm="1">
        <f t="array" ref="P64">Common_Equations.Common_ConvertN2OToCO2e_Unit()</f>
        <v>t CO2e</v>
      </c>
    </row>
  </sheetData>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766FE-B849-4DB2-B090-E93AF1BE238D}">
  <sheetPr>
    <tabColor rgb="FF008000"/>
  </sheetPr>
  <dimension ref="A1:U205"/>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0" customFormat="1" ht="30" customHeight="1" x14ac:dyDescent="0.35">
      <c r="A1" s="10" t="e" vm="1">
        <v>#VALUE!</v>
      </c>
      <c r="C1" s="20" t="s">
        <v>449</v>
      </c>
      <c r="L1"/>
    </row>
    <row r="2" spans="1:21" s="3" customFormat="1" ht="20.100000000000001" customHeight="1" x14ac:dyDescent="0.2">
      <c r="A2"/>
      <c r="L2"/>
    </row>
    <row r="3" spans="1:21" ht="20.100000000000001" customHeight="1" x14ac:dyDescent="0.2">
      <c r="A3" s="5" t="str">
        <f>HYPERLINK("#'Home'!A1", "Home")</f>
        <v>Home</v>
      </c>
      <c r="C3" s="22"/>
      <c r="D3" s="22" t="s">
        <v>130</v>
      </c>
      <c r="E3" s="22"/>
      <c r="F3" s="22"/>
      <c r="G3" s="22"/>
      <c r="H3" s="22"/>
      <c r="I3" s="22"/>
      <c r="J3" s="22"/>
      <c r="K3" s="22"/>
      <c r="M3" s="22"/>
      <c r="N3" s="22" t="s">
        <v>131</v>
      </c>
      <c r="O3" s="22"/>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1343</v>
      </c>
    </row>
    <row r="6" spans="1:21" ht="20.100000000000001" customHeight="1" x14ac:dyDescent="0.2">
      <c r="D6" s="17" t="s">
        <v>1344</v>
      </c>
    </row>
    <row r="7" spans="1:21" ht="20.100000000000001" customHeight="1" x14ac:dyDescent="0.2">
      <c r="D7" s="112"/>
      <c r="E7" s="112"/>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328</v>
      </c>
      <c r="E10" s="1" t="s">
        <v>1345</v>
      </c>
    </row>
    <row r="11" spans="1:21" ht="20.100000000000001" customHeight="1" x14ac:dyDescent="0.2">
      <c r="A11" s="5" t="str">
        <f>HYPERLINK("#'Input - Poultry'!A1", "Poultry")</f>
        <v>Poultry</v>
      </c>
      <c r="D11" s="75" t="s">
        <v>118</v>
      </c>
      <c r="E11" s="9" t="s">
        <v>482</v>
      </c>
    </row>
    <row r="12" spans="1:21" ht="20.100000000000001" customHeight="1" x14ac:dyDescent="0.2">
      <c r="A12" s="5" t="str">
        <f>HYPERLINK("#'Input - Livestock sales'!A1", "Livestock sales")</f>
        <v>Livestock sales</v>
      </c>
    </row>
    <row r="13" spans="1:21" ht="20.100000000000001" customHeight="1" x14ac:dyDescent="0.2">
      <c r="A13" s="5" t="str">
        <f>HYPERLINK("#'Input - Poultry purchases'!A1", "Poultry purchases")</f>
        <v>Poultry purchases</v>
      </c>
      <c r="D13" s="113" t="s">
        <v>1346</v>
      </c>
      <c r="E13" s="122" t="s">
        <v>1347</v>
      </c>
      <c r="F13" s="123"/>
      <c r="G13" s="113" t="s">
        <v>482</v>
      </c>
      <c r="H13" s="115" t="s">
        <v>1287</v>
      </c>
      <c r="I13" s="116" t="str" cm="1">
        <f t="array" aca="1" ref="I13" ca="1">HYPERLINK(Common_InputFunctions.Utility_SourceHyperlink($D$19),$D$19)</f>
        <v>M1_Table_MN_j_k_m_T-2</v>
      </c>
    </row>
    <row r="14" spans="1:21" ht="20.100000000000001" customHeight="1" x14ac:dyDescent="0.2">
      <c r="A14" s="5" t="str">
        <f>HYPERLINK("#'Input - Fuel'!A1", "Fuel")</f>
        <v>Fuel</v>
      </c>
      <c r="D14" s="113" t="s">
        <v>1348</v>
      </c>
      <c r="E14" s="122" t="s">
        <v>1349</v>
      </c>
      <c r="F14" s="123"/>
      <c r="G14" s="113" t="s">
        <v>1288</v>
      </c>
      <c r="H14" s="115" t="s">
        <v>1203</v>
      </c>
      <c r="I14" s="116" t="str" cm="1">
        <f t="array" aca="1" ref="I14" ca="1">HYPERLINK(Common_InputFunctions.Utility_SourceHyperlink($D$38),$D$38)</f>
        <v>Table_EF_m</v>
      </c>
    </row>
    <row r="15" spans="1:21" ht="20.100000000000001" customHeight="1" x14ac:dyDescent="0.2">
      <c r="A15" s="5" t="str">
        <f>HYPERLINK("#'Input - Electricity'!A1", "Electricity")</f>
        <v>Electricity</v>
      </c>
      <c r="D15" s="113" t="s">
        <v>1350</v>
      </c>
      <c r="E15" s="122" t="s">
        <v>1351</v>
      </c>
      <c r="F15" s="123"/>
      <c r="G15" s="113" t="s">
        <v>1311</v>
      </c>
      <c r="H15" s="115" t="s">
        <v>1203</v>
      </c>
      <c r="I15" s="116" t="str" cm="1">
        <f t="array" aca="1" ref="I15" ca="1">HYPERLINK(Common_InputFunctions.Utility_SourceHyperlink($D$51),$D$51)</f>
        <v>Table_FracGASM_m_T</v>
      </c>
    </row>
    <row r="16" spans="1:21" ht="20.100000000000001" customHeight="1" x14ac:dyDescent="0.2">
      <c r="A16" s="5" t="str">
        <f>HYPERLINK("#'Input - Common farm inputs'!A1", "Common farm inputs")</f>
        <v>Common farm inputs</v>
      </c>
      <c r="D16" s="113" t="s">
        <v>1352</v>
      </c>
      <c r="E16" s="122" t="s">
        <v>1353</v>
      </c>
      <c r="F16" s="123"/>
      <c r="G16" s="113" t="s">
        <v>482</v>
      </c>
      <c r="H16" s="115" t="s">
        <v>1342</v>
      </c>
      <c r="I16" s="116" t="str" cm="1">
        <f t="array" aca="1" ref="I16" ca="1">HYPERLINK(Common_InputFunctions.Utility_SourceHyperlink($D$64),$D$64)</f>
        <v>M1_Table_MNLeach_MMS</v>
      </c>
    </row>
    <row r="17" spans="1:20" ht="20.100000000000001" customHeight="1" x14ac:dyDescent="0.2">
      <c r="A17" s="5" t="str">
        <f>HYPERLINK("#'Input - Livestock farm Inputs'!A1", "Livestock farm Inputs")</f>
        <v>Livestock farm Inputs</v>
      </c>
      <c r="D17" s="113" t="s">
        <v>454</v>
      </c>
      <c r="E17" s="122" t="s">
        <v>1354</v>
      </c>
      <c r="F17" s="123"/>
      <c r="G17" s="113" t="s">
        <v>307</v>
      </c>
      <c r="H17" s="114" t="s">
        <v>1202</v>
      </c>
      <c r="I17" s="116" t="str" cm="1">
        <f t="array" aca="1" ref="I17" ca="1">HYPERLINK(Common_InputFunctions.Utility_SourceHyperlink($D$83),$D$83)</f>
        <v>Table_PF</v>
      </c>
    </row>
    <row r="18" spans="1:20" ht="20.100000000000001" customHeight="1" x14ac:dyDescent="0.2">
      <c r="A18" s="5" t="str">
        <f>HYPERLINK("#'Input - Freight'!A1", "Freight")</f>
        <v>Freight</v>
      </c>
    </row>
    <row r="19" spans="1:20" ht="20.100000000000001" customHeight="1" x14ac:dyDescent="0.2">
      <c r="A19" s="5" t="str">
        <f>HYPERLINK("#'Input - Solid waste'!A1", "Solid waste")</f>
        <v>Solid waste</v>
      </c>
      <c r="D19" s="118" t="s">
        <v>410</v>
      </c>
      <c r="N19" s="118" t="s">
        <v>411</v>
      </c>
    </row>
    <row r="20" spans="1:20" ht="20.100000000000001" customHeight="1" x14ac:dyDescent="0.2">
      <c r="A20" s="5" t="str">
        <f>HYPERLINK("#'Input - Manure sent off-site'!A1", "Manure sent off-site")</f>
        <v>Manure sent off-site</v>
      </c>
      <c r="D20" s="119" t="s">
        <v>412</v>
      </c>
      <c r="N20" s="119" t="s">
        <v>413</v>
      </c>
    </row>
    <row r="21" spans="1:20" ht="20.100000000000001" customHeight="1" x14ac:dyDescent="0.2">
      <c r="A21" s="5" t="str">
        <f>HYPERLINK("#'Input - Data quality'!A1", "Data quality")</f>
        <v>Data quality</v>
      </c>
      <c r="D21" s="120" t="s">
        <v>314</v>
      </c>
      <c r="E21" s="120" t="s">
        <v>318</v>
      </c>
      <c r="F21" s="120" t="s">
        <v>297</v>
      </c>
      <c r="G21" s="120" t="s">
        <v>298</v>
      </c>
      <c r="H21" s="120" t="s">
        <v>299</v>
      </c>
      <c r="I21" s="120" t="s">
        <v>300</v>
      </c>
      <c r="N21" s="120" t="s">
        <v>314</v>
      </c>
      <c r="O21" s="120" t="s">
        <v>318</v>
      </c>
      <c r="P21" s="120" t="s">
        <v>297</v>
      </c>
      <c r="Q21" s="120" t="s">
        <v>298</v>
      </c>
      <c r="R21" s="120" t="s">
        <v>299</v>
      </c>
      <c r="S21" s="120" t="s">
        <v>300</v>
      </c>
    </row>
    <row r="22" spans="1:20" ht="20.100000000000001" customHeight="1" x14ac:dyDescent="0.2">
      <c r="A22" s="5" t="str">
        <f>HYPERLINK("#'Input - Fert Prod System'!A1", "Fert Prod System")</f>
        <v>Fert Prod System</v>
      </c>
      <c r="D22" s="15" t="str">
        <f>INDEX(X_Table_Poultry_Stage1MMS,2,1)</f>
        <v>Poultry manure with bedding</v>
      </c>
      <c r="E22" s="15" t="str">
        <f>INDEX(X_Table_Poultry_Stage2MMS_PoultryManureWithBedding,2,1)</f>
        <v>Solid storage</v>
      </c>
      <c r="F22" s="15">
        <f>INDEX(M1_Table_MN_j_k_m_T2,2,3)</f>
        <v>0.71271158400000012</v>
      </c>
      <c r="G22" s="15">
        <f>INDEX(M1_Table_MN_j_k_m_T2,2,4)</f>
        <v>0.76073791680000002</v>
      </c>
      <c r="H22" s="15">
        <f>INDEX(M1_Table_MN_j_k_m_T2,2,5)</f>
        <v>0.89299319039999991</v>
      </c>
      <c r="I22" s="15">
        <f>INDEX(M1_Table_MN_j_k_m_T2,2,6)</f>
        <v>0.76073791680000002</v>
      </c>
      <c r="J22" s="16" t="str">
        <f>$G$13</f>
        <v>kg N</v>
      </c>
      <c r="N22" s="15" t="str">
        <f>INDEX(X_Table_Poultry_Stage1MMS,2,1)</f>
        <v>Poultry manure with bedding</v>
      </c>
      <c r="O22" s="15" t="str">
        <f>INDEX(X_Table_Poultry_Stage2MMS_PoultryManureWithBedding,2,1)</f>
        <v>Solid storage</v>
      </c>
      <c r="P22" s="15">
        <f>INDEX(M2_Table_MN_j_k_m_T2,2,3)</f>
        <v>0.71271158400000012</v>
      </c>
      <c r="Q22" s="15">
        <f>INDEX(M2_Table_MN_j_k_m_T2,2,4)</f>
        <v>0.76073791680000002</v>
      </c>
      <c r="R22" s="15">
        <f>INDEX(M2_Table_MN_j_k_m_T2,2,5)</f>
        <v>0.89299319039999991</v>
      </c>
      <c r="S22" s="15">
        <f>INDEX(M2_Table_MN_j_k_m_T2,2,6)</f>
        <v>0.76073791680000002</v>
      </c>
      <c r="T22" s="16" t="str">
        <f>$G$13</f>
        <v>kg N</v>
      </c>
    </row>
    <row r="23" spans="1:20" ht="20.100000000000001" customHeight="1" x14ac:dyDescent="0.2">
      <c r="A23" s="5" t="str">
        <f>HYPERLINK("#'Input - Fertiliser'!A1", "Fertiliser")</f>
        <v>Fertiliser</v>
      </c>
      <c r="D23" s="15"/>
      <c r="E23" s="15" t="str">
        <f>INDEX(X_Table_Poultry_Stage2MMS_PoultryManureWithBedding,3,1)</f>
        <v>Composting (passive windrow)</v>
      </c>
      <c r="F23" s="15">
        <f>'4.6.1.3-4 Direct N20'!F190</f>
        <v>0.71271158400000012</v>
      </c>
      <c r="G23" s="15">
        <f>'4.6.1.3-4 Direct N20'!G190</f>
        <v>0.76073791680000002</v>
      </c>
      <c r="H23" s="15">
        <f>'4.6.1.3-4 Direct N20'!H190</f>
        <v>0.89299319039999991</v>
      </c>
      <c r="I23" s="15">
        <f>'4.6.1.3-4 Direct N20'!I190</f>
        <v>0.76073791680000002</v>
      </c>
      <c r="J23" s="16"/>
      <c r="N23" s="15"/>
      <c r="O23" s="15" t="str">
        <f>INDEX(X_Table_Poultry_Stage2MMS_PoultryManureWithBedding,3,1)</f>
        <v>Composting (passive windrow)</v>
      </c>
      <c r="P23" s="15">
        <f>'4.6.1.3-4 Direct N20'!P190</f>
        <v>0.71271158400000012</v>
      </c>
      <c r="Q23" s="15">
        <f>'4.6.1.3-4 Direct N20'!Q190</f>
        <v>0.76073791680000002</v>
      </c>
      <c r="R23" s="15">
        <f>'4.6.1.3-4 Direct N20'!R190</f>
        <v>0.89299319039999991</v>
      </c>
      <c r="S23" s="15">
        <f>'4.6.1.3-4 Direct N20'!S190</f>
        <v>0.76073791680000002</v>
      </c>
      <c r="T23" s="16"/>
    </row>
    <row r="24" spans="1:20" ht="20.100000000000001" customHeight="1" x14ac:dyDescent="0.2">
      <c r="D24" s="15"/>
      <c r="E24" s="15" t="str">
        <f>INDEX(X_Table_Poultry_Stage2MMS_PoultryManureWithBedding,4,1)</f>
        <v>Digester / covered lagoons</v>
      </c>
      <c r="F24" s="15">
        <f>'4.6.1.3-4 Direct N20'!F191</f>
        <v>0.71271158400000012</v>
      </c>
      <c r="G24" s="15">
        <f>'4.6.1.3-4 Direct N20'!G191</f>
        <v>0.76073791680000002</v>
      </c>
      <c r="H24" s="15">
        <f>'4.6.1.3-4 Direct N20'!H191</f>
        <v>0.89299319039999991</v>
      </c>
      <c r="I24" s="15">
        <f>'4.6.1.3-4 Direct N20'!I191</f>
        <v>0.76073791680000002</v>
      </c>
      <c r="J24" s="16"/>
      <c r="N24" s="15"/>
      <c r="O24" s="15" t="str">
        <f>INDEX(X_Table_Poultry_Stage2MMS_PoultryManureWithBedding,4,1)</f>
        <v>Digester / covered lagoons</v>
      </c>
      <c r="P24" s="15">
        <f>'4.6.1.3-4 Direct N20'!P191</f>
        <v>0.71271158400000012</v>
      </c>
      <c r="Q24" s="15">
        <f>'4.6.1.3-4 Direct N20'!Q191</f>
        <v>0.76073791680000002</v>
      </c>
      <c r="R24" s="15">
        <f>'4.6.1.3-4 Direct N20'!R191</f>
        <v>0.89299319039999991</v>
      </c>
      <c r="S24" s="15">
        <f>'4.6.1.3-4 Direct N20'!S191</f>
        <v>0.76073791680000002</v>
      </c>
      <c r="T24" s="16"/>
    </row>
    <row r="25" spans="1:20" ht="20.100000000000001" customHeight="1" x14ac:dyDescent="0.2">
      <c r="D25" s="15"/>
      <c r="E25" s="15" t="str">
        <f>INDEX(X_Table_Poultry_Stage2MMS_PoultryManureWithBedding,5,1)</f>
        <v>Direct processing</v>
      </c>
      <c r="F25" s="15">
        <f>'4.6.1.3-4 Direct N20'!F192</f>
        <v>0.71271158400000012</v>
      </c>
      <c r="G25" s="15">
        <f>'4.6.1.3-4 Direct N20'!G192</f>
        <v>0.76073791680000002</v>
      </c>
      <c r="H25" s="15">
        <f>'4.6.1.3-4 Direct N20'!H192</f>
        <v>0.89299319039999991</v>
      </c>
      <c r="I25" s="15">
        <f>'4.6.1.3-4 Direct N20'!I192</f>
        <v>0.76073791680000002</v>
      </c>
      <c r="J25" s="16"/>
      <c r="N25" s="15"/>
      <c r="O25" s="15" t="str">
        <f>INDEX(X_Table_Poultry_Stage2MMS_PoultryManureWithBedding,5,1)</f>
        <v>Direct processing</v>
      </c>
      <c r="P25" s="15">
        <f>'4.6.1.3-4 Direct N20'!P192</f>
        <v>0.71271158400000012</v>
      </c>
      <c r="Q25" s="15">
        <f>'4.6.1.3-4 Direct N20'!Q192</f>
        <v>0.76073791680000002</v>
      </c>
      <c r="R25" s="15">
        <f>'4.6.1.3-4 Direct N20'!R192</f>
        <v>0.89299319039999991</v>
      </c>
      <c r="S25" s="15">
        <f>'4.6.1.3-4 Direct N20'!S192</f>
        <v>0.76073791680000002</v>
      </c>
      <c r="T25" s="16"/>
    </row>
    <row r="26" spans="1:20" ht="20.100000000000001" customHeight="1" x14ac:dyDescent="0.2">
      <c r="A26" s="6" t="s">
        <v>2</v>
      </c>
      <c r="D26" s="15"/>
      <c r="E26" s="15" t="str">
        <f>INDEX(X_Table_Poultry_Stage2MMS_PoultryManureWithBedding,6,1)</f>
        <v>Direct application</v>
      </c>
      <c r="F26" s="15">
        <f>'4.6.1.3-4 Direct N20'!F193</f>
        <v>0.7127115839999999</v>
      </c>
      <c r="G26" s="15">
        <f>'4.6.1.3-4 Direct N20'!G193</f>
        <v>0.7607379167999998</v>
      </c>
      <c r="H26" s="15">
        <f>'4.6.1.3-4 Direct N20'!H193</f>
        <v>0.89299319039999958</v>
      </c>
      <c r="I26" s="15">
        <f>'4.6.1.3-4 Direct N20'!I193</f>
        <v>0.7607379167999998</v>
      </c>
      <c r="N26" s="15"/>
      <c r="O26" s="15" t="str">
        <f>INDEX(X_Table_Poultry_Stage2MMS_PoultryManureWithBedding,6,1)</f>
        <v>Direct application</v>
      </c>
      <c r="P26" s="15">
        <f>'4.6.1.3-4 Direct N20'!P193</f>
        <v>0.7127115839999999</v>
      </c>
      <c r="Q26" s="15">
        <f>'4.6.1.3-4 Direct N20'!Q193</f>
        <v>0.7607379167999998</v>
      </c>
      <c r="R26" s="15">
        <f>'4.6.1.3-4 Direct N20'!R193</f>
        <v>0.89299319039999958</v>
      </c>
      <c r="S26" s="15">
        <f>'4.6.1.3-4 Direct N20'!S193</f>
        <v>0.7607379167999998</v>
      </c>
    </row>
    <row r="27" spans="1:20" ht="20.100000000000001" customHeight="1" x14ac:dyDescent="0.2">
      <c r="A27" s="5" t="str">
        <f>HYPERLINK("#'4.6.1.1-2 Methane'!A1", "4.6.1.1-2 Manure Methane")</f>
        <v>4.6.1.1-2 Manure Methane</v>
      </c>
      <c r="D27" s="15" t="str">
        <f>INDEX(X_Table_Poultry_Stage1MMS,3,1)</f>
        <v>Belt manure removal</v>
      </c>
      <c r="E27" s="15" t="str">
        <f>INDEX(X_Table_Poultry_Stage2MMS_BeltManureRemoval,2,1)</f>
        <v>Solid storage</v>
      </c>
      <c r="F27" s="15">
        <f>'4.6.1.3-4 Direct N20'!F194</f>
        <v>0.96761558400000025</v>
      </c>
      <c r="G27" s="15">
        <f>'4.6.1.3-4 Direct N20'!G194</f>
        <v>1.0328187168</v>
      </c>
      <c r="H27" s="15">
        <f>'4.6.1.3-4 Direct N20'!H194</f>
        <v>1.2123755904</v>
      </c>
      <c r="I27" s="15">
        <f>'4.6.1.3-4 Direct N20'!I194</f>
        <v>1.0328187168</v>
      </c>
      <c r="J27" s="16"/>
      <c r="N27" s="15" t="str">
        <f>INDEX(X_Table_Poultry_Stage1MMS,3,1)</f>
        <v>Belt manure removal</v>
      </c>
      <c r="O27" s="15" t="str">
        <f>INDEX(X_Table_Poultry_Stage2MMS_BeltManureRemoval,2,1)</f>
        <v>Solid storage</v>
      </c>
      <c r="P27" s="15">
        <f>'4.6.1.3-4 Direct N20'!P194</f>
        <v>0.96761558400000025</v>
      </c>
      <c r="Q27" s="15">
        <f>'4.6.1.3-4 Direct N20'!Q194</f>
        <v>1.0328187168</v>
      </c>
      <c r="R27" s="15">
        <f>'4.6.1.3-4 Direct N20'!R194</f>
        <v>1.2123755904</v>
      </c>
      <c r="S27" s="15">
        <f>'4.6.1.3-4 Direct N20'!S194</f>
        <v>1.0328187168</v>
      </c>
      <c r="T27" s="16"/>
    </row>
    <row r="28" spans="1:20" ht="20.100000000000001" customHeight="1" x14ac:dyDescent="0.2">
      <c r="A28" s="5" t="str">
        <f>HYPERLINK("#'4.6.1.3-4 Direct N20'!A1", "4.6.1.3-4 Manure Direct N2O")</f>
        <v>4.6.1.3-4 Manure Direct N2O</v>
      </c>
      <c r="D28" s="15"/>
      <c r="E28" s="15" t="str">
        <f>INDEX(X_Table_Poultry_Stage2MMS_BeltManureRemoval,3,1)</f>
        <v>Composting (passive windrow)</v>
      </c>
      <c r="F28" s="15">
        <f>'4.6.1.3-4 Direct N20'!F195</f>
        <v>0.96761558400000025</v>
      </c>
      <c r="G28" s="15">
        <f>'4.6.1.3-4 Direct N20'!G195</f>
        <v>1.0328187168</v>
      </c>
      <c r="H28" s="15">
        <f>'4.6.1.3-4 Direct N20'!H195</f>
        <v>1.2123755904</v>
      </c>
      <c r="I28" s="15">
        <f>'4.6.1.3-4 Direct N20'!I195</f>
        <v>1.0328187168</v>
      </c>
      <c r="J28" s="16"/>
      <c r="N28" s="15"/>
      <c r="O28" s="15" t="str">
        <f>INDEX(X_Table_Poultry_Stage2MMS_BeltManureRemoval,3,1)</f>
        <v>Composting (passive windrow)</v>
      </c>
      <c r="P28" s="15">
        <f>'4.6.1.3-4 Direct N20'!P195</f>
        <v>0.96761558400000025</v>
      </c>
      <c r="Q28" s="15">
        <f>'4.6.1.3-4 Direct N20'!Q195</f>
        <v>1.0328187168</v>
      </c>
      <c r="R28" s="15">
        <f>'4.6.1.3-4 Direct N20'!R195</f>
        <v>1.2123755904</v>
      </c>
      <c r="S28" s="15">
        <f>'4.6.1.3-4 Direct N20'!S195</f>
        <v>1.0328187168</v>
      </c>
      <c r="T28" s="16"/>
    </row>
    <row r="29" spans="1:20" ht="20.100000000000001" customHeight="1" x14ac:dyDescent="0.2">
      <c r="A29" s="5" t="str">
        <f>HYPERLINK("#'4.6.1.5-6 Atmos Dep'!A1", "4.6.1.5-6 Manure Atmos Dep")</f>
        <v>4.6.1.5-6 Manure Atmos Dep</v>
      </c>
      <c r="D29" s="15"/>
      <c r="E29" s="15" t="str">
        <f>INDEX(X_Table_Poultry_Stage2MMS_BeltManureRemoval,4,1)</f>
        <v>Digester / covered lagoons</v>
      </c>
      <c r="F29" s="15">
        <f>'4.6.1.3-4 Direct N20'!F196</f>
        <v>0.96761558400000025</v>
      </c>
      <c r="G29" s="15">
        <f>'4.6.1.3-4 Direct N20'!G196</f>
        <v>1.0328187168</v>
      </c>
      <c r="H29" s="15">
        <f>'4.6.1.3-4 Direct N20'!H196</f>
        <v>1.2123755904</v>
      </c>
      <c r="I29" s="15">
        <f>'4.6.1.3-4 Direct N20'!I196</f>
        <v>1.0328187168</v>
      </c>
      <c r="J29" s="16"/>
      <c r="N29" s="15"/>
      <c r="O29" s="15" t="str">
        <f>INDEX(X_Table_Poultry_Stage2MMS_BeltManureRemoval,4,1)</f>
        <v>Digester / covered lagoons</v>
      </c>
      <c r="P29" s="15">
        <f>'4.6.1.3-4 Direct N20'!P196</f>
        <v>0.96761558400000025</v>
      </c>
      <c r="Q29" s="15">
        <f>'4.6.1.3-4 Direct N20'!Q196</f>
        <v>1.0328187168</v>
      </c>
      <c r="R29" s="15">
        <f>'4.6.1.3-4 Direct N20'!R196</f>
        <v>1.2123755904</v>
      </c>
      <c r="S29" s="15">
        <f>'4.6.1.3-4 Direct N20'!S196</f>
        <v>1.0328187168</v>
      </c>
      <c r="T29" s="16"/>
    </row>
    <row r="30" spans="1:20" ht="20.100000000000001" customHeight="1" x14ac:dyDescent="0.2">
      <c r="A30" s="5" t="str">
        <f>HYPERLINK("#'4.6.1.7-8 Leaching and runoff'!A1", "4.6.1.7-8 Manure Leaching and runoff")</f>
        <v>4.6.1.7-8 Manure Leaching and runoff</v>
      </c>
      <c r="D30" s="15"/>
      <c r="E30" s="15" t="str">
        <f>INDEX(X_Table_Poultry_Stage2MMS_BeltManureRemoval,5,1)</f>
        <v>Direct processing</v>
      </c>
      <c r="F30" s="15">
        <f>'4.6.1.3-4 Direct N20'!F197</f>
        <v>0.96761558400000025</v>
      </c>
      <c r="G30" s="15">
        <f>'4.6.1.3-4 Direct N20'!G197</f>
        <v>1.0328187168</v>
      </c>
      <c r="H30" s="15">
        <f>'4.6.1.3-4 Direct N20'!H197</f>
        <v>1.2123755904</v>
      </c>
      <c r="I30" s="15">
        <f>'4.6.1.3-4 Direct N20'!I197</f>
        <v>1.0328187168</v>
      </c>
      <c r="J30" s="16"/>
      <c r="N30" s="15"/>
      <c r="O30" s="15" t="str">
        <f>INDEX(X_Table_Poultry_Stage2MMS_BeltManureRemoval,5,1)</f>
        <v>Direct processing</v>
      </c>
      <c r="P30" s="15">
        <f>'4.6.1.3-4 Direct N20'!P197</f>
        <v>0.96761558400000025</v>
      </c>
      <c r="Q30" s="15">
        <f>'4.6.1.3-4 Direct N20'!Q197</f>
        <v>1.0328187168</v>
      </c>
      <c r="R30" s="15">
        <f>'4.6.1.3-4 Direct N20'!R197</f>
        <v>1.2123755904</v>
      </c>
      <c r="S30" s="15">
        <f>'4.6.1.3-4 Direct N20'!S197</f>
        <v>1.0328187168</v>
      </c>
      <c r="T30" s="16"/>
    </row>
    <row r="31" spans="1:20" ht="20.100000000000001" customHeight="1" x14ac:dyDescent="0.2">
      <c r="A31" s="117" t="str">
        <f>HYPERLINK("#'4.6.1.9 Manure applied to soils'!A1", "4.6.1.9 Manure applied to soils")</f>
        <v>4.6.1.9 Manure applied to soils</v>
      </c>
      <c r="D31" s="15"/>
      <c r="E31" s="15" t="str">
        <f>INDEX(X_Table_Poultry_Stage2MMS_BeltManureRemoval,6,1)</f>
        <v>Direct application</v>
      </c>
      <c r="F31" s="15">
        <f>'4.6.1.3-4 Direct N20'!F198</f>
        <v>0.96761558399999992</v>
      </c>
      <c r="G31" s="15">
        <f>'4.6.1.3-4 Direct N20'!G198</f>
        <v>1.0328187167999998</v>
      </c>
      <c r="H31" s="15">
        <f>'4.6.1.3-4 Direct N20'!H198</f>
        <v>1.2123755903999998</v>
      </c>
      <c r="I31" s="15">
        <f>'4.6.1.3-4 Direct N20'!I198</f>
        <v>1.0328187167999998</v>
      </c>
      <c r="N31" s="15"/>
      <c r="O31" s="15" t="str">
        <f>INDEX(X_Table_Poultry_Stage2MMS_BeltManureRemoval,6,1)</f>
        <v>Direct application</v>
      </c>
      <c r="P31" s="15">
        <f>'4.6.1.3-4 Direct N20'!P198</f>
        <v>0.96761558399999992</v>
      </c>
      <c r="Q31" s="15">
        <f>'4.6.1.3-4 Direct N20'!Q198</f>
        <v>1.0328187167999998</v>
      </c>
      <c r="R31" s="15">
        <f>'4.6.1.3-4 Direct N20'!R198</f>
        <v>1.2123755903999998</v>
      </c>
      <c r="S31" s="15">
        <f>'4.6.1.3-4 Direct N20'!S198</f>
        <v>1.0328187167999998</v>
      </c>
    </row>
    <row r="32" spans="1:20" ht="20.100000000000001" customHeight="1" x14ac:dyDescent="0.2">
      <c r="A32" s="5" t="str">
        <f>HYPERLINK("#'4.6.1.10-11 Soil direct N2O'!A1", "4.6.1.10-11 Soil direct N2O")</f>
        <v>4.6.1.10-11 Soil direct N2O</v>
      </c>
      <c r="D32" s="15" t="str">
        <f>INDEX(X_Table_Poultry_Stage1MMS,4,1)</f>
        <v>Manure stored in house</v>
      </c>
      <c r="E32" s="15" t="str">
        <f>INDEX(X_Table_Poultry_Stage2MMS_ManureStoredInHouse,2,1)</f>
        <v>Solid storage</v>
      </c>
      <c r="F32" s="15">
        <f>'4.6.1.3-4 Direct N20'!F199</f>
        <v>0.61074998400000013</v>
      </c>
      <c r="G32" s="15">
        <f>'4.6.1.3-4 Direct N20'!G199</f>
        <v>0.65190559679999993</v>
      </c>
      <c r="H32" s="15">
        <f>'4.6.1.3-4 Direct N20'!H199</f>
        <v>0.76524023039999989</v>
      </c>
      <c r="I32" s="15">
        <f>'4.6.1.3-4 Direct N20'!I199</f>
        <v>0.65190559679999993</v>
      </c>
      <c r="J32" s="16"/>
      <c r="N32" s="15" t="str">
        <f>INDEX(X_Table_Poultry_Stage1MMS,4,1)</f>
        <v>Manure stored in house</v>
      </c>
      <c r="O32" s="15" t="str">
        <f>INDEX(X_Table_Poultry_Stage2MMS_ManureStoredInHouse,2,1)</f>
        <v>Solid storage</v>
      </c>
      <c r="P32" s="15">
        <f>'4.6.1.3-4 Direct N20'!P199</f>
        <v>0.61074998400000013</v>
      </c>
      <c r="Q32" s="15">
        <f>'4.6.1.3-4 Direct N20'!Q199</f>
        <v>0.65190559679999993</v>
      </c>
      <c r="R32" s="15">
        <f>'4.6.1.3-4 Direct N20'!R199</f>
        <v>0.76524023039999989</v>
      </c>
      <c r="S32" s="15">
        <f>'4.6.1.3-4 Direct N20'!S199</f>
        <v>0.65190559679999993</v>
      </c>
      <c r="T32" s="16"/>
    </row>
    <row r="33" spans="1:20" ht="20.100000000000001" customHeight="1" x14ac:dyDescent="0.2">
      <c r="A33" s="5" t="str">
        <f>HYPERLINK("#'4.6.1.12-13 Soil atmos dep'!A1", "4.6.1.12-13 Soil atmos dep")</f>
        <v>4.6.1.12-13 Soil atmos dep</v>
      </c>
      <c r="D33" s="15"/>
      <c r="E33" s="15" t="str">
        <f>INDEX(X_Table_Poultry_Stage2MMS_ManureStoredInHouse,3,1)</f>
        <v>Composting (passive windrow)</v>
      </c>
      <c r="F33" s="15">
        <f>'4.6.1.3-4 Direct N20'!F200</f>
        <v>0.61074998400000013</v>
      </c>
      <c r="G33" s="15">
        <f>'4.6.1.3-4 Direct N20'!G200</f>
        <v>0.65190559679999993</v>
      </c>
      <c r="H33" s="15">
        <f>'4.6.1.3-4 Direct N20'!H200</f>
        <v>0.76524023039999989</v>
      </c>
      <c r="I33" s="15">
        <f>'4.6.1.3-4 Direct N20'!I200</f>
        <v>0.65190559679999993</v>
      </c>
      <c r="J33" s="16"/>
      <c r="N33" s="15"/>
      <c r="O33" s="15" t="str">
        <f>INDEX(X_Table_Poultry_Stage2MMS_ManureStoredInHouse,3,1)</f>
        <v>Composting (passive windrow)</v>
      </c>
      <c r="P33" s="15">
        <f>'4.6.1.3-4 Direct N20'!P200</f>
        <v>0.61074998400000013</v>
      </c>
      <c r="Q33" s="15">
        <f>'4.6.1.3-4 Direct N20'!Q200</f>
        <v>0.65190559679999993</v>
      </c>
      <c r="R33" s="15">
        <f>'4.6.1.3-4 Direct N20'!R200</f>
        <v>0.76524023039999989</v>
      </c>
      <c r="S33" s="15">
        <f>'4.6.1.3-4 Direct N20'!S200</f>
        <v>0.65190559679999993</v>
      </c>
      <c r="T33" s="16"/>
    </row>
    <row r="34" spans="1:20" ht="20.100000000000001" customHeight="1" x14ac:dyDescent="0.2">
      <c r="A34" s="5" t="str">
        <f>HYPERLINK("#'4.6.1.14-15 Soil leach runoff'!A1", "4.6.1.14-15 Soil leach runoff")</f>
        <v>4.6.1.14-15 Soil leach runoff</v>
      </c>
      <c r="D34" s="15"/>
      <c r="E34" s="15" t="str">
        <f>INDEX(X_Table_Poultry_Stage2MMS_ManureStoredInHouse,4,1)</f>
        <v>Digester / covered lagoons</v>
      </c>
      <c r="F34" s="15">
        <f>'4.6.1.3-4 Direct N20'!F201</f>
        <v>0.61074998400000013</v>
      </c>
      <c r="G34" s="15">
        <f>'4.6.1.3-4 Direct N20'!G201</f>
        <v>0.65190559679999993</v>
      </c>
      <c r="H34" s="15">
        <f>'4.6.1.3-4 Direct N20'!H201</f>
        <v>0.76524023039999989</v>
      </c>
      <c r="I34" s="15">
        <f>'4.6.1.3-4 Direct N20'!I201</f>
        <v>0.65190559679999993</v>
      </c>
      <c r="J34" s="16"/>
      <c r="N34" s="15"/>
      <c r="O34" s="15" t="str">
        <f>INDEX(X_Table_Poultry_Stage2MMS_ManureStoredInHouse,4,1)</f>
        <v>Digester / covered lagoons</v>
      </c>
      <c r="P34" s="15">
        <f>'4.6.1.3-4 Direct N20'!P201</f>
        <v>0.61074998400000013</v>
      </c>
      <c r="Q34" s="15">
        <f>'4.6.1.3-4 Direct N20'!Q201</f>
        <v>0.65190559679999993</v>
      </c>
      <c r="R34" s="15">
        <f>'4.6.1.3-4 Direct N20'!R201</f>
        <v>0.76524023039999989</v>
      </c>
      <c r="S34" s="15">
        <f>'4.6.1.3-4 Direct N20'!S201</f>
        <v>0.65190559679999993</v>
      </c>
      <c r="T34" s="16"/>
    </row>
    <row r="35" spans="1:20" ht="20.100000000000001" customHeight="1" x14ac:dyDescent="0.2">
      <c r="A35" s="5" t="str">
        <f>HYPERLINK("#'8.1.1.1-2 Transport fuel'!A1", "8.1.1.1-2 Transport fuel")</f>
        <v>8.1.1.1-2 Transport fuel</v>
      </c>
      <c r="D35" s="15"/>
      <c r="E35" s="15" t="str">
        <f>INDEX(X_Table_Poultry_Stage2MMS_ManureStoredInHouse,5,1)</f>
        <v>Direct processing</v>
      </c>
      <c r="F35" s="15">
        <f>'4.6.1.3-4 Direct N20'!F202</f>
        <v>0.61074998400000013</v>
      </c>
      <c r="G35" s="15">
        <f>'4.6.1.3-4 Direct N20'!G202</f>
        <v>0.65190559679999993</v>
      </c>
      <c r="H35" s="15">
        <f>'4.6.1.3-4 Direct N20'!H202</f>
        <v>0.76524023039999989</v>
      </c>
      <c r="I35" s="15">
        <f>'4.6.1.3-4 Direct N20'!I202</f>
        <v>0.65190559679999993</v>
      </c>
      <c r="J35" s="16"/>
      <c r="N35" s="15"/>
      <c r="O35" s="15" t="str">
        <f>INDEX(X_Table_Poultry_Stage2MMS_ManureStoredInHouse,5,1)</f>
        <v>Direct processing</v>
      </c>
      <c r="P35" s="15">
        <f>'4.6.1.3-4 Direct N20'!P202</f>
        <v>0.61074998400000013</v>
      </c>
      <c r="Q35" s="15">
        <f>'4.6.1.3-4 Direct N20'!Q202</f>
        <v>0.65190559679999993</v>
      </c>
      <c r="R35" s="15">
        <f>'4.6.1.3-4 Direct N20'!R202</f>
        <v>0.76524023039999989</v>
      </c>
      <c r="S35" s="15">
        <f>'4.6.1.3-4 Direct N20'!S202</f>
        <v>0.65190559679999993</v>
      </c>
      <c r="T35" s="16"/>
    </row>
    <row r="36" spans="1:20" ht="20.100000000000001" customHeight="1" x14ac:dyDescent="0.2">
      <c r="A36" s="5" t="str">
        <f>HYPERLINK("#'8.2.1.1-2 Stationary fuel'!A1", "8.2.1.1-2 Stationary fuel")</f>
        <v>8.2.1.1-2 Stationary fuel</v>
      </c>
      <c r="D36" s="15"/>
      <c r="E36" s="15" t="str">
        <f>INDEX(X_Table_Poultry_Stage2MMS_ManureStoredInHouse,6,1)</f>
        <v>Direct application</v>
      </c>
      <c r="F36" s="15">
        <f>'4.6.1.3-4 Direct N20'!F203</f>
        <v>0.61074998399999991</v>
      </c>
      <c r="G36" s="15">
        <f>'4.6.1.3-4 Direct N20'!G203</f>
        <v>0.65190559679999971</v>
      </c>
      <c r="H36" s="15">
        <f>'4.6.1.3-4 Direct N20'!H203</f>
        <v>0.76524023039999967</v>
      </c>
      <c r="I36" s="15">
        <f>'4.6.1.3-4 Direct N20'!I203</f>
        <v>0.65190559679999971</v>
      </c>
      <c r="N36" s="15"/>
      <c r="O36" s="15" t="str">
        <f>INDEX(X_Table_Poultry_Stage2MMS_ManureStoredInHouse,6,1)</f>
        <v>Direct application</v>
      </c>
      <c r="P36" s="15">
        <f>'4.6.1.3-4 Direct N20'!P203</f>
        <v>0.61074998399999991</v>
      </c>
      <c r="Q36" s="15">
        <f>'4.6.1.3-4 Direct N20'!Q203</f>
        <v>0.65190559679999971</v>
      </c>
      <c r="R36" s="15">
        <f>'4.6.1.3-4 Direct N20'!R203</f>
        <v>0.76524023039999967</v>
      </c>
      <c r="S36" s="15">
        <f>'4.6.1.3-4 Direct N20'!S203</f>
        <v>0.65190559679999971</v>
      </c>
    </row>
    <row r="37" spans="1:20" ht="20.100000000000001" customHeight="1" x14ac:dyDescent="0.2">
      <c r="A37" s="5" t="str">
        <f>HYPERLINK("#'10.1.1-2 Solid waste treatment'!A1", "10.1.1.1-2 Solid waste")</f>
        <v>10.1.1.1-2 Solid waste</v>
      </c>
    </row>
    <row r="38" spans="1:20" ht="20.100000000000001" customHeight="1" x14ac:dyDescent="0.2">
      <c r="A38" s="5" t="str">
        <f>HYPERLINK("#'14.1.1-2 Purchased electricity'!A1", "14.1.1-2 Purchased electricity")</f>
        <v>14.1.1-2 Purchased electricity</v>
      </c>
      <c r="D38" s="118" t="s">
        <v>403</v>
      </c>
    </row>
    <row r="39" spans="1:20" ht="20.100000000000001" customHeight="1" x14ac:dyDescent="0.2">
      <c r="A39" s="5" t="str">
        <f>HYPERLINK("#'15 Scope 3'!A1", "15 Scope 3")</f>
        <v>15 Scope 3</v>
      </c>
      <c r="D39" s="119" t="s">
        <v>404</v>
      </c>
    </row>
    <row r="40" spans="1:20" ht="20.100000000000001" customHeight="1" x14ac:dyDescent="0.2">
      <c r="A40" s="5" t="str">
        <f>HYPERLINK("#'Calcs - Manure sent off-site'!A1", "Calcs - Manure sent off-site")</f>
        <v>Calcs - Manure sent off-site</v>
      </c>
      <c r="D40" s="120" t="s">
        <v>314</v>
      </c>
      <c r="E40" s="120" t="s">
        <v>405</v>
      </c>
    </row>
    <row r="41" spans="1:20" ht="20.100000000000001" customHeight="1" x14ac:dyDescent="0.2">
      <c r="A41" s="5" t="str">
        <f>HYPERLINK("#'5.1.1.1-2 Inorganic fert N2O'!A1", "5.1.1.1-2 Inorganic fert N2O")</f>
        <v>5.1.1.1-2 Inorganic fert N2O</v>
      </c>
      <c r="D41" s="15" t="str">
        <f>'Constants - Poultry'!$D$29</f>
        <v>Poultry manure with bedding</v>
      </c>
      <c r="E41" s="15" cm="1">
        <f t="array" ref="E41">Common_InputFunctions.Utility_LookupValueInTableNumber(D41, Table_SourceData_Poultry_EFmT[NIR reference],Table_SourceData_Poultry_EFmT[EFmT])</f>
        <v>1E-3</v>
      </c>
      <c r="F41" s="16" t="str">
        <f>$G$14</f>
        <v>kg N2O-N/kg N</v>
      </c>
    </row>
    <row r="42" spans="1:20" ht="20.100000000000001" customHeight="1" x14ac:dyDescent="0.2">
      <c r="A42" s="5" t="str">
        <f>HYPERLINK("#'5.1.1.3-4 Inorganic fert CO2'!A1", "5.1.1.3-4 Inorganic fert CO2")</f>
        <v>5.1.1.3-4 Inorganic fert CO2</v>
      </c>
      <c r="D42" s="15" t="str">
        <f>'Constants - Poultry'!$D$30</f>
        <v>Belt manure removal</v>
      </c>
      <c r="E42" s="15" cm="1">
        <f t="array" ref="E42">Common_InputFunctions.Utility_LookupValueInTableNumber(D42, Table_SourceData_Poultry_EFmT[NIR reference],Table_SourceData_Poultry_EFmT[EFmT])</f>
        <v>1E-3</v>
      </c>
    </row>
    <row r="43" spans="1:20" ht="20.100000000000001" customHeight="1" x14ac:dyDescent="0.2">
      <c r="A43" s="5" t="str">
        <f>HYPERLINK("#'5.2.1.1-2 Organic Fert N2O'!A1", "5.2.1.1-2 Organic Fert N2O")</f>
        <v>5.2.1.1-2 Organic Fert N2O</v>
      </c>
      <c r="D43" s="15" t="str">
        <f>'Constants - Poultry'!$D$31</f>
        <v>Manure stored in house</v>
      </c>
      <c r="E43" s="15" cm="1">
        <f t="array" ref="E43">Common_InputFunctions.Utility_LookupValueInTableNumber(D43, Table_SourceData_Poultry_EFmT[NIR reference],Table_SourceData_Poultry_EFmT[EFmT])</f>
        <v>1E-3</v>
      </c>
    </row>
    <row r="44" spans="1:20" ht="20.100000000000001" customHeight="1" x14ac:dyDescent="0.2">
      <c r="A44" s="5" t="str">
        <f>HYPERLINK("#'5.3.1.1-2 Lime CO2'!A1", "5.3.1.1-2 Lime CO2")</f>
        <v>5.3.1.1-2 Lime CO2</v>
      </c>
      <c r="D44" s="15" t="str">
        <f>'Constants - Poultry'!$D$32</f>
        <v>Pasture range and paddock</v>
      </c>
      <c r="E44" s="15" cm="1">
        <f t="array" ref="E44">Common_InputFunctions.Utility_LookupValueInTableNumber(D44, Table_SourceData_Poultry_EFmT[NIR reference],Table_SourceData_Poultry_EFmT[EFmT])</f>
        <v>0.02</v>
      </c>
    </row>
    <row r="45" spans="1:20" ht="20.100000000000001" customHeight="1" x14ac:dyDescent="0.2">
      <c r="A45" s="5" t="str">
        <f>HYPERLINK("#'5.4.1.1-4 Atmos deposition'!A1", "5.4.1.1-4 Atmos deposition")</f>
        <v>5.4.1.1-4 Atmos deposition</v>
      </c>
      <c r="D45" s="15" t="str">
        <f>'Constants - Poultry'!$D$33</f>
        <v>Solid storage</v>
      </c>
      <c r="E45" s="15" cm="1">
        <f t="array" ref="E45">Common_InputFunctions.Utility_LookupValueInTableNumber(D45, Table_SourceData_Poultry_EFmT[NIR reference],Table_SourceData_Poultry_EFmT[EFmT])</f>
        <v>5.0000000000000001E-3</v>
      </c>
    </row>
    <row r="46" spans="1:20" ht="20.100000000000001" customHeight="1" x14ac:dyDescent="0.2">
      <c r="A46" s="5" t="str">
        <f>HYPERLINK("#'5.5.1.1-2 Leaching and runoff'!A1", "5.5.1.1-2 Leaching and runoff")</f>
        <v>5.5.1.1-2 Leaching and runoff</v>
      </c>
      <c r="D46" s="15" t="str">
        <f>'Constants - Poultry'!$D$34</f>
        <v>Composting (passive windrow)</v>
      </c>
      <c r="E46" s="15" cm="1">
        <f t="array" ref="E46">Common_InputFunctions.Utility_LookupValueInTableNumber(D46, Table_SourceData_Poultry_EFmT[NIR reference],Table_SourceData_Poultry_EFmT[EFmT])</f>
        <v>0.01</v>
      </c>
    </row>
    <row r="47" spans="1:20" ht="20.100000000000001" customHeight="1" x14ac:dyDescent="0.2">
      <c r="D47" s="15" t="str">
        <f>'Constants - Poultry'!$D$35</f>
        <v>Digester / covered lagoons</v>
      </c>
      <c r="E47" s="15" cm="1">
        <f t="array" ref="E47">Common_InputFunctions.Utility_LookupValueInTableNumber(D47, Table_SourceData_Poultry_EFmT[NIR reference],Table_SourceData_Poultry_EFmT[EFmT])</f>
        <v>0</v>
      </c>
    </row>
    <row r="48" spans="1:20" ht="20.100000000000001" customHeight="1" x14ac:dyDescent="0.2">
      <c r="D48" s="15" t="str">
        <f>'Constants - Poultry'!$D$36</f>
        <v>Direct processing</v>
      </c>
      <c r="E48" s="15" cm="1">
        <f t="array" ref="E48">Common_InputFunctions.Utility_LookupValueInTableNumber(D48, Table_SourceData_Poultry_EFmT[NIR reference],Table_SourceData_Poultry_EFmT[EFmT])</f>
        <v>0</v>
      </c>
    </row>
    <row r="49" spans="1:14" ht="20.100000000000001" customHeight="1" x14ac:dyDescent="0.2">
      <c r="A49" s="80" t="s">
        <v>1</v>
      </c>
      <c r="D49" s="15" t="str">
        <f>'Constants - Poultry'!$D$37</f>
        <v>Direct application</v>
      </c>
      <c r="E49" s="15" cm="1">
        <f t="array" ref="E49">Common_InputFunctions.Utility_LookupValueInTableNumber(D49, Table_SourceData_Poultry_EFmT[NIR reference],Table_SourceData_Poultry_EFmT[EFmT])</f>
        <v>0</v>
      </c>
    </row>
    <row r="50" spans="1:14" ht="20.100000000000001" customHeight="1" x14ac:dyDescent="0.2">
      <c r="A50" s="5" t="str">
        <f>HYPERLINK("#'Constants - Poultry'!A1", "Constants - Poultry")</f>
        <v>Constants - Poultry</v>
      </c>
    </row>
    <row r="51" spans="1:14" ht="20.100000000000001" customHeight="1" x14ac:dyDescent="0.2">
      <c r="A51" s="5" t="str">
        <f>HYPERLINK("#'Constants - Common livestock'!A1", "Constants - Common Livestock")</f>
        <v>Constants - Common Livestock</v>
      </c>
      <c r="D51" s="118" t="s">
        <v>427</v>
      </c>
    </row>
    <row r="52" spans="1:14" ht="20.100000000000001" customHeight="1" x14ac:dyDescent="0.2">
      <c r="A52" s="5" t="str">
        <f>HYPERLINK("#'Constants - Electricity'!A1", "Constants - Electricity")</f>
        <v>Constants - Electricity</v>
      </c>
      <c r="D52" s="119" t="s">
        <v>428</v>
      </c>
    </row>
    <row r="53" spans="1:14" ht="20.100000000000001" customHeight="1" x14ac:dyDescent="0.2">
      <c r="A53" s="5" t="str">
        <f>HYPERLINK("#'Constants - Fertiliser'!A1", "Constants - Fertiliser")</f>
        <v>Constants - Fertiliser</v>
      </c>
      <c r="D53" s="120" t="s">
        <v>349</v>
      </c>
      <c r="E53" s="120" t="s">
        <v>402</v>
      </c>
    </row>
    <row r="54" spans="1:14" ht="20.100000000000001" customHeight="1" x14ac:dyDescent="0.2">
      <c r="A54" s="5" t="str">
        <f>HYPERLINK("#'Constants - Fuel'!A1", "Constants - Fuel")</f>
        <v>Constants - Fuel</v>
      </c>
      <c r="D54" s="15" t="str">
        <f>'Constants - Poultry'!$D$29</f>
        <v>Poultry manure with bedding</v>
      </c>
      <c r="E54" s="15" cm="1">
        <f t="array" ref="E54">Common_InputFunctions.Utility_LookupValueInTableNumber(D54, Table_SourceData_Poultry_FracGASM[NIR reference],Table_SourceData_Poultry_FracGASM[FracGASMmT])</f>
        <v>0.3</v>
      </c>
      <c r="F54" s="16" t="str">
        <f>$G$15</f>
        <v>(kg NH3-N + NOx-N)/kg N</v>
      </c>
    </row>
    <row r="55" spans="1:14" ht="20.100000000000001" customHeight="1" x14ac:dyDescent="0.2">
      <c r="A55" s="5" t="str">
        <f>HYPERLINK("#'Constants - Scope 3'!A1", "Constants - Scope 3")</f>
        <v>Constants - Scope 3</v>
      </c>
      <c r="D55" s="15" t="str">
        <f>'Constants - Poultry'!$D$30</f>
        <v>Belt manure removal</v>
      </c>
      <c r="E55" s="15" cm="1">
        <f t="array" ref="E55">Common_InputFunctions.Utility_LookupValueInTableNumber(D55, Table_SourceData_Poultry_FracGASM[NIR reference],Table_SourceData_Poultry_FracGASM[FracGASMmT])</f>
        <v>0.05</v>
      </c>
    </row>
    <row r="56" spans="1:14" ht="20.100000000000001" customHeight="1" x14ac:dyDescent="0.2">
      <c r="A56" s="5" t="str">
        <f>HYPERLINK("#'Constants - Solid Waste'!A1", "Constants - Solid Waste")</f>
        <v>Constants - Solid Waste</v>
      </c>
      <c r="D56" s="15" t="str">
        <f>'Constants - Poultry'!$D$31</f>
        <v>Manure stored in house</v>
      </c>
      <c r="E56" s="15" cm="1">
        <f t="array" ref="E56">Common_InputFunctions.Utility_LookupValueInTableNumber(D56, Table_SourceData_Poultry_FracGASM[NIR reference],Table_SourceData_Poultry_FracGASM[FracGASMmT])</f>
        <v>0.4</v>
      </c>
    </row>
    <row r="57" spans="1:14" ht="20.100000000000001" customHeight="1" x14ac:dyDescent="0.2">
      <c r="A57" s="5" t="str">
        <f>HYPERLINK("#'Constants - Common'!A1", "Constants - Common")</f>
        <v>Constants - Common</v>
      </c>
      <c r="D57" s="15" t="str">
        <f>'Constants - Poultry'!$D$32</f>
        <v>Pasture range and paddock</v>
      </c>
      <c r="E57" s="15" cm="1">
        <f t="array" ref="E57">Common_InputFunctions.Utility_LookupValueInTableNumber(D57, Table_SourceData_Poultry_FracGASM[NIR reference],Table_SourceData_Poultry_FracGASM[FracGASMmT])</f>
        <v>0</v>
      </c>
    </row>
    <row r="58" spans="1:14" ht="20.100000000000001" customHeight="1" x14ac:dyDescent="0.2">
      <c r="D58" s="15" t="str">
        <f>'Constants - Poultry'!$D$33</f>
        <v>Solid storage</v>
      </c>
      <c r="E58" s="15" cm="1">
        <f t="array" ref="E58">Common_InputFunctions.Utility_LookupValueInTableNumber(D58, Table_SourceData_Poultry_FracGASM[NIR reference],Table_SourceData_Poultry_FracGASM[FracGASMmT])</f>
        <v>0.2</v>
      </c>
    </row>
    <row r="59" spans="1:14" ht="20.100000000000001" customHeight="1" x14ac:dyDescent="0.2">
      <c r="D59" s="15" t="str">
        <f>'Constants - Poultry'!$D$34</f>
        <v>Composting (passive windrow)</v>
      </c>
      <c r="E59" s="15" cm="1">
        <f t="array" ref="E59">Common_InputFunctions.Utility_LookupValueInTableNumber(D59, Table_SourceData_Poultry_FracGASM[NIR reference],Table_SourceData_Poultry_FracGASM[FracGASMmT])</f>
        <v>0.2</v>
      </c>
    </row>
    <row r="60" spans="1:14" ht="20.100000000000001" customHeight="1" x14ac:dyDescent="0.2">
      <c r="D60" s="15" t="str">
        <f>'Constants - Poultry'!$D$35</f>
        <v>Digester / covered lagoons</v>
      </c>
      <c r="E60" s="15" cm="1">
        <f t="array" ref="E60">Common_InputFunctions.Utility_LookupValueInTableNumber(D60, Table_SourceData_Poultry_FracGASM[NIR reference],Table_SourceData_Poultry_FracGASM[FracGASMmT])</f>
        <v>0</v>
      </c>
    </row>
    <row r="61" spans="1:14" ht="20.100000000000001" customHeight="1" x14ac:dyDescent="0.2">
      <c r="D61" s="15" t="str">
        <f>'Constants - Poultry'!$D$36</f>
        <v>Direct processing</v>
      </c>
      <c r="E61" s="15" cm="1">
        <f t="array" ref="E61">Common_InputFunctions.Utility_LookupValueInTableNumber(D61, Table_SourceData_Poultry_FracGASM[NIR reference],Table_SourceData_Poultry_FracGASM[FracGASMmT])</f>
        <v>0</v>
      </c>
    </row>
    <row r="62" spans="1:14" ht="20.100000000000001" customHeight="1" x14ac:dyDescent="0.2">
      <c r="D62" s="15" t="str">
        <f>'Constants - Poultry'!$D$37</f>
        <v>Direct application</v>
      </c>
      <c r="E62" s="15" cm="1">
        <f t="array" ref="E62">Common_InputFunctions.Utility_LookupValueInTableNumber(D62, Table_SourceData_Poultry_FracGASM[NIR reference],Table_SourceData_Poultry_FracGASM[FracGASMmT])</f>
        <v>0</v>
      </c>
    </row>
    <row r="64" spans="1:14" ht="20.100000000000001" customHeight="1" x14ac:dyDescent="0.2">
      <c r="D64" s="118" t="s">
        <v>450</v>
      </c>
      <c r="N64" s="118" t="s">
        <v>451</v>
      </c>
    </row>
    <row r="65" spans="1:20" ht="20.100000000000001" customHeight="1" x14ac:dyDescent="0.2">
      <c r="D65" s="119" t="s">
        <v>443</v>
      </c>
      <c r="N65" s="119" t="s">
        <v>444</v>
      </c>
    </row>
    <row r="66" spans="1:20" ht="20.100000000000001" customHeight="1" x14ac:dyDescent="0.2">
      <c r="D66" s="120" t="s">
        <v>314</v>
      </c>
      <c r="E66" s="120" t="s">
        <v>318</v>
      </c>
      <c r="F66" s="120" t="s">
        <v>297</v>
      </c>
      <c r="G66" s="120" t="s">
        <v>298</v>
      </c>
      <c r="H66" s="120" t="s">
        <v>299</v>
      </c>
      <c r="I66" s="120" t="s">
        <v>300</v>
      </c>
      <c r="N66" s="120" t="s">
        <v>314</v>
      </c>
      <c r="O66" s="120" t="s">
        <v>318</v>
      </c>
      <c r="P66" s="120" t="s">
        <v>297</v>
      </c>
      <c r="Q66" s="120" t="s">
        <v>298</v>
      </c>
      <c r="R66" s="120" t="s">
        <v>299</v>
      </c>
      <c r="S66" s="120" t="s">
        <v>300</v>
      </c>
    </row>
    <row r="67" spans="1:20" ht="20.100000000000001" customHeight="1" x14ac:dyDescent="0.2">
      <c r="D67" s="15" t="str">
        <f>INDEX(X_Table_Poultry_Stage1MMS,2,1)</f>
        <v>Poultry manure with bedding</v>
      </c>
      <c r="E67" s="15" t="str">
        <f>INDEX(X_Table_Poultry_Stage2MMS_PoultryManureWithBedding,2,1)</f>
        <v>Solid storage</v>
      </c>
      <c r="F67" s="15">
        <f>INDEX(M1_Table_MN_Leach_j_k_m4,2,3)</f>
        <v>1.4254231680000003E-2</v>
      </c>
      <c r="G67" s="15">
        <f>INDEX(M1_Table_MN_Leach_j_k_m4,2,4)</f>
        <v>1.5214758336E-2</v>
      </c>
      <c r="H67" s="15">
        <f>INDEX(M1_Table_MN_Leach_j_k_m4,2,5)</f>
        <v>1.7859863808E-2</v>
      </c>
      <c r="I67" s="15">
        <f>INDEX(M1_Table_MN_Leach_j_k_m4,2,6)</f>
        <v>1.5214758336E-2</v>
      </c>
      <c r="J67" s="16" t="str">
        <f>$G$16</f>
        <v>kg N</v>
      </c>
      <c r="N67" s="15" t="str">
        <f>INDEX(X_Table_Poultry_Stage1MMS,2,1)</f>
        <v>Poultry manure with bedding</v>
      </c>
      <c r="O67" s="15" t="str">
        <f>INDEX(X_Table_Poultry_Stage2MMS_PoultryManureWithBedding,2,1)</f>
        <v>Solid storage</v>
      </c>
      <c r="P67" s="15">
        <f>INDEX(M2_Table_MN_j_k_m4,2,3)</f>
        <v>1.4254231680000003E-2</v>
      </c>
      <c r="Q67" s="15">
        <f>INDEX(M2_Table_MN_j_k_m4,2,4)</f>
        <v>1.5214758336E-2</v>
      </c>
      <c r="R67" s="15">
        <f>INDEX(M2_Table_MN_j_k_m4,2,5)</f>
        <v>1.7859863808E-2</v>
      </c>
      <c r="S67" s="15">
        <f>INDEX(M2_Table_MN_j_k_m4,2,6)</f>
        <v>1.5214758336E-2</v>
      </c>
      <c r="T67" s="16" t="str">
        <f>$G$16</f>
        <v>kg N</v>
      </c>
    </row>
    <row r="68" spans="1:20" ht="20.100000000000001" customHeight="1" x14ac:dyDescent="0.2">
      <c r="A68" s="79" t="str">
        <f>HYPERLINK("#A1", "▲ Back to top")</f>
        <v>▲ Back to top</v>
      </c>
      <c r="D68" s="15"/>
      <c r="E68" s="15" t="str">
        <f>INDEX(X_Table_Poultry_Stage2MMS_PoultryManureWithBedding,3,1)</f>
        <v>Composting (passive windrow)</v>
      </c>
      <c r="F68" s="15">
        <v>0</v>
      </c>
      <c r="G68" s="15">
        <v>0</v>
      </c>
      <c r="H68" s="15">
        <v>0</v>
      </c>
      <c r="I68" s="15">
        <v>0</v>
      </c>
      <c r="J68" s="16"/>
      <c r="N68" s="15"/>
      <c r="O68" s="15" t="str">
        <f>INDEX(X_Table_Poultry_Stage2MMS_PoultryManureWithBedding,3,1)</f>
        <v>Composting (passive windrow)</v>
      </c>
      <c r="P68" s="15">
        <v>0</v>
      </c>
      <c r="Q68" s="15">
        <v>0</v>
      </c>
      <c r="R68" s="15">
        <v>0</v>
      </c>
      <c r="S68" s="15">
        <v>0</v>
      </c>
      <c r="T68" s="16"/>
    </row>
    <row r="69" spans="1:20" ht="20.100000000000001" customHeight="1" x14ac:dyDescent="0.2">
      <c r="D69" s="15"/>
      <c r="E69" s="15" t="str">
        <f>INDEX(X_Table_Poultry_Stage2MMS_PoultryManureWithBedding,4,1)</f>
        <v>Digester / covered lagoons</v>
      </c>
      <c r="F69" s="15">
        <v>0</v>
      </c>
      <c r="G69" s="15">
        <v>0</v>
      </c>
      <c r="H69" s="15">
        <v>0</v>
      </c>
      <c r="I69" s="15">
        <v>0</v>
      </c>
      <c r="J69" s="16"/>
      <c r="N69" s="15"/>
      <c r="O69" s="15" t="str">
        <f>INDEX(X_Table_Poultry_Stage2MMS_PoultryManureWithBedding,4,1)</f>
        <v>Digester / covered lagoons</v>
      </c>
      <c r="P69" s="15">
        <v>0</v>
      </c>
      <c r="Q69" s="15">
        <v>0</v>
      </c>
      <c r="R69" s="15">
        <v>0</v>
      </c>
      <c r="S69" s="15">
        <v>0</v>
      </c>
      <c r="T69" s="16"/>
    </row>
    <row r="70" spans="1:20" ht="20.100000000000001" customHeight="1" x14ac:dyDescent="0.2">
      <c r="D70" s="15"/>
      <c r="E70" s="15" t="str">
        <f>INDEX(X_Table_Poultry_Stage2MMS_PoultryManureWithBedding,5,1)</f>
        <v>Direct processing</v>
      </c>
      <c r="F70" s="15">
        <v>0</v>
      </c>
      <c r="G70" s="15">
        <v>0</v>
      </c>
      <c r="H70" s="15">
        <v>0</v>
      </c>
      <c r="I70" s="15">
        <v>0</v>
      </c>
      <c r="J70" s="16"/>
      <c r="N70" s="15"/>
      <c r="O70" s="15" t="str">
        <f>INDEX(X_Table_Poultry_Stage2MMS_PoultryManureWithBedding,5,1)</f>
        <v>Direct processing</v>
      </c>
      <c r="P70" s="15">
        <v>0</v>
      </c>
      <c r="Q70" s="15">
        <v>0</v>
      </c>
      <c r="R70" s="15">
        <v>0</v>
      </c>
      <c r="S70" s="15">
        <v>0</v>
      </c>
      <c r="T70" s="16"/>
    </row>
    <row r="71" spans="1:20" ht="20.100000000000001" customHeight="1" x14ac:dyDescent="0.2">
      <c r="D71" s="15"/>
      <c r="E71" s="15" t="str">
        <f>INDEX(X_Table_Poultry_Stage2MMS_PoultryManureWithBedding,6,1)</f>
        <v>Direct application</v>
      </c>
      <c r="F71" s="15">
        <v>0</v>
      </c>
      <c r="G71" s="15">
        <v>0</v>
      </c>
      <c r="H71" s="15">
        <v>0</v>
      </c>
      <c r="I71" s="15">
        <v>0</v>
      </c>
      <c r="N71" s="15"/>
      <c r="O71" s="15" t="str">
        <f>INDEX(X_Table_Poultry_Stage2MMS_PoultryManureWithBedding,6,1)</f>
        <v>Direct application</v>
      </c>
      <c r="P71" s="15">
        <v>0</v>
      </c>
      <c r="Q71" s="15">
        <v>0</v>
      </c>
      <c r="R71" s="15">
        <v>0</v>
      </c>
      <c r="S71" s="15">
        <v>0</v>
      </c>
    </row>
    <row r="72" spans="1:20" ht="20.100000000000001" customHeight="1" x14ac:dyDescent="0.2">
      <c r="D72" s="15" t="str">
        <f>INDEX(X_Table_Poultry_Stage1MMS,3,1)</f>
        <v>Belt manure removal</v>
      </c>
      <c r="E72" s="15" t="str">
        <f>INDEX(X_Table_Poultry_Stage2MMS_BeltManureRemoval,2,1)</f>
        <v>Solid storage</v>
      </c>
      <c r="F72" s="15">
        <f>INDEX(M1_Table_MN_Leach_j_k_m4,3,3)</f>
        <v>1.9352311680000005E-2</v>
      </c>
      <c r="G72" s="15">
        <f>INDEX(M1_Table_MN_Leach_j_k_m4,3,4)</f>
        <v>2.0656374336E-2</v>
      </c>
      <c r="H72" s="15">
        <f>INDEX(M1_Table_MN_Leach_j_k_m4,3,5)</f>
        <v>2.4247511808E-2</v>
      </c>
      <c r="I72" s="15">
        <f>INDEX(M1_Table_MN_Leach_j_k_m4,3,6)</f>
        <v>2.0656374336E-2</v>
      </c>
      <c r="J72" s="16"/>
      <c r="N72" s="15" t="str">
        <f>INDEX(X_Table_Poultry_Stage1MMS,3,1)</f>
        <v>Belt manure removal</v>
      </c>
      <c r="O72" s="15" t="str">
        <f>INDEX(X_Table_Poultry_Stage2MMS_BeltManureRemoval,2,1)</f>
        <v>Solid storage</v>
      </c>
      <c r="P72" s="15">
        <f>INDEX(M2_Table_MN_j_k_m4,3,3)</f>
        <v>1.9352311680000005E-2</v>
      </c>
      <c r="Q72" s="15">
        <f>INDEX(M2_Table_MN_j_k_m4,3,4)</f>
        <v>2.0656374336E-2</v>
      </c>
      <c r="R72" s="15">
        <f>INDEX(M2_Table_MN_j_k_m4,3,5)</f>
        <v>2.4247511808E-2</v>
      </c>
      <c r="S72" s="15">
        <f>INDEX(M2_Table_MN_j_k_m4,3,6)</f>
        <v>2.0656374336E-2</v>
      </c>
      <c r="T72" s="16"/>
    </row>
    <row r="73" spans="1:20" ht="20.100000000000001" customHeight="1" x14ac:dyDescent="0.2">
      <c r="D73" s="15"/>
      <c r="E73" s="15" t="str">
        <f>INDEX(X_Table_Poultry_Stage2MMS_BeltManureRemoval,3,1)</f>
        <v>Composting (passive windrow)</v>
      </c>
      <c r="F73" s="15">
        <v>0</v>
      </c>
      <c r="G73" s="15">
        <v>0</v>
      </c>
      <c r="H73" s="15">
        <v>0</v>
      </c>
      <c r="I73" s="15">
        <v>0</v>
      </c>
      <c r="J73" s="16"/>
      <c r="N73" s="15"/>
      <c r="O73" s="15" t="str">
        <f>INDEX(X_Table_Poultry_Stage2MMS_BeltManureRemoval,3,1)</f>
        <v>Composting (passive windrow)</v>
      </c>
      <c r="P73" s="15">
        <v>0</v>
      </c>
      <c r="Q73" s="15">
        <v>0</v>
      </c>
      <c r="R73" s="15">
        <v>0</v>
      </c>
      <c r="S73" s="15">
        <v>0</v>
      </c>
      <c r="T73" s="16"/>
    </row>
    <row r="74" spans="1:20" ht="20.100000000000001" customHeight="1" x14ac:dyDescent="0.2">
      <c r="D74" s="15"/>
      <c r="E74" s="15" t="str">
        <f>INDEX(X_Table_Poultry_Stage2MMS_BeltManureRemoval,4,1)</f>
        <v>Digester / covered lagoons</v>
      </c>
      <c r="F74" s="15">
        <v>0</v>
      </c>
      <c r="G74" s="15">
        <v>0</v>
      </c>
      <c r="H74" s="15">
        <v>0</v>
      </c>
      <c r="I74" s="15">
        <v>0</v>
      </c>
      <c r="J74" s="16"/>
      <c r="N74" s="15"/>
      <c r="O74" s="15" t="str">
        <f>INDEX(X_Table_Poultry_Stage2MMS_BeltManureRemoval,4,1)</f>
        <v>Digester / covered lagoons</v>
      </c>
      <c r="P74" s="15">
        <v>0</v>
      </c>
      <c r="Q74" s="15">
        <v>0</v>
      </c>
      <c r="R74" s="15">
        <v>0</v>
      </c>
      <c r="S74" s="15">
        <v>0</v>
      </c>
      <c r="T74" s="16"/>
    </row>
    <row r="75" spans="1:20" ht="20.100000000000001" customHeight="1" x14ac:dyDescent="0.2">
      <c r="D75" s="15"/>
      <c r="E75" s="15" t="str">
        <f>INDEX(X_Table_Poultry_Stage2MMS_BeltManureRemoval,5,1)</f>
        <v>Direct processing</v>
      </c>
      <c r="F75" s="15">
        <v>0</v>
      </c>
      <c r="G75" s="15">
        <v>0</v>
      </c>
      <c r="H75" s="15">
        <v>0</v>
      </c>
      <c r="I75" s="15">
        <v>0</v>
      </c>
      <c r="J75" s="16"/>
      <c r="N75" s="15"/>
      <c r="O75" s="15" t="str">
        <f>INDEX(X_Table_Poultry_Stage2MMS_BeltManureRemoval,5,1)</f>
        <v>Direct processing</v>
      </c>
      <c r="P75" s="15">
        <v>0</v>
      </c>
      <c r="Q75" s="15">
        <v>0</v>
      </c>
      <c r="R75" s="15">
        <v>0</v>
      </c>
      <c r="S75" s="15">
        <v>0</v>
      </c>
      <c r="T75" s="16"/>
    </row>
    <row r="76" spans="1:20" ht="20.100000000000001" customHeight="1" x14ac:dyDescent="0.2">
      <c r="D76" s="15"/>
      <c r="E76" s="15" t="str">
        <f>INDEX(X_Table_Poultry_Stage2MMS_BeltManureRemoval,6,1)</f>
        <v>Direct application</v>
      </c>
      <c r="F76" s="15">
        <v>0</v>
      </c>
      <c r="G76" s="15">
        <v>0</v>
      </c>
      <c r="H76" s="15">
        <v>0</v>
      </c>
      <c r="I76" s="15">
        <v>0</v>
      </c>
      <c r="N76" s="15"/>
      <c r="O76" s="15" t="str">
        <f>INDEX(X_Table_Poultry_Stage2MMS_BeltManureRemoval,6,1)</f>
        <v>Direct application</v>
      </c>
      <c r="P76" s="15">
        <v>0</v>
      </c>
      <c r="Q76" s="15">
        <v>0</v>
      </c>
      <c r="R76" s="15">
        <v>0</v>
      </c>
      <c r="S76" s="15">
        <v>0</v>
      </c>
    </row>
    <row r="77" spans="1:20" ht="20.100000000000001" customHeight="1" x14ac:dyDescent="0.2">
      <c r="D77" s="15" t="str">
        <f>INDEX(X_Table_Poultry_Stage1MMS,4,1)</f>
        <v>Manure stored in house</v>
      </c>
      <c r="E77" s="15" t="str">
        <f>INDEX(X_Table_Poultry_Stage2MMS_ManureStoredInHouse,2,1)</f>
        <v>Solid storage</v>
      </c>
      <c r="F77" s="15">
        <f>INDEX(M1_Table_MN_Leach_j_k_m4,4,3)</f>
        <v>1.2214999680000003E-2</v>
      </c>
      <c r="G77" s="15">
        <f>INDEX(M1_Table_MN_Leach_j_k_m4,4,4)</f>
        <v>1.3038111936E-2</v>
      </c>
      <c r="H77" s="15">
        <f>INDEX(M1_Table_MN_Leach_j_k_m4,4,5)</f>
        <v>1.5304804607999998E-2</v>
      </c>
      <c r="I77" s="15">
        <f>INDEX(M1_Table_MN_Leach_j_k_m4,4,6)</f>
        <v>1.3038111936E-2</v>
      </c>
      <c r="J77" s="16"/>
      <c r="N77" s="15" t="str">
        <f>INDEX(X_Table_Poultry_Stage1MMS,4,1)</f>
        <v>Manure stored in house</v>
      </c>
      <c r="O77" s="15" t="str">
        <f>INDEX(X_Table_Poultry_Stage2MMS_ManureStoredInHouse,2,1)</f>
        <v>Solid storage</v>
      </c>
      <c r="P77" s="15">
        <f>INDEX(M2_Table_MN_j_k_m4,4,3)</f>
        <v>1.2214999680000003E-2</v>
      </c>
      <c r="Q77" s="15">
        <f>INDEX(M2_Table_MN_j_k_m4,4,4)</f>
        <v>1.3038111936E-2</v>
      </c>
      <c r="R77" s="15">
        <f>INDEX(M2_Table_MN_j_k_m4,4,5)</f>
        <v>1.5304804607999998E-2</v>
      </c>
      <c r="S77" s="15">
        <f>INDEX(M2_Table_MN_j_k_m4,4,6)</f>
        <v>1.3038111936E-2</v>
      </c>
      <c r="T77" s="16"/>
    </row>
    <row r="78" spans="1:20" ht="20.100000000000001" customHeight="1" x14ac:dyDescent="0.2">
      <c r="D78" s="15"/>
      <c r="E78" s="15" t="str">
        <f>INDEX(X_Table_Poultry_Stage2MMS_ManureStoredInHouse,3,1)</f>
        <v>Composting (passive windrow)</v>
      </c>
      <c r="F78" s="15">
        <v>0</v>
      </c>
      <c r="G78" s="15">
        <v>0</v>
      </c>
      <c r="H78" s="15">
        <v>0</v>
      </c>
      <c r="I78" s="15">
        <v>0</v>
      </c>
      <c r="J78" s="16"/>
      <c r="N78" s="15"/>
      <c r="O78" s="15" t="str">
        <f>INDEX(X_Table_Poultry_Stage2MMS_ManureStoredInHouse,3,1)</f>
        <v>Composting (passive windrow)</v>
      </c>
      <c r="P78" s="15">
        <v>0</v>
      </c>
      <c r="Q78" s="15">
        <v>0</v>
      </c>
      <c r="R78" s="15">
        <v>0</v>
      </c>
      <c r="S78" s="15">
        <v>0</v>
      </c>
      <c r="T78" s="16"/>
    </row>
    <row r="79" spans="1:20" ht="20.100000000000001" customHeight="1" x14ac:dyDescent="0.2">
      <c r="D79" s="15"/>
      <c r="E79" s="15" t="str">
        <f>INDEX(X_Table_Poultry_Stage2MMS_ManureStoredInHouse,4,1)</f>
        <v>Digester / covered lagoons</v>
      </c>
      <c r="F79" s="15">
        <v>0</v>
      </c>
      <c r="G79" s="15">
        <v>0</v>
      </c>
      <c r="H79" s="15">
        <v>0</v>
      </c>
      <c r="I79" s="15">
        <v>0</v>
      </c>
      <c r="J79" s="16"/>
      <c r="N79" s="15"/>
      <c r="O79" s="15" t="str">
        <f>INDEX(X_Table_Poultry_Stage2MMS_ManureStoredInHouse,4,1)</f>
        <v>Digester / covered lagoons</v>
      </c>
      <c r="P79" s="15">
        <v>0</v>
      </c>
      <c r="Q79" s="15">
        <v>0</v>
      </c>
      <c r="R79" s="15">
        <v>0</v>
      </c>
      <c r="S79" s="15">
        <v>0</v>
      </c>
      <c r="T79" s="16"/>
    </row>
    <row r="80" spans="1:20" ht="20.100000000000001" customHeight="1" x14ac:dyDescent="0.2">
      <c r="D80" s="15"/>
      <c r="E80" s="15" t="str">
        <f>INDEX(X_Table_Poultry_Stage2MMS_ManureStoredInHouse,5,1)</f>
        <v>Direct processing</v>
      </c>
      <c r="F80" s="15">
        <v>0</v>
      </c>
      <c r="G80" s="15">
        <v>0</v>
      </c>
      <c r="H80" s="15">
        <v>0</v>
      </c>
      <c r="I80" s="15">
        <v>0</v>
      </c>
      <c r="J80" s="16"/>
      <c r="N80" s="15"/>
      <c r="O80" s="15" t="str">
        <f>INDEX(X_Table_Poultry_Stage2MMS_ManureStoredInHouse,5,1)</f>
        <v>Direct processing</v>
      </c>
      <c r="P80" s="15">
        <v>0</v>
      </c>
      <c r="Q80" s="15">
        <v>0</v>
      </c>
      <c r="R80" s="15">
        <v>0</v>
      </c>
      <c r="S80" s="15">
        <v>0</v>
      </c>
      <c r="T80" s="16"/>
    </row>
    <row r="81" spans="4:19" ht="20.100000000000001" customHeight="1" x14ac:dyDescent="0.2">
      <c r="D81" s="15"/>
      <c r="E81" s="15" t="str">
        <f>INDEX(X_Table_Poultry_Stage2MMS_ManureStoredInHouse,6,1)</f>
        <v>Direct application</v>
      </c>
      <c r="F81" s="15">
        <v>0</v>
      </c>
      <c r="G81" s="15">
        <v>0</v>
      </c>
      <c r="H81" s="15">
        <v>0</v>
      </c>
      <c r="I81" s="15">
        <v>0</v>
      </c>
      <c r="N81" s="15"/>
      <c r="O81" s="15" t="str">
        <f>INDEX(X_Table_Poultry_Stage2MMS_ManureStoredInHouse,6,1)</f>
        <v>Direct application</v>
      </c>
      <c r="P81" s="15">
        <v>0</v>
      </c>
      <c r="Q81" s="15">
        <v>0</v>
      </c>
      <c r="R81" s="15">
        <v>0</v>
      </c>
      <c r="S81" s="15">
        <v>0</v>
      </c>
    </row>
    <row r="83" spans="4:19" ht="20.100000000000001" customHeight="1" x14ac:dyDescent="0.2">
      <c r="D83" s="118" t="s">
        <v>452</v>
      </c>
    </row>
    <row r="84" spans="4:19" ht="20.100000000000001" customHeight="1" x14ac:dyDescent="0.2">
      <c r="D84" s="119" t="s">
        <v>453</v>
      </c>
    </row>
    <row r="85" spans="4:19" ht="20.100000000000001" customHeight="1" x14ac:dyDescent="0.2">
      <c r="D85" s="78" t="s">
        <v>314</v>
      </c>
      <c r="E85" s="78" t="s">
        <v>318</v>
      </c>
      <c r="F85" s="78" t="s">
        <v>454</v>
      </c>
    </row>
    <row r="86" spans="4:19" ht="20.100000000000001" customHeight="1" x14ac:dyDescent="0.2">
      <c r="D86" s="15" t="str">
        <f>INDEX(X_Table_Poultry_Stage1MMS,2,1)</f>
        <v>Poultry manure with bedding</v>
      </c>
      <c r="E86" s="15" t="str">
        <f>INDEX(X_Table_Poultry_Stage2MMS_PoultryManureWithBedding,2,1)</f>
        <v>Solid storage</v>
      </c>
      <c r="F86" s="15">
        <f>INDEX(X_Table_Poultry_Stage2MMS_PoultryManureWithBedding_Destinations, 2,3)+INDEX(X_Table_Poultry_Stage2MMS_PoultryManureWithBedding_Destinations, 2,4)</f>
        <v>0.75</v>
      </c>
      <c r="G86" s="16" t="str">
        <f>$G$17</f>
        <v>fraction</v>
      </c>
    </row>
    <row r="87" spans="4:19" ht="20.100000000000001" customHeight="1" x14ac:dyDescent="0.2">
      <c r="D87" s="15"/>
      <c r="E87" s="15" t="str">
        <f>INDEX(X_Table_Poultry_Stage2MMS_PoultryManureWithBedding,3,1)</f>
        <v>Composting (passive windrow)</v>
      </c>
      <c r="F87" s="15">
        <f>INDEX(X_Table_Poultry_Stage2MMS_PoultryManureWithBedding_Destinations, 3,3)+INDEX(X_Table_Poultry_Stage2MMS_PoultryManureWithBedding_Destinations, 3,4)</f>
        <v>0.75</v>
      </c>
      <c r="G87" s="16"/>
    </row>
    <row r="88" spans="4:19" ht="20.100000000000001" customHeight="1" x14ac:dyDescent="0.2">
      <c r="D88" s="15"/>
      <c r="E88" s="15" t="str">
        <f>INDEX(X_Table_Poultry_Stage2MMS_PoultryManureWithBedding,4,1)</f>
        <v>Digester / covered lagoons</v>
      </c>
      <c r="F88" s="15">
        <f>INDEX(X_Table_Poultry_Stage2MMS_PoultryManureWithBedding_Destinations, 4,3)+INDEX(X_Table_Poultry_Stage2MMS_PoultryManureWithBedding_Destinations, 4,4)</f>
        <v>0.75</v>
      </c>
      <c r="G88" s="16"/>
    </row>
    <row r="89" spans="4:19" ht="20.100000000000001" customHeight="1" x14ac:dyDescent="0.2">
      <c r="D89" s="15"/>
      <c r="E89" s="15" t="str">
        <f>INDEX(X_Table_Poultry_Stage2MMS_PoultryManureWithBedding,5,1)</f>
        <v>Direct processing</v>
      </c>
      <c r="F89" s="15">
        <f>INDEX(X_Table_Poultry_Stage2MMS_PoultryManureWithBedding_Destinations, 5,3)+INDEX(X_Table_Poultry_Stage2MMS_PoultryManureWithBedding_Destinations, 5,4)</f>
        <v>0.75</v>
      </c>
      <c r="G89" s="16"/>
    </row>
    <row r="90" spans="4:19" ht="20.100000000000001" customHeight="1" x14ac:dyDescent="0.2">
      <c r="D90" s="15"/>
      <c r="E90" s="15" t="str">
        <f>INDEX(X_Table_Poultry_Stage2MMS_PoultryManureWithBedding,6,1)</f>
        <v>Direct application</v>
      </c>
      <c r="F90" s="15">
        <f>INDEX(X_Table_Poultry_Stage2MMS_PoultryManureWithBedding_Destinations, 6,3)+INDEX(X_Table_Poultry_Stage2MMS_PoultryManureWithBedding_Destinations, 6,4)</f>
        <v>1</v>
      </c>
    </row>
    <row r="91" spans="4:19" ht="20.100000000000001" customHeight="1" x14ac:dyDescent="0.2">
      <c r="D91" s="15" t="str">
        <f>INDEX(X_Table_Poultry_Stage1MMS,3,1)</f>
        <v>Belt manure removal</v>
      </c>
      <c r="E91" s="15" t="str">
        <f>INDEX(X_Table_Poultry_Stage2MMS_BeltManureRemoval,2,1)</f>
        <v>Solid storage</v>
      </c>
      <c r="F91" s="15">
        <f>INDEX(X_Table_Poultry_Stage2MMS_BeltManureRemoval_Destinations, 2,3)+INDEX(X_Table_Poultry_Stage2MMS_BeltManureRemoval_Destinations, 2,4)</f>
        <v>0.75</v>
      </c>
      <c r="G91" s="16"/>
    </row>
    <row r="92" spans="4:19" ht="20.100000000000001" customHeight="1" x14ac:dyDescent="0.2">
      <c r="D92" s="15"/>
      <c r="E92" s="15" t="str">
        <f>INDEX(X_Table_Poultry_Stage2MMS_BeltManureRemoval,3,1)</f>
        <v>Composting (passive windrow)</v>
      </c>
      <c r="F92" s="15">
        <f>INDEX(X_Table_Poultry_Stage2MMS_BeltManureRemoval_Destinations, 3,3)+INDEX(X_Table_Poultry_Stage2MMS_BeltManureRemoval_Destinations, 3,4)</f>
        <v>0.75</v>
      </c>
      <c r="G92" s="16"/>
    </row>
    <row r="93" spans="4:19" ht="20.100000000000001" customHeight="1" x14ac:dyDescent="0.2">
      <c r="D93" s="15"/>
      <c r="E93" s="15" t="str">
        <f>INDEX(X_Table_Poultry_Stage2MMS_BeltManureRemoval,4,1)</f>
        <v>Digester / covered lagoons</v>
      </c>
      <c r="F93" s="15">
        <f>INDEX(X_Table_Poultry_Stage2MMS_BeltManureRemoval_Destinations, 4,3)+INDEX(X_Table_Poultry_Stage2MMS_BeltManureRemoval_Destinations, 4,4)</f>
        <v>0.75</v>
      </c>
      <c r="G93" s="16"/>
    </row>
    <row r="94" spans="4:19" ht="20.100000000000001" customHeight="1" x14ac:dyDescent="0.2">
      <c r="D94" s="15"/>
      <c r="E94" s="15" t="str">
        <f>INDEX(X_Table_Poultry_Stage2MMS_BeltManureRemoval,5,1)</f>
        <v>Direct processing</v>
      </c>
      <c r="F94" s="15">
        <f>INDEX(X_Table_Poultry_Stage2MMS_BeltManureRemoval_Destinations, 5,3)+INDEX(X_Table_Poultry_Stage2MMS_BeltManureRemoval_Destinations, 5,4)</f>
        <v>0.75</v>
      </c>
      <c r="G94" s="16"/>
    </row>
    <row r="95" spans="4:19" ht="20.100000000000001" customHeight="1" x14ac:dyDescent="0.2">
      <c r="D95" s="15"/>
      <c r="E95" s="15" t="str">
        <f>INDEX(X_Table_Poultry_Stage2MMS_BeltManureRemoval,6,1)</f>
        <v>Direct application</v>
      </c>
      <c r="F95" s="15">
        <f>INDEX(X_Table_Poultry_Stage2MMS_BeltManureRemoval_Destinations, 6,3)+INDEX(X_Table_Poultry_Stage2MMS_BeltManureRemoval_Destinations, 6,4)</f>
        <v>1</v>
      </c>
    </row>
    <row r="96" spans="4:19" ht="20.100000000000001" customHeight="1" x14ac:dyDescent="0.2">
      <c r="D96" s="15" t="str">
        <f>INDEX(X_Table_Poultry_Stage1MMS,4,1)</f>
        <v>Manure stored in house</v>
      </c>
      <c r="E96" s="15" t="str">
        <f>INDEX(X_Table_Poultry_Stage2MMS_ManureStoredInHouse,2,1)</f>
        <v>Solid storage</v>
      </c>
      <c r="F96" s="15">
        <f>INDEX(X_Table_Poultry_Stage2MMS_ManureStoredInHouse_Destinations, 2,3)+INDEX(X_Table_Poultry_Stage2MMS_ManureStoredInHouse_Destinations, 2,4)</f>
        <v>0.75</v>
      </c>
      <c r="G96" s="16"/>
    </row>
    <row r="97" spans="1:20" ht="20.100000000000001" customHeight="1" x14ac:dyDescent="0.2">
      <c r="D97" s="15"/>
      <c r="E97" s="15" t="str">
        <f>INDEX(X_Table_Poultry_Stage2MMS_ManureStoredInHouse,3,1)</f>
        <v>Composting (passive windrow)</v>
      </c>
      <c r="F97" s="15">
        <f>INDEX(X_Table_Poultry_Stage2MMS_ManureStoredInHouse_Destinations, 3,3)+INDEX(X_Table_Poultry_Stage2MMS_ManureStoredInHouse_Destinations, 3,4)</f>
        <v>0.75</v>
      </c>
      <c r="G97" s="16"/>
    </row>
    <row r="98" spans="1:20" ht="20.100000000000001" customHeight="1" x14ac:dyDescent="0.2">
      <c r="A98" s="79" t="str">
        <f>HYPERLINK("#A1", "▲ Back to top")</f>
        <v>▲ Back to top</v>
      </c>
      <c r="D98" s="15"/>
      <c r="E98" s="15" t="str">
        <f>INDEX(X_Table_Poultry_Stage2MMS_ManureStoredInHouse,4,1)</f>
        <v>Digester / covered lagoons</v>
      </c>
      <c r="F98" s="15">
        <f>INDEX(X_Table_Poultry_Stage2MMS_ManureStoredInHouse_Destinations, 4,3)+INDEX(X_Table_Poultry_Stage2MMS_ManureStoredInHouse_Destinations, 4,4)</f>
        <v>0.75</v>
      </c>
      <c r="G98" s="16"/>
    </row>
    <row r="99" spans="1:20" ht="20.100000000000001" customHeight="1" x14ac:dyDescent="0.2">
      <c r="D99" s="15"/>
      <c r="E99" s="15" t="str">
        <f>INDEX(X_Table_Poultry_Stage2MMS_ManureStoredInHouse,5,1)</f>
        <v>Direct processing</v>
      </c>
      <c r="F99" s="15">
        <f>INDEX(X_Table_Poultry_Stage2MMS_ManureStoredInHouse_Destinations, 5,3)+INDEX(X_Table_Poultry_Stage2MMS_ManureStoredInHouse_Destinations, 5,4)</f>
        <v>0.75</v>
      </c>
      <c r="G99" s="16"/>
    </row>
    <row r="100" spans="1:20" ht="20.100000000000001" customHeight="1" x14ac:dyDescent="0.2">
      <c r="D100" s="15"/>
      <c r="E100" s="15" t="str">
        <f>INDEX(X_Table_Poultry_Stage2MMS_ManureStoredInHouse,6,1)</f>
        <v>Direct application</v>
      </c>
      <c r="F100" s="15">
        <f>INDEX(X_Table_Poultry_Stage2MMS_ManureStoredInHouse_Destinations, 6,3)+INDEX(X_Table_Poultry_Stage2MMS_ManureStoredInHouse_Destinations, 6,4)</f>
        <v>1</v>
      </c>
    </row>
    <row r="102" spans="1:20" ht="20.100000000000001" customHeight="1" x14ac:dyDescent="0.2">
      <c r="D102" s="118" t="s">
        <v>455</v>
      </c>
      <c r="N102" s="118" t="s">
        <v>456</v>
      </c>
    </row>
    <row r="103" spans="1:20" ht="20.100000000000001" customHeight="1" x14ac:dyDescent="0.2">
      <c r="D103" s="119" t="s">
        <v>457</v>
      </c>
      <c r="N103" s="119" t="s">
        <v>458</v>
      </c>
    </row>
    <row r="104" spans="1:20" ht="20.100000000000001" customHeight="1" x14ac:dyDescent="0.2">
      <c r="D104" s="120" t="s">
        <v>314</v>
      </c>
      <c r="E104" s="120" t="s">
        <v>318</v>
      </c>
      <c r="F104" s="120" t="s">
        <v>297</v>
      </c>
      <c r="G104" s="120" t="s">
        <v>298</v>
      </c>
      <c r="H104" s="120" t="s">
        <v>299</v>
      </c>
      <c r="I104" s="120" t="s">
        <v>300</v>
      </c>
      <c r="N104" s="120" t="s">
        <v>314</v>
      </c>
      <c r="O104" s="120" t="s">
        <v>318</v>
      </c>
      <c r="P104" s="120" t="s">
        <v>297</v>
      </c>
      <c r="Q104" s="120" t="s">
        <v>298</v>
      </c>
      <c r="R104" s="120" t="s">
        <v>299</v>
      </c>
      <c r="S104" s="120" t="s">
        <v>300</v>
      </c>
    </row>
    <row r="105" spans="1:20" ht="20.100000000000001" customHeight="1" x14ac:dyDescent="0.2">
      <c r="D105" s="15" t="str">
        <f>INDEX(X_Table_Poultry_Stage1MMS,2,1)</f>
        <v>Poultry manure with bedding</v>
      </c>
      <c r="E105" s="15" t="str">
        <f>INDEX(X_Table_Poultry_Stage2MMS_PoultryManureWithBedding,2,1)</f>
        <v>Solid storage</v>
      </c>
      <c r="F105" s="15">
        <f>((F22 * (1 - (_xlfn.XLOOKUP($E105, $D$41:$D$49,$E$41:$E$49)) - (_xlfn.XLOOKUP($E105, $D$54:$D$62,$E$54:$E$62))) - F67) * $F86)</f>
        <v>0.41426360820000008</v>
      </c>
      <c r="G105" s="15">
        <f>((G22 * (1 - (_xlfn.XLOOKUP($E105, $D$41:$D$49,$E$41:$E$49)) - (_xlfn.XLOOKUP($E105, $D$54:$D$62,$E$54:$E$62))) - G67) * $F86)</f>
        <v>0.44217891414000005</v>
      </c>
      <c r="H105" s="15">
        <f>((H22 * (1 - (_xlfn.XLOOKUP($E105, $D$41:$D$49,$E$41:$E$49)) - (_xlfn.XLOOKUP($E105, $D$54:$D$62,$E$54:$E$62))) - H67) * $F86)</f>
        <v>0.51905229191999991</v>
      </c>
      <c r="I105" s="15">
        <f>((I22 * (1 - (_xlfn.XLOOKUP($E105, $D$41:$D$49,$E$41:$E$49)) - (_xlfn.XLOOKUP($E105, $D$54:$D$62,$E$54:$E$62))) - I67) * $F86)</f>
        <v>0.44217891414000005</v>
      </c>
      <c r="J105" s="16" t="str">
        <f>$E$11</f>
        <v>kg N</v>
      </c>
      <c r="N105" s="15" t="str">
        <f>INDEX(X_Table_Poultry_Stage1MMS,2,1)</f>
        <v>Poultry manure with bedding</v>
      </c>
      <c r="O105" s="15" t="str">
        <f>INDEX(X_Table_Poultry_Stage2MMS_PoultryManureWithBedding,2,1)</f>
        <v>Solid storage</v>
      </c>
      <c r="P105" s="15">
        <f>((P22 * (1 - (_xlfn.XLOOKUP($O105, $D$41:$D$49,$E$41:$E$49)) - (_xlfn.XLOOKUP($O105, $D$54:$D$62,$E$54:$E$62))) - P67) * $F86)</f>
        <v>0.41426360820000008</v>
      </c>
      <c r="Q105" s="15">
        <f>((Q22 * (1 - (_xlfn.XLOOKUP($O105, $D$41:$D$49,$E$41:$E$49)) - (_xlfn.XLOOKUP($O105, $D$54:$D$62,$E$54:$E$62))) - Q67) * $F86)</f>
        <v>0.44217891414000005</v>
      </c>
      <c r="R105" s="15">
        <f>((R22 * (1 - (_xlfn.XLOOKUP($O105, $D$41:$D$49,$E$41:$E$49)) - (_xlfn.XLOOKUP($O105, $D$54:$D$62,$E$54:$E$62))) - R67) * $F86)</f>
        <v>0.51905229191999991</v>
      </c>
      <c r="S105" s="15">
        <f>((S22 * (1 - (_xlfn.XLOOKUP($O105, $D$41:$D$49,$E$41:$E$49)) - (_xlfn.XLOOKUP($O105, $D$54:$D$62,$E$54:$E$62))) - S67) * $F86)</f>
        <v>0.44217891414000005</v>
      </c>
      <c r="T105" s="16" t="str">
        <f>$E$11</f>
        <v>kg N</v>
      </c>
    </row>
    <row r="106" spans="1:20" ht="20.100000000000001" customHeight="1" x14ac:dyDescent="0.2">
      <c r="D106" s="15"/>
      <c r="E106" s="15" t="str">
        <f>INDEX(X_Table_Poultry_Stage2MMS_PoultryManureWithBedding,3,1)</f>
        <v>Composting (passive windrow)</v>
      </c>
      <c r="F106" s="15">
        <f>((F23 * (1 - (_xlfn.XLOOKUP($E106, $D$41:$D$49,$E$41:$E$49)) - (_xlfn.XLOOKUP($E106, $D$54:$D$62,$E$54:$E$62))) - F68) * $F87)</f>
        <v>0.4222816135200001</v>
      </c>
      <c r="G106" s="15">
        <f>((G23 * (1 - (_xlfn.XLOOKUP($E106, $D$41:$D$49,$E$41:$E$49)) - (_xlfn.XLOOKUP($E106, $D$54:$D$62,$E$54:$E$62))) - G68) * $F87)</f>
        <v>0.45073721570399999</v>
      </c>
      <c r="H106" s="15">
        <f>((H23 * (1 - (_xlfn.XLOOKUP($E106, $D$41:$D$49,$E$41:$E$49)) - (_xlfn.XLOOKUP($E106, $D$54:$D$62,$E$54:$E$62))) - H68) * $F87)</f>
        <v>0.529098465312</v>
      </c>
      <c r="I106" s="15">
        <f>((I23 * (1 - (_xlfn.XLOOKUP($E106, $D$41:$D$49,$E$41:$E$49)) - (_xlfn.XLOOKUP($E106, $D$54:$D$62,$E$54:$E$62))) - I68) * $F87)</f>
        <v>0.45073721570399999</v>
      </c>
      <c r="J106" s="16"/>
      <c r="N106" s="15"/>
      <c r="O106" s="15" t="str">
        <f>INDEX(X_Table_Poultry_Stage2MMS_PoultryManureWithBedding,3,1)</f>
        <v>Composting (passive windrow)</v>
      </c>
      <c r="P106" s="15">
        <f>((P23 * (1 - (_xlfn.XLOOKUP($O106, $D$41:$D$49,$E$41:$E$49)) - (_xlfn.XLOOKUP($O106, $D$54:$D$62,$E$54:$E$62))) - P68) * $F87)</f>
        <v>0.4222816135200001</v>
      </c>
      <c r="Q106" s="15">
        <f>((Q23 * (1 - (_xlfn.XLOOKUP($O106, $D$41:$D$49,$E$41:$E$49)) - (_xlfn.XLOOKUP($O106, $D$54:$D$62,$E$54:$E$62))) - Q68) * $F87)</f>
        <v>0.45073721570399999</v>
      </c>
      <c r="R106" s="15">
        <f>((R23 * (1 - (_xlfn.XLOOKUP($O106, $D$41:$D$49,$E$41:$E$49)) - (_xlfn.XLOOKUP($O106, $D$54:$D$62,$E$54:$E$62))) - R68) * $F87)</f>
        <v>0.529098465312</v>
      </c>
      <c r="S106" s="15">
        <f>((S23 * (1 - (_xlfn.XLOOKUP($O106, $D$41:$D$49,$E$41:$E$49)) - (_xlfn.XLOOKUP($O106, $D$54:$D$62,$E$54:$E$62))) - S68) * $F87)</f>
        <v>0.45073721570399999</v>
      </c>
      <c r="T106" s="16"/>
    </row>
    <row r="107" spans="1:20" ht="20.100000000000001" customHeight="1" x14ac:dyDescent="0.2">
      <c r="D107" s="15"/>
      <c r="E107" s="15" t="str">
        <f>INDEX(X_Table_Poultry_Stage2MMS_PoultryManureWithBedding,4,1)</f>
        <v>Digester / covered lagoons</v>
      </c>
      <c r="F107" s="15">
        <f>((F24 * (1 - (_xlfn.XLOOKUP($E107, $D$41:$D$49,$E$41:$E$49)) - (_xlfn.XLOOKUP($E107, $D$54:$D$62,$E$54:$E$62))) - F69) * $F88)</f>
        <v>0.53453368800000012</v>
      </c>
      <c r="G107" s="15">
        <f>((G24 * (1 - (_xlfn.XLOOKUP($E107, $D$41:$D$49,$E$41:$E$49)) - (_xlfn.XLOOKUP($E107, $D$54:$D$62,$E$54:$E$62))) - G69) * $F88)</f>
        <v>0.57055343759999999</v>
      </c>
      <c r="H107" s="15">
        <f>((H24 * (1 - (_xlfn.XLOOKUP($E107, $D$41:$D$49,$E$41:$E$49)) - (_xlfn.XLOOKUP($E107, $D$54:$D$62,$E$54:$E$62))) - H69) * $F88)</f>
        <v>0.66974489279999994</v>
      </c>
      <c r="I107" s="15">
        <f>((I24 * (1 - (_xlfn.XLOOKUP($E107, $D$41:$D$49,$E$41:$E$49)) - (_xlfn.XLOOKUP($E107, $D$54:$D$62,$E$54:$E$62))) - I69) * $F88)</f>
        <v>0.57055343759999999</v>
      </c>
      <c r="J107" s="16"/>
      <c r="N107" s="15"/>
      <c r="O107" s="15" t="str">
        <f>INDEX(X_Table_Poultry_Stage2MMS_PoultryManureWithBedding,4,1)</f>
        <v>Digester / covered lagoons</v>
      </c>
      <c r="P107" s="15">
        <f>((P24 * (1 - (_xlfn.XLOOKUP($O107, $D$41:$D$49,$E$41:$E$49)) - (_xlfn.XLOOKUP($O107, $D$54:$D$62,$E$54:$E$62))) - P69) * $F88)</f>
        <v>0.53453368800000012</v>
      </c>
      <c r="Q107" s="15">
        <f>((Q24 * (1 - (_xlfn.XLOOKUP($O107, $D$41:$D$49,$E$41:$E$49)) - (_xlfn.XLOOKUP($O107, $D$54:$D$62,$E$54:$E$62))) - Q69) * $F88)</f>
        <v>0.57055343759999999</v>
      </c>
      <c r="R107" s="15">
        <f>((R24 * (1 - (_xlfn.XLOOKUP($O107, $D$41:$D$49,$E$41:$E$49)) - (_xlfn.XLOOKUP($O107, $D$54:$D$62,$E$54:$E$62))) - R69) * $F88)</f>
        <v>0.66974489279999994</v>
      </c>
      <c r="S107" s="15">
        <f>((S24 * (1 - (_xlfn.XLOOKUP($O107, $D$41:$D$49,$E$41:$E$49)) - (_xlfn.XLOOKUP($O107, $D$54:$D$62,$E$54:$E$62))) - S69) * $F88)</f>
        <v>0.57055343759999999</v>
      </c>
      <c r="T107" s="16"/>
    </row>
    <row r="108" spans="1:20" ht="20.100000000000001" customHeight="1" x14ac:dyDescent="0.2">
      <c r="D108" s="15"/>
      <c r="E108" s="15" t="str">
        <f>INDEX(X_Table_Poultry_Stage2MMS_PoultryManureWithBedding,5,1)</f>
        <v>Direct processing</v>
      </c>
      <c r="F108" s="15">
        <f>((F25 * (1 - (_xlfn.XLOOKUP($E108, $D$41:$D$49,$E$41:$E$49)) - (_xlfn.XLOOKUP($E108, $D$54:$D$62,$E$54:$E$62))) - F70) * $F89)</f>
        <v>0.53453368800000012</v>
      </c>
      <c r="G108" s="15">
        <f>((G25 * (1 - (_xlfn.XLOOKUP($E108, $D$41:$D$49,$E$41:$E$49)) - (_xlfn.XLOOKUP($E108, $D$54:$D$62,$E$54:$E$62))) - G70) * $F89)</f>
        <v>0.57055343759999999</v>
      </c>
      <c r="H108" s="15">
        <f>((H25 * (1 - (_xlfn.XLOOKUP($E108, $D$41:$D$49,$E$41:$E$49)) - (_xlfn.XLOOKUP($E108, $D$54:$D$62,$E$54:$E$62))) - H70) * $F89)</f>
        <v>0.66974489279999994</v>
      </c>
      <c r="I108" s="15">
        <f>((I25 * (1 - (_xlfn.XLOOKUP($E108, $D$41:$D$49,$E$41:$E$49)) - (_xlfn.XLOOKUP($E108, $D$54:$D$62,$E$54:$E$62))) - I70) * $F89)</f>
        <v>0.57055343759999999</v>
      </c>
      <c r="J108" s="16"/>
      <c r="N108" s="15"/>
      <c r="O108" s="15" t="str">
        <f>INDEX(X_Table_Poultry_Stage2MMS_PoultryManureWithBedding,5,1)</f>
        <v>Direct processing</v>
      </c>
      <c r="P108" s="15">
        <f>((P25 * (1 - (_xlfn.XLOOKUP($O108, $D$41:$D$49,$E$41:$E$49)) - (_xlfn.XLOOKUP($O108, $D$54:$D$62,$E$54:$E$62))) - P70) * $F89)</f>
        <v>0.53453368800000012</v>
      </c>
      <c r="Q108" s="15">
        <f>((Q25 * (1 - (_xlfn.XLOOKUP($O108, $D$41:$D$49,$E$41:$E$49)) - (_xlfn.XLOOKUP($O108, $D$54:$D$62,$E$54:$E$62))) - Q70) * $F89)</f>
        <v>0.57055343759999999</v>
      </c>
      <c r="R108" s="15">
        <f>((R25 * (1 - (_xlfn.XLOOKUP($O108, $D$41:$D$49,$E$41:$E$49)) - (_xlfn.XLOOKUP($O108, $D$54:$D$62,$E$54:$E$62))) - R70) * $F89)</f>
        <v>0.66974489279999994</v>
      </c>
      <c r="S108" s="15">
        <f>((S25 * (1 - (_xlfn.XLOOKUP($O108, $D$41:$D$49,$E$41:$E$49)) - (_xlfn.XLOOKUP($O108, $D$54:$D$62,$E$54:$E$62))) - S70) * $F89)</f>
        <v>0.57055343759999999</v>
      </c>
      <c r="T108" s="16"/>
    </row>
    <row r="109" spans="1:20" ht="20.100000000000001" customHeight="1" x14ac:dyDescent="0.2">
      <c r="D109" s="15"/>
      <c r="E109" s="15" t="str">
        <f>INDEX(X_Table_Poultry_Stage2MMS_PoultryManureWithBedding,6,1)</f>
        <v>Direct application</v>
      </c>
      <c r="F109" s="15">
        <f>((F26 * (1 - (_xlfn.XLOOKUP($E109, $D$41:$D$49,$E$41:$E$49)) - (_xlfn.XLOOKUP($E109, $D$54:$D$62,$E$54:$E$62))) - F71) * $F90)</f>
        <v>0.7127115839999999</v>
      </c>
      <c r="G109" s="15">
        <f>((G26 * (1 - (_xlfn.XLOOKUP($E109, $D$41:$D$49,$E$41:$E$49)) - (_xlfn.XLOOKUP($E109, $D$54:$D$62,$E$54:$E$62))) - G71) * $F90)</f>
        <v>0.7607379167999998</v>
      </c>
      <c r="H109" s="15">
        <f>((H26 * (1 - (_xlfn.XLOOKUP($E109, $D$41:$D$49,$E$41:$E$49)) - (_xlfn.XLOOKUP($E109, $D$54:$D$62,$E$54:$E$62))) - H71) * $F90)</f>
        <v>0.89299319039999958</v>
      </c>
      <c r="I109" s="15">
        <f>((I26 * (1 - (_xlfn.XLOOKUP($E109, $D$41:$D$49,$E$41:$E$49)) - (_xlfn.XLOOKUP($E109, $D$54:$D$62,$E$54:$E$62))) - I71) * $F90)</f>
        <v>0.7607379167999998</v>
      </c>
      <c r="N109" s="15"/>
      <c r="O109" s="15" t="str">
        <f>INDEX(X_Table_Poultry_Stage2MMS_PoultryManureWithBedding,6,1)</f>
        <v>Direct application</v>
      </c>
      <c r="P109" s="15">
        <f>((P26 * (1 - (_xlfn.XLOOKUP($O109, $D$41:$D$49,$E$41:$E$49)) - (_xlfn.XLOOKUP($O109, $D$54:$D$62,$E$54:$E$62))) - P71) * $F90)</f>
        <v>0.7127115839999999</v>
      </c>
      <c r="Q109" s="15">
        <f>((Q26 * (1 - (_xlfn.XLOOKUP($O109, $D$41:$D$49,$E$41:$E$49)) - (_xlfn.XLOOKUP($O109, $D$54:$D$62,$E$54:$E$62))) - Q71) * $F90)</f>
        <v>0.7607379167999998</v>
      </c>
      <c r="R109" s="15">
        <f>((R26 * (1 - (_xlfn.XLOOKUP($O109, $D$41:$D$49,$E$41:$E$49)) - (_xlfn.XLOOKUP($O109, $D$54:$D$62,$E$54:$E$62))) - R71) * $F90)</f>
        <v>0.89299319039999958</v>
      </c>
      <c r="S109" s="15">
        <f>((S26 * (1 - (_xlfn.XLOOKUP($O109, $D$41:$D$49,$E$41:$E$49)) - (_xlfn.XLOOKUP($O109, $D$54:$D$62,$E$54:$E$62))) - S71) * $F90)</f>
        <v>0.7607379167999998</v>
      </c>
    </row>
    <row r="110" spans="1:20" ht="20.100000000000001" customHeight="1" x14ac:dyDescent="0.2">
      <c r="D110" s="15" t="str">
        <f>INDEX(X_Table_Poultry_Stage1MMS,3,1)</f>
        <v>Belt manure removal</v>
      </c>
      <c r="E110" s="15" t="str">
        <f>INDEX(X_Table_Poultry_Stage2MMS_BeltManureRemoval,2,1)</f>
        <v>Solid storage</v>
      </c>
      <c r="F110" s="15">
        <f>((F27 * (1 - (_xlfn.XLOOKUP($E110, $D$41:$D$49,$E$41:$E$49)) - (_xlfn.XLOOKUP($E110, $D$54:$D$62,$E$54:$E$62))) - F72) * $F91)</f>
        <v>0.56242655820000009</v>
      </c>
      <c r="G110" s="15">
        <f>((G27 * (1 - (_xlfn.XLOOKUP($E110, $D$41:$D$49,$E$41:$E$49)) - (_xlfn.XLOOKUP($E110, $D$54:$D$62,$E$54:$E$62))) - G72) * $F91)</f>
        <v>0.60032587913999991</v>
      </c>
      <c r="H110" s="15">
        <f>((H27 * (1 - (_xlfn.XLOOKUP($E110, $D$41:$D$49,$E$41:$E$49)) - (_xlfn.XLOOKUP($E110, $D$54:$D$62,$E$54:$E$62))) - H72) * $F91)</f>
        <v>0.70469331191999995</v>
      </c>
      <c r="I110" s="15">
        <f>((I27 * (1 - (_xlfn.XLOOKUP($E110, $D$41:$D$49,$E$41:$E$49)) - (_xlfn.XLOOKUP($E110, $D$54:$D$62,$E$54:$E$62))) - I72) * $F91)</f>
        <v>0.60032587913999991</v>
      </c>
      <c r="J110" s="16"/>
      <c r="N110" s="15" t="str">
        <f>INDEX(X_Table_Poultry_Stage1MMS,3,1)</f>
        <v>Belt manure removal</v>
      </c>
      <c r="O110" s="15" t="str">
        <f>INDEX(X_Table_Poultry_Stage2MMS_BeltManureRemoval,2,1)</f>
        <v>Solid storage</v>
      </c>
      <c r="P110" s="15">
        <f>((P27 * (1 - (_xlfn.XLOOKUP($O110, $D$41:$D$49,$E$41:$E$49)) - (_xlfn.XLOOKUP($O110, $D$54:$D$62,$E$54:$E$62))) - P72) * $F91)</f>
        <v>0.56242655820000009</v>
      </c>
      <c r="Q110" s="15">
        <f>((Q27 * (1 - (_xlfn.XLOOKUP($O110, $D$41:$D$49,$E$41:$E$49)) - (_xlfn.XLOOKUP($O110, $D$54:$D$62,$E$54:$E$62))) - Q72) * $F91)</f>
        <v>0.60032587913999991</v>
      </c>
      <c r="R110" s="15">
        <f>((R27 * (1 - (_xlfn.XLOOKUP($O110, $D$41:$D$49,$E$41:$E$49)) - (_xlfn.XLOOKUP($O110, $D$54:$D$62,$E$54:$E$62))) - R72) * $F91)</f>
        <v>0.70469331191999995</v>
      </c>
      <c r="S110" s="15">
        <f>((S27 * (1 - (_xlfn.XLOOKUP($O110, $D$41:$D$49,$E$41:$E$49)) - (_xlfn.XLOOKUP($O110, $D$54:$D$62,$E$54:$E$62))) - S72) * $F91)</f>
        <v>0.60032587913999991</v>
      </c>
      <c r="T110" s="16"/>
    </row>
    <row r="111" spans="1:20" ht="20.100000000000001" customHeight="1" x14ac:dyDescent="0.2">
      <c r="D111" s="15"/>
      <c r="E111" s="15" t="str">
        <f>INDEX(X_Table_Poultry_Stage2MMS_BeltManureRemoval,3,1)</f>
        <v>Composting (passive windrow)</v>
      </c>
      <c r="F111" s="15">
        <f>((F28 * (1 - (_xlfn.XLOOKUP($E111, $D$41:$D$49,$E$41:$E$49)) - (_xlfn.XLOOKUP($E111, $D$54:$D$62,$E$54:$E$62))) - F73) * $F92)</f>
        <v>0.57331223352000016</v>
      </c>
      <c r="G111" s="15">
        <f>((G28 * (1 - (_xlfn.XLOOKUP($E111, $D$41:$D$49,$E$41:$E$49)) - (_xlfn.XLOOKUP($E111, $D$54:$D$62,$E$54:$E$62))) - G73) * $F92)</f>
        <v>0.61194508970400008</v>
      </c>
      <c r="H111" s="15">
        <f>((H28 * (1 - (_xlfn.XLOOKUP($E111, $D$41:$D$49,$E$41:$E$49)) - (_xlfn.XLOOKUP($E111, $D$54:$D$62,$E$54:$E$62))) - H73) * $F92)</f>
        <v>0.71833253731199997</v>
      </c>
      <c r="I111" s="15">
        <f>((I28 * (1 - (_xlfn.XLOOKUP($E111, $D$41:$D$49,$E$41:$E$49)) - (_xlfn.XLOOKUP($E111, $D$54:$D$62,$E$54:$E$62))) - I73) * $F92)</f>
        <v>0.61194508970400008</v>
      </c>
      <c r="J111" s="16"/>
      <c r="N111" s="15"/>
      <c r="O111" s="15" t="str">
        <f>INDEX(X_Table_Poultry_Stage2MMS_BeltManureRemoval,3,1)</f>
        <v>Composting (passive windrow)</v>
      </c>
      <c r="P111" s="15">
        <f>((P28 * (1 - (_xlfn.XLOOKUP($O111, $D$41:$D$49,$E$41:$E$49)) - (_xlfn.XLOOKUP($O111, $D$54:$D$62,$E$54:$E$62))) - P73) * $F92)</f>
        <v>0.57331223352000016</v>
      </c>
      <c r="Q111" s="15">
        <f>((Q28 * (1 - (_xlfn.XLOOKUP($O111, $D$41:$D$49,$E$41:$E$49)) - (_xlfn.XLOOKUP($O111, $D$54:$D$62,$E$54:$E$62))) - Q73) * $F92)</f>
        <v>0.61194508970400008</v>
      </c>
      <c r="R111" s="15">
        <f>((R28 * (1 - (_xlfn.XLOOKUP($O111, $D$41:$D$49,$E$41:$E$49)) - (_xlfn.XLOOKUP($O111, $D$54:$D$62,$E$54:$E$62))) - R73) * $F92)</f>
        <v>0.71833253731199997</v>
      </c>
      <c r="S111" s="15">
        <f>((S28 * (1 - (_xlfn.XLOOKUP($O111, $D$41:$D$49,$E$41:$E$49)) - (_xlfn.XLOOKUP($O111, $D$54:$D$62,$E$54:$E$62))) - S73) * $F92)</f>
        <v>0.61194508970400008</v>
      </c>
      <c r="T111" s="16"/>
    </row>
    <row r="112" spans="1:20" ht="20.100000000000001" customHeight="1" x14ac:dyDescent="0.2">
      <c r="D112" s="15"/>
      <c r="E112" s="15" t="str">
        <f>INDEX(X_Table_Poultry_Stage2MMS_BeltManureRemoval,4,1)</f>
        <v>Digester / covered lagoons</v>
      </c>
      <c r="F112" s="15">
        <f>((F29 * (1 - (_xlfn.XLOOKUP($E112, $D$41:$D$49,$E$41:$E$49)) - (_xlfn.XLOOKUP($E112, $D$54:$D$62,$E$54:$E$62))) - F74) * $F93)</f>
        <v>0.72571168800000019</v>
      </c>
      <c r="G112" s="15">
        <f>((G29 * (1 - (_xlfn.XLOOKUP($E112, $D$41:$D$49,$E$41:$E$49)) - (_xlfn.XLOOKUP($E112, $D$54:$D$62,$E$54:$E$62))) - G74) * $F93)</f>
        <v>0.77461403760000003</v>
      </c>
      <c r="H112" s="15">
        <f>((H29 * (1 - (_xlfn.XLOOKUP($E112, $D$41:$D$49,$E$41:$E$49)) - (_xlfn.XLOOKUP($E112, $D$54:$D$62,$E$54:$E$62))) - H74) * $F93)</f>
        <v>0.90928169280000004</v>
      </c>
      <c r="I112" s="15">
        <f>((I29 * (1 - (_xlfn.XLOOKUP($E112, $D$41:$D$49,$E$41:$E$49)) - (_xlfn.XLOOKUP($E112, $D$54:$D$62,$E$54:$E$62))) - I74) * $F93)</f>
        <v>0.77461403760000003</v>
      </c>
      <c r="J112" s="16"/>
      <c r="N112" s="15"/>
      <c r="O112" s="15" t="str">
        <f>INDEX(X_Table_Poultry_Stage2MMS_BeltManureRemoval,4,1)</f>
        <v>Digester / covered lagoons</v>
      </c>
      <c r="P112" s="15">
        <f>((P29 * (1 - (_xlfn.XLOOKUP($O112, $D$41:$D$49,$E$41:$E$49)) - (_xlfn.XLOOKUP($O112, $D$54:$D$62,$E$54:$E$62))) - P74) * $F93)</f>
        <v>0.72571168800000019</v>
      </c>
      <c r="Q112" s="15">
        <f>((Q29 * (1 - (_xlfn.XLOOKUP($O112, $D$41:$D$49,$E$41:$E$49)) - (_xlfn.XLOOKUP($O112, $D$54:$D$62,$E$54:$E$62))) - Q74) * $F93)</f>
        <v>0.77461403760000003</v>
      </c>
      <c r="R112" s="15">
        <f>((R29 * (1 - (_xlfn.XLOOKUP($O112, $D$41:$D$49,$E$41:$E$49)) - (_xlfn.XLOOKUP($O112, $D$54:$D$62,$E$54:$E$62))) - R74) * $F93)</f>
        <v>0.90928169280000004</v>
      </c>
      <c r="S112" s="15">
        <f>((S29 * (1 - (_xlfn.XLOOKUP($O112, $D$41:$D$49,$E$41:$E$49)) - (_xlfn.XLOOKUP($O112, $D$54:$D$62,$E$54:$E$62))) - S74) * $F93)</f>
        <v>0.77461403760000003</v>
      </c>
      <c r="T112" s="16"/>
    </row>
    <row r="113" spans="1:21" ht="20.100000000000001" customHeight="1" x14ac:dyDescent="0.2">
      <c r="D113" s="15"/>
      <c r="E113" s="15" t="str">
        <f>INDEX(X_Table_Poultry_Stage2MMS_BeltManureRemoval,5,1)</f>
        <v>Direct processing</v>
      </c>
      <c r="F113" s="15">
        <f>((F30 * (1 - (_xlfn.XLOOKUP($E113, $D$41:$D$49,$E$41:$E$49)) - (_xlfn.XLOOKUP($E113, $D$54:$D$62,$E$54:$E$62))) - F75) * $F94)</f>
        <v>0.72571168800000019</v>
      </c>
      <c r="G113" s="15">
        <f>((G30 * (1 - (_xlfn.XLOOKUP($E113, $D$41:$D$49,$E$41:$E$49)) - (_xlfn.XLOOKUP($E113, $D$54:$D$62,$E$54:$E$62))) - G75) * $F94)</f>
        <v>0.77461403760000003</v>
      </c>
      <c r="H113" s="15">
        <f>((H30 * (1 - (_xlfn.XLOOKUP($E113, $D$41:$D$49,$E$41:$E$49)) - (_xlfn.XLOOKUP($E113, $D$54:$D$62,$E$54:$E$62))) - H75) * $F94)</f>
        <v>0.90928169280000004</v>
      </c>
      <c r="I113" s="15">
        <f>((I30 * (1 - (_xlfn.XLOOKUP($E113, $D$41:$D$49,$E$41:$E$49)) - (_xlfn.XLOOKUP($E113, $D$54:$D$62,$E$54:$E$62))) - I75) * $F94)</f>
        <v>0.77461403760000003</v>
      </c>
      <c r="J113" s="16"/>
      <c r="N113" s="15"/>
      <c r="O113" s="15" t="str">
        <f>INDEX(X_Table_Poultry_Stage2MMS_BeltManureRemoval,5,1)</f>
        <v>Direct processing</v>
      </c>
      <c r="P113" s="15">
        <f>((P30 * (1 - (_xlfn.XLOOKUP($O113, $D$41:$D$49,$E$41:$E$49)) - (_xlfn.XLOOKUP($O113, $D$54:$D$62,$E$54:$E$62))) - P75) * $F94)</f>
        <v>0.72571168800000019</v>
      </c>
      <c r="Q113" s="15">
        <f>((Q30 * (1 - (_xlfn.XLOOKUP($O113, $D$41:$D$49,$E$41:$E$49)) - (_xlfn.XLOOKUP($O113, $D$54:$D$62,$E$54:$E$62))) - Q75) * $F94)</f>
        <v>0.77461403760000003</v>
      </c>
      <c r="R113" s="15">
        <f>((R30 * (1 - (_xlfn.XLOOKUP($O113, $D$41:$D$49,$E$41:$E$49)) - (_xlfn.XLOOKUP($O113, $D$54:$D$62,$E$54:$E$62))) - R75) * $F94)</f>
        <v>0.90928169280000004</v>
      </c>
      <c r="S113" s="15">
        <f>((S30 * (1 - (_xlfn.XLOOKUP($O113, $D$41:$D$49,$E$41:$E$49)) - (_xlfn.XLOOKUP($O113, $D$54:$D$62,$E$54:$E$62))) - S75) * $F94)</f>
        <v>0.77461403760000003</v>
      </c>
      <c r="T113" s="16"/>
    </row>
    <row r="114" spans="1:21" ht="20.100000000000001" customHeight="1" x14ac:dyDescent="0.2">
      <c r="D114" s="15"/>
      <c r="E114" s="15" t="str">
        <f>INDEX(X_Table_Poultry_Stage2MMS_BeltManureRemoval,6,1)</f>
        <v>Direct application</v>
      </c>
      <c r="F114" s="15">
        <f>((F31 * (1 - (_xlfn.XLOOKUP($E114, $D$41:$D$49,$E$41:$E$49)) - (_xlfn.XLOOKUP($E114, $D$54:$D$62,$E$54:$E$62))) - F76) * $F95)</f>
        <v>0.96761558399999992</v>
      </c>
      <c r="G114" s="15">
        <f>((G31 * (1 - (_xlfn.XLOOKUP($E114, $D$41:$D$49,$E$41:$E$49)) - (_xlfn.XLOOKUP($E114, $D$54:$D$62,$E$54:$E$62))) - G76) * $F95)</f>
        <v>1.0328187167999998</v>
      </c>
      <c r="H114" s="15">
        <f>((H31 * (1 - (_xlfn.XLOOKUP($E114, $D$41:$D$49,$E$41:$E$49)) - (_xlfn.XLOOKUP($E114, $D$54:$D$62,$E$54:$E$62))) - H76) * $F95)</f>
        <v>1.2123755903999998</v>
      </c>
      <c r="I114" s="15">
        <f>((I31 * (1 - (_xlfn.XLOOKUP($E114, $D$41:$D$49,$E$41:$E$49)) - (_xlfn.XLOOKUP($E114, $D$54:$D$62,$E$54:$E$62))) - I76) * $F95)</f>
        <v>1.0328187167999998</v>
      </c>
      <c r="N114" s="15"/>
      <c r="O114" s="15" t="str">
        <f>INDEX(X_Table_Poultry_Stage2MMS_BeltManureRemoval,6,1)</f>
        <v>Direct application</v>
      </c>
      <c r="P114" s="15">
        <f>((P31 * (1 - (_xlfn.XLOOKUP($O114, $D$41:$D$49,$E$41:$E$49)) - (_xlfn.XLOOKUP($O114, $D$54:$D$62,$E$54:$E$62))) - P76) * $F95)</f>
        <v>0.96761558399999992</v>
      </c>
      <c r="Q114" s="15">
        <f>((Q31 * (1 - (_xlfn.XLOOKUP($O114, $D$41:$D$49,$E$41:$E$49)) - (_xlfn.XLOOKUP($O114, $D$54:$D$62,$E$54:$E$62))) - Q76) * $F95)</f>
        <v>1.0328187167999998</v>
      </c>
      <c r="R114" s="15">
        <f>((R31 * (1 - (_xlfn.XLOOKUP($O114, $D$41:$D$49,$E$41:$E$49)) - (_xlfn.XLOOKUP($O114, $D$54:$D$62,$E$54:$E$62))) - R76) * $F95)</f>
        <v>1.2123755903999998</v>
      </c>
      <c r="S114" s="15">
        <f>((S31 * (1 - (_xlfn.XLOOKUP($O114, $D$41:$D$49,$E$41:$E$49)) - (_xlfn.XLOOKUP($O114, $D$54:$D$62,$E$54:$E$62))) - S76) * $F95)</f>
        <v>1.0328187167999998</v>
      </c>
    </row>
    <row r="115" spans="1:21" ht="20.100000000000001" customHeight="1" x14ac:dyDescent="0.2">
      <c r="D115" s="15" t="str">
        <f>INDEX(X_Table_Poultry_Stage1MMS,4,1)</f>
        <v>Manure stored in house</v>
      </c>
      <c r="E115" s="15" t="str">
        <f>INDEX(X_Table_Poultry_Stage2MMS_ManureStoredInHouse,2,1)</f>
        <v>Solid storage</v>
      </c>
      <c r="F115" s="15">
        <f>((F32 * (1 - (_xlfn.XLOOKUP($E115, $D$41:$D$49,$E$41:$E$49)) - (_xlfn.XLOOKUP($E115, $D$54:$D$62,$E$54:$E$62))) - F77) * $F96)</f>
        <v>0.35499842820000005</v>
      </c>
      <c r="G115" s="15">
        <f>((G32 * (1 - (_xlfn.XLOOKUP($E115, $D$41:$D$49,$E$41:$E$49)) - (_xlfn.XLOOKUP($E115, $D$54:$D$62,$E$54:$E$62))) - G77) * $F96)</f>
        <v>0.37892012813999987</v>
      </c>
      <c r="H115" s="15">
        <f>((H32 * (1 - (_xlfn.XLOOKUP($E115, $D$41:$D$49,$E$41:$E$49)) - (_xlfn.XLOOKUP($E115, $D$54:$D$62,$E$54:$E$62))) - H77) * $F96)</f>
        <v>0.44479588391999991</v>
      </c>
      <c r="I115" s="15">
        <f>((I32 * (1 - (_xlfn.XLOOKUP($E115, $D$41:$D$49,$E$41:$E$49)) - (_xlfn.XLOOKUP($E115, $D$54:$D$62,$E$54:$E$62))) - I77) * $F96)</f>
        <v>0.37892012813999987</v>
      </c>
      <c r="J115" s="16"/>
      <c r="N115" s="15" t="str">
        <f>INDEX(X_Table_Poultry_Stage1MMS,4,1)</f>
        <v>Manure stored in house</v>
      </c>
      <c r="O115" s="15" t="str">
        <f>INDEX(X_Table_Poultry_Stage2MMS_ManureStoredInHouse,2,1)</f>
        <v>Solid storage</v>
      </c>
      <c r="P115" s="15">
        <f>((P32 * (1 - (_xlfn.XLOOKUP($O115, $D$41:$D$49,$E$41:$E$49)) - (_xlfn.XLOOKUP($O115, $D$54:$D$62,$E$54:$E$62))) - P77) * $F96)</f>
        <v>0.35499842820000005</v>
      </c>
      <c r="Q115" s="15">
        <f>((Q32 * (1 - (_xlfn.XLOOKUP($O115, $D$41:$D$49,$E$41:$E$49)) - (_xlfn.XLOOKUP($O115, $D$54:$D$62,$E$54:$E$62))) - Q77) * $F96)</f>
        <v>0.37892012813999987</v>
      </c>
      <c r="R115" s="15">
        <f>((R32 * (1 - (_xlfn.XLOOKUP($O115, $D$41:$D$49,$E$41:$E$49)) - (_xlfn.XLOOKUP($O115, $D$54:$D$62,$E$54:$E$62))) - R77) * $F96)</f>
        <v>0.44479588391999991</v>
      </c>
      <c r="S115" s="15">
        <f>((S32 * (1 - (_xlfn.XLOOKUP($O115, $D$41:$D$49,$E$41:$E$49)) - (_xlfn.XLOOKUP($O115, $D$54:$D$62,$E$54:$E$62))) - S77) * $F96)</f>
        <v>0.37892012813999987</v>
      </c>
      <c r="T115" s="16"/>
    </row>
    <row r="116" spans="1:21" ht="20.100000000000001" customHeight="1" x14ac:dyDescent="0.2">
      <c r="D116" s="15"/>
      <c r="E116" s="15" t="str">
        <f>INDEX(X_Table_Poultry_Stage2MMS_ManureStoredInHouse,3,1)</f>
        <v>Composting (passive windrow)</v>
      </c>
      <c r="F116" s="15">
        <f>((F33 * (1 - (_xlfn.XLOOKUP($E116, $D$41:$D$49,$E$41:$E$49)) - (_xlfn.XLOOKUP($E116, $D$54:$D$62,$E$54:$E$62))) - F78) * $F97)</f>
        <v>0.3618693655200001</v>
      </c>
      <c r="G116" s="15">
        <f>((G33 * (1 - (_xlfn.XLOOKUP($E116, $D$41:$D$49,$E$41:$E$49)) - (_xlfn.XLOOKUP($E116, $D$54:$D$62,$E$54:$E$62))) - G78) * $F97)</f>
        <v>0.38625406610400004</v>
      </c>
      <c r="H116" s="15">
        <f>((H33 * (1 - (_xlfn.XLOOKUP($E116, $D$41:$D$49,$E$41:$E$49)) - (_xlfn.XLOOKUP($E116, $D$54:$D$62,$E$54:$E$62))) - H78) * $F97)</f>
        <v>0.45340483651199992</v>
      </c>
      <c r="I116" s="15">
        <f>((I33 * (1 - (_xlfn.XLOOKUP($E116, $D$41:$D$49,$E$41:$E$49)) - (_xlfn.XLOOKUP($E116, $D$54:$D$62,$E$54:$E$62))) - I78) * $F97)</f>
        <v>0.38625406610400004</v>
      </c>
      <c r="J116" s="16"/>
      <c r="N116" s="15"/>
      <c r="O116" s="15" t="str">
        <f>INDEX(X_Table_Poultry_Stage2MMS_ManureStoredInHouse,3,1)</f>
        <v>Composting (passive windrow)</v>
      </c>
      <c r="P116" s="15">
        <f>((P33 * (1 - (_xlfn.XLOOKUP($O116, $D$41:$D$49,$E$41:$E$49)) - (_xlfn.XLOOKUP($O116, $D$54:$D$62,$E$54:$E$62))) - P78) * $F97)</f>
        <v>0.3618693655200001</v>
      </c>
      <c r="Q116" s="15">
        <f>((Q33 * (1 - (_xlfn.XLOOKUP($O116, $D$41:$D$49,$E$41:$E$49)) - (_xlfn.XLOOKUP($O116, $D$54:$D$62,$E$54:$E$62))) - Q78) * $F97)</f>
        <v>0.38625406610400004</v>
      </c>
      <c r="R116" s="15">
        <f>((R33 * (1 - (_xlfn.XLOOKUP($O116, $D$41:$D$49,$E$41:$E$49)) - (_xlfn.XLOOKUP($O116, $D$54:$D$62,$E$54:$E$62))) - R78) * $F97)</f>
        <v>0.45340483651199992</v>
      </c>
      <c r="S116" s="15">
        <f>((S33 * (1 - (_xlfn.XLOOKUP($O116, $D$41:$D$49,$E$41:$E$49)) - (_xlfn.XLOOKUP($O116, $D$54:$D$62,$E$54:$E$62))) - S78) * $F97)</f>
        <v>0.38625406610400004</v>
      </c>
      <c r="T116" s="16"/>
    </row>
    <row r="117" spans="1:21" ht="20.100000000000001" customHeight="1" x14ac:dyDescent="0.2">
      <c r="D117" s="15"/>
      <c r="E117" s="15" t="str">
        <f>INDEX(X_Table_Poultry_Stage2MMS_ManureStoredInHouse,4,1)</f>
        <v>Digester / covered lagoons</v>
      </c>
      <c r="F117" s="15">
        <f>((F34 * (1 - (_xlfn.XLOOKUP($E117, $D$41:$D$49,$E$41:$E$49)) - (_xlfn.XLOOKUP($E117, $D$54:$D$62,$E$54:$E$62))) - F79) * $F98)</f>
        <v>0.4580624880000001</v>
      </c>
      <c r="G117" s="15">
        <f>((G34 * (1 - (_xlfn.XLOOKUP($E117, $D$41:$D$49,$E$41:$E$49)) - (_xlfn.XLOOKUP($E117, $D$54:$D$62,$E$54:$E$62))) - G79) * $F98)</f>
        <v>0.48892919759999998</v>
      </c>
      <c r="H117" s="15">
        <f>((H34 * (1 - (_xlfn.XLOOKUP($E117, $D$41:$D$49,$E$41:$E$49)) - (_xlfn.XLOOKUP($E117, $D$54:$D$62,$E$54:$E$62))) - H79) * $F98)</f>
        <v>0.57393017279999992</v>
      </c>
      <c r="I117" s="15">
        <f>((I34 * (1 - (_xlfn.XLOOKUP($E117, $D$41:$D$49,$E$41:$E$49)) - (_xlfn.XLOOKUP($E117, $D$54:$D$62,$E$54:$E$62))) - I79) * $F98)</f>
        <v>0.48892919759999998</v>
      </c>
      <c r="J117" s="16"/>
      <c r="N117" s="15"/>
      <c r="O117" s="15" t="str">
        <f>INDEX(X_Table_Poultry_Stage2MMS_ManureStoredInHouse,4,1)</f>
        <v>Digester / covered lagoons</v>
      </c>
      <c r="P117" s="15">
        <f>((P34 * (1 - (_xlfn.XLOOKUP($O117, $D$41:$D$49,$E$41:$E$49)) - (_xlfn.XLOOKUP($O117, $D$54:$D$62,$E$54:$E$62))) - P79) * $F98)</f>
        <v>0.4580624880000001</v>
      </c>
      <c r="Q117" s="15">
        <f>((Q34 * (1 - (_xlfn.XLOOKUP($O117, $D$41:$D$49,$E$41:$E$49)) - (_xlfn.XLOOKUP($O117, $D$54:$D$62,$E$54:$E$62))) - Q79) * $F98)</f>
        <v>0.48892919759999998</v>
      </c>
      <c r="R117" s="15">
        <f>((R34 * (1 - (_xlfn.XLOOKUP($O117, $D$41:$D$49,$E$41:$E$49)) - (_xlfn.XLOOKUP($O117, $D$54:$D$62,$E$54:$E$62))) - R79) * $F98)</f>
        <v>0.57393017279999992</v>
      </c>
      <c r="S117" s="15">
        <f>((S34 * (1 - (_xlfn.XLOOKUP($O117, $D$41:$D$49,$E$41:$E$49)) - (_xlfn.XLOOKUP($O117, $D$54:$D$62,$E$54:$E$62))) - S79) * $F98)</f>
        <v>0.48892919759999998</v>
      </c>
      <c r="T117" s="16"/>
    </row>
    <row r="118" spans="1:21" ht="20.100000000000001" customHeight="1" x14ac:dyDescent="0.2">
      <c r="D118" s="15"/>
      <c r="E118" s="15" t="str">
        <f>INDEX(X_Table_Poultry_Stage2MMS_ManureStoredInHouse,5,1)</f>
        <v>Direct processing</v>
      </c>
      <c r="F118" s="15">
        <f>((F35 * (1 - (_xlfn.XLOOKUP($E118, $D$41:$D$49,$E$41:$E$49)) - (_xlfn.XLOOKUP($E118, $D$54:$D$62,$E$54:$E$62))) - F80) * $F99)</f>
        <v>0.4580624880000001</v>
      </c>
      <c r="G118" s="15">
        <f>((G35 * (1 - (_xlfn.XLOOKUP($E118, $D$41:$D$49,$E$41:$E$49)) - (_xlfn.XLOOKUP($E118, $D$54:$D$62,$E$54:$E$62))) - G80) * $F99)</f>
        <v>0.48892919759999998</v>
      </c>
      <c r="H118" s="15">
        <f>((H35 * (1 - (_xlfn.XLOOKUP($E118, $D$41:$D$49,$E$41:$E$49)) - (_xlfn.XLOOKUP($E118, $D$54:$D$62,$E$54:$E$62))) - H80) * $F99)</f>
        <v>0.57393017279999992</v>
      </c>
      <c r="I118" s="15">
        <f>((I35 * (1 - (_xlfn.XLOOKUP($E118, $D$41:$D$49,$E$41:$E$49)) - (_xlfn.XLOOKUP($E118, $D$54:$D$62,$E$54:$E$62))) - I80) * $F99)</f>
        <v>0.48892919759999998</v>
      </c>
      <c r="J118" s="16"/>
      <c r="N118" s="15"/>
      <c r="O118" s="15" t="str">
        <f>INDEX(X_Table_Poultry_Stage2MMS_ManureStoredInHouse,5,1)</f>
        <v>Direct processing</v>
      </c>
      <c r="P118" s="15">
        <f>((P35 * (1 - (_xlfn.XLOOKUP($O118, $D$41:$D$49,$E$41:$E$49)) - (_xlfn.XLOOKUP($O118, $D$54:$D$62,$E$54:$E$62))) - P80) * $F99)</f>
        <v>0.4580624880000001</v>
      </c>
      <c r="Q118" s="15">
        <f>((Q35 * (1 - (_xlfn.XLOOKUP($O118, $D$41:$D$49,$E$41:$E$49)) - (_xlfn.XLOOKUP($O118, $D$54:$D$62,$E$54:$E$62))) - Q80) * $F99)</f>
        <v>0.48892919759999998</v>
      </c>
      <c r="R118" s="15">
        <f>((R35 * (1 - (_xlfn.XLOOKUP($O118, $D$41:$D$49,$E$41:$E$49)) - (_xlfn.XLOOKUP($O118, $D$54:$D$62,$E$54:$E$62))) - R80) * $F99)</f>
        <v>0.57393017279999992</v>
      </c>
      <c r="S118" s="15">
        <f>((S35 * (1 - (_xlfn.XLOOKUP($O118, $D$41:$D$49,$E$41:$E$49)) - (_xlfn.XLOOKUP($O118, $D$54:$D$62,$E$54:$E$62))) - S80) * $F99)</f>
        <v>0.48892919759999998</v>
      </c>
      <c r="T118" s="16"/>
    </row>
    <row r="119" spans="1:21" ht="20.100000000000001" customHeight="1" x14ac:dyDescent="0.2">
      <c r="D119" s="15"/>
      <c r="E119" s="15" t="str">
        <f>INDEX(X_Table_Poultry_Stage2MMS_ManureStoredInHouse,6,1)</f>
        <v>Direct application</v>
      </c>
      <c r="F119" s="15">
        <f>((F36 * (1 - (_xlfn.XLOOKUP($E119, $D$41:$D$49,$E$41:$E$49)) - (_xlfn.XLOOKUP($E119, $D$54:$D$62,$E$54:$E$62))) - F81) * $F100)</f>
        <v>0.61074998399999991</v>
      </c>
      <c r="G119" s="15">
        <f>((G36 * (1 - (_xlfn.XLOOKUP($E119, $D$41:$D$49,$E$41:$E$49)) - (_xlfn.XLOOKUP($E119, $D$54:$D$62,$E$54:$E$62))) - G81) * $F100)</f>
        <v>0.65190559679999971</v>
      </c>
      <c r="H119" s="15">
        <f>((H36 * (1 - (_xlfn.XLOOKUP($E119, $D$41:$D$49,$E$41:$E$49)) - (_xlfn.XLOOKUP($E119, $D$54:$D$62,$E$54:$E$62))) - H81) * $F100)</f>
        <v>0.76524023039999967</v>
      </c>
      <c r="I119" s="15">
        <f>((I36 * (1 - (_xlfn.XLOOKUP($E119, $D$41:$D$49,$E$41:$E$49)) - (_xlfn.XLOOKUP($E119, $D$54:$D$62,$E$54:$E$62))) - I81) * $F100)</f>
        <v>0.65190559679999971</v>
      </c>
      <c r="N119" s="15"/>
      <c r="O119" s="15" t="str">
        <f>INDEX(X_Table_Poultry_Stage2MMS_ManureStoredInHouse,6,1)</f>
        <v>Direct application</v>
      </c>
      <c r="P119" s="15">
        <f>((P36 * (1 - (_xlfn.XLOOKUP($O119, $D$41:$D$49,$E$41:$E$49)) - (_xlfn.XLOOKUP($O119, $D$54:$D$62,$E$54:$E$62))) - P81) * $F100)</f>
        <v>0.61074998399999991</v>
      </c>
      <c r="Q119" s="15">
        <f>((Q36 * (1 - (_xlfn.XLOOKUP($O119, $D$41:$D$49,$E$41:$E$49)) - (_xlfn.XLOOKUP($O119, $D$54:$D$62,$E$54:$E$62))) - Q81) * $F100)</f>
        <v>0.65190559679999971</v>
      </c>
      <c r="R119" s="15">
        <f>((R36 * (1 - (_xlfn.XLOOKUP($O119, $D$41:$D$49,$E$41:$E$49)) - (_xlfn.XLOOKUP($O119, $D$54:$D$62,$E$54:$E$62))) - R81) * $F100)</f>
        <v>0.76524023039999967</v>
      </c>
      <c r="S119" s="15">
        <f>((S36 * (1 - (_xlfn.XLOOKUP($O119, $D$41:$D$49,$E$41:$E$49)) - (_xlfn.XLOOKUP($O119, $D$54:$D$62,$E$54:$E$62))) - S81) * $F100)</f>
        <v>0.65190559679999971</v>
      </c>
    </row>
    <row r="121" spans="1:21" ht="20.100000000000001" customHeight="1" x14ac:dyDescent="0.2">
      <c r="D121" s="85" t="s">
        <v>459</v>
      </c>
      <c r="E121" s="86">
        <f>SUM(F105:I119)</f>
        <v>36.930778279920006</v>
      </c>
      <c r="F121" s="95" t="str">
        <f>$E$11</f>
        <v>kg N</v>
      </c>
      <c r="N121" s="85" t="s">
        <v>459</v>
      </c>
      <c r="O121" s="86">
        <f>SUM(P105:S119)</f>
        <v>36.930778279920006</v>
      </c>
      <c r="P121" s="95" t="str">
        <f>$E$11</f>
        <v>kg N</v>
      </c>
    </row>
    <row r="124" spans="1:21" ht="20.100000000000001" customHeight="1" x14ac:dyDescent="0.2">
      <c r="C124" s="83"/>
      <c r="D124" s="83"/>
      <c r="E124" s="83"/>
      <c r="F124" s="83"/>
      <c r="G124" s="83"/>
      <c r="H124" s="83"/>
      <c r="I124" s="83"/>
      <c r="J124" s="83"/>
      <c r="K124" s="83"/>
      <c r="M124" s="83"/>
      <c r="N124" s="83"/>
      <c r="O124" s="83"/>
      <c r="P124" s="83"/>
      <c r="Q124" s="83"/>
      <c r="R124" s="83"/>
      <c r="S124" s="83"/>
      <c r="T124" s="83"/>
      <c r="U124" s="83"/>
    </row>
    <row r="125" spans="1:21" ht="20.100000000000001" customHeight="1" x14ac:dyDescent="0.2">
      <c r="D125" s="2" t="s">
        <v>1355</v>
      </c>
    </row>
    <row r="126" spans="1:21" ht="20.100000000000001" customHeight="1" x14ac:dyDescent="0.2">
      <c r="D126" s="17" t="s">
        <v>1356</v>
      </c>
    </row>
    <row r="127" spans="1:21" ht="20.100000000000001" customHeight="1" x14ac:dyDescent="0.2">
      <c r="D127" s="112"/>
      <c r="E127" s="112"/>
    </row>
    <row r="128" spans="1:21" ht="20.100000000000001" customHeight="1" x14ac:dyDescent="0.2">
      <c r="A128" s="79" t="str">
        <f>HYPERLINK("#A1", "▲ Back to top")</f>
        <v>▲ Back to top</v>
      </c>
    </row>
    <row r="130" spans="4:20" ht="20.100000000000001" customHeight="1" x14ac:dyDescent="0.2">
      <c r="D130" s="75" t="s">
        <v>328</v>
      </c>
      <c r="E130" s="1" t="s">
        <v>1357</v>
      </c>
    </row>
    <row r="131" spans="4:20" ht="20.100000000000001" customHeight="1" x14ac:dyDescent="0.2">
      <c r="D131" s="75" t="s">
        <v>118</v>
      </c>
      <c r="E131" s="9" t="s">
        <v>482</v>
      </c>
    </row>
    <row r="133" spans="4:20" ht="20.100000000000001" customHeight="1" x14ac:dyDescent="0.2">
      <c r="D133" s="113" t="s">
        <v>1346</v>
      </c>
      <c r="E133" s="122" t="s">
        <v>1347</v>
      </c>
      <c r="F133" s="123"/>
      <c r="G133" s="113" t="s">
        <v>482</v>
      </c>
      <c r="H133" s="115" t="s">
        <v>1287</v>
      </c>
      <c r="I133" s="116" t="str" cm="1">
        <f t="array" aca="1" ref="I133" ca="1">HYPERLINK(Common_InputFunctions.Utility_SourceHyperlink($D$19),$D$19)</f>
        <v>M1_Table_MN_j_k_m_T-2</v>
      </c>
    </row>
    <row r="134" spans="4:20" ht="20.100000000000001" customHeight="1" x14ac:dyDescent="0.2">
      <c r="D134" s="113" t="s">
        <v>1348</v>
      </c>
      <c r="E134" s="122" t="s">
        <v>1349</v>
      </c>
      <c r="F134" s="123"/>
      <c r="G134" s="113" t="s">
        <v>1288</v>
      </c>
      <c r="H134" s="115" t="s">
        <v>1203</v>
      </c>
      <c r="I134" s="116" t="str" cm="1">
        <f t="array" aca="1" ref="I134" ca="1">HYPERLINK(Common_InputFunctions.Utility_SourceHyperlink($D$38),$D$38)</f>
        <v>Table_EF_m</v>
      </c>
    </row>
    <row r="135" spans="4:20" ht="20.100000000000001" customHeight="1" x14ac:dyDescent="0.2">
      <c r="D135" s="113" t="s">
        <v>1350</v>
      </c>
      <c r="E135" s="122" t="s">
        <v>1351</v>
      </c>
      <c r="F135" s="123"/>
      <c r="G135" s="113" t="s">
        <v>1311</v>
      </c>
      <c r="H135" s="115" t="s">
        <v>1203</v>
      </c>
      <c r="I135" s="116" t="str" cm="1">
        <f t="array" aca="1" ref="I135" ca="1">HYPERLINK(Common_InputFunctions.Utility_SourceHyperlink($D$51),$D$51)</f>
        <v>Table_FracGASM_m_T</v>
      </c>
    </row>
    <row r="136" spans="4:20" ht="20.100000000000001" customHeight="1" x14ac:dyDescent="0.2">
      <c r="D136" s="113" t="s">
        <v>1352</v>
      </c>
      <c r="E136" s="122" t="s">
        <v>1353</v>
      </c>
      <c r="F136" s="123"/>
      <c r="G136" s="113" t="s">
        <v>482</v>
      </c>
      <c r="H136" s="115" t="s">
        <v>1342</v>
      </c>
      <c r="I136" s="116" t="str" cm="1">
        <f t="array" aca="1" ref="I136" ca="1">HYPERLINK(Common_InputFunctions.Utility_SourceHyperlink($D$64),$D$64)</f>
        <v>M1_Table_MNLeach_MMS</v>
      </c>
    </row>
    <row r="137" spans="4:20" ht="20.100000000000001" customHeight="1" x14ac:dyDescent="0.2">
      <c r="D137" s="113" t="s">
        <v>454</v>
      </c>
      <c r="E137" s="122" t="s">
        <v>1354</v>
      </c>
      <c r="F137" s="123"/>
      <c r="G137" s="113" t="s">
        <v>307</v>
      </c>
      <c r="H137" s="114" t="s">
        <v>1202</v>
      </c>
      <c r="I137" s="116" t="str" cm="1">
        <f t="array" aca="1" ref="I137" ca="1">HYPERLINK(Common_InputFunctions.Utility_SourceHyperlink($D$83),$D$83)</f>
        <v>Table_PF</v>
      </c>
    </row>
    <row r="139" spans="4:20" ht="20.100000000000001" customHeight="1" x14ac:dyDescent="0.2">
      <c r="D139" s="118" t="s">
        <v>460</v>
      </c>
      <c r="N139" s="118" t="s">
        <v>461</v>
      </c>
    </row>
    <row r="140" spans="4:20" ht="20.100000000000001" customHeight="1" x14ac:dyDescent="0.2">
      <c r="D140" s="119" t="s">
        <v>462</v>
      </c>
      <c r="N140" s="119" t="s">
        <v>463</v>
      </c>
    </row>
    <row r="141" spans="4:20" ht="20.100000000000001" customHeight="1" x14ac:dyDescent="0.2">
      <c r="D141" s="120" t="s">
        <v>314</v>
      </c>
      <c r="E141" s="120" t="s">
        <v>318</v>
      </c>
      <c r="F141" s="120" t="s">
        <v>297</v>
      </c>
      <c r="G141" s="120" t="s">
        <v>298</v>
      </c>
      <c r="H141" s="120" t="s">
        <v>299</v>
      </c>
      <c r="I141" s="120" t="s">
        <v>300</v>
      </c>
      <c r="N141" s="120" t="s">
        <v>314</v>
      </c>
      <c r="O141" s="120" t="s">
        <v>318</v>
      </c>
      <c r="P141" s="120" t="s">
        <v>297</v>
      </c>
      <c r="Q141" s="120" t="s">
        <v>298</v>
      </c>
      <c r="R141" s="120" t="s">
        <v>299</v>
      </c>
      <c r="S141" s="120" t="s">
        <v>300</v>
      </c>
    </row>
    <row r="142" spans="4:20" ht="20.100000000000001" customHeight="1" x14ac:dyDescent="0.2">
      <c r="D142" s="15" t="str">
        <f>INDEX(X_Table_Poultry_Stage1MMS,2,1)</f>
        <v>Poultry manure with bedding</v>
      </c>
      <c r="E142" s="15" t="str">
        <f>INDEX(X_Table_Poultry_Stage2MMS_PoultryManureWithBedding,2,1)</f>
        <v>Solid storage</v>
      </c>
      <c r="F142" s="15">
        <f>((F22 * (1 - (_xlfn.XLOOKUP($E142, $D$41:$D$49,$E$41:$E$49)) - (_xlfn.XLOOKUP($E142, $D$54:$D$62,$E$54:$E$62))) - F67) * (1 - $F86))</f>
        <v>0.13808786940000004</v>
      </c>
      <c r="G142" s="15">
        <f>((G22 * (1 - (_xlfn.XLOOKUP($E142, $D$41:$D$49,$E$41:$E$49)) - (_xlfn.XLOOKUP($E142, $D$54:$D$62,$E$54:$E$62))) - G67) * (1 - $F86))</f>
        <v>0.14739297138000002</v>
      </c>
      <c r="H142" s="15">
        <f>((H22 * (1 - (_xlfn.XLOOKUP($E142, $D$41:$D$49,$E$41:$E$49)) - (_xlfn.XLOOKUP($E142, $D$54:$D$62,$E$54:$E$62))) - H67) * (1 - $F86))</f>
        <v>0.17301743063999997</v>
      </c>
      <c r="I142" s="15">
        <f>((I22 * (1 - (_xlfn.XLOOKUP($E142, $D$41:$D$49,$E$41:$E$49)) - (_xlfn.XLOOKUP($E142, $D$54:$D$62,$E$54:$E$62))) - I67) * (1 - $F86))</f>
        <v>0.14739297138000002</v>
      </c>
      <c r="J142" s="16" t="str">
        <f>$E$131</f>
        <v>kg N</v>
      </c>
      <c r="N142" s="15" t="str">
        <f>INDEX(X_Table_Poultry_Stage1MMS,2,1)</f>
        <v>Poultry manure with bedding</v>
      </c>
      <c r="O142" s="15" t="str">
        <f>INDEX(X_Table_Poultry_Stage2MMS_PoultryManureWithBedding,2,1)</f>
        <v>Solid storage</v>
      </c>
      <c r="P142" s="15">
        <f>((P22 * (1 - (_xlfn.XLOOKUP($O142, $D$41:$D$49,$E$41:$E$49)) - (_xlfn.XLOOKUP($O142, $D$54:$D$62,$E$54:$E$62))) - P67) * (1 - $F86))</f>
        <v>0.13808786940000004</v>
      </c>
      <c r="Q142" s="15">
        <f>((Q22 * (1 - (_xlfn.XLOOKUP($O142, $D$41:$D$49,$E$41:$E$49)) - (_xlfn.XLOOKUP($O142, $D$54:$D$62,$E$54:$E$62))) - Q67) * (1 - $F86))</f>
        <v>0.14739297138000002</v>
      </c>
      <c r="R142" s="15">
        <f>((R22 * (1 - (_xlfn.XLOOKUP($O142, $D$41:$D$49,$E$41:$E$49)) - (_xlfn.XLOOKUP($O142, $D$54:$D$62,$E$54:$E$62))) - R67) * (1 - $F86))</f>
        <v>0.17301743063999997</v>
      </c>
      <c r="S142" s="15">
        <f>((S22 * (1 - (_xlfn.XLOOKUP($O142, $D$41:$D$49,$E$41:$E$49)) - (_xlfn.XLOOKUP($O142, $D$54:$D$62,$E$54:$E$62))) - S67) * (1 - $F86))</f>
        <v>0.14739297138000002</v>
      </c>
      <c r="T142" s="16" t="str">
        <f>$E$131</f>
        <v>kg N</v>
      </c>
    </row>
    <row r="143" spans="4:20" ht="20.100000000000001" customHeight="1" x14ac:dyDescent="0.2">
      <c r="D143" s="15"/>
      <c r="E143" s="15" t="str">
        <f>INDEX(X_Table_Poultry_Stage2MMS_PoultryManureWithBedding,3,1)</f>
        <v>Composting (passive windrow)</v>
      </c>
      <c r="F143" s="15">
        <f>((F23 * (1 - (_xlfn.XLOOKUP($E143, $D$41:$D$49,$E$41:$E$49)) - (_xlfn.XLOOKUP($E143, $D$54:$D$62,$E$54:$E$62))) - F68) * (1 - $F87))</f>
        <v>0.14076053784000003</v>
      </c>
      <c r="G143" s="15">
        <f>((G23 * (1 - (_xlfn.XLOOKUP($E143, $D$41:$D$49,$E$41:$E$49)) - (_xlfn.XLOOKUP($E143, $D$54:$D$62,$E$54:$E$62))) - G68) * (1 - $F87))</f>
        <v>0.150245738568</v>
      </c>
      <c r="H143" s="15">
        <f>((H23 * (1 - (_xlfn.XLOOKUP($E143, $D$41:$D$49,$E$41:$E$49)) - (_xlfn.XLOOKUP($E143, $D$54:$D$62,$E$54:$E$62))) - H68) * (1 - $F87))</f>
        <v>0.176366155104</v>
      </c>
      <c r="I143" s="15">
        <f>((I23 * (1 - (_xlfn.XLOOKUP($E143, $D$41:$D$49,$E$41:$E$49)) - (_xlfn.XLOOKUP($E143, $D$54:$D$62,$E$54:$E$62))) - I68) * (1 - $F87))</f>
        <v>0.150245738568</v>
      </c>
      <c r="J143" s="16"/>
      <c r="N143" s="15"/>
      <c r="O143" s="15" t="str">
        <f>INDEX(X_Table_Poultry_Stage2MMS_PoultryManureWithBedding,3,1)</f>
        <v>Composting (passive windrow)</v>
      </c>
      <c r="P143" s="15">
        <f>((P23 * (1 - (_xlfn.XLOOKUP($O143, $D$41:$D$49,$E$41:$E$49)) - (_xlfn.XLOOKUP($O143, $D$54:$D$62,$E$54:$E$62))) - P68) * (1 - $F87))</f>
        <v>0.14076053784000003</v>
      </c>
      <c r="Q143" s="15">
        <f>((Q23 * (1 - (_xlfn.XLOOKUP($O143, $D$41:$D$49,$E$41:$E$49)) - (_xlfn.XLOOKUP($O143, $D$54:$D$62,$E$54:$E$62))) - Q68) * (1 - $F87))</f>
        <v>0.150245738568</v>
      </c>
      <c r="R143" s="15">
        <f>((R23 * (1 - (_xlfn.XLOOKUP($O143, $D$41:$D$49,$E$41:$E$49)) - (_xlfn.XLOOKUP($O143, $D$54:$D$62,$E$54:$E$62))) - R68) * (1 - $F87))</f>
        <v>0.176366155104</v>
      </c>
      <c r="S143" s="15">
        <f>((S23 * (1 - (_xlfn.XLOOKUP($O143, $D$41:$D$49,$E$41:$E$49)) - (_xlfn.XLOOKUP($O143, $D$54:$D$62,$E$54:$E$62))) - S68) * (1 - $F87))</f>
        <v>0.150245738568</v>
      </c>
      <c r="T143" s="16"/>
    </row>
    <row r="144" spans="4:20" ht="20.100000000000001" customHeight="1" x14ac:dyDescent="0.2">
      <c r="D144" s="15"/>
      <c r="E144" s="15" t="str">
        <f>INDEX(X_Table_Poultry_Stage2MMS_PoultryManureWithBedding,4,1)</f>
        <v>Digester / covered lagoons</v>
      </c>
      <c r="F144" s="15">
        <f>((F24 * (1 - (_xlfn.XLOOKUP($E144, $D$41:$D$49,$E$41:$E$49)) - (_xlfn.XLOOKUP($E144, $D$54:$D$62,$E$54:$E$62))) - F69) * (1 - $F88))</f>
        <v>0.17817789600000003</v>
      </c>
      <c r="G144" s="15">
        <f>((G24 * (1 - (_xlfn.XLOOKUP($E144, $D$41:$D$49,$E$41:$E$49)) - (_xlfn.XLOOKUP($E144, $D$54:$D$62,$E$54:$E$62))) - G69) * (1 - $F88))</f>
        <v>0.19018447920000001</v>
      </c>
      <c r="H144" s="15">
        <f>((H24 * (1 - (_xlfn.XLOOKUP($E144, $D$41:$D$49,$E$41:$E$49)) - (_xlfn.XLOOKUP($E144, $D$54:$D$62,$E$54:$E$62))) - H69) * (1 - $F88))</f>
        <v>0.22324829759999998</v>
      </c>
      <c r="I144" s="15">
        <f>((I24 * (1 - (_xlfn.XLOOKUP($E144, $D$41:$D$49,$E$41:$E$49)) - (_xlfn.XLOOKUP($E144, $D$54:$D$62,$E$54:$E$62))) - I69) * (1 - $F88))</f>
        <v>0.19018447920000001</v>
      </c>
      <c r="J144" s="16"/>
      <c r="N144" s="15"/>
      <c r="O144" s="15" t="str">
        <f>INDEX(X_Table_Poultry_Stage2MMS_PoultryManureWithBedding,4,1)</f>
        <v>Digester / covered lagoons</v>
      </c>
      <c r="P144" s="15">
        <f>((P24 * (1 - (_xlfn.XLOOKUP($O144, $D$41:$D$49,$E$41:$E$49)) - (_xlfn.XLOOKUP($O144, $D$54:$D$62,$E$54:$E$62))) - P69) * (1 - $F88))</f>
        <v>0.17817789600000003</v>
      </c>
      <c r="Q144" s="15">
        <f>((Q24 * (1 - (_xlfn.XLOOKUP($O144, $D$41:$D$49,$E$41:$E$49)) - (_xlfn.XLOOKUP($O144, $D$54:$D$62,$E$54:$E$62))) - Q69) * (1 - $F88))</f>
        <v>0.19018447920000001</v>
      </c>
      <c r="R144" s="15">
        <f>((R24 * (1 - (_xlfn.XLOOKUP($O144, $D$41:$D$49,$E$41:$E$49)) - (_xlfn.XLOOKUP($O144, $D$54:$D$62,$E$54:$E$62))) - R69) * (1 - $F88))</f>
        <v>0.22324829759999998</v>
      </c>
      <c r="S144" s="15">
        <f>((S24 * (1 - (_xlfn.XLOOKUP($O144, $D$41:$D$49,$E$41:$E$49)) - (_xlfn.XLOOKUP($O144, $D$54:$D$62,$E$54:$E$62))) - S69) * (1 - $F88))</f>
        <v>0.19018447920000001</v>
      </c>
      <c r="T144" s="16"/>
    </row>
    <row r="145" spans="1:20" ht="20.100000000000001" customHeight="1" x14ac:dyDescent="0.2">
      <c r="D145" s="15"/>
      <c r="E145" s="15" t="str">
        <f>INDEX(X_Table_Poultry_Stage2MMS_PoultryManureWithBedding,5,1)</f>
        <v>Direct processing</v>
      </c>
      <c r="F145" s="15">
        <f>((F25 * (1 - (_xlfn.XLOOKUP($E145, $D$41:$D$49,$E$41:$E$49)) - (_xlfn.XLOOKUP($E145, $D$54:$D$62,$E$54:$E$62))) - F70) * (1 - $F89))</f>
        <v>0.17817789600000003</v>
      </c>
      <c r="G145" s="15">
        <f>((G25 * (1 - (_xlfn.XLOOKUP($E145, $D$41:$D$49,$E$41:$E$49)) - (_xlfn.XLOOKUP($E145, $D$54:$D$62,$E$54:$E$62))) - G70) * (1 - $F89))</f>
        <v>0.19018447920000001</v>
      </c>
      <c r="H145" s="15">
        <f>((H25 * (1 - (_xlfn.XLOOKUP($E145, $D$41:$D$49,$E$41:$E$49)) - (_xlfn.XLOOKUP($E145, $D$54:$D$62,$E$54:$E$62))) - H70) * (1 - $F89))</f>
        <v>0.22324829759999998</v>
      </c>
      <c r="I145" s="15">
        <f>((I25 * (1 - (_xlfn.XLOOKUP($E145, $D$41:$D$49,$E$41:$E$49)) - (_xlfn.XLOOKUP($E145, $D$54:$D$62,$E$54:$E$62))) - I70) * (1 - $F89))</f>
        <v>0.19018447920000001</v>
      </c>
      <c r="J145" s="16"/>
      <c r="N145" s="15"/>
      <c r="O145" s="15" t="str">
        <f>INDEX(X_Table_Poultry_Stage2MMS_PoultryManureWithBedding,5,1)</f>
        <v>Direct processing</v>
      </c>
      <c r="P145" s="15">
        <f>((P25 * (1 - (_xlfn.XLOOKUP($O145, $D$41:$D$49,$E$41:$E$49)) - (_xlfn.XLOOKUP($O145, $D$54:$D$62,$E$54:$E$62))) - P70) * (1 - $F89))</f>
        <v>0.17817789600000003</v>
      </c>
      <c r="Q145" s="15">
        <f>((Q25 * (1 - (_xlfn.XLOOKUP($O145, $D$41:$D$49,$E$41:$E$49)) - (_xlfn.XLOOKUP($O145, $D$54:$D$62,$E$54:$E$62))) - Q70) * (1 - $F89))</f>
        <v>0.19018447920000001</v>
      </c>
      <c r="R145" s="15">
        <f>((R25 * (1 - (_xlfn.XLOOKUP($O145, $D$41:$D$49,$E$41:$E$49)) - (_xlfn.XLOOKUP($O145, $D$54:$D$62,$E$54:$E$62))) - R70) * (1 - $F89))</f>
        <v>0.22324829759999998</v>
      </c>
      <c r="S145" s="15">
        <f>((S25 * (1 - (_xlfn.XLOOKUP($O145, $D$41:$D$49,$E$41:$E$49)) - (_xlfn.XLOOKUP($O145, $D$54:$D$62,$E$54:$E$62))) - S70) * (1 - $F89))</f>
        <v>0.19018447920000001</v>
      </c>
      <c r="T145" s="16"/>
    </row>
    <row r="146" spans="1:20" ht="20.100000000000001" customHeight="1" x14ac:dyDescent="0.2">
      <c r="D146" s="15"/>
      <c r="E146" s="15" t="str">
        <f>INDEX(X_Table_Poultry_Stage2MMS_PoultryManureWithBedding,6,1)</f>
        <v>Direct application</v>
      </c>
      <c r="F146" s="15">
        <f>((F26 * (1 - (_xlfn.XLOOKUP($E146, $D$41:$D$49,$E$41:$E$49)) - (_xlfn.XLOOKUP($E146, $D$54:$D$62,$E$54:$E$62))) - F71) * (1 - $F90))</f>
        <v>0</v>
      </c>
      <c r="G146" s="15">
        <f>((G26 * (1 - (_xlfn.XLOOKUP($E146, $D$41:$D$49,$E$41:$E$49)) - (_xlfn.XLOOKUP($E146, $D$54:$D$62,$E$54:$E$62))) - G71) * (1 - $F90))</f>
        <v>0</v>
      </c>
      <c r="H146" s="15">
        <f>((H26 * (1 - (_xlfn.XLOOKUP($E146, $D$41:$D$49,$E$41:$E$49)) - (_xlfn.XLOOKUP($E146, $D$54:$D$62,$E$54:$E$62))) - H71) * (1 - $F90))</f>
        <v>0</v>
      </c>
      <c r="I146" s="15">
        <f>((I26 * (1 - (_xlfn.XLOOKUP($E146, $D$41:$D$49,$E$41:$E$49)) - (_xlfn.XLOOKUP($E146, $D$54:$D$62,$E$54:$E$62))) - I71) * (1 - $F90))</f>
        <v>0</v>
      </c>
      <c r="N146" s="15"/>
      <c r="O146" s="15" t="str">
        <f>INDEX(X_Table_Poultry_Stage2MMS_PoultryManureWithBedding,6,1)</f>
        <v>Direct application</v>
      </c>
      <c r="P146" s="15">
        <f>((P26 * (1 - (_xlfn.XLOOKUP($O146, $D$41:$D$49,$E$41:$E$49)) - (_xlfn.XLOOKUP($O146, $D$54:$D$62,$E$54:$E$62))) - P71) * (1 - $F90))</f>
        <v>0</v>
      </c>
      <c r="Q146" s="15">
        <f>((Q26 * (1 - (_xlfn.XLOOKUP($O146, $D$41:$D$49,$E$41:$E$49)) - (_xlfn.XLOOKUP($O146, $D$54:$D$62,$E$54:$E$62))) - Q71) * (1 - $F90))</f>
        <v>0</v>
      </c>
      <c r="R146" s="15">
        <f>((R26 * (1 - (_xlfn.XLOOKUP($O146, $D$41:$D$49,$E$41:$E$49)) - (_xlfn.XLOOKUP($O146, $D$54:$D$62,$E$54:$E$62))) - R71) * (1 - $F90))</f>
        <v>0</v>
      </c>
      <c r="S146" s="15">
        <f>((S26 * (1 - (_xlfn.XLOOKUP($O146, $D$41:$D$49,$E$41:$E$49)) - (_xlfn.XLOOKUP($O146, $D$54:$D$62,$E$54:$E$62))) - S71) * (1 - $F90))</f>
        <v>0</v>
      </c>
    </row>
    <row r="147" spans="1:20" ht="20.100000000000001" customHeight="1" x14ac:dyDescent="0.2">
      <c r="D147" s="15" t="str">
        <f>INDEX(X_Table_Poultry_Stage1MMS,3,1)</f>
        <v>Belt manure removal</v>
      </c>
      <c r="E147" s="15" t="str">
        <f>INDEX(X_Table_Poultry_Stage2MMS_BeltManureRemoval,2,1)</f>
        <v>Solid storage</v>
      </c>
      <c r="F147" s="15">
        <f>((F27 * (1 - (_xlfn.XLOOKUP($E147, $D$41:$D$49,$E$41:$E$49)) - (_xlfn.XLOOKUP($E147, $D$54:$D$62,$E$54:$E$62))) - F72) * (1 - $F91))</f>
        <v>0.18747551940000004</v>
      </c>
      <c r="G147" s="15">
        <f>((G27 * (1 - (_xlfn.XLOOKUP($E147, $D$41:$D$49,$E$41:$E$49)) - (_xlfn.XLOOKUP($E147, $D$54:$D$62,$E$54:$E$62))) - G72) * (1 - $F91))</f>
        <v>0.20010862637999999</v>
      </c>
      <c r="H147" s="15">
        <f>((H27 * (1 - (_xlfn.XLOOKUP($E147, $D$41:$D$49,$E$41:$E$49)) - (_xlfn.XLOOKUP($E147, $D$54:$D$62,$E$54:$E$62))) - H72) * (1 - $F91))</f>
        <v>0.23489777063999998</v>
      </c>
      <c r="I147" s="15">
        <f>((I27 * (1 - (_xlfn.XLOOKUP($E147, $D$41:$D$49,$E$41:$E$49)) - (_xlfn.XLOOKUP($E147, $D$54:$D$62,$E$54:$E$62))) - I72) * (1 - $F91))</f>
        <v>0.20010862637999999</v>
      </c>
      <c r="J147" s="16"/>
      <c r="N147" s="15" t="str">
        <f>INDEX(X_Table_Poultry_Stage1MMS,3,1)</f>
        <v>Belt manure removal</v>
      </c>
      <c r="O147" s="15" t="str">
        <f>INDEX(X_Table_Poultry_Stage2MMS_BeltManureRemoval,2,1)</f>
        <v>Solid storage</v>
      </c>
      <c r="P147" s="15">
        <f>((P27 * (1 - (_xlfn.XLOOKUP($O147, $D$41:$D$49,$E$41:$E$49)) - (_xlfn.XLOOKUP($O147, $D$54:$D$62,$E$54:$E$62))) - P72) * (1 - $F91))</f>
        <v>0.18747551940000004</v>
      </c>
      <c r="Q147" s="15">
        <f>((Q27 * (1 - (_xlfn.XLOOKUP($O147, $D$41:$D$49,$E$41:$E$49)) - (_xlfn.XLOOKUP($O147, $D$54:$D$62,$E$54:$E$62))) - Q72) * (1 - $F91))</f>
        <v>0.20010862637999999</v>
      </c>
      <c r="R147" s="15">
        <f>((R27 * (1 - (_xlfn.XLOOKUP($O147, $D$41:$D$49,$E$41:$E$49)) - (_xlfn.XLOOKUP($O147, $D$54:$D$62,$E$54:$E$62))) - R72) * (1 - $F91))</f>
        <v>0.23489777063999998</v>
      </c>
      <c r="S147" s="15">
        <f>((S27 * (1 - (_xlfn.XLOOKUP($O147, $D$41:$D$49,$E$41:$E$49)) - (_xlfn.XLOOKUP($O147, $D$54:$D$62,$E$54:$E$62))) - S72) * (1 - $F91))</f>
        <v>0.20010862637999999</v>
      </c>
      <c r="T147" s="16"/>
    </row>
    <row r="148" spans="1:20" ht="20.100000000000001" customHeight="1" x14ac:dyDescent="0.2">
      <c r="D148" s="15"/>
      <c r="E148" s="15" t="str">
        <f>INDEX(X_Table_Poultry_Stage2MMS_BeltManureRemoval,3,1)</f>
        <v>Composting (passive windrow)</v>
      </c>
      <c r="F148" s="15">
        <f>((F28 * (1 - (_xlfn.XLOOKUP($E148, $D$41:$D$49,$E$41:$E$49)) - (_xlfn.XLOOKUP($E148, $D$54:$D$62,$E$54:$E$62))) - F73) * (1 - $F92))</f>
        <v>0.19110407784000005</v>
      </c>
      <c r="G148" s="15">
        <f>((G28 * (1 - (_xlfn.XLOOKUP($E148, $D$41:$D$49,$E$41:$E$49)) - (_xlfn.XLOOKUP($E148, $D$54:$D$62,$E$54:$E$62))) - G73) * (1 - $F92))</f>
        <v>0.20398169656800003</v>
      </c>
      <c r="H148" s="15">
        <f>((H28 * (1 - (_xlfn.XLOOKUP($E148, $D$41:$D$49,$E$41:$E$49)) - (_xlfn.XLOOKUP($E148, $D$54:$D$62,$E$54:$E$62))) - H73) * (1 - $F92))</f>
        <v>0.23944417910400001</v>
      </c>
      <c r="I148" s="15">
        <f>((I28 * (1 - (_xlfn.XLOOKUP($E148, $D$41:$D$49,$E$41:$E$49)) - (_xlfn.XLOOKUP($E148, $D$54:$D$62,$E$54:$E$62))) - I73) * (1 - $F92))</f>
        <v>0.20398169656800003</v>
      </c>
      <c r="J148" s="16"/>
      <c r="N148" s="15"/>
      <c r="O148" s="15" t="str">
        <f>INDEX(X_Table_Poultry_Stage2MMS_BeltManureRemoval,3,1)</f>
        <v>Composting (passive windrow)</v>
      </c>
      <c r="P148" s="15">
        <f>((P28 * (1 - (_xlfn.XLOOKUP($O148, $D$41:$D$49,$E$41:$E$49)) - (_xlfn.XLOOKUP($O148, $D$54:$D$62,$E$54:$E$62))) - P73) * (1 - $F92))</f>
        <v>0.19110407784000005</v>
      </c>
      <c r="Q148" s="15">
        <f>((Q28 * (1 - (_xlfn.XLOOKUP($O148, $D$41:$D$49,$E$41:$E$49)) - (_xlfn.XLOOKUP($O148, $D$54:$D$62,$E$54:$E$62))) - Q73) * (1 - $F92))</f>
        <v>0.20398169656800003</v>
      </c>
      <c r="R148" s="15">
        <f>((R28 * (1 - (_xlfn.XLOOKUP($O148, $D$41:$D$49,$E$41:$E$49)) - (_xlfn.XLOOKUP($O148, $D$54:$D$62,$E$54:$E$62))) - R73) * (1 - $F92))</f>
        <v>0.23944417910400001</v>
      </c>
      <c r="S148" s="15">
        <f>((S28 * (1 - (_xlfn.XLOOKUP($O148, $D$41:$D$49,$E$41:$E$49)) - (_xlfn.XLOOKUP($O148, $D$54:$D$62,$E$54:$E$62))) - S73) * (1 - $F92))</f>
        <v>0.20398169656800003</v>
      </c>
      <c r="T148" s="16"/>
    </row>
    <row r="149" spans="1:20" ht="20.100000000000001" customHeight="1" x14ac:dyDescent="0.2">
      <c r="D149" s="15"/>
      <c r="E149" s="15" t="str">
        <f>INDEX(X_Table_Poultry_Stage2MMS_BeltManureRemoval,4,1)</f>
        <v>Digester / covered lagoons</v>
      </c>
      <c r="F149" s="15">
        <f>((F29 * (1 - (_xlfn.XLOOKUP($E149, $D$41:$D$49,$E$41:$E$49)) - (_xlfn.XLOOKUP($E149, $D$54:$D$62,$E$54:$E$62))) - F74) * (1 - $F93))</f>
        <v>0.24190389600000006</v>
      </c>
      <c r="G149" s="15">
        <f>((G29 * (1 - (_xlfn.XLOOKUP($E149, $D$41:$D$49,$E$41:$E$49)) - (_xlfn.XLOOKUP($E149, $D$54:$D$62,$E$54:$E$62))) - G74) * (1 - $F93))</f>
        <v>0.25820467920000001</v>
      </c>
      <c r="H149" s="15">
        <f>((H29 * (1 - (_xlfn.XLOOKUP($E149, $D$41:$D$49,$E$41:$E$49)) - (_xlfn.XLOOKUP($E149, $D$54:$D$62,$E$54:$E$62))) - H74) * (1 - $F93))</f>
        <v>0.3030938976</v>
      </c>
      <c r="I149" s="15">
        <f>((I29 * (1 - (_xlfn.XLOOKUP($E149, $D$41:$D$49,$E$41:$E$49)) - (_xlfn.XLOOKUP($E149, $D$54:$D$62,$E$54:$E$62))) - I74) * (1 - $F93))</f>
        <v>0.25820467920000001</v>
      </c>
      <c r="J149" s="16"/>
      <c r="N149" s="15"/>
      <c r="O149" s="15" t="str">
        <f>INDEX(X_Table_Poultry_Stage2MMS_BeltManureRemoval,4,1)</f>
        <v>Digester / covered lagoons</v>
      </c>
      <c r="P149" s="15">
        <f>((P29 * (1 - (_xlfn.XLOOKUP($O149, $D$41:$D$49,$E$41:$E$49)) - (_xlfn.XLOOKUP($O149, $D$54:$D$62,$E$54:$E$62))) - P74) * (1 - $F93))</f>
        <v>0.24190389600000006</v>
      </c>
      <c r="Q149" s="15">
        <f>((Q29 * (1 - (_xlfn.XLOOKUP($O149, $D$41:$D$49,$E$41:$E$49)) - (_xlfn.XLOOKUP($O149, $D$54:$D$62,$E$54:$E$62))) - Q74) * (1 - $F93))</f>
        <v>0.25820467920000001</v>
      </c>
      <c r="R149" s="15">
        <f>((R29 * (1 - (_xlfn.XLOOKUP($O149, $D$41:$D$49,$E$41:$E$49)) - (_xlfn.XLOOKUP($O149, $D$54:$D$62,$E$54:$E$62))) - R74) * (1 - $F93))</f>
        <v>0.3030938976</v>
      </c>
      <c r="S149" s="15">
        <f>((S29 * (1 - (_xlfn.XLOOKUP($O149, $D$41:$D$49,$E$41:$E$49)) - (_xlfn.XLOOKUP($O149, $D$54:$D$62,$E$54:$E$62))) - S74) * (1 - $F93))</f>
        <v>0.25820467920000001</v>
      </c>
      <c r="T149" s="16"/>
    </row>
    <row r="150" spans="1:20" ht="20.100000000000001" customHeight="1" x14ac:dyDescent="0.2">
      <c r="D150" s="15"/>
      <c r="E150" s="15" t="str">
        <f>INDEX(X_Table_Poultry_Stage2MMS_BeltManureRemoval,5,1)</f>
        <v>Direct processing</v>
      </c>
      <c r="F150" s="15">
        <f>((F30 * (1 - (_xlfn.XLOOKUP($E150, $D$41:$D$49,$E$41:$E$49)) - (_xlfn.XLOOKUP($E150, $D$54:$D$62,$E$54:$E$62))) - F75) * (1 - $F94))</f>
        <v>0.24190389600000006</v>
      </c>
      <c r="G150" s="15">
        <f>((G30 * (1 - (_xlfn.XLOOKUP($E150, $D$41:$D$49,$E$41:$E$49)) - (_xlfn.XLOOKUP($E150, $D$54:$D$62,$E$54:$E$62))) - G75) * (1 - $F94))</f>
        <v>0.25820467920000001</v>
      </c>
      <c r="H150" s="15">
        <f>((H30 * (1 - (_xlfn.XLOOKUP($E150, $D$41:$D$49,$E$41:$E$49)) - (_xlfn.XLOOKUP($E150, $D$54:$D$62,$E$54:$E$62))) - H75) * (1 - $F94))</f>
        <v>0.3030938976</v>
      </c>
      <c r="I150" s="15">
        <f>((I30 * (1 - (_xlfn.XLOOKUP($E150, $D$41:$D$49,$E$41:$E$49)) - (_xlfn.XLOOKUP($E150, $D$54:$D$62,$E$54:$E$62))) - I75) * (1 - $F94))</f>
        <v>0.25820467920000001</v>
      </c>
      <c r="J150" s="16"/>
      <c r="N150" s="15"/>
      <c r="O150" s="15" t="str">
        <f>INDEX(X_Table_Poultry_Stage2MMS_BeltManureRemoval,5,1)</f>
        <v>Direct processing</v>
      </c>
      <c r="P150" s="15">
        <f>((P30 * (1 - (_xlfn.XLOOKUP($O150, $D$41:$D$49,$E$41:$E$49)) - (_xlfn.XLOOKUP($O150, $D$54:$D$62,$E$54:$E$62))) - P75) * (1 - $F94))</f>
        <v>0.24190389600000006</v>
      </c>
      <c r="Q150" s="15">
        <f>((Q30 * (1 - (_xlfn.XLOOKUP($O150, $D$41:$D$49,$E$41:$E$49)) - (_xlfn.XLOOKUP($O150, $D$54:$D$62,$E$54:$E$62))) - Q75) * (1 - $F94))</f>
        <v>0.25820467920000001</v>
      </c>
      <c r="R150" s="15">
        <f>((R30 * (1 - (_xlfn.XLOOKUP($O150, $D$41:$D$49,$E$41:$E$49)) - (_xlfn.XLOOKUP($O150, $D$54:$D$62,$E$54:$E$62))) - R75) * (1 - $F94))</f>
        <v>0.3030938976</v>
      </c>
      <c r="S150" s="15">
        <f>((S30 * (1 - (_xlfn.XLOOKUP($O150, $D$41:$D$49,$E$41:$E$49)) - (_xlfn.XLOOKUP($O150, $D$54:$D$62,$E$54:$E$62))) - S75) * (1 - $F94))</f>
        <v>0.25820467920000001</v>
      </c>
      <c r="T150" s="16"/>
    </row>
    <row r="151" spans="1:20" ht="20.100000000000001" customHeight="1" x14ac:dyDescent="0.2">
      <c r="D151" s="15"/>
      <c r="E151" s="15" t="str">
        <f>INDEX(X_Table_Poultry_Stage2MMS_BeltManureRemoval,6,1)</f>
        <v>Direct application</v>
      </c>
      <c r="F151" s="15">
        <f>((F31 * (1 - (_xlfn.XLOOKUP($E151, $D$41:$D$49,$E$41:$E$49)) - (_xlfn.XLOOKUP($E151, $D$54:$D$62,$E$54:$E$62))) - F76) * (1 - $F95))</f>
        <v>0</v>
      </c>
      <c r="G151" s="15">
        <f>((G31 * (1 - (_xlfn.XLOOKUP($E151, $D$41:$D$49,$E$41:$E$49)) - (_xlfn.XLOOKUP($E151, $D$54:$D$62,$E$54:$E$62))) - G76) * (1 - $F95))</f>
        <v>0</v>
      </c>
      <c r="H151" s="15">
        <f>((H31 * (1 - (_xlfn.XLOOKUP($E151, $D$41:$D$49,$E$41:$E$49)) - (_xlfn.XLOOKUP($E151, $D$54:$D$62,$E$54:$E$62))) - H76) * (1 - $F95))</f>
        <v>0</v>
      </c>
      <c r="I151" s="15">
        <f>((I31 * (1 - (_xlfn.XLOOKUP($E151, $D$41:$D$49,$E$41:$E$49)) - (_xlfn.XLOOKUP($E151, $D$54:$D$62,$E$54:$E$62))) - I76) * (1 - $F95))</f>
        <v>0</v>
      </c>
      <c r="N151" s="15"/>
      <c r="O151" s="15" t="str">
        <f>INDEX(X_Table_Poultry_Stage2MMS_BeltManureRemoval,6,1)</f>
        <v>Direct application</v>
      </c>
      <c r="P151" s="15">
        <f>((P31 * (1 - (_xlfn.XLOOKUP($O151, $D$41:$D$49,$E$41:$E$49)) - (_xlfn.XLOOKUP($O151, $D$54:$D$62,$E$54:$E$62))) - P76) * (1 - $F95))</f>
        <v>0</v>
      </c>
      <c r="Q151" s="15">
        <f>((Q31 * (1 - (_xlfn.XLOOKUP($O151, $D$41:$D$49,$E$41:$E$49)) - (_xlfn.XLOOKUP($O151, $D$54:$D$62,$E$54:$E$62))) - Q76) * (1 - $F95))</f>
        <v>0</v>
      </c>
      <c r="R151" s="15">
        <f>((R31 * (1 - (_xlfn.XLOOKUP($O151, $D$41:$D$49,$E$41:$E$49)) - (_xlfn.XLOOKUP($O151, $D$54:$D$62,$E$54:$E$62))) - R76) * (1 - $F95))</f>
        <v>0</v>
      </c>
      <c r="S151" s="15">
        <f>((S31 * (1 - (_xlfn.XLOOKUP($O151, $D$41:$D$49,$E$41:$E$49)) - (_xlfn.XLOOKUP($O151, $D$54:$D$62,$E$54:$E$62))) - S76) * (1 - $F95))</f>
        <v>0</v>
      </c>
    </row>
    <row r="152" spans="1:20" ht="20.100000000000001" customHeight="1" x14ac:dyDescent="0.2">
      <c r="D152" s="15" t="str">
        <f>INDEX(X_Table_Poultry_Stage1MMS,4,1)</f>
        <v>Manure stored in house</v>
      </c>
      <c r="E152" s="15" t="str">
        <f>INDEX(X_Table_Poultry_Stage2MMS_ManureStoredInHouse,2,1)</f>
        <v>Solid storage</v>
      </c>
      <c r="F152" s="15">
        <f>((F32 * (1 - (_xlfn.XLOOKUP($E152, $D$41:$D$49,$E$41:$E$49)) - (_xlfn.XLOOKUP($E152, $D$54:$D$62,$E$54:$E$62))) - F77) * (1 - $F96))</f>
        <v>0.11833280940000002</v>
      </c>
      <c r="G152" s="15">
        <f>((G32 * (1 - (_xlfn.XLOOKUP($E152, $D$41:$D$49,$E$41:$E$49)) - (_xlfn.XLOOKUP($E152, $D$54:$D$62,$E$54:$E$62))) - G77) * (1 - $F96))</f>
        <v>0.12630670937999997</v>
      </c>
      <c r="H152" s="15">
        <f>((H32 * (1 - (_xlfn.XLOOKUP($E152, $D$41:$D$49,$E$41:$E$49)) - (_xlfn.XLOOKUP($E152, $D$54:$D$62,$E$54:$E$62))) - H77) * (1 - $F96))</f>
        <v>0.14826529463999996</v>
      </c>
      <c r="I152" s="15">
        <f>((I32 * (1 - (_xlfn.XLOOKUP($E152, $D$41:$D$49,$E$41:$E$49)) - (_xlfn.XLOOKUP($E152, $D$54:$D$62,$E$54:$E$62))) - I77) * (1 - $F96))</f>
        <v>0.12630670937999997</v>
      </c>
      <c r="J152" s="16"/>
      <c r="N152" s="15" t="str">
        <f>INDEX(X_Table_Poultry_Stage1MMS,4,1)</f>
        <v>Manure stored in house</v>
      </c>
      <c r="O152" s="15" t="str">
        <f>INDEX(X_Table_Poultry_Stage2MMS_ManureStoredInHouse,2,1)</f>
        <v>Solid storage</v>
      </c>
      <c r="P152" s="15">
        <f>((P32 * (1 - (_xlfn.XLOOKUP($O152, $D$41:$D$49,$E$41:$E$49)) - (_xlfn.XLOOKUP($O152, $D$54:$D$62,$E$54:$E$62))) - P77) * (1 - $F96))</f>
        <v>0.11833280940000002</v>
      </c>
      <c r="Q152" s="15">
        <f>((Q32 * (1 - (_xlfn.XLOOKUP($O152, $D$41:$D$49,$E$41:$E$49)) - (_xlfn.XLOOKUP($O152, $D$54:$D$62,$E$54:$E$62))) - Q77) * (1 - $F96))</f>
        <v>0.12630670937999997</v>
      </c>
      <c r="R152" s="15">
        <f>((R32 * (1 - (_xlfn.XLOOKUP($O152, $D$41:$D$49,$E$41:$E$49)) - (_xlfn.XLOOKUP($O152, $D$54:$D$62,$E$54:$E$62))) - R77) * (1 - $F96))</f>
        <v>0.14826529463999996</v>
      </c>
      <c r="S152" s="15">
        <f>((S32 * (1 - (_xlfn.XLOOKUP($O152, $D$41:$D$49,$E$41:$E$49)) - (_xlfn.XLOOKUP($O152, $D$54:$D$62,$E$54:$E$62))) - S77) * (1 - $F96))</f>
        <v>0.12630670937999997</v>
      </c>
      <c r="T152" s="16"/>
    </row>
    <row r="153" spans="1:20" ht="20.100000000000001" customHeight="1" x14ac:dyDescent="0.2">
      <c r="D153" s="15"/>
      <c r="E153" s="15" t="str">
        <f>INDEX(X_Table_Poultry_Stage2MMS_ManureStoredInHouse,3,1)</f>
        <v>Composting (passive windrow)</v>
      </c>
      <c r="F153" s="15">
        <f>((F33 * (1 - (_xlfn.XLOOKUP($E153, $D$41:$D$49,$E$41:$E$49)) - (_xlfn.XLOOKUP($E153, $D$54:$D$62,$E$54:$E$62))) - F78) * (1 - $F97))</f>
        <v>0.12062312184000003</v>
      </c>
      <c r="G153" s="15">
        <f>((G33 * (1 - (_xlfn.XLOOKUP($E153, $D$41:$D$49,$E$41:$E$49)) - (_xlfn.XLOOKUP($E153, $D$54:$D$62,$E$54:$E$62))) - G78) * (1 - $F97))</f>
        <v>0.128751355368</v>
      </c>
      <c r="H153" s="15">
        <f>((H33 * (1 - (_xlfn.XLOOKUP($E153, $D$41:$D$49,$E$41:$E$49)) - (_xlfn.XLOOKUP($E153, $D$54:$D$62,$E$54:$E$62))) - H78) * (1 - $F97))</f>
        <v>0.15113494550399997</v>
      </c>
      <c r="I153" s="15">
        <f>((I33 * (1 - (_xlfn.XLOOKUP($E153, $D$41:$D$49,$E$41:$E$49)) - (_xlfn.XLOOKUP($E153, $D$54:$D$62,$E$54:$E$62))) - I78) * (1 - $F97))</f>
        <v>0.128751355368</v>
      </c>
      <c r="J153" s="16"/>
      <c r="N153" s="15"/>
      <c r="O153" s="15" t="str">
        <f>INDEX(X_Table_Poultry_Stage2MMS_ManureStoredInHouse,3,1)</f>
        <v>Composting (passive windrow)</v>
      </c>
      <c r="P153" s="15">
        <f>((P33 * (1 - (_xlfn.XLOOKUP($O153, $D$41:$D$49,$E$41:$E$49)) - (_xlfn.XLOOKUP($O153, $D$54:$D$62,$E$54:$E$62))) - P78) * (1 - $F97))</f>
        <v>0.12062312184000003</v>
      </c>
      <c r="Q153" s="15">
        <f>((Q33 * (1 - (_xlfn.XLOOKUP($O153, $D$41:$D$49,$E$41:$E$49)) - (_xlfn.XLOOKUP($O153, $D$54:$D$62,$E$54:$E$62))) - Q78) * (1 - $F97))</f>
        <v>0.128751355368</v>
      </c>
      <c r="R153" s="15">
        <f>((R33 * (1 - (_xlfn.XLOOKUP($O153, $D$41:$D$49,$E$41:$E$49)) - (_xlfn.XLOOKUP($O153, $D$54:$D$62,$E$54:$E$62))) - R78) * (1 - $F97))</f>
        <v>0.15113494550399997</v>
      </c>
      <c r="S153" s="15">
        <f>((S33 * (1 - (_xlfn.XLOOKUP($O153, $D$41:$D$49,$E$41:$E$49)) - (_xlfn.XLOOKUP($O153, $D$54:$D$62,$E$54:$E$62))) - S78) * (1 - $F97))</f>
        <v>0.128751355368</v>
      </c>
      <c r="T153" s="16"/>
    </row>
    <row r="154" spans="1:20" ht="20.100000000000001" customHeight="1" x14ac:dyDescent="0.2">
      <c r="D154" s="15"/>
      <c r="E154" s="15" t="str">
        <f>INDEX(X_Table_Poultry_Stage2MMS_ManureStoredInHouse,4,1)</f>
        <v>Digester / covered lagoons</v>
      </c>
      <c r="F154" s="15">
        <f>((F34 * (1 - (_xlfn.XLOOKUP($E154, $D$41:$D$49,$E$41:$E$49)) - (_xlfn.XLOOKUP($E154, $D$54:$D$62,$E$54:$E$62))) - F79) * (1 - $F98))</f>
        <v>0.15268749600000003</v>
      </c>
      <c r="G154" s="15">
        <f>((G34 * (1 - (_xlfn.XLOOKUP($E154, $D$41:$D$49,$E$41:$E$49)) - (_xlfn.XLOOKUP($E154, $D$54:$D$62,$E$54:$E$62))) - G79) * (1 - $F98))</f>
        <v>0.16297639919999998</v>
      </c>
      <c r="H154" s="15">
        <f>((H34 * (1 - (_xlfn.XLOOKUP($E154, $D$41:$D$49,$E$41:$E$49)) - (_xlfn.XLOOKUP($E154, $D$54:$D$62,$E$54:$E$62))) - H79) * (1 - $F98))</f>
        <v>0.19131005759999997</v>
      </c>
      <c r="I154" s="15">
        <f>((I34 * (1 - (_xlfn.XLOOKUP($E154, $D$41:$D$49,$E$41:$E$49)) - (_xlfn.XLOOKUP($E154, $D$54:$D$62,$E$54:$E$62))) - I79) * (1 - $F98))</f>
        <v>0.16297639919999998</v>
      </c>
      <c r="J154" s="16"/>
      <c r="N154" s="15"/>
      <c r="O154" s="15" t="str">
        <f>INDEX(X_Table_Poultry_Stage2MMS_ManureStoredInHouse,4,1)</f>
        <v>Digester / covered lagoons</v>
      </c>
      <c r="P154" s="15">
        <f>((P34 * (1 - (_xlfn.XLOOKUP($O154, $D$41:$D$49,$E$41:$E$49)) - (_xlfn.XLOOKUP($O154, $D$54:$D$62,$E$54:$E$62))) - P79) * (1 - $F98))</f>
        <v>0.15268749600000003</v>
      </c>
      <c r="Q154" s="15">
        <f>((Q34 * (1 - (_xlfn.XLOOKUP($O154, $D$41:$D$49,$E$41:$E$49)) - (_xlfn.XLOOKUP($O154, $D$54:$D$62,$E$54:$E$62))) - Q79) * (1 - $F98))</f>
        <v>0.16297639919999998</v>
      </c>
      <c r="R154" s="15">
        <f>((R34 * (1 - (_xlfn.XLOOKUP($O154, $D$41:$D$49,$E$41:$E$49)) - (_xlfn.XLOOKUP($O154, $D$54:$D$62,$E$54:$E$62))) - R79) * (1 - $F98))</f>
        <v>0.19131005759999997</v>
      </c>
      <c r="S154" s="15">
        <f>((S34 * (1 - (_xlfn.XLOOKUP($O154, $D$41:$D$49,$E$41:$E$49)) - (_xlfn.XLOOKUP($O154, $D$54:$D$62,$E$54:$E$62))) - S79) * (1 - $F98))</f>
        <v>0.16297639919999998</v>
      </c>
      <c r="T154" s="16"/>
    </row>
    <row r="155" spans="1:20" ht="20.100000000000001" customHeight="1" x14ac:dyDescent="0.2">
      <c r="D155" s="15"/>
      <c r="E155" s="15" t="str">
        <f>INDEX(X_Table_Poultry_Stage2MMS_ManureStoredInHouse,5,1)</f>
        <v>Direct processing</v>
      </c>
      <c r="F155" s="15">
        <f>((F35 * (1 - (_xlfn.XLOOKUP($E155, $D$41:$D$49,$E$41:$E$49)) - (_xlfn.XLOOKUP($E155, $D$54:$D$62,$E$54:$E$62))) - F80) * (1 - $F99))</f>
        <v>0.15268749600000003</v>
      </c>
      <c r="G155" s="15">
        <f>((G35 * (1 - (_xlfn.XLOOKUP($E155, $D$41:$D$49,$E$41:$E$49)) - (_xlfn.XLOOKUP($E155, $D$54:$D$62,$E$54:$E$62))) - G80) * (1 - $F99))</f>
        <v>0.16297639919999998</v>
      </c>
      <c r="H155" s="15">
        <f>((H35 * (1 - (_xlfn.XLOOKUP($E155, $D$41:$D$49,$E$41:$E$49)) - (_xlfn.XLOOKUP($E155, $D$54:$D$62,$E$54:$E$62))) - H80) * (1 - $F99))</f>
        <v>0.19131005759999997</v>
      </c>
      <c r="I155" s="15">
        <f>((I35 * (1 - (_xlfn.XLOOKUP($E155, $D$41:$D$49,$E$41:$E$49)) - (_xlfn.XLOOKUP($E155, $D$54:$D$62,$E$54:$E$62))) - I80) * (1 - $F99))</f>
        <v>0.16297639919999998</v>
      </c>
      <c r="J155" s="16"/>
      <c r="N155" s="15"/>
      <c r="O155" s="15" t="str">
        <f>INDEX(X_Table_Poultry_Stage2MMS_ManureStoredInHouse,5,1)</f>
        <v>Direct processing</v>
      </c>
      <c r="P155" s="15">
        <f>((P35 * (1 - (_xlfn.XLOOKUP($O155, $D$41:$D$49,$E$41:$E$49)) - (_xlfn.XLOOKUP($O155, $D$54:$D$62,$E$54:$E$62))) - P80) * (1 - $F99))</f>
        <v>0.15268749600000003</v>
      </c>
      <c r="Q155" s="15">
        <f>((Q35 * (1 - (_xlfn.XLOOKUP($O155, $D$41:$D$49,$E$41:$E$49)) - (_xlfn.XLOOKUP($O155, $D$54:$D$62,$E$54:$E$62))) - Q80) * (1 - $F99))</f>
        <v>0.16297639919999998</v>
      </c>
      <c r="R155" s="15">
        <f>((R35 * (1 - (_xlfn.XLOOKUP($O155, $D$41:$D$49,$E$41:$E$49)) - (_xlfn.XLOOKUP($O155, $D$54:$D$62,$E$54:$E$62))) - R80) * (1 - $F99))</f>
        <v>0.19131005759999997</v>
      </c>
      <c r="S155" s="15">
        <f>((S35 * (1 - (_xlfn.XLOOKUP($O155, $D$41:$D$49,$E$41:$E$49)) - (_xlfn.XLOOKUP($O155, $D$54:$D$62,$E$54:$E$62))) - S80) * (1 - $F99))</f>
        <v>0.16297639919999998</v>
      </c>
      <c r="T155" s="16"/>
    </row>
    <row r="156" spans="1:20" ht="20.100000000000001" customHeight="1" x14ac:dyDescent="0.2">
      <c r="D156" s="15"/>
      <c r="E156" s="15" t="str">
        <f>INDEX(X_Table_Poultry_Stage2MMS_ManureStoredInHouse,6,1)</f>
        <v>Direct application</v>
      </c>
      <c r="F156" s="15">
        <f>((F36 * (1 - (_xlfn.XLOOKUP($E156, $D$41:$D$49,$E$41:$E$49)) - (_xlfn.XLOOKUP($E156, $D$54:$D$62,$E$54:$E$62))) - F81) * (1 - $F100))</f>
        <v>0</v>
      </c>
      <c r="G156" s="15">
        <f>((G36 * (1 - (_xlfn.XLOOKUP($E156, $D$41:$D$49,$E$41:$E$49)) - (_xlfn.XLOOKUP($E156, $D$54:$D$62,$E$54:$E$62))) - G81) * (1 - $F100))</f>
        <v>0</v>
      </c>
      <c r="H156" s="15">
        <f>((H36 * (1 - (_xlfn.XLOOKUP($E156, $D$41:$D$49,$E$41:$E$49)) - (_xlfn.XLOOKUP($E156, $D$54:$D$62,$E$54:$E$62))) - H81) * (1 - $F100))</f>
        <v>0</v>
      </c>
      <c r="I156" s="15">
        <f>((I36 * (1 - (_xlfn.XLOOKUP($E156, $D$41:$D$49,$E$41:$E$49)) - (_xlfn.XLOOKUP($E156, $D$54:$D$62,$E$54:$E$62))) - I81) * (1 - $F100))</f>
        <v>0</v>
      </c>
      <c r="N156" s="15"/>
      <c r="O156" s="15" t="str">
        <f>INDEX(X_Table_Poultry_Stage2MMS_ManureStoredInHouse,6,1)</f>
        <v>Direct application</v>
      </c>
      <c r="P156" s="15">
        <f>((P36 * (1 - (_xlfn.XLOOKUP($O156, $D$41:$D$49,$E$41:$E$49)) - (_xlfn.XLOOKUP($O156, $D$54:$D$62,$E$54:$E$62))) - P81) * (1 - $F100))</f>
        <v>0</v>
      </c>
      <c r="Q156" s="15">
        <f>((Q36 * (1 - (_xlfn.XLOOKUP($O156, $D$41:$D$49,$E$41:$E$49)) - (_xlfn.XLOOKUP($O156, $D$54:$D$62,$E$54:$E$62))) - Q81) * (1 - $F100))</f>
        <v>0</v>
      </c>
      <c r="R156" s="15">
        <f>((R36 * (1 - (_xlfn.XLOOKUP($O156, $D$41:$D$49,$E$41:$E$49)) - (_xlfn.XLOOKUP($O156, $D$54:$D$62,$E$54:$E$62))) - R81) * (1 - $F100))</f>
        <v>0</v>
      </c>
      <c r="S156" s="15">
        <f>((S36 * (1 - (_xlfn.XLOOKUP($O156, $D$41:$D$49,$E$41:$E$49)) - (_xlfn.XLOOKUP($O156, $D$54:$D$62,$E$54:$E$62))) - S81) * (1 - $F100))</f>
        <v>0</v>
      </c>
    </row>
    <row r="158" spans="1:20" ht="20.100000000000001" customHeight="1" x14ac:dyDescent="0.2">
      <c r="A158" s="79" t="str">
        <f>HYPERLINK("#A1", "▲ Back to top")</f>
        <v>▲ Back to top</v>
      </c>
      <c r="D158" s="85" t="s">
        <v>464</v>
      </c>
      <c r="E158" s="86">
        <f>SUM(F142:I156)</f>
        <v>8.9593892186400037</v>
      </c>
      <c r="F158" s="95" t="str">
        <f>$E$131</f>
        <v>kg N</v>
      </c>
      <c r="N158" s="85" t="s">
        <v>464</v>
      </c>
      <c r="O158" s="86">
        <f>SUM(P142:S156)</f>
        <v>8.9593892186400037</v>
      </c>
      <c r="P158" s="95" t="str">
        <f>$E$131</f>
        <v>kg N</v>
      </c>
    </row>
    <row r="161" spans="3:21" ht="20.100000000000001" customHeight="1" x14ac:dyDescent="0.2">
      <c r="C161" s="83"/>
      <c r="D161" s="83"/>
      <c r="E161" s="83"/>
      <c r="F161" s="83"/>
      <c r="G161" s="83"/>
      <c r="H161" s="83"/>
      <c r="I161" s="83"/>
      <c r="J161" s="83"/>
      <c r="K161" s="83"/>
      <c r="L161" s="135"/>
      <c r="M161" s="83"/>
      <c r="N161" s="83"/>
      <c r="O161" s="83"/>
      <c r="P161" s="83"/>
      <c r="Q161" s="83"/>
      <c r="R161" s="83"/>
      <c r="S161" s="83"/>
      <c r="T161" s="83"/>
      <c r="U161" s="83"/>
    </row>
    <row r="162" spans="3:21" ht="20.100000000000001" customHeight="1" x14ac:dyDescent="0.2">
      <c r="D162" s="131" t="str">
        <f>"Below are applications of " &amp; D60 &amp; " that are applied to the following contexts:"</f>
        <v>Below are applications of Digester / covered lagoons that are applied to the following contexts:</v>
      </c>
      <c r="E162" s="43"/>
      <c r="F162" s="43"/>
      <c r="G162" s="43"/>
      <c r="H162" s="44"/>
    </row>
    <row r="163" spans="3:21" ht="20.100000000000001" customHeight="1" x14ac:dyDescent="0.2">
      <c r="D163" s="45" t="s">
        <v>465</v>
      </c>
      <c r="E163" s="46"/>
      <c r="F163" s="46"/>
      <c r="G163" s="46"/>
      <c r="H163" s="47"/>
    </row>
    <row r="165" spans="3:21" ht="20.100000000000001" customHeight="1" x14ac:dyDescent="0.2">
      <c r="D165" s="2" t="s">
        <v>466</v>
      </c>
    </row>
    <row r="167" spans="3:21" ht="20.100000000000001" customHeight="1" x14ac:dyDescent="0.2">
      <c r="D167" s="124" t="s">
        <v>467</v>
      </c>
    </row>
    <row r="168" spans="3:21" ht="20.100000000000001" customHeight="1" x14ac:dyDescent="0.2">
      <c r="D168" s="125" t="s">
        <v>468</v>
      </c>
    </row>
    <row r="169" spans="3:21" ht="20.100000000000001" customHeight="1" x14ac:dyDescent="0.2">
      <c r="D169" s="78" t="s">
        <v>314</v>
      </c>
      <c r="E169" s="78" t="s">
        <v>318</v>
      </c>
      <c r="F169" s="78" t="s">
        <v>454</v>
      </c>
    </row>
    <row r="170" spans="3:21" ht="20.100000000000001" customHeight="1" x14ac:dyDescent="0.2">
      <c r="D170" s="15" t="str">
        <f>INDEX(X_Table_Poultry_Stage1MMS,2,1)</f>
        <v>Poultry manure with bedding</v>
      </c>
      <c r="E170" s="15" t="str">
        <f>INDEX(X_Table_Poultry_Stage2MMS_PoultryManureWithBedding,2,1)</f>
        <v>Solid storage</v>
      </c>
      <c r="F170" s="15">
        <f>INDEX(X_Table_Poultry_Stage2MMS_PoultryManureWithBedding_Destinations,2,3)</f>
        <v>0.25</v>
      </c>
      <c r="G170" s="16" t="str">
        <f>$G$137</f>
        <v>fraction</v>
      </c>
    </row>
    <row r="171" spans="3:21" ht="20.100000000000001" customHeight="1" x14ac:dyDescent="0.2">
      <c r="D171" s="15"/>
      <c r="E171" s="15" t="str">
        <f>INDEX(X_Table_Poultry_Stage2MMS_PoultryManureWithBedding,3,1)</f>
        <v>Composting (passive windrow)</v>
      </c>
      <c r="F171" s="15">
        <f>INDEX(X_Table_Poultry_Stage2MMS_PoultryManureWithBedding_Destinations,3,3)</f>
        <v>0.25</v>
      </c>
      <c r="G171" s="16"/>
    </row>
    <row r="172" spans="3:21" ht="20.100000000000001" customHeight="1" x14ac:dyDescent="0.2">
      <c r="D172" s="15"/>
      <c r="E172" s="15" t="str">
        <f>INDEX(X_Table_Poultry_Stage2MMS_PoultryManureWithBedding,4,1)</f>
        <v>Digester / covered lagoons</v>
      </c>
      <c r="F172" s="15">
        <f>INDEX(X_Table_Poultry_Stage2MMS_PoultryManureWithBedding_Destinations,4,3)</f>
        <v>0.25</v>
      </c>
      <c r="G172" s="16"/>
    </row>
    <row r="173" spans="3:21" ht="20.100000000000001" customHeight="1" x14ac:dyDescent="0.2">
      <c r="D173" s="15"/>
      <c r="E173" s="15" t="str">
        <f>INDEX(X_Table_Poultry_Stage2MMS_PoultryManureWithBedding,5,1)</f>
        <v>Direct processing</v>
      </c>
      <c r="F173" s="15">
        <f>INDEX(X_Table_Poultry_Stage2MMS_PoultryManureWithBedding_Destinations,5,3)</f>
        <v>0.25</v>
      </c>
      <c r="G173" s="16"/>
    </row>
    <row r="174" spans="3:21" ht="20.100000000000001" customHeight="1" x14ac:dyDescent="0.2">
      <c r="D174" s="15"/>
      <c r="E174" s="15" t="str">
        <f>INDEX(X_Table_Poultry_Stage2MMS_PoultryManureWithBedding,6,1)</f>
        <v>Direct application</v>
      </c>
      <c r="F174" s="15">
        <f>INDEX(X_Table_Poultry_Stage2MMS_PoultryManureWithBedding_Destinations,6,3)</f>
        <v>0</v>
      </c>
    </row>
    <row r="175" spans="3:21" ht="20.100000000000001" customHeight="1" x14ac:dyDescent="0.2">
      <c r="D175" s="15" t="str">
        <f>INDEX(X_Table_Poultry_Stage1MMS,3,1)</f>
        <v>Belt manure removal</v>
      </c>
      <c r="E175" s="15" t="str">
        <f>INDEX(X_Table_Poultry_Stage2MMS_BeltManureRemoval,2,1)</f>
        <v>Solid storage</v>
      </c>
      <c r="F175" s="15">
        <f>INDEX(X_Table_Poultry_Stage2MMS_BeltManureRemoval_Destinations,2,3)</f>
        <v>0.25</v>
      </c>
      <c r="G175" s="16"/>
    </row>
    <row r="176" spans="3:21" ht="20.100000000000001" customHeight="1" x14ac:dyDescent="0.2">
      <c r="D176" s="15"/>
      <c r="E176" s="15" t="str">
        <f>INDEX(X_Table_Poultry_Stage2MMS_BeltManureRemoval,3,1)</f>
        <v>Composting (passive windrow)</v>
      </c>
      <c r="F176" s="15">
        <f>INDEX(X_Table_Poultry_Stage2MMS_BeltManureRemoval_Destinations,3,3)</f>
        <v>0.25</v>
      </c>
      <c r="G176" s="16"/>
    </row>
    <row r="177" spans="1:20" ht="20.100000000000001" customHeight="1" x14ac:dyDescent="0.2">
      <c r="D177" s="15"/>
      <c r="E177" s="15" t="str">
        <f>INDEX(X_Table_Poultry_Stage2MMS_BeltManureRemoval,4,1)</f>
        <v>Digester / covered lagoons</v>
      </c>
      <c r="F177" s="15">
        <f>INDEX(X_Table_Poultry_Stage2MMS_BeltManureRemoval_Destinations,4,3)</f>
        <v>0.25</v>
      </c>
      <c r="G177" s="16"/>
    </row>
    <row r="178" spans="1:20" ht="20.100000000000001" customHeight="1" x14ac:dyDescent="0.2">
      <c r="D178" s="15"/>
      <c r="E178" s="15" t="str">
        <f>INDEX(X_Table_Poultry_Stage2MMS_BeltManureRemoval,5,1)</f>
        <v>Direct processing</v>
      </c>
      <c r="F178" s="15">
        <f>INDEX(X_Table_Poultry_Stage2MMS_BeltManureRemoval_Destinations,5,3)</f>
        <v>0.25</v>
      </c>
      <c r="G178" s="16"/>
    </row>
    <row r="179" spans="1:20" ht="20.100000000000001" customHeight="1" x14ac:dyDescent="0.2">
      <c r="D179" s="15"/>
      <c r="E179" s="15" t="str">
        <f>INDEX(X_Table_Poultry_Stage2MMS_BeltManureRemoval,6,1)</f>
        <v>Direct application</v>
      </c>
      <c r="F179" s="15">
        <f>INDEX(X_Table_Poultry_Stage2MMS_BeltManureRemoval_Destinations,6,3)</f>
        <v>0</v>
      </c>
    </row>
    <row r="180" spans="1:20" ht="20.100000000000001" customHeight="1" x14ac:dyDescent="0.2">
      <c r="D180" s="15" t="str">
        <f>INDEX(X_Table_Poultry_Stage1MMS,4,1)</f>
        <v>Manure stored in house</v>
      </c>
      <c r="E180" s="15" t="str">
        <f>INDEX(X_Table_Poultry_Stage2MMS_ManureStoredInHouse,2,1)</f>
        <v>Solid storage</v>
      </c>
      <c r="F180" s="15">
        <f>INDEX(X_Table_Poultry_Stage2MMS_ManureStoredInHouse_Destinations,2,3)</f>
        <v>0.25</v>
      </c>
      <c r="G180" s="16"/>
    </row>
    <row r="181" spans="1:20" ht="20.100000000000001" customHeight="1" x14ac:dyDescent="0.2">
      <c r="D181" s="15"/>
      <c r="E181" s="15" t="str">
        <f>INDEX(X_Table_Poultry_Stage2MMS_ManureStoredInHouse,3,1)</f>
        <v>Composting (passive windrow)</v>
      </c>
      <c r="F181" s="15">
        <f>INDEX(X_Table_Poultry_Stage2MMS_ManureStoredInHouse_Destinations,3,3)</f>
        <v>0.25</v>
      </c>
      <c r="G181" s="16"/>
    </row>
    <row r="182" spans="1:20" ht="20.100000000000001" customHeight="1" x14ac:dyDescent="0.2">
      <c r="D182" s="15"/>
      <c r="E182" s="15" t="str">
        <f>INDEX(X_Table_Poultry_Stage2MMS_ManureStoredInHouse,4,1)</f>
        <v>Digester / covered lagoons</v>
      </c>
      <c r="F182" s="15">
        <f>INDEX(X_Table_Poultry_Stage2MMS_ManureStoredInHouse_Destinations,4,3)</f>
        <v>0.25</v>
      </c>
      <c r="G182" s="16"/>
    </row>
    <row r="183" spans="1:20" ht="20.100000000000001" customHeight="1" x14ac:dyDescent="0.2">
      <c r="D183" s="15"/>
      <c r="E183" s="15" t="str">
        <f>INDEX(X_Table_Poultry_Stage2MMS_ManureStoredInHouse,5,1)</f>
        <v>Direct processing</v>
      </c>
      <c r="F183" s="15">
        <f>INDEX(X_Table_Poultry_Stage2MMS_ManureStoredInHouse_Destinations,5,3)</f>
        <v>0.25</v>
      </c>
      <c r="G183" s="16"/>
    </row>
    <row r="184" spans="1:20" ht="20.100000000000001" customHeight="1" x14ac:dyDescent="0.2">
      <c r="D184" s="15"/>
      <c r="E184" s="15" t="str">
        <f>INDEX(X_Table_Poultry_Stage2MMS_ManureStoredInHouse,6,1)</f>
        <v>Direct application</v>
      </c>
      <c r="F184" s="15">
        <f>INDEX(X_Table_Poultry_Stage2MMS_ManureStoredInHouse_Destinations,6,3)</f>
        <v>0</v>
      </c>
    </row>
    <row r="186" spans="1:20" ht="20.100000000000001" customHeight="1" x14ac:dyDescent="0.2">
      <c r="D186" s="118" t="s">
        <v>469</v>
      </c>
      <c r="N186" s="118" t="s">
        <v>470</v>
      </c>
    </row>
    <row r="187" spans="1:20" ht="20.100000000000001" customHeight="1" x14ac:dyDescent="0.2">
      <c r="D187" s="125" t="s">
        <v>471</v>
      </c>
      <c r="N187" s="125" t="s">
        <v>472</v>
      </c>
    </row>
    <row r="188" spans="1:20" ht="20.100000000000001" customHeight="1" x14ac:dyDescent="0.2">
      <c r="A188" s="79" t="str">
        <f>HYPERLINK("#A1", "▲ Back to top")</f>
        <v>▲ Back to top</v>
      </c>
      <c r="D188" s="120" t="s">
        <v>314</v>
      </c>
      <c r="E188" s="120" t="s">
        <v>318</v>
      </c>
      <c r="F188" s="120" t="s">
        <v>297</v>
      </c>
      <c r="G188" s="120" t="s">
        <v>298</v>
      </c>
      <c r="H188" s="120" t="s">
        <v>299</v>
      </c>
      <c r="I188" s="120" t="s">
        <v>300</v>
      </c>
      <c r="N188" s="120" t="s">
        <v>314</v>
      </c>
      <c r="O188" s="120" t="s">
        <v>318</v>
      </c>
      <c r="P188" s="120" t="s">
        <v>297</v>
      </c>
      <c r="Q188" s="120" t="s">
        <v>298</v>
      </c>
      <c r="R188" s="120" t="s">
        <v>299</v>
      </c>
      <c r="S188" s="120" t="s">
        <v>300</v>
      </c>
    </row>
    <row r="189" spans="1:20" ht="20.100000000000001" customHeight="1" x14ac:dyDescent="0.2">
      <c r="D189" s="15" t="str">
        <f>INDEX(X_Table_Poultry_Stage1MMS,2,1)</f>
        <v>Poultry manure with bedding</v>
      </c>
      <c r="E189" s="15" t="str">
        <f>INDEX(X_Table_Poultry_Stage2MMS_PoultryManureWithBedding,2,1)</f>
        <v>Solid storage</v>
      </c>
      <c r="F189" s="15">
        <f>((F22 * (1 - (_xlfn.XLOOKUP($E189, $D$41:$D$49,$E$41:$E$49)) - (_xlfn.XLOOKUP($E189, $D$54:$D$62,$E$54:$E$62))) - F67) * $F170)</f>
        <v>0.13808786940000004</v>
      </c>
      <c r="G189" s="15">
        <f>((G22 * (1 - (_xlfn.XLOOKUP($E189, $D$41:$D$49,$E$41:$E$49)) - (_xlfn.XLOOKUP($E189, $D$54:$D$62,$E$54:$E$62))) - G67) * $F170)</f>
        <v>0.14739297138000002</v>
      </c>
      <c r="H189" s="15">
        <f>((H22 * (1 - (_xlfn.XLOOKUP($E189, $D$41:$D$49,$E$41:$E$49)) - (_xlfn.XLOOKUP($E189, $D$54:$D$62,$E$54:$E$62))) - H67) * $F170)</f>
        <v>0.17301743063999997</v>
      </c>
      <c r="I189" s="15">
        <f>((I22 * (1 - (_xlfn.XLOOKUP($E189, $D$41:$D$49,$E$41:$E$49)) - (_xlfn.XLOOKUP($E189, $D$54:$D$62,$E$54:$E$62))) - I67) * $F170)</f>
        <v>0.14739297138000002</v>
      </c>
      <c r="J189" s="16" t="str">
        <f>$E$11</f>
        <v>kg N</v>
      </c>
      <c r="N189" s="15" t="str">
        <f>INDEX(X_Table_Poultry_Stage1MMS,2,1)</f>
        <v>Poultry manure with bedding</v>
      </c>
      <c r="O189" s="15" t="str">
        <f>INDEX(X_Table_Poultry_Stage2MMS_PoultryManureWithBedding,2,1)</f>
        <v>Solid storage</v>
      </c>
      <c r="P189" s="15">
        <f>((P22 * (1 - (_xlfn.XLOOKUP($O189, $D$41:$D$49,$E$41:$E$49)) - (_xlfn.XLOOKUP($O189, $D$54:$D$62,$E$54:$E$62))) - P67) * $F170)</f>
        <v>0.13808786940000004</v>
      </c>
      <c r="Q189" s="15">
        <f>((Q22 * (1 - (_xlfn.XLOOKUP($O189, $D$41:$D$49,$E$41:$E$49)) - (_xlfn.XLOOKUP($O189, $D$54:$D$62,$E$54:$E$62))) - Q67) * $F170)</f>
        <v>0.14739297138000002</v>
      </c>
      <c r="R189" s="15">
        <f>((R22 * (1 - (_xlfn.XLOOKUP($O189, $D$41:$D$49,$E$41:$E$49)) - (_xlfn.XLOOKUP($O189, $D$54:$D$62,$E$54:$E$62))) - R67) * $F170)</f>
        <v>0.17301743063999997</v>
      </c>
      <c r="S189" s="15">
        <f>((S22 * (1 - (_xlfn.XLOOKUP($O189, $D$41:$D$49,$E$41:$E$49)) - (_xlfn.XLOOKUP($O189, $D$54:$D$62,$E$54:$E$62))) - S67) * $F170)</f>
        <v>0.14739297138000002</v>
      </c>
      <c r="T189" s="16" t="str">
        <f>$E$11</f>
        <v>kg N</v>
      </c>
    </row>
    <row r="190" spans="1:20" ht="20.100000000000001" customHeight="1" x14ac:dyDescent="0.2">
      <c r="D190" s="15"/>
      <c r="E190" s="15" t="str">
        <f>INDEX(X_Table_Poultry_Stage2MMS_PoultryManureWithBedding,3,1)</f>
        <v>Composting (passive windrow)</v>
      </c>
      <c r="F190" s="15">
        <f>((F23 * (1 - (_xlfn.XLOOKUP($E190, $D$41:$D$49,$E$41:$E$49)) - (_xlfn.XLOOKUP($E190, $D$54:$D$62,$E$54:$E$62))) - F68) * $F171)</f>
        <v>0.14076053784000003</v>
      </c>
      <c r="G190" s="15">
        <f>((G23 * (1 - (_xlfn.XLOOKUP($E190, $D$41:$D$49,$E$41:$E$49)) - (_xlfn.XLOOKUP($E190, $D$54:$D$62,$E$54:$E$62))) - G68) * $F171)</f>
        <v>0.150245738568</v>
      </c>
      <c r="H190" s="15">
        <f>((H23 * (1 - (_xlfn.XLOOKUP($E190, $D$41:$D$49,$E$41:$E$49)) - (_xlfn.XLOOKUP($E190, $D$54:$D$62,$E$54:$E$62))) - H68) * $F171)</f>
        <v>0.176366155104</v>
      </c>
      <c r="I190" s="15">
        <f>((I23 * (1 - (_xlfn.XLOOKUP($E190, $D$41:$D$49,$E$41:$E$49)) - (_xlfn.XLOOKUP($E190, $D$54:$D$62,$E$54:$E$62))) - I68) * $F171)</f>
        <v>0.150245738568</v>
      </c>
      <c r="J190" s="16"/>
      <c r="N190" s="15"/>
      <c r="O190" s="15" t="str">
        <f>INDEX(X_Table_Poultry_Stage2MMS_PoultryManureWithBedding,3,1)</f>
        <v>Composting (passive windrow)</v>
      </c>
      <c r="P190" s="15">
        <f>((P23 * (1 - (_xlfn.XLOOKUP($O190, $D$41:$D$49,$E$41:$E$49)) - (_xlfn.XLOOKUP($O190, $D$54:$D$62,$E$54:$E$62))) - P68) * $F171)</f>
        <v>0.14076053784000003</v>
      </c>
      <c r="Q190" s="15">
        <f>((Q23 * (1 - (_xlfn.XLOOKUP($O190, $D$41:$D$49,$E$41:$E$49)) - (_xlfn.XLOOKUP($O190, $D$54:$D$62,$E$54:$E$62))) - Q68) * $F171)</f>
        <v>0.150245738568</v>
      </c>
      <c r="R190" s="15">
        <f>((R23 * (1 - (_xlfn.XLOOKUP($O190, $D$41:$D$49,$E$41:$E$49)) - (_xlfn.XLOOKUP($O190, $D$54:$D$62,$E$54:$E$62))) - R68) * $F171)</f>
        <v>0.176366155104</v>
      </c>
      <c r="S190" s="15">
        <f>((S23 * (1 - (_xlfn.XLOOKUP($O190, $D$41:$D$49,$E$41:$E$49)) - (_xlfn.XLOOKUP($O190, $D$54:$D$62,$E$54:$E$62))) - S68) * $F171)</f>
        <v>0.150245738568</v>
      </c>
      <c r="T190" s="16"/>
    </row>
    <row r="191" spans="1:20" ht="20.100000000000001" customHeight="1" x14ac:dyDescent="0.2">
      <c r="D191" s="15"/>
      <c r="E191" s="15" t="str">
        <f>INDEX(X_Table_Poultry_Stage2MMS_PoultryManureWithBedding,4,1)</f>
        <v>Digester / covered lagoons</v>
      </c>
      <c r="F191" s="15">
        <f>((F24 * (1 - (_xlfn.XLOOKUP($E191, $D$41:$D$49,$E$41:$E$49)) - (_xlfn.XLOOKUP($E191, $D$54:$D$62,$E$54:$E$62))) - F69) * $F172)</f>
        <v>0.17817789600000003</v>
      </c>
      <c r="G191" s="15">
        <f>((G24 * (1 - (_xlfn.XLOOKUP($E191, $D$41:$D$49,$E$41:$E$49)) - (_xlfn.XLOOKUP($E191, $D$54:$D$62,$E$54:$E$62))) - G69) * $F172)</f>
        <v>0.19018447920000001</v>
      </c>
      <c r="H191" s="15">
        <f>((H24 * (1 - (_xlfn.XLOOKUP($E191, $D$41:$D$49,$E$41:$E$49)) - (_xlfn.XLOOKUP($E191, $D$54:$D$62,$E$54:$E$62))) - H69) * $F172)</f>
        <v>0.22324829759999998</v>
      </c>
      <c r="I191" s="15">
        <f>((I24 * (1 - (_xlfn.XLOOKUP($E191, $D$41:$D$49,$E$41:$E$49)) - (_xlfn.XLOOKUP($E191, $D$54:$D$62,$E$54:$E$62))) - I69) * $F172)</f>
        <v>0.19018447920000001</v>
      </c>
      <c r="J191" s="16"/>
      <c r="N191" s="15"/>
      <c r="O191" s="15" t="str">
        <f>INDEX(X_Table_Poultry_Stage2MMS_PoultryManureWithBedding,4,1)</f>
        <v>Digester / covered lagoons</v>
      </c>
      <c r="P191" s="15">
        <f>((P24 * (1 - (_xlfn.XLOOKUP($O191, $D$41:$D$49,$E$41:$E$49)) - (_xlfn.XLOOKUP($O191, $D$54:$D$62,$E$54:$E$62))) - P69) * $F172)</f>
        <v>0.17817789600000003</v>
      </c>
      <c r="Q191" s="15">
        <f>((Q24 * (1 - (_xlfn.XLOOKUP($O191, $D$41:$D$49,$E$41:$E$49)) - (_xlfn.XLOOKUP($O191, $D$54:$D$62,$E$54:$E$62))) - Q69) * $F172)</f>
        <v>0.19018447920000001</v>
      </c>
      <c r="R191" s="15">
        <f>((R24 * (1 - (_xlfn.XLOOKUP($O191, $D$41:$D$49,$E$41:$E$49)) - (_xlfn.XLOOKUP($O191, $D$54:$D$62,$E$54:$E$62))) - R69) * $F172)</f>
        <v>0.22324829759999998</v>
      </c>
      <c r="S191" s="15">
        <f>((S24 * (1 - (_xlfn.XLOOKUP($O191, $D$41:$D$49,$E$41:$E$49)) - (_xlfn.XLOOKUP($O191, $D$54:$D$62,$E$54:$E$62))) - S69) * $F172)</f>
        <v>0.19018447920000001</v>
      </c>
      <c r="T191" s="16"/>
    </row>
    <row r="192" spans="1:20" ht="20.100000000000001" customHeight="1" x14ac:dyDescent="0.2">
      <c r="D192" s="15"/>
      <c r="E192" s="15" t="str">
        <f>INDEX(X_Table_Poultry_Stage2MMS_PoultryManureWithBedding,5,1)</f>
        <v>Direct processing</v>
      </c>
      <c r="F192" s="15">
        <f>((F25 * (1 - (_xlfn.XLOOKUP($E192, $D$41:$D$49,$E$41:$E$49)) - (_xlfn.XLOOKUP($E192, $D$54:$D$62,$E$54:$E$62))) - F70) * $F173)</f>
        <v>0.17817789600000003</v>
      </c>
      <c r="G192" s="15">
        <f>((G25 * (1 - (_xlfn.XLOOKUP($E192, $D$41:$D$49,$E$41:$E$49)) - (_xlfn.XLOOKUP($E192, $D$54:$D$62,$E$54:$E$62))) - G70) * $F173)</f>
        <v>0.19018447920000001</v>
      </c>
      <c r="H192" s="15">
        <f>((H25 * (1 - (_xlfn.XLOOKUP($E192, $D$41:$D$49,$E$41:$E$49)) - (_xlfn.XLOOKUP($E192, $D$54:$D$62,$E$54:$E$62))) - H70) * $F173)</f>
        <v>0.22324829759999998</v>
      </c>
      <c r="I192" s="15">
        <f>((I25 * (1 - (_xlfn.XLOOKUP($E192, $D$41:$D$49,$E$41:$E$49)) - (_xlfn.XLOOKUP($E192, $D$54:$D$62,$E$54:$E$62))) - I70) * $F173)</f>
        <v>0.19018447920000001</v>
      </c>
      <c r="J192" s="16"/>
      <c r="N192" s="15"/>
      <c r="O192" s="15" t="str">
        <f>INDEX(X_Table_Poultry_Stage2MMS_PoultryManureWithBedding,5,1)</f>
        <v>Direct processing</v>
      </c>
      <c r="P192" s="15">
        <f>((P25 * (1 - (_xlfn.XLOOKUP($O192, $D$41:$D$49,$E$41:$E$49)) - (_xlfn.XLOOKUP($O192, $D$54:$D$62,$E$54:$E$62))) - P70) * $F173)</f>
        <v>0.17817789600000003</v>
      </c>
      <c r="Q192" s="15">
        <f>((Q25 * (1 - (_xlfn.XLOOKUP($O192, $D$41:$D$49,$E$41:$E$49)) - (_xlfn.XLOOKUP($O192, $D$54:$D$62,$E$54:$E$62))) - Q70) * $F173)</f>
        <v>0.19018447920000001</v>
      </c>
      <c r="R192" s="15">
        <f>((R25 * (1 - (_xlfn.XLOOKUP($O192, $D$41:$D$49,$E$41:$E$49)) - (_xlfn.XLOOKUP($O192, $D$54:$D$62,$E$54:$E$62))) - R70) * $F173)</f>
        <v>0.22324829759999998</v>
      </c>
      <c r="S192" s="15">
        <f>((S25 * (1 - (_xlfn.XLOOKUP($O192, $D$41:$D$49,$E$41:$E$49)) - (_xlfn.XLOOKUP($O192, $D$54:$D$62,$E$54:$E$62))) - S70) * $F173)</f>
        <v>0.19018447920000001</v>
      </c>
      <c r="T192" s="16"/>
    </row>
    <row r="193" spans="4:20" ht="20.100000000000001" customHeight="1" x14ac:dyDescent="0.2">
      <c r="D193" s="15"/>
      <c r="E193" s="15" t="str">
        <f>INDEX(X_Table_Poultry_Stage2MMS_PoultryManureWithBedding,6,1)</f>
        <v>Direct application</v>
      </c>
      <c r="F193" s="15">
        <f>((F26 * (1 - (_xlfn.XLOOKUP($E193, $D$41:$D$49,$E$41:$E$49)) - (_xlfn.XLOOKUP($E193, $D$54:$D$62,$E$54:$E$62))) - F71) * $F174)</f>
        <v>0</v>
      </c>
      <c r="G193" s="15">
        <f>((G26 * (1 - (_xlfn.XLOOKUP($E193, $D$41:$D$49,$E$41:$E$49)) - (_xlfn.XLOOKUP($E193, $D$54:$D$62,$E$54:$E$62))) - G71) * $F174)</f>
        <v>0</v>
      </c>
      <c r="H193" s="15">
        <f>((H26 * (1 - (_xlfn.XLOOKUP($E193, $D$41:$D$49,$E$41:$E$49)) - (_xlfn.XLOOKUP($E193, $D$54:$D$62,$E$54:$E$62))) - H71) * $F174)</f>
        <v>0</v>
      </c>
      <c r="I193" s="15">
        <f>((I26 * (1 - (_xlfn.XLOOKUP($E193, $D$41:$D$49,$E$41:$E$49)) - (_xlfn.XLOOKUP($E193, $D$54:$D$62,$E$54:$E$62))) - I71) * $F174)</f>
        <v>0</v>
      </c>
      <c r="N193" s="15"/>
      <c r="O193" s="15" t="str">
        <f>INDEX(X_Table_Poultry_Stage2MMS_PoultryManureWithBedding,6,1)</f>
        <v>Direct application</v>
      </c>
      <c r="P193" s="15">
        <f>((P26 * (1 - (_xlfn.XLOOKUP($O193, $D$41:$D$49,$E$41:$E$49)) - (_xlfn.XLOOKUP($O193, $D$54:$D$62,$E$54:$E$62))) - P71) * $F174)</f>
        <v>0</v>
      </c>
      <c r="Q193" s="15">
        <f>((Q26 * (1 - (_xlfn.XLOOKUP($O193, $D$41:$D$49,$E$41:$E$49)) - (_xlfn.XLOOKUP($O193, $D$54:$D$62,$E$54:$E$62))) - Q71) * $F174)</f>
        <v>0</v>
      </c>
      <c r="R193" s="15">
        <f>((R26 * (1 - (_xlfn.XLOOKUP($O193, $D$41:$D$49,$E$41:$E$49)) - (_xlfn.XLOOKUP($O193, $D$54:$D$62,$E$54:$E$62))) - R71) * $F174)</f>
        <v>0</v>
      </c>
      <c r="S193" s="15">
        <f>((S26 * (1 - (_xlfn.XLOOKUP($O193, $D$41:$D$49,$E$41:$E$49)) - (_xlfn.XLOOKUP($O193, $D$54:$D$62,$E$54:$E$62))) - S71) * $F174)</f>
        <v>0</v>
      </c>
    </row>
    <row r="194" spans="4:20" ht="20.100000000000001" customHeight="1" x14ac:dyDescent="0.2">
      <c r="D194" s="15" t="str">
        <f>INDEX(X_Table_Poultry_Stage1MMS,3,1)</f>
        <v>Belt manure removal</v>
      </c>
      <c r="E194" s="15" t="str">
        <f>INDEX(X_Table_Poultry_Stage2MMS_BeltManureRemoval,2,1)</f>
        <v>Solid storage</v>
      </c>
      <c r="F194" s="15">
        <f>((F27 * (1 - (_xlfn.XLOOKUP($E194, $D$41:$D$49,$E$41:$E$49)) - (_xlfn.XLOOKUP($E194, $D$54:$D$62,$E$54:$E$62))) - F72) * $F175)</f>
        <v>0.18747551940000004</v>
      </c>
      <c r="G194" s="15">
        <f>((G27 * (1 - (_xlfn.XLOOKUP($E194, $D$41:$D$49,$E$41:$E$49)) - (_xlfn.XLOOKUP($E194, $D$54:$D$62,$E$54:$E$62))) - G72) * $F175)</f>
        <v>0.20010862637999999</v>
      </c>
      <c r="H194" s="15">
        <f>((H27 * (1 - (_xlfn.XLOOKUP($E194, $D$41:$D$49,$E$41:$E$49)) - (_xlfn.XLOOKUP($E194, $D$54:$D$62,$E$54:$E$62))) - H72) * $F175)</f>
        <v>0.23489777063999998</v>
      </c>
      <c r="I194" s="15">
        <f>((I27 * (1 - (_xlfn.XLOOKUP($E194, $D$41:$D$49,$E$41:$E$49)) - (_xlfn.XLOOKUP($E194, $D$54:$D$62,$E$54:$E$62))) - I72) * $F175)</f>
        <v>0.20010862637999999</v>
      </c>
      <c r="J194" s="16"/>
      <c r="N194" s="15" t="str">
        <f>INDEX(X_Table_Poultry_Stage1MMS,3,1)</f>
        <v>Belt manure removal</v>
      </c>
      <c r="O194" s="15" t="str">
        <f>INDEX(X_Table_Poultry_Stage2MMS_BeltManureRemoval,2,1)</f>
        <v>Solid storage</v>
      </c>
      <c r="P194" s="15">
        <f>((P27 * (1 - (_xlfn.XLOOKUP($O194, $D$41:$D$49,$E$41:$E$49)) - (_xlfn.XLOOKUP($O194, $D$54:$D$62,$E$54:$E$62))) - P72) * $F175)</f>
        <v>0.18747551940000004</v>
      </c>
      <c r="Q194" s="15">
        <f>((Q27 * (1 - (_xlfn.XLOOKUP($O194, $D$41:$D$49,$E$41:$E$49)) - (_xlfn.XLOOKUP($O194, $D$54:$D$62,$E$54:$E$62))) - Q72) * $F175)</f>
        <v>0.20010862637999999</v>
      </c>
      <c r="R194" s="15">
        <f>((R27 * (1 - (_xlfn.XLOOKUP($O194, $D$41:$D$49,$E$41:$E$49)) - (_xlfn.XLOOKUP($O194, $D$54:$D$62,$E$54:$E$62))) - R72) * $F175)</f>
        <v>0.23489777063999998</v>
      </c>
      <c r="S194" s="15">
        <f>((S27 * (1 - (_xlfn.XLOOKUP($O194, $D$41:$D$49,$E$41:$E$49)) - (_xlfn.XLOOKUP($O194, $D$54:$D$62,$E$54:$E$62))) - S72) * $F175)</f>
        <v>0.20010862637999999</v>
      </c>
      <c r="T194" s="16"/>
    </row>
    <row r="195" spans="4:20" ht="20.100000000000001" customHeight="1" x14ac:dyDescent="0.2">
      <c r="D195" s="15"/>
      <c r="E195" s="15" t="str">
        <f>INDEX(X_Table_Poultry_Stage2MMS_BeltManureRemoval,3,1)</f>
        <v>Composting (passive windrow)</v>
      </c>
      <c r="F195" s="15">
        <f>((F28 * (1 - (_xlfn.XLOOKUP($E195, $D$41:$D$49,$E$41:$E$49)) - (_xlfn.XLOOKUP($E195, $D$54:$D$62,$E$54:$E$62))) - F73) * $F176)</f>
        <v>0.19110407784000005</v>
      </c>
      <c r="G195" s="15">
        <f>((G28 * (1 - (_xlfn.XLOOKUP($E195, $D$41:$D$49,$E$41:$E$49)) - (_xlfn.XLOOKUP($E195, $D$54:$D$62,$E$54:$E$62))) - G73) * $F176)</f>
        <v>0.20398169656800003</v>
      </c>
      <c r="H195" s="15">
        <f>((H28 * (1 - (_xlfn.XLOOKUP($E195, $D$41:$D$49,$E$41:$E$49)) - (_xlfn.XLOOKUP($E195, $D$54:$D$62,$E$54:$E$62))) - H73) * $F176)</f>
        <v>0.23944417910400001</v>
      </c>
      <c r="I195" s="15">
        <f>((I28 * (1 - (_xlfn.XLOOKUP($E195, $D$41:$D$49,$E$41:$E$49)) - (_xlfn.XLOOKUP($E195, $D$54:$D$62,$E$54:$E$62))) - I73) * $F176)</f>
        <v>0.20398169656800003</v>
      </c>
      <c r="J195" s="16"/>
      <c r="N195" s="15"/>
      <c r="O195" s="15" t="str">
        <f>INDEX(X_Table_Poultry_Stage2MMS_BeltManureRemoval,3,1)</f>
        <v>Composting (passive windrow)</v>
      </c>
      <c r="P195" s="15">
        <f>((P28 * (1 - (_xlfn.XLOOKUP($O195, $D$41:$D$49,$E$41:$E$49)) - (_xlfn.XLOOKUP($O195, $D$54:$D$62,$E$54:$E$62))) - P73) * $F176)</f>
        <v>0.19110407784000005</v>
      </c>
      <c r="Q195" s="15">
        <f>((Q28 * (1 - (_xlfn.XLOOKUP($O195, $D$41:$D$49,$E$41:$E$49)) - (_xlfn.XLOOKUP($O195, $D$54:$D$62,$E$54:$E$62))) - Q73) * $F176)</f>
        <v>0.20398169656800003</v>
      </c>
      <c r="R195" s="15">
        <f>((R28 * (1 - (_xlfn.XLOOKUP($O195, $D$41:$D$49,$E$41:$E$49)) - (_xlfn.XLOOKUP($O195, $D$54:$D$62,$E$54:$E$62))) - R73) * $F176)</f>
        <v>0.23944417910400001</v>
      </c>
      <c r="S195" s="15">
        <f>((S28 * (1 - (_xlfn.XLOOKUP($O195, $D$41:$D$49,$E$41:$E$49)) - (_xlfn.XLOOKUP($O195, $D$54:$D$62,$E$54:$E$62))) - S73) * $F176)</f>
        <v>0.20398169656800003</v>
      </c>
      <c r="T195" s="16"/>
    </row>
    <row r="196" spans="4:20" ht="20.100000000000001" customHeight="1" x14ac:dyDescent="0.2">
      <c r="D196" s="15"/>
      <c r="E196" s="15" t="str">
        <f>INDEX(X_Table_Poultry_Stage2MMS_BeltManureRemoval,4,1)</f>
        <v>Digester / covered lagoons</v>
      </c>
      <c r="F196" s="15">
        <f>((F29 * (1 - (_xlfn.XLOOKUP($E196, $D$41:$D$49,$E$41:$E$49)) - (_xlfn.XLOOKUP($E196, $D$54:$D$62,$E$54:$E$62))) - F74) * $F177)</f>
        <v>0.24190389600000006</v>
      </c>
      <c r="G196" s="15">
        <f>((G29 * (1 - (_xlfn.XLOOKUP($E196, $D$41:$D$49,$E$41:$E$49)) - (_xlfn.XLOOKUP($E196, $D$54:$D$62,$E$54:$E$62))) - G74) * $F177)</f>
        <v>0.25820467920000001</v>
      </c>
      <c r="H196" s="15">
        <f>((H29 * (1 - (_xlfn.XLOOKUP($E196, $D$41:$D$49,$E$41:$E$49)) - (_xlfn.XLOOKUP($E196, $D$54:$D$62,$E$54:$E$62))) - H74) * $F177)</f>
        <v>0.3030938976</v>
      </c>
      <c r="I196" s="15">
        <f>((I29 * (1 - (_xlfn.XLOOKUP($E196, $D$41:$D$49,$E$41:$E$49)) - (_xlfn.XLOOKUP($E196, $D$54:$D$62,$E$54:$E$62))) - I74) * $F177)</f>
        <v>0.25820467920000001</v>
      </c>
      <c r="J196" s="16"/>
      <c r="N196" s="15"/>
      <c r="O196" s="15" t="str">
        <f>INDEX(X_Table_Poultry_Stage2MMS_BeltManureRemoval,4,1)</f>
        <v>Digester / covered lagoons</v>
      </c>
      <c r="P196" s="15">
        <f>((P29 * (1 - (_xlfn.XLOOKUP($O196, $D$41:$D$49,$E$41:$E$49)) - (_xlfn.XLOOKUP($O196, $D$54:$D$62,$E$54:$E$62))) - P74) * $F177)</f>
        <v>0.24190389600000006</v>
      </c>
      <c r="Q196" s="15">
        <f>((Q29 * (1 - (_xlfn.XLOOKUP($O196, $D$41:$D$49,$E$41:$E$49)) - (_xlfn.XLOOKUP($O196, $D$54:$D$62,$E$54:$E$62))) - Q74) * $F177)</f>
        <v>0.25820467920000001</v>
      </c>
      <c r="R196" s="15">
        <f>((R29 * (1 - (_xlfn.XLOOKUP($O196, $D$41:$D$49,$E$41:$E$49)) - (_xlfn.XLOOKUP($O196, $D$54:$D$62,$E$54:$E$62))) - R74) * $F177)</f>
        <v>0.3030938976</v>
      </c>
      <c r="S196" s="15">
        <f>((S29 * (1 - (_xlfn.XLOOKUP($O196, $D$41:$D$49,$E$41:$E$49)) - (_xlfn.XLOOKUP($O196, $D$54:$D$62,$E$54:$E$62))) - S74) * $F177)</f>
        <v>0.25820467920000001</v>
      </c>
      <c r="T196" s="16"/>
    </row>
    <row r="197" spans="4:20" ht="20.100000000000001" customHeight="1" x14ac:dyDescent="0.2">
      <c r="D197" s="15"/>
      <c r="E197" s="15" t="str">
        <f>INDEX(X_Table_Poultry_Stage2MMS_BeltManureRemoval,5,1)</f>
        <v>Direct processing</v>
      </c>
      <c r="F197" s="15">
        <f>((F30 * (1 - (_xlfn.XLOOKUP($E197, $D$41:$D$49,$E$41:$E$49)) - (_xlfn.XLOOKUP($E197, $D$54:$D$62,$E$54:$E$62))) - F75) * $F178)</f>
        <v>0.24190389600000006</v>
      </c>
      <c r="G197" s="15">
        <f>((G30 * (1 - (_xlfn.XLOOKUP($E197, $D$41:$D$49,$E$41:$E$49)) - (_xlfn.XLOOKUP($E197, $D$54:$D$62,$E$54:$E$62))) - G75) * $F178)</f>
        <v>0.25820467920000001</v>
      </c>
      <c r="H197" s="15">
        <f>((H30 * (1 - (_xlfn.XLOOKUP($E197, $D$41:$D$49,$E$41:$E$49)) - (_xlfn.XLOOKUP($E197, $D$54:$D$62,$E$54:$E$62))) - H75) * $F178)</f>
        <v>0.3030938976</v>
      </c>
      <c r="I197" s="15">
        <f>((I30 * (1 - (_xlfn.XLOOKUP($E197, $D$41:$D$49,$E$41:$E$49)) - (_xlfn.XLOOKUP($E197, $D$54:$D$62,$E$54:$E$62))) - I75) * $F178)</f>
        <v>0.25820467920000001</v>
      </c>
      <c r="J197" s="16"/>
      <c r="N197" s="15"/>
      <c r="O197" s="15" t="str">
        <f>INDEX(X_Table_Poultry_Stage2MMS_BeltManureRemoval,5,1)</f>
        <v>Direct processing</v>
      </c>
      <c r="P197" s="15">
        <f>((P30 * (1 - (_xlfn.XLOOKUP($O197, $D$41:$D$49,$E$41:$E$49)) - (_xlfn.XLOOKUP($O197, $D$54:$D$62,$E$54:$E$62))) - P75) * $F178)</f>
        <v>0.24190389600000006</v>
      </c>
      <c r="Q197" s="15">
        <f>((Q30 * (1 - (_xlfn.XLOOKUP($O197, $D$41:$D$49,$E$41:$E$49)) - (_xlfn.XLOOKUP($O197, $D$54:$D$62,$E$54:$E$62))) - Q75) * $F178)</f>
        <v>0.25820467920000001</v>
      </c>
      <c r="R197" s="15">
        <f>((R30 * (1 - (_xlfn.XLOOKUP($O197, $D$41:$D$49,$E$41:$E$49)) - (_xlfn.XLOOKUP($O197, $D$54:$D$62,$E$54:$E$62))) - R75) * $F178)</f>
        <v>0.3030938976</v>
      </c>
      <c r="S197" s="15">
        <f>((S30 * (1 - (_xlfn.XLOOKUP($O197, $D$41:$D$49,$E$41:$E$49)) - (_xlfn.XLOOKUP($O197, $D$54:$D$62,$E$54:$E$62))) - S75) * $F178)</f>
        <v>0.25820467920000001</v>
      </c>
      <c r="T197" s="16"/>
    </row>
    <row r="198" spans="4:20" ht="20.100000000000001" customHeight="1" x14ac:dyDescent="0.2">
      <c r="D198" s="15"/>
      <c r="E198" s="15" t="str">
        <f>INDEX(X_Table_Poultry_Stage2MMS_BeltManureRemoval,6,1)</f>
        <v>Direct application</v>
      </c>
      <c r="F198" s="15">
        <f>((F31 * (1 - (_xlfn.XLOOKUP($E198, $D$41:$D$49,$E$41:$E$49)) - (_xlfn.XLOOKUP($E198, $D$54:$D$62,$E$54:$E$62))) - F76) * $F179)</f>
        <v>0</v>
      </c>
      <c r="G198" s="15">
        <f>((G31 * (1 - (_xlfn.XLOOKUP($E198, $D$41:$D$49,$E$41:$E$49)) - (_xlfn.XLOOKUP($E198, $D$54:$D$62,$E$54:$E$62))) - G76) * $F179)</f>
        <v>0</v>
      </c>
      <c r="H198" s="15">
        <f>((H31 * (1 - (_xlfn.XLOOKUP($E198, $D$41:$D$49,$E$41:$E$49)) - (_xlfn.XLOOKUP($E198, $D$54:$D$62,$E$54:$E$62))) - H76) * $F179)</f>
        <v>0</v>
      </c>
      <c r="I198" s="15">
        <f>((I31 * (1 - (_xlfn.XLOOKUP($E198, $D$41:$D$49,$E$41:$E$49)) - (_xlfn.XLOOKUP($E198, $D$54:$D$62,$E$54:$E$62))) - I76) * $F179)</f>
        <v>0</v>
      </c>
      <c r="N198" s="15"/>
      <c r="O198" s="15" t="str">
        <f>INDEX(X_Table_Poultry_Stage2MMS_BeltManureRemoval,6,1)</f>
        <v>Direct application</v>
      </c>
      <c r="P198" s="15">
        <f>((P31 * (1 - (_xlfn.XLOOKUP($O198, $D$41:$D$49,$E$41:$E$49)) - (_xlfn.XLOOKUP($O198, $D$54:$D$62,$E$54:$E$62))) - P76) * $F179)</f>
        <v>0</v>
      </c>
      <c r="Q198" s="15">
        <f>((Q31 * (1 - (_xlfn.XLOOKUP($O198, $D$41:$D$49,$E$41:$E$49)) - (_xlfn.XLOOKUP($O198, $D$54:$D$62,$E$54:$E$62))) - Q76) * $F179)</f>
        <v>0</v>
      </c>
      <c r="R198" s="15">
        <f>((R31 * (1 - (_xlfn.XLOOKUP($O198, $D$41:$D$49,$E$41:$E$49)) - (_xlfn.XLOOKUP($O198, $D$54:$D$62,$E$54:$E$62))) - R76) * $F179)</f>
        <v>0</v>
      </c>
      <c r="S198" s="15">
        <f>((S31 * (1 - (_xlfn.XLOOKUP($O198, $D$41:$D$49,$E$41:$E$49)) - (_xlfn.XLOOKUP($O198, $D$54:$D$62,$E$54:$E$62))) - S76) * $F179)</f>
        <v>0</v>
      </c>
    </row>
    <row r="199" spans="4:20" ht="20.100000000000001" customHeight="1" x14ac:dyDescent="0.2">
      <c r="D199" s="15" t="str">
        <f>INDEX(X_Table_Poultry_Stage1MMS,4,1)</f>
        <v>Manure stored in house</v>
      </c>
      <c r="E199" s="15" t="str">
        <f>INDEX(X_Table_Poultry_Stage2MMS_ManureStoredInHouse,2,1)</f>
        <v>Solid storage</v>
      </c>
      <c r="F199" s="15">
        <f>((F32 * (1 - (_xlfn.XLOOKUP($E199, $D$41:$D$49,$E$41:$E$49)) - (_xlfn.XLOOKUP($E199, $D$54:$D$62,$E$54:$E$62))) - F77) * $F180)</f>
        <v>0.11833280940000002</v>
      </c>
      <c r="G199" s="15">
        <f>((G32 * (1 - (_xlfn.XLOOKUP($E199, $D$41:$D$49,$E$41:$E$49)) - (_xlfn.XLOOKUP($E199, $D$54:$D$62,$E$54:$E$62))) - G77) * $F180)</f>
        <v>0.12630670937999997</v>
      </c>
      <c r="H199" s="15">
        <f>((H32 * (1 - (_xlfn.XLOOKUP($E199, $D$41:$D$49,$E$41:$E$49)) - (_xlfn.XLOOKUP($E199, $D$54:$D$62,$E$54:$E$62))) - H77) * $F180)</f>
        <v>0.14826529463999996</v>
      </c>
      <c r="I199" s="15">
        <f>((I32 * (1 - (_xlfn.XLOOKUP($E199, $D$41:$D$49,$E$41:$E$49)) - (_xlfn.XLOOKUP($E199, $D$54:$D$62,$E$54:$E$62))) - I77) * $F180)</f>
        <v>0.12630670937999997</v>
      </c>
      <c r="J199" s="16"/>
      <c r="N199" s="15" t="str">
        <f>INDEX(X_Table_Poultry_Stage1MMS,4,1)</f>
        <v>Manure stored in house</v>
      </c>
      <c r="O199" s="15" t="str">
        <f>INDEX(X_Table_Poultry_Stage2MMS_ManureStoredInHouse,2,1)</f>
        <v>Solid storage</v>
      </c>
      <c r="P199" s="15">
        <f>((P32 * (1 - (_xlfn.XLOOKUP($O199, $D$41:$D$49,$E$41:$E$49)) - (_xlfn.XLOOKUP($O199, $D$54:$D$62,$E$54:$E$62))) - P77) * $F180)</f>
        <v>0.11833280940000002</v>
      </c>
      <c r="Q199" s="15">
        <f>((Q32 * (1 - (_xlfn.XLOOKUP($O199, $D$41:$D$49,$E$41:$E$49)) - (_xlfn.XLOOKUP($O199, $D$54:$D$62,$E$54:$E$62))) - Q77) * $F180)</f>
        <v>0.12630670937999997</v>
      </c>
      <c r="R199" s="15">
        <f>((R32 * (1 - (_xlfn.XLOOKUP($O199, $D$41:$D$49,$E$41:$E$49)) - (_xlfn.XLOOKUP($O199, $D$54:$D$62,$E$54:$E$62))) - R77) * $F180)</f>
        <v>0.14826529463999996</v>
      </c>
      <c r="S199" s="15">
        <f>((S32 * (1 - (_xlfn.XLOOKUP($O199, $D$41:$D$49,$E$41:$E$49)) - (_xlfn.XLOOKUP($O199, $D$54:$D$62,$E$54:$E$62))) - S77) * $F180)</f>
        <v>0.12630670937999997</v>
      </c>
      <c r="T199" s="16"/>
    </row>
    <row r="200" spans="4:20" ht="20.100000000000001" customHeight="1" x14ac:dyDescent="0.2">
      <c r="D200" s="15"/>
      <c r="E200" s="15" t="str">
        <f>INDEX(X_Table_Poultry_Stage2MMS_ManureStoredInHouse,3,1)</f>
        <v>Composting (passive windrow)</v>
      </c>
      <c r="F200" s="15">
        <f>((F33 * (1 - (_xlfn.XLOOKUP($E200, $D$41:$D$49,$E$41:$E$49)) - (_xlfn.XLOOKUP($E200, $D$54:$D$62,$E$54:$E$62))) - F78) * $F181)</f>
        <v>0.12062312184000003</v>
      </c>
      <c r="G200" s="15">
        <f>((G33 * (1 - (_xlfn.XLOOKUP($E200, $D$41:$D$49,$E$41:$E$49)) - (_xlfn.XLOOKUP($E200, $D$54:$D$62,$E$54:$E$62))) - G78) * $F181)</f>
        <v>0.128751355368</v>
      </c>
      <c r="H200" s="15">
        <f>((H33 * (1 - (_xlfn.XLOOKUP($E200, $D$41:$D$49,$E$41:$E$49)) - (_xlfn.XLOOKUP($E200, $D$54:$D$62,$E$54:$E$62))) - H78) * $F181)</f>
        <v>0.15113494550399997</v>
      </c>
      <c r="I200" s="15">
        <f>((I33 * (1 - (_xlfn.XLOOKUP($E200, $D$41:$D$49,$E$41:$E$49)) - (_xlfn.XLOOKUP($E200, $D$54:$D$62,$E$54:$E$62))) - I78) * $F181)</f>
        <v>0.128751355368</v>
      </c>
      <c r="J200" s="16"/>
      <c r="N200" s="15"/>
      <c r="O200" s="15" t="str">
        <f>INDEX(X_Table_Poultry_Stage2MMS_ManureStoredInHouse,3,1)</f>
        <v>Composting (passive windrow)</v>
      </c>
      <c r="P200" s="15">
        <f>((P33 * (1 - (_xlfn.XLOOKUP($O200, $D$41:$D$49,$E$41:$E$49)) - (_xlfn.XLOOKUP($O200, $D$54:$D$62,$E$54:$E$62))) - P78) * $F181)</f>
        <v>0.12062312184000003</v>
      </c>
      <c r="Q200" s="15">
        <f>((Q33 * (1 - (_xlfn.XLOOKUP($O200, $D$41:$D$49,$E$41:$E$49)) - (_xlfn.XLOOKUP($O200, $D$54:$D$62,$E$54:$E$62))) - Q78) * $F181)</f>
        <v>0.128751355368</v>
      </c>
      <c r="R200" s="15">
        <f>((R33 * (1 - (_xlfn.XLOOKUP($O200, $D$41:$D$49,$E$41:$E$49)) - (_xlfn.XLOOKUP($O200, $D$54:$D$62,$E$54:$E$62))) - R78) * $F181)</f>
        <v>0.15113494550399997</v>
      </c>
      <c r="S200" s="15">
        <f>((S33 * (1 - (_xlfn.XLOOKUP($O200, $D$41:$D$49,$E$41:$E$49)) - (_xlfn.XLOOKUP($O200, $D$54:$D$62,$E$54:$E$62))) - S78) * $F181)</f>
        <v>0.128751355368</v>
      </c>
      <c r="T200" s="16"/>
    </row>
    <row r="201" spans="4:20" ht="20.100000000000001" customHeight="1" x14ac:dyDescent="0.2">
      <c r="D201" s="15"/>
      <c r="E201" s="15" t="str">
        <f>INDEX(X_Table_Poultry_Stage2MMS_ManureStoredInHouse,4,1)</f>
        <v>Digester / covered lagoons</v>
      </c>
      <c r="F201" s="15">
        <f>((F34 * (1 - (_xlfn.XLOOKUP($E201, $D$41:$D$49,$E$41:$E$49)) - (_xlfn.XLOOKUP($E201, $D$54:$D$62,$E$54:$E$62))) - F79) * $F182)</f>
        <v>0.15268749600000003</v>
      </c>
      <c r="G201" s="15">
        <f>((G34 * (1 - (_xlfn.XLOOKUP($E201, $D$41:$D$49,$E$41:$E$49)) - (_xlfn.XLOOKUP($E201, $D$54:$D$62,$E$54:$E$62))) - G79) * $F182)</f>
        <v>0.16297639919999998</v>
      </c>
      <c r="H201" s="15">
        <f>((H34 * (1 - (_xlfn.XLOOKUP($E201, $D$41:$D$49,$E$41:$E$49)) - (_xlfn.XLOOKUP($E201, $D$54:$D$62,$E$54:$E$62))) - H79) * $F182)</f>
        <v>0.19131005759999997</v>
      </c>
      <c r="I201" s="15">
        <f>((I34 * (1 - (_xlfn.XLOOKUP($E201, $D$41:$D$49,$E$41:$E$49)) - (_xlfn.XLOOKUP($E201, $D$54:$D$62,$E$54:$E$62))) - I79) * $F182)</f>
        <v>0.16297639919999998</v>
      </c>
      <c r="J201" s="16"/>
      <c r="N201" s="15"/>
      <c r="O201" s="15" t="str">
        <f>INDEX(X_Table_Poultry_Stage2MMS_ManureStoredInHouse,4,1)</f>
        <v>Digester / covered lagoons</v>
      </c>
      <c r="P201" s="15">
        <f>((P34 * (1 - (_xlfn.XLOOKUP($O201, $D$41:$D$49,$E$41:$E$49)) - (_xlfn.XLOOKUP($O201, $D$54:$D$62,$E$54:$E$62))) - P79) * $F182)</f>
        <v>0.15268749600000003</v>
      </c>
      <c r="Q201" s="15">
        <f>((Q34 * (1 - (_xlfn.XLOOKUP($O201, $D$41:$D$49,$E$41:$E$49)) - (_xlfn.XLOOKUP($O201, $D$54:$D$62,$E$54:$E$62))) - Q79) * $F182)</f>
        <v>0.16297639919999998</v>
      </c>
      <c r="R201" s="15">
        <f>((R34 * (1 - (_xlfn.XLOOKUP($O201, $D$41:$D$49,$E$41:$E$49)) - (_xlfn.XLOOKUP($O201, $D$54:$D$62,$E$54:$E$62))) - R79) * $F182)</f>
        <v>0.19131005759999997</v>
      </c>
      <c r="S201" s="15">
        <f>((S34 * (1 - (_xlfn.XLOOKUP($O201, $D$41:$D$49,$E$41:$E$49)) - (_xlfn.XLOOKUP($O201, $D$54:$D$62,$E$54:$E$62))) - S79) * $F182)</f>
        <v>0.16297639919999998</v>
      </c>
      <c r="T201" s="16"/>
    </row>
    <row r="202" spans="4:20" ht="20.100000000000001" customHeight="1" x14ac:dyDescent="0.2">
      <c r="D202" s="15"/>
      <c r="E202" s="15" t="str">
        <f>INDEX(X_Table_Poultry_Stage2MMS_ManureStoredInHouse,5,1)</f>
        <v>Direct processing</v>
      </c>
      <c r="F202" s="15">
        <f>((F35 * (1 - (_xlfn.XLOOKUP($E202, $D$41:$D$49,$E$41:$E$49)) - (_xlfn.XLOOKUP($E202, $D$54:$D$62,$E$54:$E$62))) - F80) * $F183)</f>
        <v>0.15268749600000003</v>
      </c>
      <c r="G202" s="15">
        <f>((G35 * (1 - (_xlfn.XLOOKUP($E202, $D$41:$D$49,$E$41:$E$49)) - (_xlfn.XLOOKUP($E202, $D$54:$D$62,$E$54:$E$62))) - G80) * $F183)</f>
        <v>0.16297639919999998</v>
      </c>
      <c r="H202" s="15">
        <f>((H35 * (1 - (_xlfn.XLOOKUP($E202, $D$41:$D$49,$E$41:$E$49)) - (_xlfn.XLOOKUP($E202, $D$54:$D$62,$E$54:$E$62))) - H80) * $F183)</f>
        <v>0.19131005759999997</v>
      </c>
      <c r="I202" s="15">
        <f>((I35 * (1 - (_xlfn.XLOOKUP($E202, $D$41:$D$49,$E$41:$E$49)) - (_xlfn.XLOOKUP($E202, $D$54:$D$62,$E$54:$E$62))) - I80) * $F183)</f>
        <v>0.16297639919999998</v>
      </c>
      <c r="J202" s="16"/>
      <c r="N202" s="15"/>
      <c r="O202" s="15" t="str">
        <f>INDEX(X_Table_Poultry_Stage2MMS_ManureStoredInHouse,5,1)</f>
        <v>Direct processing</v>
      </c>
      <c r="P202" s="15">
        <f>((P35 * (1 - (_xlfn.XLOOKUP($O202, $D$41:$D$49,$E$41:$E$49)) - (_xlfn.XLOOKUP($O202, $D$54:$D$62,$E$54:$E$62))) - P80) * $F183)</f>
        <v>0.15268749600000003</v>
      </c>
      <c r="Q202" s="15">
        <f>((Q35 * (1 - (_xlfn.XLOOKUP($O202, $D$41:$D$49,$E$41:$E$49)) - (_xlfn.XLOOKUP($O202, $D$54:$D$62,$E$54:$E$62))) - Q80) * $F183)</f>
        <v>0.16297639919999998</v>
      </c>
      <c r="R202" s="15">
        <f>((R35 * (1 - (_xlfn.XLOOKUP($O202, $D$41:$D$49,$E$41:$E$49)) - (_xlfn.XLOOKUP($O202, $D$54:$D$62,$E$54:$E$62))) - R80) * $F183)</f>
        <v>0.19131005759999997</v>
      </c>
      <c r="S202" s="15">
        <f>((S35 * (1 - (_xlfn.XLOOKUP($O202, $D$41:$D$49,$E$41:$E$49)) - (_xlfn.XLOOKUP($O202, $D$54:$D$62,$E$54:$E$62))) - S80) * $F183)</f>
        <v>0.16297639919999998</v>
      </c>
      <c r="T202" s="16"/>
    </row>
    <row r="203" spans="4:20" ht="20.100000000000001" customHeight="1" x14ac:dyDescent="0.2">
      <c r="D203" s="15"/>
      <c r="E203" s="15" t="str">
        <f>INDEX(X_Table_Poultry_Stage2MMS_ManureStoredInHouse,6,1)</f>
        <v>Direct application</v>
      </c>
      <c r="F203" s="15">
        <f>((F36 * (1 - (_xlfn.XLOOKUP($E203, $D$41:$D$49,$E$41:$E$49)) - (_xlfn.XLOOKUP($E203, $D$54:$D$62,$E$54:$E$62))) - F81) * $F184)</f>
        <v>0</v>
      </c>
      <c r="G203" s="15">
        <f>((G36 * (1 - (_xlfn.XLOOKUP($E203, $D$41:$D$49,$E$41:$E$49)) - (_xlfn.XLOOKUP($E203, $D$54:$D$62,$E$54:$E$62))) - G81) * $F184)</f>
        <v>0</v>
      </c>
      <c r="H203" s="15">
        <f>((H36 * (1 - (_xlfn.XLOOKUP($E203, $D$41:$D$49,$E$41:$E$49)) - (_xlfn.XLOOKUP($E203, $D$54:$D$62,$E$54:$E$62))) - H81) * $F184)</f>
        <v>0</v>
      </c>
      <c r="I203" s="15">
        <f>((I36 * (1 - (_xlfn.XLOOKUP($E203, $D$41:$D$49,$E$41:$E$49)) - (_xlfn.XLOOKUP($E203, $D$54:$D$62,$E$54:$E$62))) - I81) * $F184)</f>
        <v>0</v>
      </c>
      <c r="N203" s="15"/>
      <c r="O203" s="15" t="str">
        <f>INDEX(X_Table_Poultry_Stage2MMS_ManureStoredInHouse,6,1)</f>
        <v>Direct application</v>
      </c>
      <c r="P203" s="15">
        <f>((P36 * (1 - (_xlfn.XLOOKUP($O203, $D$41:$D$49,$E$41:$E$49)) - (_xlfn.XLOOKUP($O203, $D$54:$D$62,$E$54:$E$62))) - P81) * $F184)</f>
        <v>0</v>
      </c>
      <c r="Q203" s="15">
        <f>((Q36 * (1 - (_xlfn.XLOOKUP($O203, $D$41:$D$49,$E$41:$E$49)) - (_xlfn.XLOOKUP($O203, $D$54:$D$62,$E$54:$E$62))) - Q81) * $F184)</f>
        <v>0</v>
      </c>
      <c r="R203" s="15">
        <f>((R36 * (1 - (_xlfn.XLOOKUP($O203, $D$41:$D$49,$E$41:$E$49)) - (_xlfn.XLOOKUP($O203, $D$54:$D$62,$E$54:$E$62))) - R81) * $F184)</f>
        <v>0</v>
      </c>
      <c r="S203" s="15">
        <f>((S36 * (1 - (_xlfn.XLOOKUP($O203, $D$41:$D$49,$E$41:$E$49)) - (_xlfn.XLOOKUP($O203, $D$54:$D$62,$E$54:$E$62))) - S81) * $F184)</f>
        <v>0</v>
      </c>
    </row>
    <row r="205" spans="4:20" ht="20.100000000000001" customHeight="1" x14ac:dyDescent="0.2">
      <c r="D205" s="85" t="s">
        <v>473</v>
      </c>
      <c r="E205" s="86">
        <f>SUM(F189:I203)</f>
        <v>8.9593892186400037</v>
      </c>
      <c r="F205" s="95" t="str">
        <f>$E$11</f>
        <v>kg N</v>
      </c>
      <c r="N205" s="85" t="s">
        <v>473</v>
      </c>
      <c r="O205" s="86">
        <f>SUM(P189:S203)</f>
        <v>8.9593892186400037</v>
      </c>
      <c r="P205" s="95" t="str">
        <f>$E$11</f>
        <v>kg N</v>
      </c>
    </row>
  </sheetData>
  <dataValidations count="1">
    <dataValidation operator="equal" allowBlank="1" showInputMessage="1" showErrorMessage="1" sqref="F20:I20 I19:J19 P20:S20 S19:T19 F65:I65 I64:J64 P65:S65 S64:T64 F84:I84 I83:J83 F103:I103 I102:J102 P103:S103 S102:T102 F140:I140 I139:J139 P140:S140 S139:T139 F187:I187 I186:J186 P187:S187 S186:T186" xr:uid="{A78994F4-882C-4AC5-824D-F277327E8CFA}"/>
  </dataValidation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31902-B72D-44EA-A588-2F83E3E26174}">
  <sheetPr>
    <tabColor rgb="FF008000"/>
  </sheetPr>
  <dimension ref="A1:T57"/>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0" customFormat="1" ht="30" customHeight="1" x14ac:dyDescent="0.35">
      <c r="A1" s="10" t="e" vm="1">
        <v>#VALUE!</v>
      </c>
      <c r="C1" s="20" t="s">
        <v>289</v>
      </c>
    </row>
    <row r="2" spans="1:20" s="3" customFormat="1" ht="20.100000000000001" customHeight="1" x14ac:dyDescent="0.2">
      <c r="A2"/>
    </row>
    <row r="3" spans="1:20" ht="20.100000000000001" customHeight="1" x14ac:dyDescent="0.2">
      <c r="A3" s="5" t="str">
        <f>HYPERLINK("#'Home'!A1", "Home")</f>
        <v>Home</v>
      </c>
      <c r="C3" s="22"/>
      <c r="D3" s="22" t="s">
        <v>130</v>
      </c>
      <c r="E3" s="22"/>
      <c r="F3" s="22"/>
      <c r="G3" s="22"/>
      <c r="H3" s="22"/>
      <c r="I3" s="22"/>
      <c r="J3" s="22"/>
      <c r="K3" s="22"/>
      <c r="M3" s="22"/>
      <c r="N3" s="22" t="s">
        <v>131</v>
      </c>
      <c r="O3" s="22"/>
      <c r="P3" s="22"/>
      <c r="Q3" s="22"/>
      <c r="R3" s="22"/>
      <c r="S3" s="22"/>
      <c r="T3" s="22"/>
    </row>
    <row r="4" spans="1:20" ht="20.100000000000001" customHeight="1" x14ac:dyDescent="0.2">
      <c r="A4" s="5" t="str">
        <f>HYPERLINK("#'Results - Activity period'!A1", "Results - Activity period")</f>
        <v>Results - Activity period</v>
      </c>
    </row>
    <row r="5" spans="1:20" ht="20.100000000000001" customHeight="1" x14ac:dyDescent="0.2">
      <c r="A5" s="5" t="str">
        <f>HYPERLINK("#'Results - Product EI'!A1", "Results - Product Emissions Intensity")</f>
        <v>Results - Product Emissions Intensity</v>
      </c>
      <c r="D5" s="2" t="s">
        <v>1358</v>
      </c>
    </row>
    <row r="6" spans="1:20" ht="20.100000000000001" customHeight="1" x14ac:dyDescent="0.2">
      <c r="D6" s="17" t="s">
        <v>1359</v>
      </c>
    </row>
    <row r="7" spans="1:20" ht="20.100000000000001" customHeight="1" x14ac:dyDescent="0.2">
      <c r="D7" s="112"/>
      <c r="E7" s="112"/>
    </row>
    <row r="8" spans="1:20" ht="20.100000000000001" customHeight="1" x14ac:dyDescent="0.2">
      <c r="A8" s="7" t="s">
        <v>0</v>
      </c>
    </row>
    <row r="9" spans="1:20" ht="20.100000000000001" customHeight="1" x14ac:dyDescent="0.2">
      <c r="A9" s="5" t="str">
        <f>HYPERLINK("#'Input - Enterprise'!A1", "Enterprise")</f>
        <v>Enterprise</v>
      </c>
    </row>
    <row r="10" spans="1:20" ht="20.100000000000001" customHeight="1" x14ac:dyDescent="0.2">
      <c r="A10" s="5" t="str">
        <f>HYPERLINK("#'Input - Site'!A1", "Site")</f>
        <v>Site</v>
      </c>
      <c r="D10" s="75" t="s">
        <v>328</v>
      </c>
      <c r="E10" s="1" t="s">
        <v>1360</v>
      </c>
    </row>
    <row r="11" spans="1:20" ht="20.100000000000001" customHeight="1" x14ac:dyDescent="0.2">
      <c r="A11" s="5" t="str">
        <f>HYPERLINK("#'Input - Poultry'!A1", "Poultry")</f>
        <v>Poultry</v>
      </c>
      <c r="D11" s="75" t="s">
        <v>118</v>
      </c>
      <c r="E11" s="9" t="s">
        <v>12</v>
      </c>
    </row>
    <row r="12" spans="1:20" ht="20.100000000000001" customHeight="1" x14ac:dyDescent="0.2">
      <c r="A12" s="5" t="str">
        <f>HYPERLINK("#'Input - Livestock sales'!A1", "Livestock sales")</f>
        <v>Livestock sales</v>
      </c>
    </row>
    <row r="13" spans="1:20" ht="20.100000000000001" customHeight="1" x14ac:dyDescent="0.2">
      <c r="A13" s="5" t="str">
        <f>HYPERLINK("#'Input - Poultry purchases'!A1", "Poultry purchases")</f>
        <v>Poultry purchases</v>
      </c>
      <c r="D13" s="113" t="s">
        <v>1361</v>
      </c>
      <c r="E13" s="113" t="s">
        <v>1362</v>
      </c>
      <c r="F13" s="113"/>
      <c r="G13" s="113" t="s">
        <v>482</v>
      </c>
      <c r="H13" s="115" t="s">
        <v>1365</v>
      </c>
      <c r="I13" s="116" t="str" cm="1">
        <f t="array" aca="1" ref="I13" ca="1">HYPERLINK(Common_InputFunctions.Utility_SourceHyperlink($D$17),$D$17)</f>
        <v>M1_Table_MN_j_k_m-14_T-1</v>
      </c>
    </row>
    <row r="14" spans="1:20" ht="20.100000000000001" customHeight="1" x14ac:dyDescent="0.2">
      <c r="A14" s="5" t="str">
        <f>HYPERLINK("#'Input - Fuel'!A1", "Fuel")</f>
        <v>Fuel</v>
      </c>
      <c r="D14" s="113" t="s">
        <v>1363</v>
      </c>
      <c r="E14" s="113" t="s">
        <v>1364</v>
      </c>
      <c r="F14" s="113"/>
      <c r="G14" s="113" t="s">
        <v>1366</v>
      </c>
      <c r="H14" s="115" t="s">
        <v>1203</v>
      </c>
      <c r="I14" s="113">
        <f>_xlfn.XLOOKUP(D20,Table_SourceData_Poultry_EFmT[NIR reference],Table_SourceData_Poultry_EFmT[EFmT])</f>
        <v>0.02</v>
      </c>
    </row>
    <row r="15" spans="1:20" ht="20.100000000000001" customHeight="1" x14ac:dyDescent="0.2">
      <c r="A15" s="5" t="str">
        <f>HYPERLINK("#'Input - Electricity'!A1", "Electricity")</f>
        <v>Electricity</v>
      </c>
      <c r="D15" s="113" t="s">
        <v>1302</v>
      </c>
      <c r="E15" s="113" t="s">
        <v>1341</v>
      </c>
      <c r="F15" s="113"/>
      <c r="G15" s="113" t="s">
        <v>1258</v>
      </c>
      <c r="H15" s="115" t="s">
        <v>1203</v>
      </c>
      <c r="I15" s="113">
        <f>Common_InputFunctions.Utility_LookupValueInTableNumber("N2O",Table_GasToMolecularConversionFactor[Gas],Table_GasToMolecularConversionFactor[Conversion factor combined])</f>
        <v>1.5714285714285714</v>
      </c>
    </row>
    <row r="16" spans="1:20" ht="20.100000000000001" customHeight="1" x14ac:dyDescent="0.2">
      <c r="A16" s="5" t="str">
        <f>HYPERLINK("#'Input - Common farm inputs'!A1", "Common farm inputs")</f>
        <v>Common farm inputs</v>
      </c>
    </row>
    <row r="17" spans="1:19" ht="20.100000000000001" customHeight="1" x14ac:dyDescent="0.2">
      <c r="A17" s="5" t="str">
        <f>HYPERLINK("#'Input - Livestock farm Inputs'!A1", "Livestock farm Inputs")</f>
        <v>Livestock farm Inputs</v>
      </c>
      <c r="D17" s="118" t="s">
        <v>474</v>
      </c>
      <c r="N17" s="118" t="s">
        <v>475</v>
      </c>
    </row>
    <row r="18" spans="1:19" ht="20.100000000000001" customHeight="1" x14ac:dyDescent="0.2">
      <c r="A18" s="5" t="str">
        <f>HYPERLINK("#'Input - Freight'!A1", "Freight")</f>
        <v>Freight</v>
      </c>
      <c r="D18" s="119" t="s">
        <v>476</v>
      </c>
      <c r="N18" s="119" t="s">
        <v>477</v>
      </c>
    </row>
    <row r="19" spans="1:19" ht="20.100000000000001" customHeight="1" x14ac:dyDescent="0.2">
      <c r="A19" s="5" t="str">
        <f>HYPERLINK("#'Input - Solid waste'!A1", "Solid waste")</f>
        <v>Solid waste</v>
      </c>
      <c r="D19" s="120" t="s">
        <v>314</v>
      </c>
      <c r="E19" s="120" t="s">
        <v>297</v>
      </c>
      <c r="F19" s="120" t="s">
        <v>298</v>
      </c>
      <c r="G19" s="120" t="s">
        <v>299</v>
      </c>
      <c r="H19" s="120" t="s">
        <v>300</v>
      </c>
      <c r="N19" s="120" t="s">
        <v>314</v>
      </c>
      <c r="O19" s="120" t="s">
        <v>297</v>
      </c>
      <c r="P19" s="120" t="s">
        <v>298</v>
      </c>
      <c r="Q19" s="120" t="s">
        <v>299</v>
      </c>
      <c r="R19" s="120" t="s">
        <v>300</v>
      </c>
    </row>
    <row r="20" spans="1:19" ht="20.100000000000001" customHeight="1" x14ac:dyDescent="0.2">
      <c r="A20" s="5" t="str">
        <f>HYPERLINK("#'Input - Manure sent off-site'!A1", "Manure sent off-site")</f>
        <v>Manure sent off-site</v>
      </c>
      <c r="D20" s="15" t="str">
        <f>INDEX(X_Table_Poultry_Stage1MMS,5,1)</f>
        <v>Pasture range and paddock</v>
      </c>
      <c r="E20" s="15">
        <f>INDEX(M1_Table_MN_j_k_m_T1,5,2)</f>
        <v>1.6993600000000004</v>
      </c>
      <c r="F20" s="15">
        <f>INDEX(M1_Table_MN_j_k_m_T1,5,3)</f>
        <v>1.8138719999999999</v>
      </c>
      <c r="G20" s="15">
        <f>INDEX(M1_Table_MN_j_k_m_T1,5,4)</f>
        <v>2.129216</v>
      </c>
      <c r="H20" s="15">
        <f>INDEX(M1_Table_MN_j_k_m_T1,5,5)</f>
        <v>1.8138719999999999</v>
      </c>
      <c r="I20" s="16" t="str">
        <f>$G$13</f>
        <v>kg N</v>
      </c>
      <c r="J20" s="16"/>
      <c r="N20" s="15" t="str">
        <f>INDEX(X_Table_Poultry_Stage1MMS,5,1)</f>
        <v>Pasture range and paddock</v>
      </c>
      <c r="O20" s="15">
        <f>INDEX(M2_Table_MN_j_k_m_T1,5,2)</f>
        <v>1.6993600000000004</v>
      </c>
      <c r="P20" s="15">
        <f>INDEX(M2_Table_MN_j_k_m_T1,5,3)</f>
        <v>1.8138719999999999</v>
      </c>
      <c r="Q20" s="15">
        <f>INDEX(M2_Table_MN_j_k_m_T1,5,4)</f>
        <v>2.129216</v>
      </c>
      <c r="R20" s="15">
        <f>INDEX(M2_Table_MN_j_k_m_T1,5,5)</f>
        <v>1.8138719999999999</v>
      </c>
      <c r="S20" s="16" t="str">
        <f>$G$13</f>
        <v>kg N</v>
      </c>
    </row>
    <row r="21" spans="1:19" ht="20.100000000000001" customHeight="1" x14ac:dyDescent="0.2">
      <c r="A21" s="5" t="str">
        <f>HYPERLINK("#'Input - Data quality'!A1", "Data quality")</f>
        <v>Data quality</v>
      </c>
    </row>
    <row r="22" spans="1:19" ht="20.100000000000001" customHeight="1" x14ac:dyDescent="0.2">
      <c r="A22" s="5" t="str">
        <f>HYPERLINK("#'Input - Fert Prod System'!A1", "Fert Prod System")</f>
        <v>Fert Prod System</v>
      </c>
      <c r="D22" s="118" t="s">
        <v>478</v>
      </c>
      <c r="N22" s="118" t="s">
        <v>479</v>
      </c>
    </row>
    <row r="23" spans="1:19" ht="20.100000000000001" customHeight="1" x14ac:dyDescent="0.2">
      <c r="A23" s="5" t="str">
        <f>HYPERLINK("#'Input - Fertiliser'!A1", "Fertiliser")</f>
        <v>Fertiliser</v>
      </c>
      <c r="D23" s="119" t="s">
        <v>480</v>
      </c>
      <c r="N23" s="119" t="s">
        <v>481</v>
      </c>
    </row>
    <row r="24" spans="1:19" ht="20.100000000000001" customHeight="1" x14ac:dyDescent="0.2">
      <c r="D24" s="120" t="s">
        <v>314</v>
      </c>
      <c r="E24" s="120" t="s">
        <v>297</v>
      </c>
      <c r="F24" s="120" t="s">
        <v>298</v>
      </c>
      <c r="G24" s="120" t="s">
        <v>299</v>
      </c>
      <c r="H24" s="120" t="s">
        <v>300</v>
      </c>
      <c r="N24" s="120" t="s">
        <v>314</v>
      </c>
      <c r="O24" s="120" t="s">
        <v>297</v>
      </c>
      <c r="P24" s="120" t="s">
        <v>298</v>
      </c>
      <c r="Q24" s="120" t="s">
        <v>299</v>
      </c>
      <c r="R24" s="120" t="s">
        <v>300</v>
      </c>
    </row>
    <row r="25" spans="1:19" ht="20.100000000000001" customHeight="1" x14ac:dyDescent="0.2">
      <c r="D25" s="15" t="str">
        <f>INDEX(X_Table_Poultry_Stage1MMS,5,1)</f>
        <v>Pasture range and paddock</v>
      </c>
      <c r="E25" s="15">
        <f>(E20 * $I$14 * $I$15 * 10 ^ -3)</f>
        <v>5.3408457142857159E-5</v>
      </c>
      <c r="F25" s="15">
        <f>(F20 * $I$14 * $I$15 * 10 ^ -3)</f>
        <v>5.700740571428572E-5</v>
      </c>
      <c r="G25" s="15">
        <f>(G20 * $I$14 * $I$15 * 10 ^ -3)</f>
        <v>6.6918217142857147E-5</v>
      </c>
      <c r="H25" s="15">
        <f>(H20 * $I$14 * $I$15 * 10 ^ -3)</f>
        <v>5.700740571428572E-5</v>
      </c>
      <c r="I25" s="16" t="str">
        <f>$E$11</f>
        <v>t N2O</v>
      </c>
      <c r="J25" s="16"/>
      <c r="N25" s="15" t="str">
        <f>INDEX(X_Table_Poultry_Stage1MMS,5,1)</f>
        <v>Pasture range and paddock</v>
      </c>
      <c r="O25" s="15">
        <f>(O20 * $I$14 * $I$15 * 10 ^ -3)</f>
        <v>5.3408457142857159E-5</v>
      </c>
      <c r="P25" s="15">
        <f>(P20 * $I$14 * $I$15 * 10 ^ -3)</f>
        <v>5.700740571428572E-5</v>
      </c>
      <c r="Q25" s="15">
        <f>(Q20 * $I$14 * $I$15 * 10 ^ -3)</f>
        <v>6.6918217142857147E-5</v>
      </c>
      <c r="R25" s="15">
        <f>(R20 * $I$14 * $I$15 * 10 ^ -3)</f>
        <v>5.700740571428572E-5</v>
      </c>
      <c r="S25" s="16" t="s">
        <v>482</v>
      </c>
    </row>
    <row r="26" spans="1:19" ht="20.100000000000001" customHeight="1" x14ac:dyDescent="0.2">
      <c r="A26" s="6" t="s">
        <v>2</v>
      </c>
    </row>
    <row r="27" spans="1:19" ht="20.100000000000001" customHeight="1" x14ac:dyDescent="0.2">
      <c r="A27" s="5" t="str">
        <f>HYPERLINK("#'4.6.1.1-2 Methane'!A1", "4.6.1.1-2 Manure Methane")</f>
        <v>4.6.1.1-2 Manure Methane</v>
      </c>
      <c r="D27" s="85" t="s">
        <v>483</v>
      </c>
      <c r="E27" s="86">
        <f>SUM(E25:H25)</f>
        <v>2.3434148571428574E-4</v>
      </c>
      <c r="F27" s="95" t="str">
        <f>$E$11</f>
        <v>t N2O</v>
      </c>
      <c r="N27" s="85" t="s">
        <v>483</v>
      </c>
      <c r="O27" s="86">
        <f>SUM(O25:R25)</f>
        <v>2.3434148571428574E-4</v>
      </c>
      <c r="P27" s="95" t="str">
        <f>$E$11</f>
        <v>t N2O</v>
      </c>
    </row>
    <row r="28" spans="1:19" ht="20.100000000000001" customHeight="1" x14ac:dyDescent="0.2">
      <c r="A28" s="5" t="str">
        <f>HYPERLINK("#'4.6.1.3-4 Direct N20'!A1", "4.6.1.3-4 Manure Direct N2O")</f>
        <v>4.6.1.3-4 Manure Direct N2O</v>
      </c>
    </row>
    <row r="29" spans="1:19" ht="20.100000000000001" customHeight="1" x14ac:dyDescent="0.2">
      <c r="A29" s="5" t="str">
        <f>HYPERLINK("#'4.6.1.5-6 Atmos Dep'!A1", "4.6.1.5-6 Manure Atmos Dep")</f>
        <v>4.6.1.5-6 Manure Atmos Dep</v>
      </c>
      <c r="D29" s="126" t="str" cm="1">
        <f t="array" ref="D29:E30">Common_Equations.Common_ConvertN2OToCO2e_Arguments()</f>
        <v>EN2O</v>
      </c>
      <c r="E29" s="129" t="str">
        <v>Nitrous oxide emissions (t N2O)</v>
      </c>
      <c r="F29" s="130"/>
      <c r="G29" s="15">
        <f>VEERG_4_6_1_10__1_DirectNitrousOxideEmissionsFromPoultryManure_Result_Method1</f>
        <v>2.3434148571428574E-4</v>
      </c>
      <c r="N29" s="126" t="str" cm="1">
        <f t="array" ref="N29:O30">Common_Equations.Common_ConvertN2OToCO2e_Arguments()</f>
        <v>EN2O</v>
      </c>
      <c r="O29" s="129" t="str">
        <v>Nitrous oxide emissions (t N2O)</v>
      </c>
      <c r="P29" s="130"/>
      <c r="Q29" s="15">
        <f>VEERG_4_6_1_10__1_DirectNitrousOxideEmissionsFromPoultryManure_Result_Method2</f>
        <v>2.3434148571428574E-4</v>
      </c>
    </row>
    <row r="30" spans="1:19" ht="20.100000000000001" customHeight="1" x14ac:dyDescent="0.2">
      <c r="A30" s="5" t="str">
        <f>HYPERLINK("#'4.6.1.7-8 Leaching and runoff'!A1", "4.6.1.7-8 Manure Leaching and runoff")</f>
        <v>4.6.1.7-8 Manure Leaching and runoff</v>
      </c>
      <c r="D30" s="126" t="str">
        <v>GWPN2O</v>
      </c>
      <c r="E30" s="129" t="str">
        <v>Global warming potential for nitrous oxide (t CO2-e / t N2O)</v>
      </c>
      <c r="F30" s="130"/>
      <c r="G30" s="15">
        <f>Common_InputFunctions.Utility_LookupValueInTableNumber("N2O", Table_GWPData[Gas],Table_GWPData[CO2-e factor])</f>
        <v>265</v>
      </c>
      <c r="N30" s="126" t="str">
        <v>GWPN2O</v>
      </c>
      <c r="O30" s="129" t="str">
        <v>Global warming potential for nitrous oxide (t CO2-e / t N2O)</v>
      </c>
      <c r="P30" s="130"/>
      <c r="Q30" s="15">
        <f>Common_InputFunctions.Utility_LookupValueInTableNumber("N2O", Table_GWPData[Gas],Table_GWPData[CO2-e factor])</f>
        <v>265</v>
      </c>
    </row>
    <row r="31" spans="1:19" ht="20.100000000000001" customHeight="1" x14ac:dyDescent="0.2">
      <c r="A31" s="5" t="str">
        <f>HYPERLINK("#'4.6.1.9 Manure applied to soils'!A1", "4.6.1.9 Manure applied to soils")</f>
        <v>4.6.1.9 Manure applied to soils</v>
      </c>
    </row>
    <row r="32" spans="1:19" ht="20.100000000000001" customHeight="1" x14ac:dyDescent="0.2">
      <c r="A32" s="117" t="str">
        <f>HYPERLINK("#'4.6.1.10-11 Soil direct N2O'!A1", "4.6.1.10-11 Soil direct N2O")</f>
        <v>4.6.1.10-11 Soil direct N2O</v>
      </c>
      <c r="D32" s="83" t="s">
        <v>376</v>
      </c>
      <c r="E32" s="83" cm="1">
        <f t="array" ref="E32">Common_Equations.Common_ConvertN2OToCO2e(G29,G30)</f>
        <v>6.2100493714285721E-2</v>
      </c>
      <c r="F32" s="89" t="str" cm="1">
        <f t="array" ref="F32">Common_Equations.Common_ConvertN2OToCO2e_Unit()</f>
        <v>t CO2e</v>
      </c>
      <c r="N32" s="83" t="s">
        <v>376</v>
      </c>
      <c r="O32" s="83" cm="1">
        <f t="array" ref="O32">Common_Equations.Common_ConvertN2OToCO2e(Q29,Q30)</f>
        <v>6.2100493714285721E-2</v>
      </c>
      <c r="P32" s="89" t="str" cm="1">
        <f t="array" ref="P32">Common_Equations.Common_ConvertN2OToCO2e_Unit()</f>
        <v>t CO2e</v>
      </c>
    </row>
    <row r="33" spans="1:1" ht="20.100000000000001" customHeight="1" x14ac:dyDescent="0.2">
      <c r="A33" s="5" t="str">
        <f>HYPERLINK("#'4.6.1.12-13 Soil atmos dep'!A1", "4.6.1.12-13 Soil atmos dep")</f>
        <v>4.6.1.12-13 Soil atmos dep</v>
      </c>
    </row>
    <row r="34" spans="1:1" ht="20.100000000000001" customHeight="1" x14ac:dyDescent="0.2">
      <c r="A34" s="5" t="str">
        <f>HYPERLINK("#'4.6.1.14-15 Soil leach runoff'!A1", "4.6.1.14-15 Soil leach runoff")</f>
        <v>4.6.1.14-15 Soil leach runoff</v>
      </c>
    </row>
    <row r="35" spans="1:1" ht="20.100000000000001" customHeight="1" x14ac:dyDescent="0.2">
      <c r="A35" s="5" t="str">
        <f>HYPERLINK("#'8.1.1.1-2 Transport fuel'!A1", "8.1.1.1-2 Transport fuel")</f>
        <v>8.1.1.1-2 Transport fuel</v>
      </c>
    </row>
    <row r="36" spans="1:1" ht="20.100000000000001" customHeight="1" x14ac:dyDescent="0.2">
      <c r="A36" s="5" t="str">
        <f>HYPERLINK("#'8.2.1.1-2 Stationary fuel'!A1", "8.2.1.1-2 Stationary fuel")</f>
        <v>8.2.1.1-2 Stationary fuel</v>
      </c>
    </row>
    <row r="37" spans="1:1" ht="20.100000000000001" customHeight="1" x14ac:dyDescent="0.2">
      <c r="A37" s="5" t="str">
        <f>HYPERLINK("#'10.1.1-2 Solid waste treatment'!A1", "10.1.1.1-2 Solid waste")</f>
        <v>10.1.1.1-2 Solid waste</v>
      </c>
    </row>
    <row r="38" spans="1:1" ht="20.100000000000001" customHeight="1" x14ac:dyDescent="0.2">
      <c r="A38" s="5" t="str">
        <f>HYPERLINK("#'14.1.1-2 Purchased electricity'!A1", "14.1.1-2 Purchased electricity")</f>
        <v>14.1.1-2 Purchased electricity</v>
      </c>
    </row>
    <row r="39" spans="1:1" ht="20.100000000000001" customHeight="1" x14ac:dyDescent="0.2">
      <c r="A39" s="5" t="str">
        <f>HYPERLINK("#'15 Scope 3'!A1", "15 Scope 3")</f>
        <v>15 Scope 3</v>
      </c>
    </row>
    <row r="40" spans="1:1" ht="20.100000000000001" customHeight="1" x14ac:dyDescent="0.2">
      <c r="A40" s="5" t="str">
        <f>HYPERLINK("#'Calcs - Manure sent off-site'!A1", "Calcs - Manure sent off-site")</f>
        <v>Calcs - Manure sent off-site</v>
      </c>
    </row>
    <row r="41" spans="1:1" ht="20.100000000000001" customHeight="1" x14ac:dyDescent="0.2">
      <c r="A41" s="5" t="str">
        <f>HYPERLINK("#'5.1.1.1-2 Inorganic fert N2O'!A1", "5.1.1.1-2 Inorganic fert N2O")</f>
        <v>5.1.1.1-2 Inorganic fert N2O</v>
      </c>
    </row>
    <row r="42" spans="1:1" ht="20.100000000000001" customHeight="1" x14ac:dyDescent="0.2">
      <c r="A42" s="5" t="str">
        <f>HYPERLINK("#'5.1.1.3-4 Inorganic fert CO2'!A1", "5.1.1.3-4 Inorganic fert CO2")</f>
        <v>5.1.1.3-4 Inorganic fert CO2</v>
      </c>
    </row>
    <row r="43" spans="1:1" ht="20.100000000000001" customHeight="1" x14ac:dyDescent="0.2">
      <c r="A43" s="5" t="str">
        <f>HYPERLINK("#'5.2.1.1-2 Organic Fert N2O'!A1", "5.2.1.1-2 Organic Fert N2O")</f>
        <v>5.2.1.1-2 Organic Fert N2O</v>
      </c>
    </row>
    <row r="44" spans="1:1" ht="20.100000000000001" customHeight="1" x14ac:dyDescent="0.2">
      <c r="A44" s="5" t="str">
        <f>HYPERLINK("#'5.3.1.1-2 Lime CO2'!A1", "5.3.1.1-2 Lime CO2")</f>
        <v>5.3.1.1-2 Lime CO2</v>
      </c>
    </row>
    <row r="45" spans="1:1" ht="20.100000000000001" customHeight="1" x14ac:dyDescent="0.2">
      <c r="A45" s="5" t="str">
        <f>HYPERLINK("#'5.4.1.1-4 Atmos deposition'!A1", "5.4.1.1-4 Atmos deposition")</f>
        <v>5.4.1.1-4 Atmos deposition</v>
      </c>
    </row>
    <row r="46" spans="1:1" ht="20.100000000000001" customHeight="1" x14ac:dyDescent="0.2">
      <c r="A46" s="5" t="str">
        <f>HYPERLINK("#'5.5.1.1-2 Leaching and runoff'!A1", "5.5.1.1-2 Leaching and runoff")</f>
        <v>5.5.1.1-2 Leaching and runoff</v>
      </c>
    </row>
    <row r="49" spans="1:1" ht="20.100000000000001" customHeight="1" x14ac:dyDescent="0.2">
      <c r="A49" s="80" t="s">
        <v>1</v>
      </c>
    </row>
    <row r="50" spans="1:1" ht="20.100000000000001" customHeight="1" x14ac:dyDescent="0.2">
      <c r="A50" s="5" t="str">
        <f>HYPERLINK("#'Constants - Poultry'!A1", "Constants - Poultry")</f>
        <v>Constants - Poultry</v>
      </c>
    </row>
    <row r="51" spans="1:1" ht="20.100000000000001" customHeight="1" x14ac:dyDescent="0.2">
      <c r="A51" s="5" t="str">
        <f>HYPERLINK("#'Constants - Common livestock'!A1", "Constants - Common Livestock")</f>
        <v>Constants - Common Livestock</v>
      </c>
    </row>
    <row r="52" spans="1:1" ht="20.100000000000001" customHeight="1" x14ac:dyDescent="0.2">
      <c r="A52" s="5" t="str">
        <f>HYPERLINK("#'Constants - Electricity'!A1", "Constants - Electricity")</f>
        <v>Constants - Electricity</v>
      </c>
    </row>
    <row r="53" spans="1:1" ht="20.100000000000001" customHeight="1" x14ac:dyDescent="0.2">
      <c r="A53" s="5" t="str">
        <f>HYPERLINK("#'Constants - Fertiliser'!A1", "Constants - Fertiliser")</f>
        <v>Constants - Fertiliser</v>
      </c>
    </row>
    <row r="54" spans="1:1" ht="20.100000000000001" customHeight="1" x14ac:dyDescent="0.2">
      <c r="A54" s="5" t="str">
        <f>HYPERLINK("#'Constants - Fuel'!A1", "Constants - Fuel")</f>
        <v>Constants - Fuel</v>
      </c>
    </row>
    <row r="55" spans="1:1" ht="20.100000000000001" customHeight="1" x14ac:dyDescent="0.2">
      <c r="A55" s="5" t="str">
        <f>HYPERLINK("#'Constants - Scope 3'!A1", "Constants - Scope 3")</f>
        <v>Constants - Scope 3</v>
      </c>
    </row>
    <row r="56" spans="1:1" ht="20.100000000000001" customHeight="1" x14ac:dyDescent="0.2">
      <c r="A56" s="5" t="str">
        <f>HYPERLINK("#'Constants - Solid Waste'!A1", "Constants - Solid Waste")</f>
        <v>Constants - Solid Waste</v>
      </c>
    </row>
    <row r="57" spans="1:1" ht="20.100000000000001" customHeight="1" x14ac:dyDescent="0.2">
      <c r="A57" s="5" t="str">
        <f>HYPERLINK("#'Constants - Common'!A1", "Constants - Common")</f>
        <v>Constants - Common</v>
      </c>
    </row>
  </sheetData>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DD708-750F-4BDE-A5EF-6BA853CEBDAE}">
  <sheetPr>
    <tabColor rgb="FF008000"/>
  </sheetPr>
  <dimension ref="A1:S57"/>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20" customFormat="1" ht="30" customHeight="1" x14ac:dyDescent="0.35">
      <c r="A1" s="10" t="e" vm="1">
        <v>#VALUE!</v>
      </c>
      <c r="C1" s="20" t="s">
        <v>484</v>
      </c>
    </row>
    <row r="2" spans="1:19" s="3" customFormat="1" ht="20.100000000000001" customHeight="1" x14ac:dyDescent="0.2">
      <c r="A2"/>
    </row>
    <row r="3" spans="1:19" ht="20.100000000000001" customHeight="1" x14ac:dyDescent="0.2">
      <c r="A3" s="5" t="str">
        <f>HYPERLINK("#'Home'!A1", "Home")</f>
        <v>Home</v>
      </c>
      <c r="C3" s="22"/>
      <c r="D3" s="22" t="s">
        <v>130</v>
      </c>
      <c r="E3" s="22"/>
      <c r="F3" s="22"/>
      <c r="G3" s="22"/>
      <c r="H3" s="22"/>
      <c r="I3" s="22"/>
      <c r="J3" s="22"/>
      <c r="L3" s="22"/>
      <c r="M3" s="22" t="s">
        <v>131</v>
      </c>
      <c r="N3" s="22"/>
      <c r="O3" s="22"/>
      <c r="P3" s="22"/>
      <c r="Q3" s="22"/>
      <c r="R3" s="22"/>
      <c r="S3" s="22"/>
    </row>
    <row r="4" spans="1:19" ht="20.100000000000001" customHeight="1" x14ac:dyDescent="0.2">
      <c r="A4" s="5" t="str">
        <f>HYPERLINK("#'Results - Activity period'!A1", "Results - Activity period")</f>
        <v>Results - Activity period</v>
      </c>
    </row>
    <row r="5" spans="1:19" ht="20.100000000000001" customHeight="1" x14ac:dyDescent="0.2">
      <c r="A5" s="5" t="str">
        <f>HYPERLINK("#'Results - Product EI'!A1", "Results - Product Emissions Intensity")</f>
        <v>Results - Product Emissions Intensity</v>
      </c>
      <c r="D5" s="2" t="s">
        <v>1367</v>
      </c>
    </row>
    <row r="6" spans="1:19" ht="20.100000000000001" customHeight="1" x14ac:dyDescent="0.2">
      <c r="D6" s="17" t="s">
        <v>1368</v>
      </c>
    </row>
    <row r="7" spans="1:19" ht="20.100000000000001" customHeight="1" x14ac:dyDescent="0.2">
      <c r="D7" s="112"/>
      <c r="E7" s="112"/>
    </row>
    <row r="8" spans="1:19" ht="20.100000000000001" customHeight="1" x14ac:dyDescent="0.2">
      <c r="A8" s="7" t="s">
        <v>0</v>
      </c>
    </row>
    <row r="9" spans="1:19" ht="20.100000000000001" customHeight="1" x14ac:dyDescent="0.2">
      <c r="A9" s="5" t="str">
        <f>HYPERLINK("#'Input - Enterprise'!A1", "Enterprise")</f>
        <v>Enterprise</v>
      </c>
    </row>
    <row r="10" spans="1:19" ht="20.100000000000001" customHeight="1" x14ac:dyDescent="0.2">
      <c r="A10" s="5" t="str">
        <f>HYPERLINK("#'Input - Site'!A1", "Site")</f>
        <v>Site</v>
      </c>
      <c r="D10" s="75" t="s">
        <v>328</v>
      </c>
      <c r="E10" s="1" t="s">
        <v>1369</v>
      </c>
    </row>
    <row r="11" spans="1:19" ht="20.100000000000001" customHeight="1" x14ac:dyDescent="0.2">
      <c r="A11" s="5" t="str">
        <f>HYPERLINK("#'Input - Poultry'!A1", "Poultry")</f>
        <v>Poultry</v>
      </c>
      <c r="D11" s="75" t="s">
        <v>118</v>
      </c>
      <c r="E11" s="9" t="s">
        <v>482</v>
      </c>
    </row>
    <row r="12" spans="1:19" ht="20.100000000000001" customHeight="1" x14ac:dyDescent="0.2">
      <c r="A12" s="5" t="str">
        <f>HYPERLINK("#'Input - Livestock sales'!A1", "Livestock sales")</f>
        <v>Livestock sales</v>
      </c>
    </row>
    <row r="13" spans="1:19" ht="20.100000000000001" customHeight="1" x14ac:dyDescent="0.2">
      <c r="A13" s="5" t="str">
        <f>HYPERLINK("#'Input - Poultry purchases'!A1", "Poultry purchases")</f>
        <v>Poultry purchases</v>
      </c>
      <c r="D13" s="113" t="s">
        <v>1361</v>
      </c>
      <c r="E13" s="113" t="s">
        <v>1362</v>
      </c>
      <c r="F13" s="113"/>
      <c r="G13" s="113" t="s">
        <v>482</v>
      </c>
      <c r="H13" s="115" t="s">
        <v>1365</v>
      </c>
      <c r="I13" s="116" t="str" cm="1">
        <f t="array" aca="1" ref="I13" ca="1">HYPERLINK(Common_InputFunctions.Utility_SourceHyperlink($D$16),$D$16)</f>
        <v>M1_Table_MN_j_k_m-14_T-1</v>
      </c>
    </row>
    <row r="14" spans="1:19" ht="20.100000000000001" customHeight="1" x14ac:dyDescent="0.2">
      <c r="A14" s="5" t="str">
        <f>HYPERLINK("#'Input - Fuel'!A1", "Fuel")</f>
        <v>Fuel</v>
      </c>
      <c r="D14" s="113" t="s">
        <v>1370</v>
      </c>
      <c r="E14" s="113" t="s">
        <v>1371</v>
      </c>
      <c r="F14" s="113"/>
      <c r="G14" s="113" t="s">
        <v>1311</v>
      </c>
      <c r="H14" s="115" t="s">
        <v>1203</v>
      </c>
      <c r="I14" s="113">
        <f>SourceData_Poultry_FracGAMSSoil_Data</f>
        <v>0.21</v>
      </c>
    </row>
    <row r="15" spans="1:19" ht="20.100000000000001" customHeight="1" x14ac:dyDescent="0.2">
      <c r="A15" s="5" t="str">
        <f>HYPERLINK("#'Input - Electricity'!A1", "Electricity")</f>
        <v>Electricity</v>
      </c>
    </row>
    <row r="16" spans="1:19" ht="20.100000000000001" customHeight="1" x14ac:dyDescent="0.2">
      <c r="A16" s="5" t="str">
        <f>HYPERLINK("#'Input - Common farm inputs'!A1", "Common farm inputs")</f>
        <v>Common farm inputs</v>
      </c>
      <c r="D16" s="118" t="s">
        <v>474</v>
      </c>
      <c r="M16" s="118" t="s">
        <v>475</v>
      </c>
    </row>
    <row r="17" spans="1:19" ht="20.100000000000001" customHeight="1" x14ac:dyDescent="0.2">
      <c r="A17" s="5" t="str">
        <f>HYPERLINK("#'Input - Livestock farm Inputs'!A1", "Livestock farm Inputs")</f>
        <v>Livestock farm Inputs</v>
      </c>
      <c r="D17" s="119" t="s">
        <v>476</v>
      </c>
      <c r="M17" s="119" t="s">
        <v>477</v>
      </c>
    </row>
    <row r="18" spans="1:19" ht="20.100000000000001" customHeight="1" x14ac:dyDescent="0.2">
      <c r="A18" s="5" t="str">
        <f>HYPERLINK("#'Input - Freight'!A1", "Freight")</f>
        <v>Freight</v>
      </c>
      <c r="D18" s="120" t="s">
        <v>314</v>
      </c>
      <c r="E18" s="120" t="s">
        <v>297</v>
      </c>
      <c r="F18" s="120" t="s">
        <v>298</v>
      </c>
      <c r="G18" s="120" t="s">
        <v>299</v>
      </c>
      <c r="H18" s="120" t="s">
        <v>300</v>
      </c>
      <c r="M18" s="120" t="s">
        <v>314</v>
      </c>
      <c r="N18" s="120" t="s">
        <v>297</v>
      </c>
      <c r="O18" s="120" t="s">
        <v>298</v>
      </c>
      <c r="P18" s="120" t="s">
        <v>299</v>
      </c>
      <c r="Q18" s="120" t="s">
        <v>300</v>
      </c>
    </row>
    <row r="19" spans="1:19" ht="20.100000000000001" customHeight="1" x14ac:dyDescent="0.2">
      <c r="A19" s="5" t="str">
        <f>HYPERLINK("#'Input - Solid waste'!A1", "Solid waste")</f>
        <v>Solid waste</v>
      </c>
      <c r="D19" s="15" t="str">
        <f>INDEX(X_Table_Poultry_Stage1MMS,5,1)</f>
        <v>Pasture range and paddock</v>
      </c>
      <c r="E19" s="15">
        <f>INDEX(M1_Table_MN_j_k_m_T1,5,2)</f>
        <v>1.6993600000000004</v>
      </c>
      <c r="F19" s="15">
        <f>INDEX(M1_Table_MN_j_k_m_T1,5,3)</f>
        <v>1.8138719999999999</v>
      </c>
      <c r="G19" s="15">
        <f>INDEX(M1_Table_MN_j_k_m_T1,5,4)</f>
        <v>2.129216</v>
      </c>
      <c r="H19" s="15">
        <f>INDEX(M1_Table_MN_j_k_m_T1,5,5)</f>
        <v>1.8138719999999999</v>
      </c>
      <c r="I19" s="16" t="str">
        <f>$G$13</f>
        <v>kg N</v>
      </c>
      <c r="M19" s="15" t="str">
        <f>INDEX(X_Table_Poultry_Stage1MMS,5,1)</f>
        <v>Pasture range and paddock</v>
      </c>
      <c r="N19" s="15">
        <f>INDEX(M2_Table_MN_j_k_m_T1,5,2)</f>
        <v>1.6993600000000004</v>
      </c>
      <c r="O19" s="15">
        <f>INDEX(M2_Table_MN_j_k_m_T1,5,3)</f>
        <v>1.8138719999999999</v>
      </c>
      <c r="P19" s="15">
        <f>INDEX(M2_Table_MN_j_k_m_T1,5,4)</f>
        <v>2.129216</v>
      </c>
      <c r="Q19" s="15">
        <f>INDEX(M2_Table_MN_j_k_m_T1,5,5)</f>
        <v>1.8138719999999999</v>
      </c>
      <c r="R19" s="16" t="str">
        <f>$G$13</f>
        <v>kg N</v>
      </c>
    </row>
    <row r="20" spans="1:19" ht="20.100000000000001" customHeight="1" x14ac:dyDescent="0.2">
      <c r="A20" s="5" t="str">
        <f>HYPERLINK("#'Input - Manure sent off-site'!A1", "Manure sent off-site")</f>
        <v>Manure sent off-site</v>
      </c>
    </row>
    <row r="21" spans="1:19" ht="20.100000000000001" customHeight="1" x14ac:dyDescent="0.2">
      <c r="A21" s="5" t="str">
        <f>HYPERLINK("#'Input - Data quality'!A1", "Data quality")</f>
        <v>Data quality</v>
      </c>
      <c r="D21" s="118" t="s">
        <v>485</v>
      </c>
      <c r="M21" s="118" t="s">
        <v>486</v>
      </c>
    </row>
    <row r="22" spans="1:19" ht="20.100000000000001" customHeight="1" x14ac:dyDescent="0.2">
      <c r="A22" s="5" t="str">
        <f>HYPERLINK("#'Input - Fert Prod System'!A1", "Fert Prod System")</f>
        <v>Fert Prod System</v>
      </c>
      <c r="D22" s="119" t="s">
        <v>476</v>
      </c>
      <c r="M22" s="119" t="s">
        <v>477</v>
      </c>
    </row>
    <row r="23" spans="1:19" ht="20.100000000000001" customHeight="1" x14ac:dyDescent="0.2">
      <c r="A23" s="5" t="str">
        <f>HYPERLINK("#'Input - Fertiliser'!A1", "Fertiliser")</f>
        <v>Fertiliser</v>
      </c>
      <c r="D23" s="120" t="s">
        <v>314</v>
      </c>
      <c r="E23" s="120" t="s">
        <v>297</v>
      </c>
      <c r="F23" s="120" t="s">
        <v>298</v>
      </c>
      <c r="G23" s="120" t="s">
        <v>299</v>
      </c>
      <c r="H23" s="120" t="s">
        <v>300</v>
      </c>
      <c r="M23" s="120" t="s">
        <v>314</v>
      </c>
      <c r="N23" s="120" t="s">
        <v>297</v>
      </c>
      <c r="O23" s="120" t="s">
        <v>298</v>
      </c>
      <c r="P23" s="120" t="s">
        <v>299</v>
      </c>
      <c r="Q23" s="120" t="s">
        <v>300</v>
      </c>
    </row>
    <row r="24" spans="1:19" ht="20.100000000000001" customHeight="1" x14ac:dyDescent="0.2">
      <c r="D24" s="15" t="str">
        <f>INDEX(X_Table_Poultry_Stage1MMS,5,1)</f>
        <v>Pasture range and paddock</v>
      </c>
      <c r="E24" s="15">
        <f>(E19 * $I$14)</f>
        <v>0.35686560000000006</v>
      </c>
      <c r="F24" s="15">
        <f>(F19 * $I$14)</f>
        <v>0.38091311999999999</v>
      </c>
      <c r="G24" s="15">
        <f>(G19 * $I$14)</f>
        <v>0.44713535999999998</v>
      </c>
      <c r="H24" s="15">
        <f>(H19 * $I$14)</f>
        <v>0.38091311999999999</v>
      </c>
      <c r="I24" s="16" t="str">
        <f>$E$11</f>
        <v>kg N</v>
      </c>
      <c r="M24" s="15" t="str">
        <f>INDEX(X_Table_Poultry_Stage1MMS,5,1)</f>
        <v>Pasture range and paddock</v>
      </c>
      <c r="N24" s="15">
        <f>(N19 * $I$14)</f>
        <v>0.35686560000000006</v>
      </c>
      <c r="O24" s="15">
        <f>(O19 * $I$14)</f>
        <v>0.38091311999999999</v>
      </c>
      <c r="P24" s="15">
        <f>(P19 * $I$14)</f>
        <v>0.44713535999999998</v>
      </c>
      <c r="Q24" s="15">
        <f>(Q19 * $I$14)</f>
        <v>0.38091311999999999</v>
      </c>
      <c r="R24" s="16" t="str">
        <f>$E$11</f>
        <v>kg N</v>
      </c>
    </row>
    <row r="26" spans="1:19" ht="20.100000000000001" customHeight="1" x14ac:dyDescent="0.2">
      <c r="A26" s="6" t="s">
        <v>2</v>
      </c>
      <c r="D26" s="88" t="s">
        <v>487</v>
      </c>
      <c r="E26" s="83">
        <f>SUM(E24:H24)</f>
        <v>1.5658272</v>
      </c>
      <c r="F26" s="89" t="str">
        <f>$E$11</f>
        <v>kg N</v>
      </c>
      <c r="M26" s="88" t="s">
        <v>487</v>
      </c>
      <c r="N26" s="83">
        <f>SUM(N24:Q24)</f>
        <v>1.5658272</v>
      </c>
      <c r="O26" s="89" t="str">
        <f>$E$11</f>
        <v>kg N</v>
      </c>
    </row>
    <row r="27" spans="1:19" ht="20.100000000000001" customHeight="1" x14ac:dyDescent="0.2">
      <c r="A27" s="5" t="str">
        <f>HYPERLINK("#'4.6.1.1-2 Methane'!A1", "4.6.1.1-2 Manure Methane")</f>
        <v>4.6.1.1-2 Manure Methane</v>
      </c>
    </row>
    <row r="28" spans="1:19" ht="20.100000000000001" customHeight="1" x14ac:dyDescent="0.2">
      <c r="A28" s="5" t="str">
        <f>HYPERLINK("#'4.6.1.3-4 Direct N20'!A1", "4.6.1.3-4 Manure Direct N2O")</f>
        <v>4.6.1.3-4 Manure Direct N2O</v>
      </c>
    </row>
    <row r="29" spans="1:19" ht="20.100000000000001" customHeight="1" x14ac:dyDescent="0.2">
      <c r="A29" s="5" t="str">
        <f>HYPERLINK("#'4.6.1.5-6 Atmos Dep'!A1", "4.6.1.5-6 Manure Atmos Dep")</f>
        <v>4.6.1.5-6 Manure Atmos Dep</v>
      </c>
      <c r="C29" s="83"/>
      <c r="D29" s="83"/>
      <c r="E29" s="83"/>
      <c r="F29" s="83"/>
      <c r="G29" s="83"/>
      <c r="H29" s="83"/>
      <c r="I29" s="83"/>
      <c r="J29" s="83"/>
      <c r="L29" s="83"/>
      <c r="M29" s="83"/>
      <c r="N29" s="83"/>
      <c r="O29" s="83"/>
      <c r="P29" s="83"/>
      <c r="Q29" s="83"/>
      <c r="R29" s="83"/>
      <c r="S29" s="83"/>
    </row>
    <row r="30" spans="1:19" ht="20.100000000000001" customHeight="1" x14ac:dyDescent="0.2">
      <c r="A30" s="5" t="str">
        <f>HYPERLINK("#'4.6.1.7-8 Leaching and runoff'!A1", "4.6.1.7-8 Manure Leaching and runoff")</f>
        <v>4.6.1.7-8 Manure Leaching and runoff</v>
      </c>
      <c r="D30" s="2" t="s">
        <v>1372</v>
      </c>
    </row>
    <row r="31" spans="1:19" ht="20.100000000000001" customHeight="1" x14ac:dyDescent="0.2">
      <c r="A31" s="5" t="str">
        <f>HYPERLINK("#'4.6.1.9 Manure applied to soils'!A1", "4.6.1.9 Manure applied to soils")</f>
        <v>4.6.1.9 Manure applied to soils</v>
      </c>
      <c r="D31" s="17" t="s">
        <v>1373</v>
      </c>
    </row>
    <row r="32" spans="1:19" ht="20.100000000000001" customHeight="1" x14ac:dyDescent="0.2">
      <c r="A32" s="5" t="str">
        <f>HYPERLINK("#'4.6.1.10-11 Soil direct N2O'!A1", "4.6.1.10-11 Soil direct N2O")</f>
        <v>4.6.1.10-11 Soil direct N2O</v>
      </c>
      <c r="D32" s="112"/>
      <c r="E32" s="112"/>
    </row>
    <row r="33" spans="1:18" ht="20.100000000000001" customHeight="1" x14ac:dyDescent="0.2">
      <c r="A33" s="117" t="str">
        <f>HYPERLINK("#'4.6.1.12-13 Soil atmos dep'!A1", "4.6.1.12-13 Soil atmos dep")</f>
        <v>4.6.1.12-13 Soil atmos dep</v>
      </c>
    </row>
    <row r="34" spans="1:18" ht="20.100000000000001" customHeight="1" x14ac:dyDescent="0.2">
      <c r="A34" s="5" t="str">
        <f>HYPERLINK("#'4.6.1.14-15 Soil leach runoff'!A1", "4.6.1.14-15 Soil leach runoff")</f>
        <v>4.6.1.14-15 Soil leach runoff</v>
      </c>
    </row>
    <row r="35" spans="1:18" ht="20.100000000000001" customHeight="1" x14ac:dyDescent="0.2">
      <c r="A35" s="5" t="str">
        <f>HYPERLINK("#'8.1.1.1-2 Transport fuel'!A1", "8.1.1.1-2 Transport fuel")</f>
        <v>8.1.1.1-2 Transport fuel</v>
      </c>
      <c r="D35" s="75" t="s">
        <v>328</v>
      </c>
      <c r="E35" s="1" t="s">
        <v>1314</v>
      </c>
    </row>
    <row r="36" spans="1:18" ht="20.100000000000001" customHeight="1" x14ac:dyDescent="0.2">
      <c r="A36" s="5" t="str">
        <f>HYPERLINK("#'8.2.1.1-2 Stationary fuel'!A1", "8.2.1.1-2 Stationary fuel")</f>
        <v>8.2.1.1-2 Stationary fuel</v>
      </c>
      <c r="D36" s="75" t="s">
        <v>118</v>
      </c>
      <c r="E36" s="9" t="s">
        <v>12</v>
      </c>
    </row>
    <row r="37" spans="1:18" ht="20.100000000000001" customHeight="1" x14ac:dyDescent="0.2">
      <c r="A37" s="5" t="str">
        <f>HYPERLINK("#'10.1.1-2 Solid waste treatment'!A1", "10.1.1.1-2 Solid waste")</f>
        <v>10.1.1.1-2 Solid waste</v>
      </c>
    </row>
    <row r="38" spans="1:18" ht="20.100000000000001" customHeight="1" x14ac:dyDescent="0.2">
      <c r="A38" s="5" t="str">
        <f>HYPERLINK("#'14.1.1-2 Purchased electricity'!A1", "14.1.1-2 Purchased electricity")</f>
        <v>14.1.1-2 Purchased electricity</v>
      </c>
      <c r="D38" s="113" t="s">
        <v>1369</v>
      </c>
      <c r="E38" s="122" t="s">
        <v>1374</v>
      </c>
      <c r="F38" s="123"/>
      <c r="G38" s="113" t="s">
        <v>482</v>
      </c>
      <c r="H38" s="115" t="s">
        <v>1376</v>
      </c>
      <c r="I38" s="113">
        <f>E26</f>
        <v>1.5658272</v>
      </c>
      <c r="M38" s="113" t="s">
        <v>1369</v>
      </c>
      <c r="N38" s="122" t="s">
        <v>1374</v>
      </c>
      <c r="O38" s="123"/>
      <c r="P38" s="113" t="s">
        <v>482</v>
      </c>
      <c r="Q38" s="115" t="s">
        <v>1376</v>
      </c>
      <c r="R38" s="126">
        <f>N26</f>
        <v>1.5658272</v>
      </c>
    </row>
    <row r="39" spans="1:18" ht="20.100000000000001" customHeight="1" x14ac:dyDescent="0.2">
      <c r="A39" s="5" t="str">
        <f>HYPERLINK("#'15 Scope 3'!A1", "15 Scope 3")</f>
        <v>15 Scope 3</v>
      </c>
      <c r="D39" s="113" t="s">
        <v>1316</v>
      </c>
      <c r="E39" s="122" t="s">
        <v>1375</v>
      </c>
      <c r="F39" s="123"/>
      <c r="G39" s="113" t="s">
        <v>1288</v>
      </c>
      <c r="H39" s="115" t="s">
        <v>1203</v>
      </c>
      <c r="I39" s="113">
        <f>Common_InputFunctions.Utility_LookupN2OEFFromProdIrrigationRainfall(I41,I42,I43,Table_SourceData_Common_EFN2O[Production system only],Table_SourceData_Common_EFN2O[Irrigation method],Table_SourceData_Common_EFN2O[Rainfall zone],Table_SourceData_Common_EFN2O[EFN2O])</f>
        <v>7.0000000000000001E-3</v>
      </c>
      <c r="M39" s="113" t="s">
        <v>1316</v>
      </c>
      <c r="N39" s="122" t="s">
        <v>1375</v>
      </c>
      <c r="O39" s="123"/>
      <c r="P39" s="113" t="s">
        <v>1288</v>
      </c>
      <c r="Q39" s="115" t="s">
        <v>1203</v>
      </c>
      <c r="R39" s="126"/>
    </row>
    <row r="40" spans="1:18" ht="20.100000000000001" customHeight="1" x14ac:dyDescent="0.2">
      <c r="A40" s="5" t="str">
        <f>HYPERLINK("#'Calcs - Manure sent off-site'!A1", "Calcs - Manure sent off-site")</f>
        <v>Calcs - Manure sent off-site</v>
      </c>
      <c r="D40" s="113" t="s">
        <v>1302</v>
      </c>
      <c r="E40" s="122" t="s">
        <v>1341</v>
      </c>
      <c r="F40" s="123"/>
      <c r="G40" s="113" t="s">
        <v>1258</v>
      </c>
      <c r="H40" s="115" t="s">
        <v>1203</v>
      </c>
      <c r="I40" s="113">
        <f>Common_InputFunctions.Utility_LookupValueInTableNumber("N2O",Table_GasToMolecularConversionFactor[Gas],Table_GasToMolecularConversionFactor[Conversion factor combined])</f>
        <v>1.5714285714285714</v>
      </c>
      <c r="M40" s="113" t="s">
        <v>1302</v>
      </c>
      <c r="N40" s="122" t="s">
        <v>1341</v>
      </c>
      <c r="O40" s="123"/>
      <c r="P40" s="113" t="s">
        <v>1258</v>
      </c>
      <c r="Q40" s="115" t="s">
        <v>1203</v>
      </c>
      <c r="R40" s="126"/>
    </row>
    <row r="41" spans="1:18" ht="20.100000000000001" customHeight="1" x14ac:dyDescent="0.2">
      <c r="A41" s="5" t="str">
        <f>HYPERLINK("#'5.1.1.1-2 Inorganic fert N2O'!A1", "5.1.1.1-2 Inorganic fert N2O")</f>
        <v>5.1.1.1-2 Inorganic fert N2O</v>
      </c>
      <c r="D41" s="113" t="s">
        <v>1318</v>
      </c>
      <c r="E41" s="122" t="s">
        <v>1319</v>
      </c>
      <c r="F41" s="123"/>
      <c r="G41" s="113"/>
      <c r="H41" s="114" t="s">
        <v>1202</v>
      </c>
      <c r="I41" s="113" t="str">
        <f>X_Cell_Poultry_ManureAppliedProductionSystem</f>
        <v>Crop</v>
      </c>
      <c r="M41" s="113" t="s">
        <v>1318</v>
      </c>
      <c r="N41" s="122" t="s">
        <v>1319</v>
      </c>
      <c r="O41" s="123"/>
      <c r="P41" s="113"/>
      <c r="Q41" s="114" t="s">
        <v>1202</v>
      </c>
      <c r="R41" s="126"/>
    </row>
    <row r="42" spans="1:18" ht="20.100000000000001" customHeight="1" x14ac:dyDescent="0.2">
      <c r="A42" s="5" t="str">
        <f>HYPERLINK("#'5.1.1.3-4 Inorganic fert CO2'!A1", "5.1.1.3-4 Inorganic fert CO2")</f>
        <v>5.1.1.3-4 Inorganic fert CO2</v>
      </c>
      <c r="D42" s="113" t="s">
        <v>1320</v>
      </c>
      <c r="E42" s="122" t="s">
        <v>1321</v>
      </c>
      <c r="F42" s="123"/>
      <c r="G42" s="113"/>
      <c r="H42" s="114" t="s">
        <v>1202</v>
      </c>
      <c r="I42" s="113" t="str">
        <f>X_Cell_Poultry_ManureAppliedIrrigationMethod</f>
        <v>Sprinkler irrigation</v>
      </c>
      <c r="M42" s="113" t="s">
        <v>1320</v>
      </c>
      <c r="N42" s="122" t="s">
        <v>1321</v>
      </c>
      <c r="O42" s="123"/>
      <c r="P42" s="113"/>
      <c r="Q42" s="114" t="s">
        <v>1202</v>
      </c>
      <c r="R42" s="126"/>
    </row>
    <row r="43" spans="1:18" ht="20.100000000000001" customHeight="1" x14ac:dyDescent="0.2">
      <c r="A43" s="5" t="str">
        <f>HYPERLINK("#'5.2.1.1-2 Organic Fert N2O'!A1", "5.2.1.1-2 Organic Fert N2O")</f>
        <v>5.2.1.1-2 Organic Fert N2O</v>
      </c>
      <c r="D43" s="113" t="s">
        <v>1322</v>
      </c>
      <c r="E43" s="122" t="s">
        <v>1323</v>
      </c>
      <c r="F43" s="123"/>
      <c r="G43" s="113"/>
      <c r="H43" s="114" t="s">
        <v>1202</v>
      </c>
      <c r="I43" s="113" t="str">
        <f>X_Cell_Site_RainfallZone</f>
        <v>High rainfall</v>
      </c>
      <c r="M43" s="113" t="s">
        <v>1322</v>
      </c>
      <c r="N43" s="122" t="s">
        <v>1323</v>
      </c>
      <c r="O43" s="123"/>
      <c r="P43" s="113"/>
      <c r="Q43" s="114" t="s">
        <v>1202</v>
      </c>
      <c r="R43" s="126"/>
    </row>
    <row r="44" spans="1:18" ht="20.100000000000001" customHeight="1" x14ac:dyDescent="0.2">
      <c r="A44" s="5" t="str">
        <f>HYPERLINK("#'5.3.1.1-2 Lime CO2'!A1", "5.3.1.1-2 Lime CO2")</f>
        <v>5.3.1.1-2 Lime CO2</v>
      </c>
    </row>
    <row r="45" spans="1:18" ht="20.100000000000001" customHeight="1" x14ac:dyDescent="0.2">
      <c r="A45" s="5" t="str">
        <f>HYPERLINK("#'5.4.1.1-4 Atmos deposition'!A1", "5.4.1.1-4 Atmos deposition")</f>
        <v>5.4.1.1-4 Atmos deposition</v>
      </c>
      <c r="D45" s="85" t="s">
        <v>434</v>
      </c>
      <c r="E45" s="86">
        <f>(I38 * $I$39 * $I$40 * 10 ^ -3)</f>
        <v>1.72240992E-5</v>
      </c>
      <c r="F45" s="95" t="str">
        <f>$E$36</f>
        <v>t N2O</v>
      </c>
      <c r="M45" s="85" t="s">
        <v>434</v>
      </c>
      <c r="N45" s="86">
        <f>(R38 * $I$39 * $I$40 * 10 ^ -3)</f>
        <v>1.72240992E-5</v>
      </c>
      <c r="O45" s="95" t="str">
        <f>$E$36</f>
        <v>t N2O</v>
      </c>
    </row>
    <row r="46" spans="1:18" ht="20.100000000000001" customHeight="1" x14ac:dyDescent="0.2">
      <c r="A46" s="5" t="str">
        <f>HYPERLINK("#'5.5.1.1-2 Leaching and runoff'!A1", "5.5.1.1-2 Leaching and runoff")</f>
        <v>5.5.1.1-2 Leaching and runoff</v>
      </c>
    </row>
    <row r="47" spans="1:18" ht="20.100000000000001" customHeight="1" x14ac:dyDescent="0.2">
      <c r="D47" s="126" t="str" cm="1">
        <f t="array" ref="D47:E48">Common_Equations.Common_ConvertN2OToCO2e_Arguments()</f>
        <v>EN2O</v>
      </c>
      <c r="E47" s="129" t="str">
        <v>Nitrous oxide emissions (t N2O)</v>
      </c>
      <c r="F47" s="130"/>
      <c r="G47" s="15">
        <f>VEERG_4_6_1_12__1_AtmosphericDepositionEmissionsFromPoultryManureOnPasture_Result_Method1</f>
        <v>1.72240992E-5</v>
      </c>
      <c r="M47" s="126" t="str" cm="1">
        <f t="array" ref="M47:N48">Common_Equations.Common_ConvertN2OToCO2e_Arguments()</f>
        <v>EN2O</v>
      </c>
      <c r="N47" s="129" t="str">
        <v>Nitrous oxide emissions (t N2O)</v>
      </c>
      <c r="O47" s="130"/>
      <c r="P47" s="15">
        <f>VEERG_4_6_1_12__1_AtmosphericDepositionEmissionsFromPoultryManureOnPasture_Result_Method2</f>
        <v>1.72240992E-5</v>
      </c>
    </row>
    <row r="48" spans="1:18" ht="20.100000000000001" customHeight="1" x14ac:dyDescent="0.2">
      <c r="D48" s="126" t="str">
        <v>GWPN2O</v>
      </c>
      <c r="E48" s="129" t="str">
        <v>Global warming potential for nitrous oxide (t CO2-e / t N2O)</v>
      </c>
      <c r="F48" s="130"/>
      <c r="G48" s="15">
        <f>Common_InputFunctions.Utility_LookupValueInTableNumber("N2O", Table_GWPData[Gas],Table_GWPData[CO2-e factor])</f>
        <v>265</v>
      </c>
      <c r="M48" s="126" t="str">
        <v>GWPN2O</v>
      </c>
      <c r="N48" s="129" t="str">
        <v>Global warming potential for nitrous oxide (t CO2-e / t N2O)</v>
      </c>
      <c r="O48" s="130"/>
      <c r="P48" s="15">
        <f>Common_InputFunctions.Utility_LookupValueInTableNumber("N2O", Table_GWPData[Gas],Table_GWPData[CO2-e factor])</f>
        <v>265</v>
      </c>
    </row>
    <row r="49" spans="1:15" ht="20.100000000000001" customHeight="1" x14ac:dyDescent="0.2">
      <c r="A49" s="80" t="s">
        <v>1</v>
      </c>
    </row>
    <row r="50" spans="1:15" ht="20.100000000000001" customHeight="1" x14ac:dyDescent="0.2">
      <c r="A50" s="5" t="str">
        <f>HYPERLINK("#'Constants - Poultry'!A1", "Constants - Poultry")</f>
        <v>Constants - Poultry</v>
      </c>
      <c r="D50" s="83" t="s">
        <v>376</v>
      </c>
      <c r="E50" s="83" cm="1">
        <f t="array" ref="E50">Common_Equations.Common_ConvertN2OToCO2e(G47,G48)</f>
        <v>4.5643862879999999E-3</v>
      </c>
      <c r="F50" s="89" t="str" cm="1">
        <f t="array" ref="F50">Common_Equations.Common_ConvertN2OToCO2e_Unit()</f>
        <v>t CO2e</v>
      </c>
      <c r="M50" s="83" t="s">
        <v>376</v>
      </c>
      <c r="N50" s="83" cm="1">
        <f t="array" ref="N50">Common_Equations.Common_ConvertN2OToCO2e(P47,P48)</f>
        <v>4.5643862879999999E-3</v>
      </c>
      <c r="O50" s="89" t="str" cm="1">
        <f t="array" ref="O50">Common_Equations.Common_ConvertN2OToCO2e_Unit()</f>
        <v>t CO2e</v>
      </c>
    </row>
    <row r="51" spans="1:15" ht="20.100000000000001" customHeight="1" x14ac:dyDescent="0.2">
      <c r="A51" s="5" t="str">
        <f>HYPERLINK("#'Constants - Common livestock'!A1", "Constants - Common Livestock")</f>
        <v>Constants - Common Livestock</v>
      </c>
    </row>
    <row r="52" spans="1:15" ht="20.100000000000001" customHeight="1" x14ac:dyDescent="0.2">
      <c r="A52" s="5" t="str">
        <f>HYPERLINK("#'Constants - Electricity'!A1", "Constants - Electricity")</f>
        <v>Constants - Electricity</v>
      </c>
    </row>
    <row r="53" spans="1:15" ht="20.100000000000001" customHeight="1" x14ac:dyDescent="0.2">
      <c r="A53" s="5" t="str">
        <f>HYPERLINK("#'Constants - Fertiliser'!A1", "Constants - Fertiliser")</f>
        <v>Constants - Fertiliser</v>
      </c>
    </row>
    <row r="54" spans="1:15" ht="20.100000000000001" customHeight="1" x14ac:dyDescent="0.2">
      <c r="A54" s="5" t="str">
        <f>HYPERLINK("#'Constants - Fuel'!A1", "Constants - Fuel")</f>
        <v>Constants - Fuel</v>
      </c>
    </row>
    <row r="55" spans="1:15" ht="20.100000000000001" customHeight="1" x14ac:dyDescent="0.2">
      <c r="A55" s="5" t="str">
        <f>HYPERLINK("#'Constants - Scope 3'!A1", "Constants - Scope 3")</f>
        <v>Constants - Scope 3</v>
      </c>
    </row>
    <row r="56" spans="1:15" ht="20.100000000000001" customHeight="1" x14ac:dyDescent="0.2">
      <c r="A56" s="5" t="str">
        <f>HYPERLINK("#'Constants - Solid Waste'!A1", "Constants - Solid Waste")</f>
        <v>Constants - Solid Waste</v>
      </c>
    </row>
    <row r="57" spans="1:15" ht="20.100000000000001" customHeight="1" x14ac:dyDescent="0.2">
      <c r="A57" s="5" t="str">
        <f>HYPERLINK("#'Constants - Common'!A1", "Constants - Common")</f>
        <v>Constants - Common</v>
      </c>
    </row>
  </sheetData>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A7F79-09D2-48E4-9989-C536D594BD43}">
  <sheetPr>
    <tabColor rgb="FF008000"/>
  </sheetPr>
  <dimension ref="A1:U57"/>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0" customFormat="1" ht="30" customHeight="1" x14ac:dyDescent="0.35">
      <c r="A1" s="10" t="e" vm="1">
        <v>#VALUE!</v>
      </c>
      <c r="C1" s="20" t="s">
        <v>488</v>
      </c>
    </row>
    <row r="2" spans="1:21" s="3" customFormat="1" ht="20.100000000000001" customHeight="1" x14ac:dyDescent="0.2">
      <c r="A2"/>
    </row>
    <row r="3" spans="1:21" ht="20.100000000000001" customHeight="1" x14ac:dyDescent="0.2">
      <c r="A3" s="5" t="str">
        <f>HYPERLINK("#'Home'!A1", "Home")</f>
        <v>Home</v>
      </c>
      <c r="C3" s="22"/>
      <c r="D3" s="22" t="s">
        <v>130</v>
      </c>
      <c r="E3" s="22"/>
      <c r="F3" s="22"/>
      <c r="G3" s="22"/>
      <c r="H3" s="22"/>
      <c r="I3" s="22"/>
      <c r="J3" s="22"/>
      <c r="K3" s="22"/>
      <c r="M3" s="22"/>
      <c r="N3" s="22" t="s">
        <v>130</v>
      </c>
      <c r="O3" s="22"/>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1377</v>
      </c>
    </row>
    <row r="6" spans="1:21" ht="20.100000000000001" customHeight="1" x14ac:dyDescent="0.2">
      <c r="D6" s="17" t="s">
        <v>1378</v>
      </c>
    </row>
    <row r="7" spans="1:21" ht="20.100000000000001" customHeight="1" x14ac:dyDescent="0.2">
      <c r="D7" s="112"/>
      <c r="E7" s="112"/>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328</v>
      </c>
      <c r="E10" s="1" t="s">
        <v>1379</v>
      </c>
    </row>
    <row r="11" spans="1:21" ht="20.100000000000001" customHeight="1" x14ac:dyDescent="0.2">
      <c r="A11" s="5" t="str">
        <f>HYPERLINK("#'Input - Poultry'!A1", "Poultry")</f>
        <v>Poultry</v>
      </c>
      <c r="D11" s="75" t="s">
        <v>118</v>
      </c>
      <c r="E11" s="9" t="s">
        <v>482</v>
      </c>
    </row>
    <row r="12" spans="1:21" ht="20.100000000000001" customHeight="1" x14ac:dyDescent="0.2">
      <c r="A12" s="5" t="str">
        <f>HYPERLINK("#'Input - Livestock sales'!A1", "Livestock sales")</f>
        <v>Livestock sales</v>
      </c>
    </row>
    <row r="13" spans="1:21" ht="20.100000000000001" customHeight="1" x14ac:dyDescent="0.2">
      <c r="A13" s="5" t="str">
        <f>HYPERLINK("#'Input - Poultry purchases'!A1", "Poultry purchases")</f>
        <v>Poultry purchases</v>
      </c>
      <c r="D13" s="113" t="s">
        <v>1361</v>
      </c>
      <c r="E13" s="122" t="s">
        <v>1362</v>
      </c>
      <c r="F13" s="123"/>
      <c r="G13" s="113" t="s">
        <v>482</v>
      </c>
      <c r="H13" s="115" t="s">
        <v>1365</v>
      </c>
      <c r="I13" s="116" t="str" cm="1">
        <f t="array" aca="1" ref="I13" ca="1">HYPERLINK(Common_InputFunctions.Utility_SourceHyperlink($D$20),$D$20)</f>
        <v>M1_Table_MN_j_k_m-14_T-1</v>
      </c>
    </row>
    <row r="14" spans="1:21" ht="20.100000000000001" customHeight="1" x14ac:dyDescent="0.2">
      <c r="A14" s="5" t="str">
        <f>HYPERLINK("#'Input - Fuel'!A1", "Fuel")</f>
        <v>Fuel</v>
      </c>
      <c r="D14" s="113" t="s">
        <v>1380</v>
      </c>
      <c r="E14" s="122" t="s">
        <v>1330</v>
      </c>
      <c r="F14" s="123"/>
      <c r="G14" s="113" t="s">
        <v>307</v>
      </c>
      <c r="H14" s="115" t="s">
        <v>1203</v>
      </c>
      <c r="I14" s="113">
        <f>Common_InputFunctions.CommonCropping_GetFracWET(I16,I18,Table_SourceData_FracWET[Is in leaching zone],Table_SourceData_FracWET[FracWET],Table_SourceData_FracWETIrrigation[Irrigation type i],Table_SourceData_FracWETIrrigation[FracWET])</f>
        <v>1</v>
      </c>
    </row>
    <row r="15" spans="1:21" ht="20.100000000000001" customHeight="1" x14ac:dyDescent="0.2">
      <c r="A15" s="5" t="str">
        <f>HYPERLINK("#'Input - Electricity'!A1", "Electricity")</f>
        <v>Electricity</v>
      </c>
      <c r="D15" s="113" t="s">
        <v>1331</v>
      </c>
      <c r="E15" s="122" t="s">
        <v>1381</v>
      </c>
      <c r="F15" s="123"/>
      <c r="G15" s="113" t="s">
        <v>307</v>
      </c>
      <c r="H15" s="115" t="s">
        <v>1203</v>
      </c>
      <c r="I15" s="113">
        <f>SourceData_Poultry_FractionOfNitrogenLostThroughLeachingAndRunoff_Data</f>
        <v>0.02</v>
      </c>
    </row>
    <row r="16" spans="1:21" ht="20.100000000000001" customHeight="1" x14ac:dyDescent="0.2">
      <c r="A16" s="5" t="str">
        <f>HYPERLINK("#'Input - Common farm inputs'!A1", "Common farm inputs")</f>
        <v>Common farm inputs</v>
      </c>
      <c r="D16" s="113" t="s">
        <v>1333</v>
      </c>
      <c r="E16" s="122" t="s">
        <v>1334</v>
      </c>
      <c r="F16" s="123"/>
      <c r="G16" s="113"/>
      <c r="H16" s="114" t="s">
        <v>1202</v>
      </c>
      <c r="I16" s="113" t="str">
        <f>X_Cell_Site_LeachingZone</f>
        <v>NO - Not in leaching zone</v>
      </c>
    </row>
    <row r="17" spans="1:20" ht="20.100000000000001" customHeight="1" x14ac:dyDescent="0.2">
      <c r="A17" s="5" t="str">
        <f>HYPERLINK("#'Input - Livestock farm Inputs'!A1", "Livestock farm Inputs")</f>
        <v>Livestock farm Inputs</v>
      </c>
      <c r="D17" s="113" t="s">
        <v>1318</v>
      </c>
      <c r="E17" s="122" t="s">
        <v>1319</v>
      </c>
      <c r="F17" s="123"/>
      <c r="G17" s="113"/>
      <c r="H17" s="114" t="s">
        <v>1202</v>
      </c>
      <c r="I17" s="113" t="str">
        <f>X_Cell_Poultry_ManureAppliedProductionSystem</f>
        <v>Crop</v>
      </c>
    </row>
    <row r="18" spans="1:20" ht="20.100000000000001" customHeight="1" x14ac:dyDescent="0.2">
      <c r="A18" s="5" t="str">
        <f>HYPERLINK("#'Input - Freight'!A1", "Freight")</f>
        <v>Freight</v>
      </c>
      <c r="D18" s="113" t="s">
        <v>1320</v>
      </c>
      <c r="E18" s="122" t="s">
        <v>1321</v>
      </c>
      <c r="F18" s="123"/>
      <c r="G18" s="113"/>
      <c r="H18" s="114" t="s">
        <v>1202</v>
      </c>
      <c r="I18" s="113" t="str">
        <f>X_Cell_Poultry_ManureAppliedIrrigationMethod</f>
        <v>Sprinkler irrigation</v>
      </c>
    </row>
    <row r="19" spans="1:20" ht="20.100000000000001" customHeight="1" x14ac:dyDescent="0.2">
      <c r="A19" s="5" t="str">
        <f>HYPERLINK("#'Input - Solid waste'!A1", "Solid waste")</f>
        <v>Solid waste</v>
      </c>
    </row>
    <row r="20" spans="1:20" ht="20.100000000000001" customHeight="1" x14ac:dyDescent="0.2">
      <c r="A20" s="5" t="str">
        <f>HYPERLINK("#'Input - Manure sent off-site'!A1", "Manure sent off-site")</f>
        <v>Manure sent off-site</v>
      </c>
      <c r="D20" s="118" t="s">
        <v>474</v>
      </c>
      <c r="N20" s="118" t="s">
        <v>475</v>
      </c>
    </row>
    <row r="21" spans="1:20" ht="20.100000000000001" customHeight="1" x14ac:dyDescent="0.2">
      <c r="A21" s="5" t="str">
        <f>HYPERLINK("#'Input - Data quality'!A1", "Data quality")</f>
        <v>Data quality</v>
      </c>
      <c r="D21" s="119" t="s">
        <v>476</v>
      </c>
      <c r="N21" s="119" t="s">
        <v>477</v>
      </c>
    </row>
    <row r="22" spans="1:20" ht="20.100000000000001" customHeight="1" x14ac:dyDescent="0.2">
      <c r="A22" s="5" t="str">
        <f>HYPERLINK("#'Input - Fert Prod System'!A1", "Fert Prod System")</f>
        <v>Fert Prod System</v>
      </c>
      <c r="D22" s="120" t="s">
        <v>314</v>
      </c>
      <c r="E22" s="120" t="s">
        <v>297</v>
      </c>
      <c r="F22" s="120" t="s">
        <v>298</v>
      </c>
      <c r="G22" s="120" t="s">
        <v>299</v>
      </c>
      <c r="H22" s="120" t="s">
        <v>300</v>
      </c>
      <c r="N22" s="120" t="s">
        <v>314</v>
      </c>
      <c r="O22" s="120" t="s">
        <v>297</v>
      </c>
      <c r="P22" s="120" t="s">
        <v>298</v>
      </c>
      <c r="Q22" s="120" t="s">
        <v>299</v>
      </c>
      <c r="R22" s="120" t="s">
        <v>300</v>
      </c>
    </row>
    <row r="23" spans="1:20" ht="20.100000000000001" customHeight="1" x14ac:dyDescent="0.2">
      <c r="A23" s="5" t="str">
        <f>HYPERLINK("#'Input - Fertiliser'!A1", "Fertiliser")</f>
        <v>Fertiliser</v>
      </c>
      <c r="D23" s="15" t="str">
        <f>INDEX(X_Table_Poultry_Stage1MMS,5,1)</f>
        <v>Pasture range and paddock</v>
      </c>
      <c r="E23" s="15">
        <f>INDEX(M1_Table_MN_j_k_m_T1,5,2)</f>
        <v>1.6993600000000004</v>
      </c>
      <c r="F23" s="15">
        <f>INDEX(M1_Table_MN_j_k_m_T1,5,3)</f>
        <v>1.8138719999999999</v>
      </c>
      <c r="G23" s="15">
        <f>INDEX(M1_Table_MN_j_k_m_T1,5,4)</f>
        <v>2.129216</v>
      </c>
      <c r="H23" s="15">
        <f>INDEX(M1_Table_MN_j_k_m_T1,5,5)</f>
        <v>1.8138719999999999</v>
      </c>
      <c r="I23" s="16" t="str">
        <f>$G$13</f>
        <v>kg N</v>
      </c>
      <c r="J23" s="16"/>
      <c r="N23" s="15" t="str">
        <f>INDEX(X_Table_Poultry_Stage1MMS,5,1)</f>
        <v>Pasture range and paddock</v>
      </c>
      <c r="O23" s="15">
        <f>INDEX(M2_Table_MN_j_k_m_T1,5,2)</f>
        <v>1.6993600000000004</v>
      </c>
      <c r="P23" s="15">
        <f>INDEX(M2_Table_MN_j_k_m_T1,5,3)</f>
        <v>1.8138719999999999</v>
      </c>
      <c r="Q23" s="15">
        <f>INDEX(M2_Table_MN_j_k_m_T1,5,4)</f>
        <v>2.129216</v>
      </c>
      <c r="R23" s="15">
        <f>INDEX(M2_Table_MN_j_k_m_T1,5,5)</f>
        <v>1.8138719999999999</v>
      </c>
      <c r="S23" s="16" t="str">
        <f>$G$13</f>
        <v>kg N</v>
      </c>
      <c r="T23" s="16"/>
    </row>
    <row r="25" spans="1:20" ht="20.100000000000001" customHeight="1" x14ac:dyDescent="0.2">
      <c r="D25" s="118" t="s">
        <v>485</v>
      </c>
      <c r="N25" s="118" t="s">
        <v>486</v>
      </c>
    </row>
    <row r="26" spans="1:20" ht="20.100000000000001" customHeight="1" x14ac:dyDescent="0.2">
      <c r="A26" s="6" t="s">
        <v>2</v>
      </c>
      <c r="D26" s="119" t="s">
        <v>476</v>
      </c>
      <c r="N26" s="119" t="s">
        <v>477</v>
      </c>
    </row>
    <row r="27" spans="1:20" ht="20.100000000000001" customHeight="1" x14ac:dyDescent="0.2">
      <c r="A27" s="5" t="str">
        <f>HYPERLINK("#'4.6.1.1-2 Methane'!A1", "4.6.1.1-2 Manure Methane")</f>
        <v>4.6.1.1-2 Manure Methane</v>
      </c>
      <c r="D27" s="120" t="s">
        <v>314</v>
      </c>
      <c r="E27" s="120" t="s">
        <v>297</v>
      </c>
      <c r="F27" s="120" t="s">
        <v>298</v>
      </c>
      <c r="G27" s="120" t="s">
        <v>299</v>
      </c>
      <c r="H27" s="120" t="s">
        <v>300</v>
      </c>
      <c r="N27" s="120" t="s">
        <v>314</v>
      </c>
      <c r="O27" s="120" t="s">
        <v>297</v>
      </c>
      <c r="P27" s="120" t="s">
        <v>298</v>
      </c>
      <c r="Q27" s="120" t="s">
        <v>299</v>
      </c>
      <c r="R27" s="120" t="s">
        <v>300</v>
      </c>
    </row>
    <row r="28" spans="1:20" ht="20.100000000000001" customHeight="1" x14ac:dyDescent="0.2">
      <c r="A28" s="5" t="str">
        <f>HYPERLINK("#'4.6.1.3-4 Direct N20'!A1", "4.6.1.3-4 Manure Direct N2O")</f>
        <v>4.6.1.3-4 Manure Direct N2O</v>
      </c>
      <c r="D28" s="15" t="str">
        <f>INDEX(X_Table_Poultry_Stage1MMS,5,1)</f>
        <v>Pasture range and paddock</v>
      </c>
      <c r="E28" s="15">
        <f>(E23 * $I$14 * $I$15)</f>
        <v>3.3987200000000009E-2</v>
      </c>
      <c r="F28" s="15">
        <f>(F23 * $I$14 * $I$15)</f>
        <v>3.6277440000000001E-2</v>
      </c>
      <c r="G28" s="15">
        <f>(G23 * $I$14 * $I$15)</f>
        <v>4.2584320000000002E-2</v>
      </c>
      <c r="H28" s="15">
        <f>(H23 * $I$14 * $I$15)</f>
        <v>3.6277440000000001E-2</v>
      </c>
      <c r="I28" s="16" t="str">
        <f>$E$11</f>
        <v>kg N</v>
      </c>
      <c r="J28" s="16"/>
      <c r="N28" s="15" t="str">
        <f>INDEX(X_Table_Poultry_Stage1MMS,5,1)</f>
        <v>Pasture range and paddock</v>
      </c>
      <c r="O28" s="15">
        <f>(O23 * $I$14 * $I$15)</f>
        <v>3.3987200000000009E-2</v>
      </c>
      <c r="P28" s="15">
        <f>(P23 * $I$14 * $I$15)</f>
        <v>3.6277440000000001E-2</v>
      </c>
      <c r="Q28" s="15">
        <f>(Q23 * $I$14 * $I$15)</f>
        <v>4.2584320000000002E-2</v>
      </c>
      <c r="R28" s="15">
        <f>(R23 * $I$14 * $I$15)</f>
        <v>3.6277440000000001E-2</v>
      </c>
      <c r="S28" s="16" t="str">
        <f>$E$11</f>
        <v>kg N</v>
      </c>
      <c r="T28" s="16"/>
    </row>
    <row r="29" spans="1:20" ht="20.100000000000001" customHeight="1" x14ac:dyDescent="0.2">
      <c r="A29" s="5" t="str">
        <f>HYPERLINK("#'4.6.1.5-6 Atmos Dep'!A1", "4.6.1.5-6 Manure Atmos Dep")</f>
        <v>4.6.1.5-6 Manure Atmos Dep</v>
      </c>
    </row>
    <row r="30" spans="1:20" ht="20.100000000000001" customHeight="1" x14ac:dyDescent="0.2">
      <c r="A30" s="5" t="str">
        <f>HYPERLINK("#'4.6.1.7-8 Leaching and runoff'!A1", "4.6.1.7-8 Manure Leaching and runoff")</f>
        <v>4.6.1.7-8 Manure Leaching and runoff</v>
      </c>
      <c r="D30" s="88" t="s">
        <v>489</v>
      </c>
      <c r="E30" s="83">
        <f>SUM(E28:H28)</f>
        <v>0.14912640000000002</v>
      </c>
      <c r="F30" s="89" t="str">
        <f>$E$11</f>
        <v>kg N</v>
      </c>
      <c r="N30" s="88" t="s">
        <v>489</v>
      </c>
      <c r="O30" s="83">
        <f>SUM(O28:R28)</f>
        <v>0.14912640000000002</v>
      </c>
      <c r="P30" s="89" t="str">
        <f>$E$11</f>
        <v>kg N</v>
      </c>
    </row>
    <row r="31" spans="1:20" ht="20.100000000000001" customHeight="1" x14ac:dyDescent="0.2">
      <c r="A31" s="5" t="str">
        <f>HYPERLINK("#'4.6.1.9 Manure applied to soils'!A1", "4.6.1.9 Manure applied to soils")</f>
        <v>4.6.1.9 Manure applied to soils</v>
      </c>
    </row>
    <row r="32" spans="1:20" ht="20.100000000000001" customHeight="1" x14ac:dyDescent="0.2">
      <c r="A32" s="5" t="str">
        <f>HYPERLINK("#'4.6.1.10-11 Soil direct N2O'!A1", "4.6.1.10-11 Soil direct N2O")</f>
        <v>4.6.1.10-11 Soil direct N2O</v>
      </c>
    </row>
    <row r="33" spans="1:21" ht="20.100000000000001" customHeight="1" x14ac:dyDescent="0.2">
      <c r="A33" s="5" t="str">
        <f>HYPERLINK("#'4.6.1.12-13 Soil atmos dep'!A1", "4.6.1.12-13 Soil atmos dep")</f>
        <v>4.6.1.12-13 Soil atmos dep</v>
      </c>
      <c r="C33" s="121"/>
      <c r="D33" s="121"/>
      <c r="E33" s="121"/>
      <c r="F33" s="121"/>
      <c r="G33" s="121"/>
      <c r="H33" s="121"/>
      <c r="I33" s="121"/>
      <c r="J33" s="121"/>
      <c r="K33" s="121"/>
      <c r="M33" s="121"/>
      <c r="N33" s="121"/>
      <c r="O33" s="121"/>
      <c r="P33" s="121"/>
      <c r="Q33" s="121"/>
      <c r="R33" s="121"/>
      <c r="S33" s="121"/>
      <c r="T33" s="121"/>
      <c r="U33" s="121"/>
    </row>
    <row r="34" spans="1:21" ht="20.100000000000001" customHeight="1" x14ac:dyDescent="0.2">
      <c r="A34" s="117" t="str">
        <f>HYPERLINK("#'4.6.1.14-15 Soil leach runoff'!A1", "4.6.1.14-15 Soil leach runoff")</f>
        <v>4.6.1.14-15 Soil leach runoff</v>
      </c>
    </row>
    <row r="35" spans="1:21" ht="20.100000000000001" customHeight="1" x14ac:dyDescent="0.2">
      <c r="A35" s="5" t="str">
        <f>HYPERLINK("#'8.1.1.1-2 Transport fuel'!A1", "8.1.1.1-2 Transport fuel")</f>
        <v>8.1.1.1-2 Transport fuel</v>
      </c>
      <c r="D35" s="2" t="s">
        <v>1382</v>
      </c>
    </row>
    <row r="36" spans="1:21" ht="20.100000000000001" customHeight="1" x14ac:dyDescent="0.2">
      <c r="A36" s="5" t="str">
        <f>HYPERLINK("#'8.2.1.1-2 Stationary fuel'!A1", "8.2.1.1-2 Stationary fuel")</f>
        <v>8.2.1.1-2 Stationary fuel</v>
      </c>
      <c r="D36" s="17" t="s">
        <v>1383</v>
      </c>
    </row>
    <row r="37" spans="1:21" ht="20.100000000000001" customHeight="1" x14ac:dyDescent="0.2">
      <c r="A37" s="5" t="str">
        <f>HYPERLINK("#'10.1.1-2 Solid waste treatment'!A1", "10.1.1.1-2 Solid waste")</f>
        <v>10.1.1.1-2 Solid waste</v>
      </c>
      <c r="D37" s="112"/>
      <c r="E37" s="112"/>
    </row>
    <row r="38" spans="1:21" ht="20.100000000000001" customHeight="1" x14ac:dyDescent="0.2">
      <c r="A38" s="5" t="str">
        <f>HYPERLINK("#'14.1.1-2 Purchased electricity'!A1", "14.1.1-2 Purchased electricity")</f>
        <v>14.1.1-2 Purchased electricity</v>
      </c>
    </row>
    <row r="39" spans="1:21" ht="20.100000000000001" customHeight="1" x14ac:dyDescent="0.2">
      <c r="A39" s="5" t="str">
        <f>HYPERLINK("#'15 Scope 3'!A1", "15 Scope 3")</f>
        <v>15 Scope 3</v>
      </c>
    </row>
    <row r="40" spans="1:21" ht="20.100000000000001" customHeight="1" x14ac:dyDescent="0.2">
      <c r="A40" s="5" t="str">
        <f>HYPERLINK("#'Calcs - Manure sent off-site'!A1", "Calcs - Manure sent off-site")</f>
        <v>Calcs - Manure sent off-site</v>
      </c>
      <c r="D40" s="75" t="s">
        <v>328</v>
      </c>
      <c r="E40" s="1" t="s">
        <v>1337</v>
      </c>
    </row>
    <row r="41" spans="1:21" ht="20.100000000000001" customHeight="1" x14ac:dyDescent="0.2">
      <c r="A41" s="5" t="str">
        <f>HYPERLINK("#'5.1.1.1-2 Inorganic fert N2O'!A1", "5.1.1.1-2 Inorganic fert N2O")</f>
        <v>5.1.1.1-2 Inorganic fert N2O</v>
      </c>
      <c r="D41" s="75" t="s">
        <v>118</v>
      </c>
      <c r="E41" s="9" t="s">
        <v>12</v>
      </c>
    </row>
    <row r="42" spans="1:21" ht="20.100000000000001" customHeight="1" x14ac:dyDescent="0.2">
      <c r="A42" s="5" t="str">
        <f>HYPERLINK("#'5.1.1.3-4 Inorganic fert CO2'!A1", "5.1.1.3-4 Inorganic fert CO2")</f>
        <v>5.1.1.3-4 Inorganic fert CO2</v>
      </c>
    </row>
    <row r="43" spans="1:21" ht="20.100000000000001" customHeight="1" x14ac:dyDescent="0.2">
      <c r="A43" s="5" t="str">
        <f>HYPERLINK("#'5.2.1.1-2 Organic Fert N2O'!A1", "5.2.1.1-2 Organic Fert N2O")</f>
        <v>5.2.1.1-2 Organic Fert N2O</v>
      </c>
      <c r="D43" s="113" t="s">
        <v>1379</v>
      </c>
      <c r="E43" s="122" t="s">
        <v>1384</v>
      </c>
      <c r="F43" s="136"/>
      <c r="G43" s="123"/>
      <c r="H43" s="113" t="s">
        <v>482</v>
      </c>
      <c r="I43" s="115" t="s">
        <v>1386</v>
      </c>
      <c r="J43" s="113">
        <f>E30</f>
        <v>0.14912640000000002</v>
      </c>
      <c r="N43" s="113" t="s">
        <v>1379</v>
      </c>
      <c r="O43" s="122" t="s">
        <v>1384</v>
      </c>
      <c r="P43" s="136"/>
      <c r="Q43" s="123"/>
      <c r="R43" s="113" t="s">
        <v>482</v>
      </c>
      <c r="S43" s="115" t="s">
        <v>1386</v>
      </c>
      <c r="T43" s="126">
        <f>O30</f>
        <v>0.14912640000000002</v>
      </c>
    </row>
    <row r="44" spans="1:21" ht="20.100000000000001" customHeight="1" x14ac:dyDescent="0.2">
      <c r="A44" s="5" t="str">
        <f>HYPERLINK("#'5.3.1.1-2 Lime CO2'!A1", "5.3.1.1-2 Lime CO2")</f>
        <v>5.3.1.1-2 Lime CO2</v>
      </c>
      <c r="D44" s="113" t="s">
        <v>1339</v>
      </c>
      <c r="E44" s="122" t="s">
        <v>1385</v>
      </c>
      <c r="F44" s="136"/>
      <c r="G44" s="123"/>
      <c r="H44" s="113" t="s">
        <v>1288</v>
      </c>
      <c r="I44" s="115" t="s">
        <v>1203</v>
      </c>
      <c r="J44" s="113">
        <f>'Constants - Common'!$E$170</f>
        <v>1.0999999999999999E-2</v>
      </c>
      <c r="N44" s="113" t="s">
        <v>1339</v>
      </c>
      <c r="O44" s="122" t="s">
        <v>1385</v>
      </c>
      <c r="P44" s="136"/>
      <c r="Q44" s="123"/>
      <c r="R44" s="113" t="s">
        <v>1288</v>
      </c>
      <c r="S44" s="115" t="s">
        <v>1203</v>
      </c>
      <c r="T44" s="126"/>
    </row>
    <row r="45" spans="1:21" ht="20.100000000000001" customHeight="1" x14ac:dyDescent="0.2">
      <c r="A45" s="5" t="str">
        <f>HYPERLINK("#'5.4.1.1-4 Atmos deposition'!A1", "5.4.1.1-4 Atmos deposition")</f>
        <v>5.4.1.1-4 Atmos deposition</v>
      </c>
      <c r="D45" s="113" t="s">
        <v>1302</v>
      </c>
      <c r="E45" s="122" t="s">
        <v>1341</v>
      </c>
      <c r="F45" s="136"/>
      <c r="G45" s="123"/>
      <c r="H45" s="113" t="s">
        <v>1258</v>
      </c>
      <c r="I45" s="115" t="s">
        <v>1203</v>
      </c>
      <c r="J45" s="113">
        <f>Common_InputFunctions.Utility_LookupValueInTableNumber("N2O",Table_GasToMolecularConversionFactor[Gas],Table_GasToMolecularConversionFactor[Conversion factor combined])</f>
        <v>1.5714285714285714</v>
      </c>
      <c r="N45" s="113" t="s">
        <v>1302</v>
      </c>
      <c r="O45" s="122" t="s">
        <v>1341</v>
      </c>
      <c r="P45" s="136"/>
      <c r="Q45" s="123"/>
      <c r="R45" s="113" t="s">
        <v>1258</v>
      </c>
      <c r="S45" s="115" t="s">
        <v>1203</v>
      </c>
      <c r="T45" s="126"/>
    </row>
    <row r="46" spans="1:21" ht="20.100000000000001" customHeight="1" x14ac:dyDescent="0.2">
      <c r="A46" s="5" t="str">
        <f>HYPERLINK("#'5.5.1.1-2 Leaching and runoff'!A1", "5.5.1.1-2 Leaching and runoff")</f>
        <v>5.5.1.1-2 Leaching and runoff</v>
      </c>
    </row>
    <row r="47" spans="1:21" ht="20.100000000000001" customHeight="1" x14ac:dyDescent="0.2">
      <c r="D47" s="85" t="s">
        <v>434</v>
      </c>
      <c r="E47" s="86">
        <f>(J43 * $J$44 * $J$45 * 10 ^ -3)</f>
        <v>2.5777563428571431E-6</v>
      </c>
      <c r="F47" s="95" t="str">
        <f>$E$41</f>
        <v>t N2O</v>
      </c>
      <c r="N47" s="85" t="s">
        <v>434</v>
      </c>
      <c r="O47" s="86">
        <f>(T43 * $J$44 * $J$45 * 10 ^ -3)</f>
        <v>2.5777563428571431E-6</v>
      </c>
      <c r="P47" s="95" t="str">
        <f>$E$41</f>
        <v>t N2O</v>
      </c>
    </row>
    <row r="49" spans="1:17" ht="20.100000000000001" customHeight="1" x14ac:dyDescent="0.2">
      <c r="A49" s="80" t="s">
        <v>1</v>
      </c>
      <c r="D49" s="126" t="str" cm="1">
        <f t="array" ref="D49:E50">Common_Equations.Common_ConvertN2OToCO2e_Arguments()</f>
        <v>EN2O</v>
      </c>
      <c r="E49" s="129" t="str">
        <v>Nitrous oxide emissions (t N2O)</v>
      </c>
      <c r="F49" s="130"/>
      <c r="G49" s="15">
        <f>VEERG_4_6_1_14__1_LeachingAndRunoffEmissionsFromPoultryManureOnPasture_Result_Method1</f>
        <v>2.5777563428571431E-6</v>
      </c>
      <c r="N49" s="126" t="str" cm="1">
        <f t="array" ref="N49:O50">Common_Equations.Common_ConvertN2OToCO2e_Arguments()</f>
        <v>EN2O</v>
      </c>
      <c r="O49" s="129" t="str">
        <v>Nitrous oxide emissions (t N2O)</v>
      </c>
      <c r="P49" s="130"/>
      <c r="Q49" s="15">
        <f>VEERG_4_6_1_14__1_LeachingAndRunoffEmissionsFromPoultryManureOnPasture_Result_Method2</f>
        <v>2.5777563428571431E-6</v>
      </c>
    </row>
    <row r="50" spans="1:17" ht="20.100000000000001" customHeight="1" x14ac:dyDescent="0.2">
      <c r="A50" s="5" t="str">
        <f>HYPERLINK("#'Constants - Poultry'!A1", "Constants - Poultry")</f>
        <v>Constants - Poultry</v>
      </c>
      <c r="D50" s="126" t="str">
        <v>GWPN2O</v>
      </c>
      <c r="E50" s="129" t="str">
        <v>Global warming potential for nitrous oxide (t CO2-e / t N2O)</v>
      </c>
      <c r="F50" s="130"/>
      <c r="G50" s="15">
        <f>Common_InputFunctions.Utility_LookupValueInTableNumber("N2O", Table_GWPData[Gas],Table_GWPData[CO2-e factor])</f>
        <v>265</v>
      </c>
      <c r="N50" s="126" t="str">
        <v>GWPN2O</v>
      </c>
      <c r="O50" s="129" t="str">
        <v>Global warming potential for nitrous oxide (t CO2-e / t N2O)</v>
      </c>
      <c r="P50" s="130"/>
      <c r="Q50" s="15">
        <f>Common_InputFunctions.Utility_LookupValueInTableNumber("N2O", Table_GWPData[Gas],Table_GWPData[CO2-e factor])</f>
        <v>265</v>
      </c>
    </row>
    <row r="51" spans="1:17" ht="20.100000000000001" customHeight="1" x14ac:dyDescent="0.2">
      <c r="A51" s="5" t="str">
        <f>HYPERLINK("#'Constants - Common livestock'!A1", "Constants - Common Livestock")</f>
        <v>Constants - Common Livestock</v>
      </c>
    </row>
    <row r="52" spans="1:17" ht="20.100000000000001" customHeight="1" x14ac:dyDescent="0.2">
      <c r="A52" s="5" t="str">
        <f>HYPERLINK("#'Constants - Electricity'!A1", "Constants - Electricity")</f>
        <v>Constants - Electricity</v>
      </c>
      <c r="D52" s="83" t="s">
        <v>376</v>
      </c>
      <c r="E52" s="83" cm="1">
        <f t="array" ref="E52">Common_Equations.Common_ConvertN2OToCO2e(G49,G50)</f>
        <v>6.8310543085714286E-4</v>
      </c>
      <c r="F52" s="89" t="str" cm="1">
        <f t="array" ref="F52">Common_Equations.Common_ConvertN2OToCO2e_Unit()</f>
        <v>t CO2e</v>
      </c>
      <c r="N52" s="83" t="s">
        <v>376</v>
      </c>
      <c r="O52" s="83" cm="1">
        <f t="array" ref="O52">Common_Equations.Common_ConvertN2OToCO2e(Q49,Q50)</f>
        <v>6.8310543085714286E-4</v>
      </c>
      <c r="P52" s="89" t="str" cm="1">
        <f t="array" ref="P52">Common_Equations.Common_ConvertN2OToCO2e_Unit()</f>
        <v>t CO2e</v>
      </c>
    </row>
    <row r="53" spans="1:17" ht="20.100000000000001" customHeight="1" x14ac:dyDescent="0.2">
      <c r="A53" s="5" t="str">
        <f>HYPERLINK("#'Constants - Fertiliser'!A1", "Constants - Fertiliser")</f>
        <v>Constants - Fertiliser</v>
      </c>
    </row>
    <row r="54" spans="1:17" ht="20.100000000000001" customHeight="1" x14ac:dyDescent="0.2">
      <c r="A54" s="5" t="str">
        <f>HYPERLINK("#'Constants - Fuel'!A1", "Constants - Fuel")</f>
        <v>Constants - Fuel</v>
      </c>
    </row>
    <row r="55" spans="1:17" ht="20.100000000000001" customHeight="1" x14ac:dyDescent="0.2">
      <c r="A55" s="5" t="str">
        <f>HYPERLINK("#'Constants - Scope 3'!A1", "Constants - Scope 3")</f>
        <v>Constants - Scope 3</v>
      </c>
    </row>
    <row r="56" spans="1:17" ht="20.100000000000001" customHeight="1" x14ac:dyDescent="0.2">
      <c r="A56" s="5" t="str">
        <f>HYPERLINK("#'Constants - Solid Waste'!A1", "Constants - Solid Waste")</f>
        <v>Constants - Solid Waste</v>
      </c>
    </row>
    <row r="57" spans="1:17" ht="20.100000000000001" customHeight="1" x14ac:dyDescent="0.2">
      <c r="A57" s="5" t="str">
        <f>HYPERLINK("#'Constants - Common'!A1", "Constants - Common")</f>
        <v>Constants - Common</v>
      </c>
    </row>
  </sheetData>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D1C7B-18E5-4F43-8C6F-BDD7C9A080BF}">
  <sheetPr>
    <tabColor rgb="FF008000"/>
  </sheetPr>
  <dimension ref="A1:R342"/>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20" customFormat="1" ht="30" customHeight="1" x14ac:dyDescent="0.35">
      <c r="A1" s="10" t="e" vm="1">
        <v>#VALUE!</v>
      </c>
      <c r="C1" s="20" t="s">
        <v>606</v>
      </c>
    </row>
    <row r="2" spans="1:18" s="3" customFormat="1" ht="20.100000000000001" customHeight="1" x14ac:dyDescent="0.2">
      <c r="A2"/>
    </row>
    <row r="3" spans="1:18" ht="20.100000000000001" customHeight="1" x14ac:dyDescent="0.2">
      <c r="A3" s="5" t="str">
        <f>HYPERLINK("#'Home'!A1", "Home")</f>
        <v>Home</v>
      </c>
      <c r="C3" s="22"/>
      <c r="D3" s="22" t="s">
        <v>130</v>
      </c>
      <c r="E3" s="22"/>
      <c r="F3" s="22"/>
      <c r="G3" s="22"/>
      <c r="H3" s="22"/>
      <c r="I3" s="22"/>
      <c r="J3" s="22"/>
      <c r="K3" s="22"/>
      <c r="L3" s="22"/>
      <c r="M3" s="22"/>
      <c r="N3" s="22"/>
      <c r="O3" s="22"/>
      <c r="P3" s="22"/>
      <c r="Q3" s="22"/>
      <c r="R3" s="22"/>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Emissions Intensity")</f>
        <v>Results - Product Emissions Intensity</v>
      </c>
      <c r="D5" s="2" t="s">
        <v>1387</v>
      </c>
      <c r="K5" s="2" t="s">
        <v>1389</v>
      </c>
      <c r="O5" s="154"/>
      <c r="P5" s="154"/>
      <c r="Q5" s="154"/>
    </row>
    <row r="6" spans="1:18" ht="20.100000000000001" customHeight="1" x14ac:dyDescent="0.2">
      <c r="D6" s="17" t="s">
        <v>1388</v>
      </c>
      <c r="K6" s="17" t="s">
        <v>1390</v>
      </c>
      <c r="O6" s="154"/>
      <c r="P6" s="154"/>
      <c r="Q6" s="154"/>
    </row>
    <row r="7" spans="1:18" ht="20.100000000000001" customHeight="1" x14ac:dyDescent="0.2">
      <c r="D7" s="112"/>
      <c r="E7" s="112"/>
      <c r="K7" s="112"/>
      <c r="L7" s="112"/>
      <c r="O7" s="154"/>
      <c r="P7" s="154"/>
      <c r="Q7" s="154"/>
    </row>
    <row r="8" spans="1:18" ht="20.100000000000001" customHeight="1" x14ac:dyDescent="0.2">
      <c r="A8" s="7" t="s">
        <v>0</v>
      </c>
      <c r="E8" s="112"/>
      <c r="L8" s="112"/>
      <c r="O8" s="154"/>
      <c r="P8" s="154"/>
      <c r="Q8" s="154"/>
    </row>
    <row r="9" spans="1:18" ht="20.100000000000001" customHeight="1" x14ac:dyDescent="0.2">
      <c r="A9" s="5" t="str">
        <f>HYPERLINK("#'Input - Enterprise'!A1", "Enterprise")</f>
        <v>Enterprise</v>
      </c>
      <c r="G9" s="17"/>
      <c r="O9" s="154"/>
      <c r="P9" s="154"/>
      <c r="Q9" s="154"/>
    </row>
    <row r="10" spans="1:18" ht="20.100000000000001" customHeight="1" x14ac:dyDescent="0.2">
      <c r="A10" s="5" t="str">
        <f>HYPERLINK("#'Input - Site'!A1", "Site")</f>
        <v>Site</v>
      </c>
      <c r="O10" s="154"/>
      <c r="P10" s="154"/>
      <c r="Q10" s="154"/>
    </row>
    <row r="11" spans="1:18" ht="20.100000000000001" customHeight="1" x14ac:dyDescent="0.2">
      <c r="A11" s="5" t="str">
        <f>HYPERLINK("#'Input - Poultry'!A1", "Poultry")</f>
        <v>Poultry</v>
      </c>
      <c r="D11" s="75" t="s">
        <v>328</v>
      </c>
      <c r="E11" s="1" t="s">
        <v>1391</v>
      </c>
      <c r="K11" s="75" t="s">
        <v>328</v>
      </c>
      <c r="L11" s="1" t="s">
        <v>1392</v>
      </c>
      <c r="O11" s="154"/>
      <c r="P11" s="154"/>
      <c r="Q11" s="154"/>
    </row>
    <row r="12" spans="1:18" ht="20.100000000000001" customHeight="1" x14ac:dyDescent="0.2">
      <c r="A12" s="5" t="str">
        <f>HYPERLINK("#'Input - Livestock sales'!A1", "Livestock sales")</f>
        <v>Livestock sales</v>
      </c>
      <c r="D12" s="75" t="s">
        <v>118</v>
      </c>
      <c r="E12" s="9" t="s">
        <v>251</v>
      </c>
      <c r="K12" s="75" t="s">
        <v>118</v>
      </c>
      <c r="L12" s="9" t="s">
        <v>7</v>
      </c>
    </row>
    <row r="13" spans="1:18" ht="20.100000000000001" customHeight="1" x14ac:dyDescent="0.2">
      <c r="A13" s="5" t="str">
        <f>HYPERLINK("#'Input - Poultry purchases'!A1", "Poultry purchases")</f>
        <v>Poultry purchases</v>
      </c>
    </row>
    <row r="14" spans="1:18" ht="20.100000000000001" customHeight="1" x14ac:dyDescent="0.2">
      <c r="A14" s="5" t="str">
        <f>HYPERLINK("#'Input - Fuel'!A1", "Fuel")</f>
        <v>Fuel</v>
      </c>
      <c r="D14" s="113" t="s">
        <v>1393</v>
      </c>
      <c r="E14" s="122" t="s">
        <v>1394</v>
      </c>
      <c r="F14" s="123"/>
      <c r="G14" s="113" t="s">
        <v>1404</v>
      </c>
      <c r="H14" s="114" t="s">
        <v>1202</v>
      </c>
      <c r="I14" s="116" t="str" cm="1">
        <f t="array" aca="1" ref="I14" ca="1">HYPERLINK(Common_InputFunctions.Utility_SourceHyperlink($D$22), $D$22)</f>
        <v>Table_E_g</v>
      </c>
      <c r="K14" s="113" t="s">
        <v>1407</v>
      </c>
      <c r="L14" s="113" t="s">
        <v>1408</v>
      </c>
      <c r="M14" s="113"/>
      <c r="N14" s="113" t="s">
        <v>661</v>
      </c>
      <c r="O14" s="114" t="s">
        <v>1202</v>
      </c>
      <c r="P14" s="116" t="str" cm="1">
        <f t="array" aca="1" ref="P14" ca="1">HYPERLINK(Common_InputFunctions.Utility_SourceHyperlink($D$22), $D$22)</f>
        <v>Table_E_g</v>
      </c>
      <c r="Q14" s="154"/>
    </row>
    <row r="15" spans="1:18" ht="20.100000000000001" customHeight="1" x14ac:dyDescent="0.2">
      <c r="A15" s="5" t="str">
        <f>HYPERLINK("#'Input - Electricity'!A1", "Electricity")</f>
        <v>Electricity</v>
      </c>
      <c r="D15" s="113" t="s">
        <v>1395</v>
      </c>
      <c r="E15" s="122" t="s">
        <v>1396</v>
      </c>
      <c r="F15" s="123"/>
      <c r="G15" s="113" t="s">
        <v>1405</v>
      </c>
      <c r="H15" s="115" t="s">
        <v>1203</v>
      </c>
      <c r="I15" s="116" t="str" cm="1">
        <f t="array" aca="1" ref="I15" ca="1">HYPERLINK(Common_InputFunctions.Utility_SourceHyperlink($D$22), $D$22)</f>
        <v>Table_E_g</v>
      </c>
      <c r="K15" s="113" t="s">
        <v>1395</v>
      </c>
      <c r="L15" s="113" t="s">
        <v>1409</v>
      </c>
      <c r="M15" s="113"/>
      <c r="N15" s="113" t="s">
        <v>1412</v>
      </c>
      <c r="O15" s="115" t="s">
        <v>1203</v>
      </c>
      <c r="P15" s="116" t="str" cm="1">
        <f t="array" aca="1" ref="P15" ca="1">HYPERLINK(Common_InputFunctions.Utility_SourceHyperlink($D$22), $D$22)</f>
        <v>Table_E_g</v>
      </c>
      <c r="Q15" s="154"/>
    </row>
    <row r="16" spans="1:18" ht="20.100000000000001" customHeight="1" x14ac:dyDescent="0.2">
      <c r="A16" s="5" t="str">
        <f>HYPERLINK("#'Input - Common farm inputs'!A1", "Common farm inputs")</f>
        <v>Common farm inputs</v>
      </c>
      <c r="D16" s="113" t="s">
        <v>1397</v>
      </c>
      <c r="E16" s="122" t="s">
        <v>1398</v>
      </c>
      <c r="F16" s="123"/>
      <c r="G16" s="113" t="s">
        <v>1406</v>
      </c>
      <c r="H16" s="115" t="s">
        <v>1203</v>
      </c>
      <c r="I16" s="116" t="str" cm="1">
        <f t="array" aca="1" ref="I16" ca="1">HYPERLINK(Common_InputFunctions.Utility_SourceHyperlink($D$22), $D$22)</f>
        <v>Table_E_g</v>
      </c>
      <c r="K16" s="113" t="s">
        <v>1410</v>
      </c>
      <c r="L16" s="113" t="s">
        <v>1411</v>
      </c>
      <c r="M16" s="113"/>
      <c r="N16" s="113" t="s">
        <v>1413</v>
      </c>
      <c r="O16" s="115" t="s">
        <v>1203</v>
      </c>
      <c r="P16" s="116" t="str" cm="1">
        <f t="array" aca="1" ref="P16" ca="1">HYPERLINK(Common_InputFunctions.Utility_SourceHyperlink($D$22), $D$22)</f>
        <v>Table_E_g</v>
      </c>
      <c r="Q16" s="154"/>
    </row>
    <row r="17" spans="1:17" ht="20.100000000000001" customHeight="1" x14ac:dyDescent="0.2">
      <c r="A17" s="5" t="str">
        <f>HYPERLINK("#'Input - Livestock farm Inputs'!A1", "Livestock farm Inputs")</f>
        <v>Livestock farm Inputs</v>
      </c>
      <c r="D17" s="113" t="s">
        <v>1399</v>
      </c>
      <c r="E17" s="122" t="s">
        <v>659</v>
      </c>
      <c r="F17" s="123"/>
      <c r="G17" s="113"/>
      <c r="H17" s="115" t="s">
        <v>1203</v>
      </c>
      <c r="I17" s="116"/>
      <c r="J17" s="154"/>
      <c r="P17" s="154"/>
      <c r="Q17" s="154"/>
    </row>
    <row r="18" spans="1:17" ht="20.100000000000001" customHeight="1" x14ac:dyDescent="0.2">
      <c r="A18" s="5" t="str">
        <f>HYPERLINK("#'Input - Freight'!A1", "Freight")</f>
        <v>Freight</v>
      </c>
      <c r="D18" s="113" t="s">
        <v>1400</v>
      </c>
      <c r="E18" s="122" t="s">
        <v>1401</v>
      </c>
      <c r="F18" s="123"/>
      <c r="G18" s="113"/>
      <c r="H18" s="115" t="s">
        <v>1203</v>
      </c>
      <c r="I18" s="116"/>
      <c r="J18" s="154"/>
      <c r="L18" s="154"/>
      <c r="M18" s="154"/>
      <c r="N18" s="154"/>
      <c r="O18" s="154"/>
      <c r="P18" s="154"/>
      <c r="Q18" s="154"/>
    </row>
    <row r="19" spans="1:17" ht="20.100000000000001" customHeight="1" x14ac:dyDescent="0.2">
      <c r="A19" s="5" t="str">
        <f>HYPERLINK("#'Input - Solid waste'!A1", "Solid waste")</f>
        <v>Solid waste</v>
      </c>
      <c r="D19" s="113" t="s">
        <v>1402</v>
      </c>
      <c r="E19" s="122" t="s">
        <v>1403</v>
      </c>
      <c r="F19" s="123"/>
      <c r="G19" s="113"/>
      <c r="H19" s="115" t="s">
        <v>1203</v>
      </c>
      <c r="I19" s="116"/>
      <c r="J19" s="154"/>
      <c r="L19" s="154"/>
      <c r="M19" s="154"/>
      <c r="N19" s="154"/>
      <c r="O19" s="154"/>
      <c r="P19" s="154"/>
      <c r="Q19" s="154"/>
    </row>
    <row r="20" spans="1:17" ht="20.100000000000001" customHeight="1" x14ac:dyDescent="0.2">
      <c r="A20" s="5" t="str">
        <f>HYPERLINK("#'Input - Manure sent off-site'!A1", "Manure sent off-site")</f>
        <v>Manure sent off-site</v>
      </c>
      <c r="D20" s="113">
        <v>1</v>
      </c>
      <c r="E20" s="122" t="s">
        <v>235</v>
      </c>
      <c r="F20" s="123"/>
      <c r="G20" s="113"/>
      <c r="H20" s="115" t="s">
        <v>1203</v>
      </c>
      <c r="I20" s="116"/>
      <c r="J20" s="154"/>
      <c r="L20" s="154"/>
      <c r="M20" s="154"/>
      <c r="N20" s="154"/>
      <c r="O20" s="154"/>
      <c r="P20" s="154"/>
      <c r="Q20" s="154"/>
    </row>
    <row r="21" spans="1:17" ht="20.100000000000001" customHeight="1" x14ac:dyDescent="0.2">
      <c r="A21" s="5" t="str">
        <f>HYPERLINK("#'Input - Data quality'!A1", "Data quality")</f>
        <v>Data quality</v>
      </c>
      <c r="O21" s="154"/>
      <c r="P21" s="154"/>
      <c r="Q21" s="154"/>
    </row>
    <row r="22" spans="1:17" ht="20.100000000000001" customHeight="1" x14ac:dyDescent="0.2">
      <c r="A22" s="5" t="str">
        <f>HYPERLINK("#'Input - Fert Prod System'!A1", "Fert Prod System")</f>
        <v>Fert Prod System</v>
      </c>
      <c r="D22" s="118" t="s">
        <v>607</v>
      </c>
    </row>
    <row r="23" spans="1:17" ht="20.100000000000001" customHeight="1" x14ac:dyDescent="0.2">
      <c r="A23" s="5" t="str">
        <f>HYPERLINK("#'Input - Fertiliser'!A1", "Fertiliser")</f>
        <v>Fertiliser</v>
      </c>
      <c r="D23" s="119" t="s">
        <v>608</v>
      </c>
    </row>
    <row r="24" spans="1:17" ht="20.100000000000001" customHeight="1" x14ac:dyDescent="0.2">
      <c r="D24" s="120" t="s">
        <v>609</v>
      </c>
      <c r="E24" s="120" t="s">
        <v>610</v>
      </c>
      <c r="F24" s="120" t="s">
        <v>611</v>
      </c>
      <c r="G24" s="120" t="s">
        <v>612</v>
      </c>
      <c r="H24" s="120" t="s">
        <v>613</v>
      </c>
      <c r="I24" s="120" t="s">
        <v>614</v>
      </c>
      <c r="J24" s="120" t="s">
        <v>615</v>
      </c>
      <c r="K24" s="120" t="s">
        <v>616</v>
      </c>
      <c r="L24" s="78" t="s">
        <v>617</v>
      </c>
      <c r="M24" s="120" t="s">
        <v>618</v>
      </c>
      <c r="N24" s="120" t="s">
        <v>619</v>
      </c>
      <c r="O24" s="120" t="s">
        <v>620</v>
      </c>
      <c r="P24" s="120" t="s">
        <v>621</v>
      </c>
      <c r="Q24" s="120" t="s">
        <v>622</v>
      </c>
    </row>
    <row r="25" spans="1:17" ht="20.100000000000001" customHeight="1" x14ac:dyDescent="0.2">
      <c r="D25" s="24" t="str">
        <f>Table_FuelTypesPerUse[[#Headers],[Cars and light commercial vehicles]]</f>
        <v>Cars and light commercial vehicles</v>
      </c>
      <c r="E25" s="155" t="str">
        <f>'Constants - Fuel'!$E$10</f>
        <v>Gasoline</v>
      </c>
      <c r="F25" s="155" t="str">
        <f>'Constants - Fuel'!G131</f>
        <v>Petrol</v>
      </c>
      <c r="G25" s="15" cm="1">
        <f t="array" ref="G25">IFERROR(_xlfn.XLOOKUP(1, (Table_Fuel_EFs_Transport[Fuel combusted]=$E25)*(Table_Fuel_EFs_Transport[Transport type]=$D$25), Table_Fuel_EFs_Transport[Energy Content Factor (GJ per unit of fuel)]), 0)</f>
        <v>34.200000000000003</v>
      </c>
      <c r="H25" s="15" cm="1">
        <f t="array" ref="H25">IFERROR(_xlfn.XLOOKUP(1, (Table_Fuel_EFs_Transport[Fuel combusted]=$E25)*(Table_Fuel_EFs_Transport[Transport type]=$D$25), Table_Fuel_EFs_Transport[Scope 1 Emission Factor (kg CO2 - e / GJ) CO2]), 0)</f>
        <v>67.400000000000006</v>
      </c>
      <c r="I25" s="15" cm="1">
        <f t="array" ref="I25">IFERROR(_xlfn.XLOOKUP(1, (Table_Fuel_EFs_Transport[Fuel combusted]=$E25)*(Table_Fuel_EFs_Transport[Transport type]=$D$25), Table_Fuel_EFs_Transport[Scope 1 Emission Factor (kg CO2 - e / GJ) CH4]), 0)</f>
        <v>0.02</v>
      </c>
      <c r="J25" s="15" cm="1">
        <f t="array" ref="J25">IFERROR(_xlfn.XLOOKUP(1, (Table_Fuel_EFs_Transport[Fuel combusted]=$E25)*(Table_Fuel_EFs_Transport[Transport type]=$D$25), Table_Fuel_EFs_Transport[Scope 1 Emission Factor (kg CO2 - e / GJ) N2O]), 0)</f>
        <v>0.2</v>
      </c>
      <c r="K25" s="15" cm="1">
        <f t="array" ref="K25">IFERROR(_xlfn.XLOOKUP(1, (Table_Fuel_EFs_Transport[Fuel combusted]=$E25)*(Table_Fuel_EFs_Transport[Transport type]=$D$25), Table_Fuel_EFs_Transport[Scope 3 Emission Factor (kg CO2 - e / GJ)]), 0)</f>
        <v>17.2</v>
      </c>
      <c r="L25" s="156" cm="1">
        <f t="array" ref="L25">Fuel_InputFunctions.Fuel_TotalConsumption(Table_Input_Fuel[Amount consumed], Table_Input_Fuel[Fuel use (select)], D25, Table_Input_Fuel[Fuel type (select)],F25)</f>
        <v>0</v>
      </c>
      <c r="M25" s="156" t="str" cm="1">
        <f t="array" ref="M25">Common_InputFunctions.Utility_LookupValueInTable(F25,Table_FuelTypes_Units[Fuel type],Table_FuelTypes_Units[Unit])</f>
        <v>kL</v>
      </c>
      <c r="N25" s="157">
        <f>((($L25 * $G25 * $H25) * 10 ^ -3))</f>
        <v>0</v>
      </c>
      <c r="O25" s="157">
        <f>((($L25 * $G25 * $I25) * 10 ^ -3))</f>
        <v>0</v>
      </c>
      <c r="P25" s="157">
        <f>((($L25 * $G25 * $J25) * 10 ^ -3))</f>
        <v>0</v>
      </c>
      <c r="Q25" s="157">
        <f>((L25 * G25 * K25) * 10 ^ -3)</f>
        <v>0</v>
      </c>
    </row>
    <row r="26" spans="1:17" ht="20.100000000000001" customHeight="1" x14ac:dyDescent="0.2">
      <c r="A26" s="6" t="s">
        <v>2</v>
      </c>
      <c r="D26" s="158" t="str">
        <f t="shared" ref="D26:D32" si="0">$D$25</f>
        <v>Cars and light commercial vehicles</v>
      </c>
      <c r="E26" s="155" t="str">
        <f>'Constants - Fuel'!$E$11</f>
        <v>Diesel oil</v>
      </c>
      <c r="F26" s="155" t="str">
        <f>'Constants - Fuel'!G132</f>
        <v>Diesel</v>
      </c>
      <c r="G26" s="15" cm="1">
        <f t="array" ref="G26">IFERROR(_xlfn.XLOOKUP(1, (Table_Fuel_EFs_Transport[Fuel combusted]=$E26)*(Table_Fuel_EFs_Transport[Transport type]=$D$25), Table_Fuel_EFs_Transport[Energy Content Factor (GJ per unit of fuel)]), 0)</f>
        <v>38.6</v>
      </c>
      <c r="H26" s="15" cm="1">
        <f t="array" ref="H26">IFERROR(_xlfn.XLOOKUP(1, (Table_Fuel_EFs_Transport[Fuel combusted]=$E26)*(Table_Fuel_EFs_Transport[Transport type]=$D$25), Table_Fuel_EFs_Transport[Scope 1 Emission Factor (kg CO2 - e / GJ) CO2]), 0)</f>
        <v>69.900000000000006</v>
      </c>
      <c r="I26" s="15" cm="1">
        <f t="array" ref="I26">IFERROR(_xlfn.XLOOKUP(1, (Table_Fuel_EFs_Transport[Fuel combusted]=$E26)*(Table_Fuel_EFs_Transport[Transport type]=$D$25), Table_Fuel_EFs_Transport[Scope 1 Emission Factor (kg CO2 - e / GJ) CH4]), 0)</f>
        <v>0.01</v>
      </c>
      <c r="J26" s="15" cm="1">
        <f t="array" ref="J26">IFERROR(_xlfn.XLOOKUP(1, (Table_Fuel_EFs_Transport[Fuel combusted]=$E26)*(Table_Fuel_EFs_Transport[Transport type]=$D$25), Table_Fuel_EFs_Transport[Scope 1 Emission Factor (kg CO2 - e / GJ) N2O]), 0)</f>
        <v>0.5</v>
      </c>
      <c r="K26" s="15" cm="1">
        <f t="array" ref="K26">IFERROR(_xlfn.XLOOKUP(1, (Table_Fuel_EFs_Transport[Fuel combusted]=$E26)*(Table_Fuel_EFs_Transport[Transport type]=$D$25), Table_Fuel_EFs_Transport[Scope 3 Emission Factor (kg CO2 - e / GJ)]), 0)</f>
        <v>17.3</v>
      </c>
      <c r="L26" s="156" cm="1">
        <f t="array" ref="L26">Fuel_InputFunctions.Fuel_TotalConsumption(Table_Input_Fuel[Amount consumed], Table_Input_Fuel[Fuel use (select)], D26, Table_Input_Fuel[Fuel type (select)],F26)</f>
        <v>10</v>
      </c>
      <c r="M26" s="156" t="str" cm="1">
        <f t="array" ref="M26">Common_InputFunctions.Utility_LookupValueInTable(F26,Table_FuelTypes_Units[Fuel type],Table_FuelTypes_Units[Unit])</f>
        <v>kL</v>
      </c>
      <c r="N26" s="157">
        <f>((($L26 * $G26 * $H26) * 10 ^ -3))</f>
        <v>26.981400000000001</v>
      </c>
      <c r="O26" s="157">
        <f>((($L26 * $G26 * $I26) * 10 ^ -3))</f>
        <v>3.8600000000000001E-3</v>
      </c>
      <c r="P26" s="157">
        <f>((($L26 * $G26 * $J26) * 10 ^ -3))</f>
        <v>0.193</v>
      </c>
      <c r="Q26" s="157">
        <f>((L26 * G26 * K26) * 10 ^ -3)</f>
        <v>6.6778000000000004</v>
      </c>
    </row>
    <row r="27" spans="1:17" ht="20.100000000000001" customHeight="1" x14ac:dyDescent="0.2">
      <c r="A27" s="5" t="str">
        <f>HYPERLINK("#'4.6.1.1-2 Methane'!A1", "4.6.1.1-2 Manure Methane")</f>
        <v>4.6.1.1-2 Manure Methane</v>
      </c>
      <c r="D27" s="158" t="str">
        <f t="shared" si="0"/>
        <v>Cars and light commercial vehicles</v>
      </c>
      <c r="E27" s="155" t="str">
        <f>'Constants - Fuel'!$E$12</f>
        <v>Liquefied petroleum gas (LPG)</v>
      </c>
      <c r="F27" s="155" t="str">
        <f>'Constants - Fuel'!G133</f>
        <v>Liquefied petroleum gas (LPG)</v>
      </c>
      <c r="G27" s="15" cm="1">
        <f t="array" ref="G27">IFERROR(_xlfn.XLOOKUP(1, (Table_Fuel_EFs_Transport[Fuel combusted]=$E27)*(Table_Fuel_EFs_Transport[Transport type]=$D$25), Table_Fuel_EFs_Transport[Energy Content Factor (GJ per unit of fuel)]), 0)</f>
        <v>26.2</v>
      </c>
      <c r="H27" s="15" cm="1">
        <f t="array" ref="H27">IFERROR(_xlfn.XLOOKUP(1, (Table_Fuel_EFs_Transport[Fuel combusted]=$E27)*(Table_Fuel_EFs_Transport[Transport type]=$D$25), Table_Fuel_EFs_Transport[Scope 1 Emission Factor (kg CO2 - e / GJ) CO2]), 0)</f>
        <v>60.2</v>
      </c>
      <c r="I27" s="15" cm="1">
        <f t="array" ref="I27">IFERROR(_xlfn.XLOOKUP(1, (Table_Fuel_EFs_Transport[Fuel combusted]=$E27)*(Table_Fuel_EFs_Transport[Transport type]=$D$25), Table_Fuel_EFs_Transport[Scope 1 Emission Factor (kg CO2 - e / GJ) CH4]), 0)</f>
        <v>0.5</v>
      </c>
      <c r="J27" s="15" cm="1">
        <f t="array" ref="J27">IFERROR(_xlfn.XLOOKUP(1, (Table_Fuel_EFs_Transport[Fuel combusted]=$E27)*(Table_Fuel_EFs_Transport[Transport type]=$D$25), Table_Fuel_EFs_Transport[Scope 1 Emission Factor (kg CO2 - e / GJ) N2O]), 0)</f>
        <v>0.3</v>
      </c>
      <c r="K27" s="15" cm="1">
        <f t="array" ref="K27">IFERROR(_xlfn.XLOOKUP(1, (Table_Fuel_EFs_Transport[Fuel combusted]=$E27)*(Table_Fuel_EFs_Transport[Transport type]=$D$25), Table_Fuel_EFs_Transport[Scope 3 Emission Factor (kg CO2 - e / GJ)]), 0)</f>
        <v>20.2</v>
      </c>
      <c r="L27" s="156" cm="1">
        <f t="array" ref="L27">Fuel_InputFunctions.Fuel_TotalConsumption(Table_Input_Fuel[Amount consumed], Table_Input_Fuel[Fuel use (select)], D27, Table_Input_Fuel[Fuel type (select)],F27)</f>
        <v>0</v>
      </c>
      <c r="M27" s="156" t="str" cm="1">
        <f t="array" ref="M27">Common_InputFunctions.Utility_LookupValueInTable(F27,Table_FuelTypes_Units[Fuel type],Table_FuelTypes_Units[Unit])</f>
        <v>kL</v>
      </c>
      <c r="N27" s="157">
        <f>((($L27 * $G27 * $H27) * 10 ^ -3))</f>
        <v>0</v>
      </c>
      <c r="O27" s="157">
        <f>((($L27 * $G27 * $I27) * 10 ^ -3))</f>
        <v>0</v>
      </c>
      <c r="P27" s="157">
        <f>((($L27 * $G27 * $J27) * 10 ^ -3))</f>
        <v>0</v>
      </c>
      <c r="Q27" s="157">
        <f>((L27 * G27 * K27) * 10 ^ -3)</f>
        <v>0</v>
      </c>
    </row>
    <row r="28" spans="1:17" ht="20.100000000000001" customHeight="1" x14ac:dyDescent="0.2">
      <c r="A28" s="5" t="str">
        <f>HYPERLINK("#'4.6.1.3-4 Direct N20'!A1", "4.6.1.3-4 Manure Direct N2O")</f>
        <v>4.6.1.3-4 Manure Direct N2O</v>
      </c>
      <c r="D28" s="158" t="str">
        <f t="shared" si="0"/>
        <v>Cars and light commercial vehicles</v>
      </c>
      <c r="E28" s="155" t="str">
        <f>'Constants - Fuel'!$E$13</f>
        <v>Fuel oil</v>
      </c>
      <c r="F28" s="155" t="str">
        <f>'Constants - Fuel'!G134</f>
        <v>Fuel oil</v>
      </c>
      <c r="G28" s="15" cm="1">
        <f t="array" ref="G28">IFERROR(_xlfn.XLOOKUP(1, (Table_Fuel_EFs_Transport[Fuel combusted]=$E28)*(Table_Fuel_EFs_Transport[Transport type]=$D$25), Table_Fuel_EFs_Transport[Energy Content Factor (GJ per unit of fuel)]), 0)</f>
        <v>39.700000000000003</v>
      </c>
      <c r="H28" s="15" cm="1">
        <f t="array" ref="H28">IFERROR(_xlfn.XLOOKUP(1, (Table_Fuel_EFs_Transport[Fuel combusted]=$E28)*(Table_Fuel_EFs_Transport[Transport type]=$D$25), Table_Fuel_EFs_Transport[Scope 1 Emission Factor (kg CO2 - e / GJ) CO2]), 0)</f>
        <v>73.599999999999994</v>
      </c>
      <c r="I28" s="15" cm="1">
        <f t="array" ref="I28">IFERROR(_xlfn.XLOOKUP(1, (Table_Fuel_EFs_Transport[Fuel combusted]=$E28)*(Table_Fuel_EFs_Transport[Transport type]=$D$25), Table_Fuel_EFs_Transport[Scope 1 Emission Factor (kg CO2 - e / GJ) CH4]), 0)</f>
        <v>0.08</v>
      </c>
      <c r="J28" s="15" cm="1">
        <f t="array" ref="J28">IFERROR(_xlfn.XLOOKUP(1, (Table_Fuel_EFs_Transport[Fuel combusted]=$E28)*(Table_Fuel_EFs_Transport[Transport type]=$D$25), Table_Fuel_EFs_Transport[Scope 1 Emission Factor (kg CO2 - e / GJ) N2O]), 0)</f>
        <v>0.5</v>
      </c>
      <c r="K28" s="15" cm="1">
        <f t="array" ref="K28">IFERROR(_xlfn.XLOOKUP(1, (Table_Fuel_EFs_Transport[Fuel combusted]=$E28)*(Table_Fuel_EFs_Transport[Transport type]=$D$25), Table_Fuel_EFs_Transport[Scope 3 Emission Factor (kg CO2 - e / GJ)]), 0)</f>
        <v>18</v>
      </c>
      <c r="L28" s="156" cm="1">
        <f t="array" ref="L28">Fuel_InputFunctions.Fuel_TotalConsumption(Table_Input_Fuel[Amount consumed], Table_Input_Fuel[Fuel use (select)], D28, Table_Input_Fuel[Fuel type (select)],F28)</f>
        <v>0</v>
      </c>
      <c r="M28" s="156" t="str" cm="1">
        <f t="array" ref="M28">Common_InputFunctions.Utility_LookupValueInTable(F28,Table_FuelTypes_Units[Fuel type],Table_FuelTypes_Units[Unit])</f>
        <v>kL</v>
      </c>
      <c r="N28" s="157">
        <f>((($L28 * $G28 * $H28) * 10 ^ -3))</f>
        <v>0</v>
      </c>
      <c r="O28" s="157">
        <f>((($L28 * $G28 * $I28) * 10 ^ -3))</f>
        <v>0</v>
      </c>
      <c r="P28" s="157">
        <f>((($L28 * $G28 * $J28) * 10 ^ -3))</f>
        <v>0</v>
      </c>
      <c r="Q28" s="157">
        <f>((L28 * G28 * K28) * 10 ^ -3)</f>
        <v>0</v>
      </c>
    </row>
    <row r="29" spans="1:17" ht="20.100000000000001" customHeight="1" x14ac:dyDescent="0.2">
      <c r="A29" s="5" t="str">
        <f>HYPERLINK("#'4.6.1.5-6 Atmos Dep'!A1", "4.6.1.5-6 Manure Atmos Dep")</f>
        <v>4.6.1.5-6 Manure Atmos Dep</v>
      </c>
      <c r="D29" s="158" t="str">
        <f t="shared" si="0"/>
        <v>Cars and light commercial vehicles</v>
      </c>
      <c r="E29" s="155" t="str">
        <f>'Constants - Fuel'!$E$14</f>
        <v>Ethanol</v>
      </c>
      <c r="F29" s="155" t="str">
        <f>'Constants - Fuel'!G135</f>
        <v>Ethanol</v>
      </c>
      <c r="G29" s="15" cm="1">
        <f t="array" ref="G29">IFERROR(_xlfn.XLOOKUP(1, (Table_Fuel_EFs_Transport[Fuel combusted]=$E29)*(Table_Fuel_EFs_Transport[Transport type]=$D$25), Table_Fuel_EFs_Transport[Energy Content Factor (GJ per unit of fuel)]), 0)</f>
        <v>23.4</v>
      </c>
      <c r="H29" s="15" cm="1">
        <f t="array" ref="H29">IFERROR(_xlfn.XLOOKUP(1, (Table_Fuel_EFs_Transport[Fuel combusted]=$E29)*(Table_Fuel_EFs_Transport[Transport type]=$D$25), Table_Fuel_EFs_Transport[Scope 1 Emission Factor (kg CO2 - e / GJ) CO2]), 0)</f>
        <v>0</v>
      </c>
      <c r="I29" s="15" cm="1">
        <f t="array" ref="I29">IFERROR(_xlfn.XLOOKUP(1, (Table_Fuel_EFs_Transport[Fuel combusted]=$E29)*(Table_Fuel_EFs_Transport[Transport type]=$D$25), Table_Fuel_EFs_Transport[Scope 1 Emission Factor (kg CO2 - e / GJ) CH4]), 0)</f>
        <v>0.2</v>
      </c>
      <c r="J29" s="15" cm="1">
        <f t="array" ref="J29">IFERROR(_xlfn.XLOOKUP(1, (Table_Fuel_EFs_Transport[Fuel combusted]=$E29)*(Table_Fuel_EFs_Transport[Transport type]=$D$25), Table_Fuel_EFs_Transport[Scope 1 Emission Factor (kg CO2 - e / GJ) N2O]), 0)</f>
        <v>0.2</v>
      </c>
      <c r="K29" s="15" t="str" cm="1">
        <f t="array" ref="K29">IFERROR(_xlfn.XLOOKUP(1, (Table_Fuel_EFs_Transport[Fuel combusted]=$E29)*(Table_Fuel_EFs_Transport[Transport type]=$D$25), Table_Fuel_EFs_Transport[Scope 3 Emission Factor (kg CO2 - e / GJ)]), 0)</f>
        <v>NE</v>
      </c>
      <c r="L29" s="156" cm="1">
        <f t="array" ref="L29">Fuel_InputFunctions.Fuel_TotalConsumption(Table_Input_Fuel[Amount consumed], Table_Input_Fuel[Fuel use (select)], D29, Table_Input_Fuel[Fuel type (select)],F29)</f>
        <v>0</v>
      </c>
      <c r="M29" s="156" t="str" cm="1">
        <f t="array" ref="M29">Common_InputFunctions.Utility_LookupValueInTable(F29,Table_FuelTypes_Units[Fuel type],Table_FuelTypes_Units[Unit])</f>
        <v>kL</v>
      </c>
      <c r="N29" s="157">
        <f>((($L29 * $G29 * $H29) * 10 ^ -3))</f>
        <v>0</v>
      </c>
      <c r="O29" s="157">
        <f>((($L29 * $G29 * $I29) * 10 ^ -3))</f>
        <v>0</v>
      </c>
      <c r="P29" s="157">
        <f>((($L29 * $G29 * $J29) * 10 ^ -3))</f>
        <v>0</v>
      </c>
      <c r="Q29" s="157">
        <f>((L29 * G29 * (IF(ISNUMBER(K29),K29,0))) * 10 ^ -3)</f>
        <v>0</v>
      </c>
    </row>
    <row r="30" spans="1:17" ht="20.100000000000001" customHeight="1" x14ac:dyDescent="0.2">
      <c r="A30" s="5" t="str">
        <f>HYPERLINK("#'4.6.1.7-8 Leaching and runoff'!A1", "4.6.1.7-8 Manure Leaching and runoff")</f>
        <v>4.6.1.7-8 Manure Leaching and runoff</v>
      </c>
      <c r="D30" s="158" t="str">
        <f t="shared" si="0"/>
        <v>Cars and light commercial vehicles</v>
      </c>
      <c r="E30" s="155" t="str">
        <f>'Constants - Fuel'!$E$15</f>
        <v>Biodiesel</v>
      </c>
      <c r="F30" s="155" t="str">
        <f>'Constants - Fuel'!G136</f>
        <v>Biodiesel</v>
      </c>
      <c r="G30" s="15" cm="1">
        <f t="array" ref="G30">IFERROR(_xlfn.XLOOKUP(1, (Table_Fuel_EFs_Transport[Fuel combusted]=$E30)*(Table_Fuel_EFs_Transport[Transport type]=$D$25), Table_Fuel_EFs_Transport[Energy Content Factor (GJ per unit of fuel)]), 0)</f>
        <v>34.6</v>
      </c>
      <c r="H30" s="15" cm="1">
        <f t="array" ref="H30">IFERROR(_xlfn.XLOOKUP(1, (Table_Fuel_EFs_Transport[Fuel combusted]=$E30)*(Table_Fuel_EFs_Transport[Transport type]=$D$25), Table_Fuel_EFs_Transport[Scope 1 Emission Factor (kg CO2 - e / GJ) CO2]), 0)</f>
        <v>0</v>
      </c>
      <c r="I30" s="15" cm="1">
        <f t="array" ref="I30">IFERROR(_xlfn.XLOOKUP(1, (Table_Fuel_EFs_Transport[Fuel combusted]=$E30)*(Table_Fuel_EFs_Transport[Transport type]=$D$25), Table_Fuel_EFs_Transport[Scope 1 Emission Factor (kg CO2 - e / GJ) CH4]), 0)</f>
        <v>0.8</v>
      </c>
      <c r="J30" s="15" cm="1">
        <f t="array" ref="J30">IFERROR(_xlfn.XLOOKUP(1, (Table_Fuel_EFs_Transport[Fuel combusted]=$E30)*(Table_Fuel_EFs_Transport[Transport type]=$D$25), Table_Fuel_EFs_Transport[Scope 1 Emission Factor (kg CO2 - e / GJ) N2O]), 0)</f>
        <v>1.7</v>
      </c>
      <c r="K30" s="15" t="str" cm="1">
        <f t="array" ref="K30">IFERROR(_xlfn.XLOOKUP(1, (Table_Fuel_EFs_Transport[Fuel combusted]=$E30)*(Table_Fuel_EFs_Transport[Transport type]=$D$25), Table_Fuel_EFs_Transport[Scope 3 Emission Factor (kg CO2 - e / GJ)]), 0)</f>
        <v>NE</v>
      </c>
      <c r="L30" s="156" cm="1">
        <f t="array" ref="L30">Fuel_InputFunctions.Fuel_TotalConsumption(Table_Input_Fuel[Amount consumed], Table_Input_Fuel[Fuel use (select)], D30, Table_Input_Fuel[Fuel type (select)],F30)</f>
        <v>0</v>
      </c>
      <c r="M30" s="156" t="str" cm="1">
        <f t="array" ref="M30">Common_InputFunctions.Utility_LookupValueInTable(F30,Table_FuelTypes_Units[Fuel type],Table_FuelTypes_Units[Unit])</f>
        <v>kL</v>
      </c>
      <c r="N30" s="157">
        <f>((($L30 * $G30 * $H30) * 10 ^ -3))</f>
        <v>0</v>
      </c>
      <c r="O30" s="157">
        <f>((($L30 * $G30 * $I30) * 10 ^ -3))</f>
        <v>0</v>
      </c>
      <c r="P30" s="157">
        <f>((($L30 * $G30 * $J30) * 10 ^ -3))</f>
        <v>0</v>
      </c>
      <c r="Q30" s="157">
        <f>((L30 * G30 * (IF(ISNUMBER(K30),K30,0))) * 10 ^ -3)</f>
        <v>0</v>
      </c>
    </row>
    <row r="31" spans="1:17" ht="20.100000000000001" customHeight="1" x14ac:dyDescent="0.2">
      <c r="A31" s="5" t="str">
        <f>HYPERLINK("#'4.6.1.9 Manure applied to soils'!A1", "4.6.1.9 Manure applied to soils")</f>
        <v>4.6.1.9 Manure applied to soils</v>
      </c>
      <c r="D31" s="158" t="str">
        <f t="shared" si="0"/>
        <v>Cars and light commercial vehicles</v>
      </c>
      <c r="E31" s="155" t="str">
        <f>'Constants - Fuel'!$E$16</f>
        <v>Renewable diesel</v>
      </c>
      <c r="F31" s="155" t="str">
        <f>'Constants - Fuel'!G137</f>
        <v>Renewable diesel</v>
      </c>
      <c r="G31" s="15" cm="1">
        <f t="array" ref="G31">IFERROR(_xlfn.XLOOKUP(1, (Table_Fuel_EFs_Transport[Fuel combusted]=$E31)*(Table_Fuel_EFs_Transport[Transport type]=$D$25), Table_Fuel_EFs_Transport[Energy Content Factor (GJ per unit of fuel)]), 0)</f>
        <v>38.6</v>
      </c>
      <c r="H31" s="15" cm="1">
        <f t="array" ref="H31">IFERROR(_xlfn.XLOOKUP(1, (Table_Fuel_EFs_Transport[Fuel combusted]=$E31)*(Table_Fuel_EFs_Transport[Transport type]=$D$25), Table_Fuel_EFs_Transport[Scope 1 Emission Factor (kg CO2 - e / GJ) CO2]), 0)</f>
        <v>0</v>
      </c>
      <c r="I31" s="15" cm="1">
        <f t="array" ref="I31">IFERROR(_xlfn.XLOOKUP(1, (Table_Fuel_EFs_Transport[Fuel combusted]=$E31)*(Table_Fuel_EFs_Transport[Transport type]=$D$25), Table_Fuel_EFs_Transport[Scope 1 Emission Factor (kg CO2 - e / GJ) CH4]), 0)</f>
        <v>0.01</v>
      </c>
      <c r="J31" s="15" cm="1">
        <f t="array" ref="J31">IFERROR(_xlfn.XLOOKUP(1, (Table_Fuel_EFs_Transport[Fuel combusted]=$E31)*(Table_Fuel_EFs_Transport[Transport type]=$D$25), Table_Fuel_EFs_Transport[Scope 1 Emission Factor (kg CO2 - e / GJ) N2O]), 0)</f>
        <v>0.5</v>
      </c>
      <c r="K31" s="15" t="str" cm="1">
        <f t="array" ref="K31">IFERROR(_xlfn.XLOOKUP(1, (Table_Fuel_EFs_Transport[Fuel combusted]=$E31)*(Table_Fuel_EFs_Transport[Transport type]=$D$25), Table_Fuel_EFs_Transport[Scope 3 Emission Factor (kg CO2 - e / GJ)]), 0)</f>
        <v>NE</v>
      </c>
      <c r="L31" s="156" cm="1">
        <f t="array" ref="L31">Fuel_InputFunctions.Fuel_TotalConsumption(Table_Input_Fuel[Amount consumed], Table_Input_Fuel[Fuel use (select)], D31, Table_Input_Fuel[Fuel type (select)],F31)</f>
        <v>0</v>
      </c>
      <c r="M31" s="156" t="str" cm="1">
        <f t="array" ref="M31">Common_InputFunctions.Utility_LookupValueInTable(F31,Table_FuelTypes_Units[Fuel type],Table_FuelTypes_Units[Unit])</f>
        <v>kL</v>
      </c>
      <c r="N31" s="157">
        <f>((($L31 * $G31 * $H31) * 10 ^ -3))</f>
        <v>0</v>
      </c>
      <c r="O31" s="157">
        <f>((($L31 * $G31 * $I31) * 10 ^ -3))</f>
        <v>0</v>
      </c>
      <c r="P31" s="157">
        <f>((($L31 * $G31 * $J31) * 10 ^ -3))</f>
        <v>0</v>
      </c>
      <c r="Q31" s="157">
        <f>((L31 * G31 * (IF(ISNUMBER(K31),K31,0))) * 10 ^ -3)</f>
        <v>0</v>
      </c>
    </row>
    <row r="32" spans="1:17" ht="20.100000000000001" customHeight="1" x14ac:dyDescent="0.2">
      <c r="A32" s="5" t="str">
        <f>HYPERLINK("#'4.6.1.10-11 Soil direct N2O'!A1", "4.6.1.10-11 Soil direct N2O")</f>
        <v>4.6.1.10-11 Soil direct N2O</v>
      </c>
      <c r="D32" s="158" t="str">
        <f t="shared" si="0"/>
        <v>Cars and light commercial vehicles</v>
      </c>
      <c r="E32" s="155" t="str">
        <f>'Constants - Fuel'!$E$17</f>
        <v>Other biofuels</v>
      </c>
      <c r="F32" s="155" t="str">
        <f>'Constants - Fuel'!G138</f>
        <v>Other biofuels</v>
      </c>
      <c r="G32" s="15" cm="1">
        <f t="array" ref="G32">IFERROR(_xlfn.XLOOKUP(1, (Table_Fuel_EFs_Transport[Fuel combusted]=$E32)*(Table_Fuel_EFs_Transport[Transport type]=$D$25), Table_Fuel_EFs_Transport[Energy Content Factor (GJ per unit of fuel)]), 0)</f>
        <v>23.4</v>
      </c>
      <c r="H32" s="15" cm="1">
        <f t="array" ref="H32">IFERROR(_xlfn.XLOOKUP(1, (Table_Fuel_EFs_Transport[Fuel combusted]=$E32)*(Table_Fuel_EFs_Transport[Transport type]=$D$25), Table_Fuel_EFs_Transport[Scope 1 Emission Factor (kg CO2 - e / GJ) CO2]), 0)</f>
        <v>0</v>
      </c>
      <c r="I32" s="15" cm="1">
        <f t="array" ref="I32">IFERROR(_xlfn.XLOOKUP(1, (Table_Fuel_EFs_Transport[Fuel combusted]=$E32)*(Table_Fuel_EFs_Transport[Transport type]=$D$25), Table_Fuel_EFs_Transport[Scope 1 Emission Factor (kg CO2 - e / GJ) CH4]), 0)</f>
        <v>0.8</v>
      </c>
      <c r="J32" s="15" cm="1">
        <f t="array" ref="J32">IFERROR(_xlfn.XLOOKUP(1, (Table_Fuel_EFs_Transport[Fuel combusted]=$E32)*(Table_Fuel_EFs_Transport[Transport type]=$D$25), Table_Fuel_EFs_Transport[Scope 1 Emission Factor (kg CO2 - e / GJ) N2O]), 0)</f>
        <v>1.7</v>
      </c>
      <c r="K32" s="152" t="str" cm="1">
        <f t="array" ref="K32">IFERROR(_xlfn.XLOOKUP(1, (Table_Fuel_EFs_Transport[Fuel combusted]=$E32)*(Table_Fuel_EFs_Transport[Transport type]=$D$25), Table_Fuel_EFs_Transport[Scope 3 Emission Factor (kg CO2 - e / GJ)]), 0)</f>
        <v>NE</v>
      </c>
      <c r="L32" s="159" cm="1">
        <f t="array" ref="L32">Fuel_InputFunctions.Fuel_TotalConsumption(Table_Input_Fuel[Amount consumed], Table_Input_Fuel[Fuel use (select)], D32, Table_Input_Fuel[Fuel type (select)],F32)</f>
        <v>0</v>
      </c>
      <c r="M32" s="156" t="str" cm="1">
        <f t="array" ref="M32">Common_InputFunctions.Utility_LookupValueInTable(F32,Table_FuelTypes_Units[Fuel type],Table_FuelTypes_Units[Unit])</f>
        <v>kL</v>
      </c>
      <c r="N32" s="160">
        <f>((($L32 * $G32 * $H32) * 10 ^ -3))</f>
        <v>0</v>
      </c>
      <c r="O32" s="160">
        <f>((($L32 * $G32 * $I32) * 10 ^ -3))</f>
        <v>0</v>
      </c>
      <c r="P32" s="160">
        <f>((($L32 * $G32 * $J32) * 10 ^ -3))</f>
        <v>0</v>
      </c>
      <c r="Q32" s="157">
        <f>((L32 * G32 * (IF(ISNUMBER(K32),K32,0))) * 10 ^ -3)</f>
        <v>0</v>
      </c>
    </row>
    <row r="33" spans="1:17" ht="20.100000000000001" customHeight="1" x14ac:dyDescent="0.2">
      <c r="A33" s="5" t="str">
        <f>HYPERLINK("#'4.6.1.12-13 Soil atmos dep'!A1", "4.6.1.12-13 Soil atmos dep")</f>
        <v>4.6.1.12-13 Soil atmos dep</v>
      </c>
      <c r="D33" s="161" t="str">
        <f>Table_FuelTypesPerUse[[#Headers],[Off-road Agriculture and forestry equipment]]</f>
        <v>Off-road Agriculture and forestry equipment</v>
      </c>
      <c r="E33" s="162" t="str">
        <f>'Constants - Fuel'!$E$11</f>
        <v>Diesel oil</v>
      </c>
      <c r="F33" s="162" t="str">
        <f>'Constants - Fuel'!H131</f>
        <v>Diesel</v>
      </c>
      <c r="G33" s="163" cm="1">
        <f t="array" ref="G33">IFERROR(_xlfn.XLOOKUP(1, (Table_Fuel_EFs_Transport[Fuel combusted]=$E33)*(Table_Fuel_EFs_Transport[Transport type]=$D$33), Table_Fuel_EFs_Transport[Energy Content Factor (GJ per unit of fuel)]), 0)</f>
        <v>38.6</v>
      </c>
      <c r="H33" s="163" cm="1">
        <f t="array" ref="H33">IFERROR(_xlfn.XLOOKUP(1, (Table_Fuel_EFs_Transport[Fuel combusted]=$E33)*(Table_Fuel_EFs_Transport[Transport type]=$D$33), Table_Fuel_EFs_Transport[Scope 1 Emission Factor (kg CO2 - e / GJ) CO2]), 0)</f>
        <v>69.900000000000006</v>
      </c>
      <c r="I33" s="163" cm="1">
        <f t="array" ref="I33">IFERROR(_xlfn.XLOOKUP(1, (Table_Fuel_EFs_Transport[Fuel combusted]=$E33)*(Table_Fuel_EFs_Transport[Transport type]=$D$33), Table_Fuel_EFs_Transport[Scope 1 Emission Factor (kg CO2 - e / GJ) CH4]), 0)</f>
        <v>0.3</v>
      </c>
      <c r="J33" s="163" cm="1">
        <f t="array" ref="J33">IFERROR(_xlfn.XLOOKUP(1, (Table_Fuel_EFs_Transport[Fuel combusted]=$E33)*(Table_Fuel_EFs_Transport[Transport type]=$D$33), Table_Fuel_EFs_Transport[Scope 1 Emission Factor (kg CO2 - e / GJ) N2O]), 0)</f>
        <v>0.5</v>
      </c>
      <c r="K33" s="164" cm="1">
        <f t="array" ref="K33">IFERROR(_xlfn.XLOOKUP(1, (Table_Fuel_EFs_Transport[Fuel combusted]=$E33)*(Table_Fuel_EFs_Transport[Transport type]=$D$25), Table_Fuel_EFs_Transport[Scope 3 Emission Factor (kg CO2 - e / GJ)]), 0)</f>
        <v>17.3</v>
      </c>
      <c r="L33" s="165" cm="1">
        <f t="array" ref="L33">Fuel_InputFunctions.Fuel_TotalConsumption(Table_Input_Fuel[Amount consumed], Table_Input_Fuel[Fuel use (select)], D33, Table_Input_Fuel[Fuel type (select)],F33)</f>
        <v>10</v>
      </c>
      <c r="M33" s="166" t="str" cm="1">
        <f t="array" ref="M33">Common_InputFunctions.Utility_LookupValueInTable(F33,Table_FuelTypes_Units[Fuel type],Table_FuelTypes_Units[Unit])</f>
        <v>kL</v>
      </c>
      <c r="N33" s="167">
        <f>((($L33 * $G33 * $H33) * 10 ^ -3))</f>
        <v>26.981400000000001</v>
      </c>
      <c r="O33" s="167">
        <f>((($L33 * $G33 * $I33) * 10 ^ -3))</f>
        <v>0.1158</v>
      </c>
      <c r="P33" s="167">
        <f>((($L33 * $G33 * $J33) * 10 ^ -3))</f>
        <v>0.193</v>
      </c>
      <c r="Q33" s="168">
        <f>((L33 * G33 * K33) * 10 ^ -3)</f>
        <v>6.6778000000000004</v>
      </c>
    </row>
    <row r="34" spans="1:17" ht="20.100000000000001" customHeight="1" x14ac:dyDescent="0.2">
      <c r="A34" s="5" t="str">
        <f>HYPERLINK("#'4.6.1.14-15 Soil leach runoff'!A1", "4.6.1.14-15 Soil leach runoff")</f>
        <v>4.6.1.14-15 Soil leach runoff</v>
      </c>
      <c r="D34" s="161" t="str">
        <f>Table_FuelTypesPerUse[[#Headers],[Aviation]]</f>
        <v>Aviation</v>
      </c>
      <c r="E34" s="162" t="str">
        <f>'Constants - Fuel'!$E$28</f>
        <v>Gasoline for use as fuel in an aircraft</v>
      </c>
      <c r="F34" s="162" t="str">
        <f>'Constants - Fuel'!$F$131</f>
        <v>Avgas</v>
      </c>
      <c r="G34" s="169" cm="1">
        <f t="array" ref="G34">IFERROR(_xlfn.XLOOKUP(1, (Table_Fuel_EFs_Transport[Fuel combusted]=$E34)*(Table_Fuel_EFs_Transport[Transport type]=$D$34), Table_Fuel_EFs_Transport[Energy Content Factor (GJ per unit of fuel)]), 0)</f>
        <v>33.1</v>
      </c>
      <c r="H34" s="169" cm="1">
        <f t="array" ref="H34">IFERROR(_xlfn.XLOOKUP(1, (Table_Fuel_EFs_Transport[Fuel combusted]=$E34)*(Table_Fuel_EFs_Transport[Transport type]=$D$34), Table_Fuel_EFs_Transport[Scope 1 Emission Factor (kg CO2 - e / GJ) CO2]), 0)</f>
        <v>67</v>
      </c>
      <c r="I34" s="169" cm="1">
        <f t="array" ref="I34">IFERROR(_xlfn.XLOOKUP(1, (Table_Fuel_EFs_Transport[Fuel combusted]=$E34)*(Table_Fuel_EFs_Transport[Transport type]=$D$34), Table_Fuel_EFs_Transport[Scope 1 Emission Factor (kg CO2 - e / GJ) CH4]), 0)</f>
        <v>0.06</v>
      </c>
      <c r="J34" s="169" cm="1">
        <f t="array" ref="J34">IFERROR(_xlfn.XLOOKUP(1, (Table_Fuel_EFs_Transport[Fuel combusted]=$E34)*(Table_Fuel_EFs_Transport[Transport type]=$D$34), Table_Fuel_EFs_Transport[Scope 1 Emission Factor (kg CO2 - e / GJ) N2O]), 0)</f>
        <v>0.6</v>
      </c>
      <c r="K34" s="169" cm="1">
        <f t="array" ref="K34">IFERROR(_xlfn.XLOOKUP(1, (Table_Fuel_EFs_Transport[Fuel combusted]=$E34)*(Table_Fuel_EFs_Transport[Transport type]=$D$25), Table_Fuel_EFs_Transport[Scope 3 Emission Factor (kg CO2 - e / GJ)]), 0)</f>
        <v>0</v>
      </c>
      <c r="L34" s="166" cm="1">
        <f t="array" ref="L34">Fuel_InputFunctions.Fuel_TotalConsumption(Table_Input_Fuel[Amount consumed], Table_Input_Fuel[Fuel use (select)], D34, Table_Input_Fuel[Fuel type (select)],F34)</f>
        <v>0</v>
      </c>
      <c r="M34" s="166" t="str" cm="1">
        <f t="array" ref="M34">Common_InputFunctions.Utility_LookupValueInTable(F34,Table_FuelTypes_Units[Fuel type],Table_FuelTypes_Units[Unit])</f>
        <v>kL</v>
      </c>
      <c r="N34" s="167">
        <f>((($L34 * $G34 * $H34) * 10 ^ -3))</f>
        <v>0</v>
      </c>
      <c r="O34" s="167">
        <f>((($L34 * $G34 * $I34) * 10 ^ -3))</f>
        <v>0</v>
      </c>
      <c r="P34" s="167">
        <f>((($L34 * $G34 * $J34) * 10 ^ -3))</f>
        <v>0</v>
      </c>
      <c r="Q34" s="167">
        <f>((L34 * G34 * K34) * 10 ^ -3)</f>
        <v>0</v>
      </c>
    </row>
    <row r="35" spans="1:17" ht="20.100000000000001" customHeight="1" x14ac:dyDescent="0.2">
      <c r="A35" s="117" t="str">
        <f>HYPERLINK("#'8.1.1.1-2 Transport fuel'!A1", "8.1.1.1-2 Transport fuel")</f>
        <v>8.1.1.1-2 Transport fuel</v>
      </c>
      <c r="D35" s="158" t="str">
        <f>$D$34</f>
        <v>Aviation</v>
      </c>
      <c r="E35" s="155" t="str">
        <f>'Constants - Fuel'!$E$29</f>
        <v>Kerosene for use as fuel in an aircraft</v>
      </c>
      <c r="F35" s="155" t="str">
        <f>'Constants - Fuel'!$F$132</f>
        <v>Jet A1, Jet B</v>
      </c>
      <c r="G35" s="15" cm="1">
        <f t="array" ref="G35">IFERROR(_xlfn.XLOOKUP(1, (Table_Fuel_EFs_Transport[Fuel combusted]=$E35)*(Table_Fuel_EFs_Transport[Transport type]=$D$34), Table_Fuel_EFs_Transport[Energy Content Factor (GJ per unit of fuel)]), 0)</f>
        <v>36.799999999999997</v>
      </c>
      <c r="H35" s="15" cm="1">
        <f t="array" ref="H35">IFERROR(_xlfn.XLOOKUP(1, (Table_Fuel_EFs_Transport[Fuel combusted]=$E35)*(Table_Fuel_EFs_Transport[Transport type]=$D$34), Table_Fuel_EFs_Transport[Scope 1 Emission Factor (kg CO2 - e / GJ) CO2]), 0)</f>
        <v>69.599999999999994</v>
      </c>
      <c r="I35" s="15" cm="1">
        <f t="array" ref="I35">IFERROR(_xlfn.XLOOKUP(1, (Table_Fuel_EFs_Transport[Fuel combusted]=$E35)*(Table_Fuel_EFs_Transport[Transport type]=$D$34), Table_Fuel_EFs_Transport[Scope 1 Emission Factor (kg CO2 - e / GJ) CH4]), 0)</f>
        <v>0.01</v>
      </c>
      <c r="J35" s="15" cm="1">
        <f t="array" ref="J35">IFERROR(_xlfn.XLOOKUP(1, (Table_Fuel_EFs_Transport[Fuel combusted]=$E35)*(Table_Fuel_EFs_Transport[Transport type]=$D$34), Table_Fuel_EFs_Transport[Scope 1 Emission Factor (kg CO2 - e / GJ) N2O]), 0)</f>
        <v>0.6</v>
      </c>
      <c r="K35" s="15" cm="1">
        <f t="array" ref="K35">IFERROR(_xlfn.XLOOKUP(1, (Table_Fuel_EFs_Transport[Fuel combusted]=$E35)*(Table_Fuel_EFs_Transport[Transport type]=$D$25), Table_Fuel_EFs_Transport[Scope 3 Emission Factor (kg CO2 - e / GJ)]), 0)</f>
        <v>0</v>
      </c>
      <c r="L35" s="156" cm="1">
        <f t="array" ref="L35">Fuel_InputFunctions.Fuel_TotalConsumption(Table_Input_Fuel[Amount consumed], Table_Input_Fuel[Fuel use (select)], D35, Table_Input_Fuel[Fuel type (select)],F35)</f>
        <v>0</v>
      </c>
      <c r="M35" s="156" t="str" cm="1">
        <f t="array" ref="M35">Common_InputFunctions.Utility_LookupValueInTable(F35,Table_FuelTypes_Units[Fuel type],Table_FuelTypes_Units[Unit])</f>
        <v>kL</v>
      </c>
      <c r="N35" s="157">
        <f>((($L35 * $G35 * $H35) * 10 ^ -3))</f>
        <v>0</v>
      </c>
      <c r="O35" s="157">
        <f>((($L35 * $G35 * $I35) * 10 ^ -3))</f>
        <v>0</v>
      </c>
      <c r="P35" s="157">
        <f>((($L35 * $G35 * $J35) * 10 ^ -3))</f>
        <v>0</v>
      </c>
      <c r="Q35" s="157">
        <f>((L35 * G35 * K35) * 10 ^ -3)</f>
        <v>0</v>
      </c>
    </row>
    <row r="36" spans="1:17" ht="20.100000000000001" customHeight="1" x14ac:dyDescent="0.2">
      <c r="A36" s="5" t="str">
        <f>HYPERLINK("#'8.2.1.1-2 Stationary fuel'!A1", "8.2.1.1-2 Stationary fuel")</f>
        <v>8.2.1.1-2 Stationary fuel</v>
      </c>
      <c r="D36" s="158" t="str">
        <f>$D$34</f>
        <v>Aviation</v>
      </c>
      <c r="E36" s="155" t="str">
        <f>'Constants - Fuel'!$E$30</f>
        <v>Renewable aviation kerosene</v>
      </c>
      <c r="F36" s="155" t="str">
        <f>'Constants - Fuel'!$F$133</f>
        <v>Renewable aviation kerosene</v>
      </c>
      <c r="G36" s="152" cm="1">
        <f t="array" ref="G36">IFERROR(_xlfn.XLOOKUP(1, (Table_Fuel_EFs_Transport[Fuel combusted]=$E36)*(Table_Fuel_EFs_Transport[Transport type]=$D$34), Table_Fuel_EFs_Transport[Energy Content Factor (GJ per unit of fuel)]), 0)</f>
        <v>36.799999999999997</v>
      </c>
      <c r="H36" s="152" cm="1">
        <f t="array" ref="H36">IFERROR(_xlfn.XLOOKUP(1, (Table_Fuel_EFs_Transport[Fuel combusted]=$E36)*(Table_Fuel_EFs_Transport[Transport type]=$D$34), Table_Fuel_EFs_Transport[Scope 1 Emission Factor (kg CO2 - e / GJ) CO2]), 0)</f>
        <v>0</v>
      </c>
      <c r="I36" s="152" cm="1">
        <f t="array" ref="I36">IFERROR(_xlfn.XLOOKUP(1, (Table_Fuel_EFs_Transport[Fuel combusted]=$E36)*(Table_Fuel_EFs_Transport[Transport type]=$D$34), Table_Fuel_EFs_Transport[Scope 1 Emission Factor (kg CO2 - e / GJ) CH4]), 0)</f>
        <v>0.01</v>
      </c>
      <c r="J36" s="152" cm="1">
        <f t="array" ref="J36">IFERROR(_xlfn.XLOOKUP(1, (Table_Fuel_EFs_Transport[Fuel combusted]=$E36)*(Table_Fuel_EFs_Transport[Transport type]=$D$34), Table_Fuel_EFs_Transport[Scope 1 Emission Factor (kg CO2 - e / GJ) N2O]), 0)</f>
        <v>0.6</v>
      </c>
      <c r="K36" s="152" cm="1">
        <f t="array" ref="K36">IFERROR(_xlfn.XLOOKUP(1, (Table_Fuel_EFs_Transport[Fuel combusted]=$E36)*(Table_Fuel_EFs_Transport[Transport type]=$D$25), Table_Fuel_EFs_Transport[Scope 3 Emission Factor (kg CO2 - e / GJ)]), 0)</f>
        <v>0</v>
      </c>
      <c r="L36" s="159" cm="1">
        <f t="array" ref="L36">Fuel_InputFunctions.Fuel_TotalConsumption(Table_Input_Fuel[Amount consumed], Table_Input_Fuel[Fuel use (select)], D36, Table_Input_Fuel[Fuel type (select)],F36)</f>
        <v>0</v>
      </c>
      <c r="M36" s="156" t="str" cm="1">
        <f t="array" ref="M36">Common_InputFunctions.Utility_LookupValueInTable(F36,Table_FuelTypes_Units[Fuel type],Table_FuelTypes_Units[Unit])</f>
        <v>kL</v>
      </c>
      <c r="N36" s="157">
        <f>((($L36 * $G36 * $H36) * 10 ^ -3))</f>
        <v>0</v>
      </c>
      <c r="O36" s="157">
        <f>((($L36 * $G36 * $I36) * 10 ^ -3))</f>
        <v>0</v>
      </c>
      <c r="P36" s="157">
        <f>((($L36 * $G36 * $J36) * 10 ^ -3))</f>
        <v>0</v>
      </c>
      <c r="Q36" s="160">
        <f>((L36 * G36 * K36) * 10 ^ -3)</f>
        <v>0</v>
      </c>
    </row>
    <row r="37" spans="1:17" ht="20.100000000000001" customHeight="1" x14ac:dyDescent="0.2">
      <c r="A37" s="5" t="str">
        <f>HYPERLINK("#'10.1.1-2 Solid waste treatment'!A1", "10.1.1.1-2 Solid waste")</f>
        <v>10.1.1.1-2 Solid waste</v>
      </c>
      <c r="D37" s="161" t="str">
        <f>Table_FuelTypesPerUse[[#Headers],[Vessels]]</f>
        <v>Vessels</v>
      </c>
      <c r="E37" s="162" t="str">
        <f>'Constants - Fuel'!$E$10</f>
        <v>Gasoline</v>
      </c>
      <c r="F37" s="162" t="str">
        <f>'Constants - Fuel'!$I$131</f>
        <v>Petrol</v>
      </c>
      <c r="G37" s="169" cm="1">
        <f t="array" ref="G37">IFERROR(_xlfn.XLOOKUP(1, (Table_Fuel_EFs_Transport[Fuel combusted]=$E37)*(Table_Fuel_EFs_Transport[Transport type]=$D$37), Table_Fuel_EFs_Transport[Energy Content Factor (GJ per unit of fuel)]), 0)</f>
        <v>34.200000000000003</v>
      </c>
      <c r="H37" s="169" cm="1">
        <f t="array" ref="H37">IFERROR(_xlfn.XLOOKUP(1, (Table_Fuel_EFs_Transport[Fuel combusted]=$E37)*(Table_Fuel_EFs_Transport[Transport type]=$D$37), Table_Fuel_EFs_Transport[Scope 1 Emission Factor (kg CO2 - e / GJ) CO2]), 0)</f>
        <v>67.400000000000006</v>
      </c>
      <c r="I37" s="169" cm="1">
        <f t="array" ref="I37">IFERROR(_xlfn.XLOOKUP(1, (Table_Fuel_EFs_Transport[Fuel combusted]=$E37)*(Table_Fuel_EFs_Transport[Transport type]=$D$37), Table_Fuel_EFs_Transport[Scope 1 Emission Factor (kg CO2 - e / GJ) CH4]), 0)</f>
        <v>10.1</v>
      </c>
      <c r="J37" s="169" cm="1">
        <f t="array" ref="J37">IFERROR(_xlfn.XLOOKUP(1, (Table_Fuel_EFs_Transport[Fuel combusted]=$E37)*(Table_Fuel_EFs_Transport[Transport type]=$D$37), Table_Fuel_EFs_Transport[Scope 1 Emission Factor (kg CO2 - e / GJ) N2O]), 0)</f>
        <v>0.3</v>
      </c>
      <c r="K37" s="169" cm="1">
        <f t="array" ref="K37">IFERROR(_xlfn.XLOOKUP(1, (Table_Fuel_EFs_Transport[Fuel combusted]=$E37)*(Table_Fuel_EFs_Transport[Transport type]=$D$25), Table_Fuel_EFs_Transport[Scope 3 Emission Factor (kg CO2 - e / GJ)]), 0)</f>
        <v>17.2</v>
      </c>
      <c r="L37" s="166" cm="1">
        <f t="array" ref="L37">Fuel_InputFunctions.Fuel_TotalConsumption(Table_Input_Fuel[Amount consumed], Table_Input_Fuel[Fuel use (select)], D37, Table_Input_Fuel[Fuel type (select)],F37)</f>
        <v>0</v>
      </c>
      <c r="M37" s="170" t="str" cm="1">
        <f t="array" ref="M37">Common_InputFunctions.Utility_LookupValueInTable(F37,Table_FuelTypes_Units[Fuel type],Table_FuelTypes_Units[Unit])</f>
        <v>kL</v>
      </c>
      <c r="N37" s="167">
        <f>((($L37 * $G37 * $H37) * 10 ^ -3))</f>
        <v>0</v>
      </c>
      <c r="O37" s="167">
        <f>((($L37 * $G37 * $I37) * 10 ^ -3))</f>
        <v>0</v>
      </c>
      <c r="P37" s="167">
        <f>((($L37 * $G37 * $J37) * 10 ^ -3))</f>
        <v>0</v>
      </c>
      <c r="Q37" s="167">
        <f>((L37 * G37 * K37) * 10 ^ -3)</f>
        <v>0</v>
      </c>
    </row>
    <row r="38" spans="1:17" ht="20.100000000000001" customHeight="1" x14ac:dyDescent="0.2">
      <c r="A38" s="5" t="str">
        <f>HYPERLINK("#'14.1.1-2 Purchased electricity'!A1", "14.1.1-2 Purchased electricity")</f>
        <v>14.1.1-2 Purchased electricity</v>
      </c>
      <c r="D38" s="158" t="str">
        <f>$D$37</f>
        <v>Vessels</v>
      </c>
      <c r="E38" s="155" t="str">
        <f>'Constants - Fuel'!$E$11</f>
        <v>Diesel oil</v>
      </c>
      <c r="F38" s="155" t="str">
        <f>'Constants - Fuel'!$I$132</f>
        <v>Diesel</v>
      </c>
      <c r="G38" s="15" cm="1">
        <f t="array" ref="G38">IFERROR(_xlfn.XLOOKUP(1, (Table_Fuel_EFs_Transport[Fuel combusted]=$E38)*(Table_Fuel_EFs_Transport[Transport type]=$D$37), Table_Fuel_EFs_Transport[Energy Content Factor (GJ per unit of fuel)]), 0)</f>
        <v>38.6</v>
      </c>
      <c r="H38" s="15" cm="1">
        <f t="array" ref="H38">IFERROR(_xlfn.XLOOKUP(1, (Table_Fuel_EFs_Transport[Fuel combusted]=$E38)*(Table_Fuel_EFs_Transport[Transport type]=$D$37), Table_Fuel_EFs_Transport[Scope 1 Emission Factor (kg CO2 - e / GJ) CO2]), 0)</f>
        <v>69.900000000000006</v>
      </c>
      <c r="I38" s="15" cm="1">
        <f t="array" ref="I38">IFERROR(_xlfn.XLOOKUP(1, (Table_Fuel_EFs_Transport[Fuel combusted]=$E38)*(Table_Fuel_EFs_Transport[Transport type]=$D$37), Table_Fuel_EFs_Transport[Scope 1 Emission Factor (kg CO2 - e / GJ) CH4]), 0)</f>
        <v>0.2</v>
      </c>
      <c r="J38" s="15" cm="1">
        <f t="array" ref="J38">IFERROR(_xlfn.XLOOKUP(1, (Table_Fuel_EFs_Transport[Fuel combusted]=$E38)*(Table_Fuel_EFs_Transport[Transport type]=$D$37), Table_Fuel_EFs_Transport[Scope 1 Emission Factor (kg CO2 - e / GJ) N2O]), 0)</f>
        <v>0.5</v>
      </c>
      <c r="K38" s="15" cm="1">
        <f t="array" ref="K38">IFERROR(_xlfn.XLOOKUP(1, (Table_Fuel_EFs_Transport[Fuel combusted]=$E38)*(Table_Fuel_EFs_Transport[Transport type]=$D$25), Table_Fuel_EFs_Transport[Scope 3 Emission Factor (kg CO2 - e / GJ)]), 0)</f>
        <v>17.3</v>
      </c>
      <c r="L38" s="156" cm="1">
        <f t="array" ref="L38">Fuel_InputFunctions.Fuel_TotalConsumption(Table_Input_Fuel[Amount consumed], Table_Input_Fuel[Fuel use (select)], D38, Table_Input_Fuel[Fuel type (select)],F38)</f>
        <v>0</v>
      </c>
      <c r="M38" s="156" t="str" cm="1">
        <f t="array" ref="M38">Common_InputFunctions.Utility_LookupValueInTable(F38,Table_FuelTypes_Units[Fuel type],Table_FuelTypes_Units[Unit])</f>
        <v>kL</v>
      </c>
      <c r="N38" s="157">
        <f>((($L38 * $G38 * $H38) * 10 ^ -3))</f>
        <v>0</v>
      </c>
      <c r="O38" s="157">
        <f>((($L38 * $G38 * $I38) * 10 ^ -3))</f>
        <v>0</v>
      </c>
      <c r="P38" s="157">
        <f>((($L38 * $G38 * $J38) * 10 ^ -3))</f>
        <v>0</v>
      </c>
      <c r="Q38" s="157">
        <f>((L38 * G38 * K38) * 10 ^ -3)</f>
        <v>0</v>
      </c>
    </row>
    <row r="39" spans="1:17" ht="20.100000000000001" customHeight="1" x14ac:dyDescent="0.2">
      <c r="A39" s="5" t="str">
        <f>HYPERLINK("#'15 Scope 3'!A1", "15 Scope 3")</f>
        <v>15 Scope 3</v>
      </c>
      <c r="D39" s="158" t="str">
        <f>$D$37</f>
        <v>Vessels</v>
      </c>
      <c r="E39" s="155" t="str">
        <f>'Constants - Fuel'!E33</f>
        <v>Fuel Oil</v>
      </c>
      <c r="F39" s="155" t="str">
        <f>'Constants - Fuel'!$I$133</f>
        <v>Fuel oil</v>
      </c>
      <c r="G39" s="15" cm="1">
        <f t="array" ref="G39">IFERROR(_xlfn.XLOOKUP(1, (Table_Fuel_EFs_Transport[Fuel combusted]=$E39)*(Table_Fuel_EFs_Transport[Transport type]=$D$37), Table_Fuel_EFs_Transport[Energy Content Factor (GJ per unit of fuel)]), 0)</f>
        <v>39.700000000000003</v>
      </c>
      <c r="H39" s="15" cm="1">
        <f t="array" ref="H39">IFERROR(_xlfn.XLOOKUP(1, (Table_Fuel_EFs_Transport[Fuel combusted]=$E39)*(Table_Fuel_EFs_Transport[Transport type]=$D$37), Table_Fuel_EFs_Transport[Scope 1 Emission Factor (kg CO2 - e / GJ) CO2]), 0)</f>
        <v>73.599999999999994</v>
      </c>
      <c r="I39" s="15" cm="1">
        <f t="array" ref="I39">IFERROR(_xlfn.XLOOKUP(1, (Table_Fuel_EFs_Transport[Fuel combusted]=$E39)*(Table_Fuel_EFs_Transport[Transport type]=$D$37), Table_Fuel_EFs_Transport[Scope 1 Emission Factor (kg CO2 - e / GJ) CH4]), 0)</f>
        <v>0.2</v>
      </c>
      <c r="J39" s="15" cm="1">
        <f t="array" ref="J39">IFERROR(_xlfn.XLOOKUP(1, (Table_Fuel_EFs_Transport[Fuel combusted]=$E39)*(Table_Fuel_EFs_Transport[Transport type]=$D$37), Table_Fuel_EFs_Transport[Scope 1 Emission Factor (kg CO2 - e / GJ) N2O]), 0)</f>
        <v>0.5</v>
      </c>
      <c r="K39" s="15" cm="1">
        <f t="array" ref="K39">IFERROR(_xlfn.XLOOKUP(1, (Table_Fuel_EFs_Transport[Fuel combusted]=$E39)*(Table_Fuel_EFs_Transport[Transport type]=$D$25), Table_Fuel_EFs_Transport[Scope 3 Emission Factor (kg CO2 - e / GJ)]), 0)</f>
        <v>18</v>
      </c>
      <c r="L39" s="156" cm="1">
        <f t="array" ref="L39">Fuel_InputFunctions.Fuel_TotalConsumption(Table_Input_Fuel[Amount consumed], Table_Input_Fuel[Fuel use (select)], D39, Table_Input_Fuel[Fuel type (select)],F39)</f>
        <v>10</v>
      </c>
      <c r="M39" s="156" t="str" cm="1">
        <f t="array" ref="M39">Common_InputFunctions.Utility_LookupValueInTable(F39,Table_FuelTypes_Units[Fuel type],Table_FuelTypes_Units[Unit])</f>
        <v>kL</v>
      </c>
      <c r="N39" s="157">
        <f>((($L39 * $G39 * $H39) * 10 ^ -3))</f>
        <v>29.219199999999997</v>
      </c>
      <c r="O39" s="157">
        <f>((($L39 * $G39 * $I39) * 10 ^ -3))</f>
        <v>7.9400000000000012E-2</v>
      </c>
      <c r="P39" s="157">
        <f>((($L39 * $G39 * $J39) * 10 ^ -3))</f>
        <v>0.19850000000000001</v>
      </c>
      <c r="Q39" s="157">
        <f>((L39 * G39 * K39) * 10 ^ -3)</f>
        <v>7.1459999999999999</v>
      </c>
    </row>
    <row r="40" spans="1:17" ht="20.100000000000001" customHeight="1" x14ac:dyDescent="0.2">
      <c r="A40" s="5" t="str">
        <f>HYPERLINK("#'Calcs - Manure sent off-site'!A1", "Calcs - Manure sent off-site")</f>
        <v>Calcs - Manure sent off-site</v>
      </c>
      <c r="H40" s="154"/>
      <c r="I40" s="154"/>
      <c r="J40" s="154"/>
      <c r="L40" s="154"/>
      <c r="M40" s="154"/>
      <c r="N40" s="154"/>
      <c r="O40" s="154"/>
      <c r="P40" s="154"/>
      <c r="Q40" s="154"/>
    </row>
    <row r="41" spans="1:17" ht="20.100000000000001" customHeight="1" x14ac:dyDescent="0.2">
      <c r="A41" s="5" t="str">
        <f>HYPERLINK("#'5.1.1.1-2 Inorganic fert N2O'!A1", "5.1.1.1-2 Inorganic fert N2O")</f>
        <v>5.1.1.1-2 Inorganic fert N2O</v>
      </c>
      <c r="H41" s="154"/>
      <c r="I41" s="154"/>
      <c r="J41" s="154"/>
      <c r="L41" s="154"/>
      <c r="M41" s="154"/>
      <c r="N41" s="154"/>
      <c r="O41" s="154"/>
      <c r="P41" s="154"/>
      <c r="Q41" s="154"/>
    </row>
    <row r="42" spans="1:17" ht="20.100000000000001" customHeight="1" x14ac:dyDescent="0.2">
      <c r="A42" s="5" t="str">
        <f>HYPERLINK("#'5.1.1.3-4 Inorganic fert CO2'!A1", "5.1.1.3-4 Inorganic fert CO2")</f>
        <v>5.1.1.3-4 Inorganic fert CO2</v>
      </c>
      <c r="D42" s="171" t="str">
        <f>"Total scope 1 - " &amp; D25</f>
        <v>Total scope 1 - Cars and light commercial vehicles</v>
      </c>
      <c r="E42" s="172"/>
      <c r="F42" s="173"/>
    </row>
    <row r="43" spans="1:17" ht="20.100000000000001" customHeight="1" x14ac:dyDescent="0.2">
      <c r="A43" s="5" t="str">
        <f>HYPERLINK("#'5.2.1.1-2 Organic Fert N2O'!A1", "5.2.1.1-2 Organic Fert N2O")</f>
        <v>5.2.1.1-2 Organic Fert N2O</v>
      </c>
      <c r="D43" s="24" t="s">
        <v>623</v>
      </c>
      <c r="E43" s="174">
        <f>SUM(N25:N32)+N("Partial sum")</f>
        <v>26.981400000000001</v>
      </c>
      <c r="F43" s="16" t="str">
        <f>$E$12</f>
        <v>t CO2-e</v>
      </c>
    </row>
    <row r="44" spans="1:17" ht="20.100000000000001" customHeight="1" x14ac:dyDescent="0.2">
      <c r="A44" s="5" t="str">
        <f>HYPERLINK("#'5.3.1.1-2 Lime CO2'!A1", "5.3.1.1-2 Lime CO2")</f>
        <v>5.3.1.1-2 Lime CO2</v>
      </c>
      <c r="D44" s="24" t="s">
        <v>624</v>
      </c>
      <c r="E44" s="174">
        <f>SUM(O25:O32)+N("Partial sum")</f>
        <v>3.8600000000000001E-3</v>
      </c>
      <c r="F44" s="16" t="str">
        <f t="shared" ref="F44:F46" si="1">$E$12</f>
        <v>t CO2-e</v>
      </c>
    </row>
    <row r="45" spans="1:17" ht="20.100000000000001" customHeight="1" x14ac:dyDescent="0.2">
      <c r="A45" s="5" t="str">
        <f>HYPERLINK("#'5.4.1.1-4 Atmos deposition'!A1", "5.4.1.1-4 Atmos deposition")</f>
        <v>5.4.1.1-4 Atmos deposition</v>
      </c>
      <c r="D45" s="24" t="s">
        <v>625</v>
      </c>
      <c r="E45" s="174">
        <f>SUM(P25:P32)+N("Partial sum")</f>
        <v>0.193</v>
      </c>
      <c r="F45" s="16" t="str">
        <f t="shared" si="1"/>
        <v>t CO2-e</v>
      </c>
    </row>
    <row r="46" spans="1:17" ht="20.100000000000001" customHeight="1" x14ac:dyDescent="0.2">
      <c r="A46" s="5" t="str">
        <f>HYPERLINK("#'5.5.1.1-2 Leaching and runoff'!A1", "5.5.1.1-2 Leaching and runoff")</f>
        <v>5.5.1.1-2 Leaching and runoff</v>
      </c>
      <c r="D46" s="24" t="s">
        <v>239</v>
      </c>
      <c r="E46" s="174">
        <f>SUM(Q25:Q32)+N("Partial sum")</f>
        <v>6.6778000000000004</v>
      </c>
      <c r="F46" s="16" t="str">
        <f t="shared" si="1"/>
        <v>t CO2-e</v>
      </c>
    </row>
    <row r="47" spans="1:17" ht="20.100000000000001" customHeight="1" x14ac:dyDescent="0.2">
      <c r="D47" s="154"/>
      <c r="E47" s="154"/>
      <c r="F47" s="154"/>
    </row>
    <row r="48" spans="1:17" ht="20.100000000000001" customHeight="1" x14ac:dyDescent="0.2">
      <c r="D48" s="171" t="str">
        <f>"Total scope 1 - " &amp; D33</f>
        <v>Total scope 1 - Off-road Agriculture and forestry equipment</v>
      </c>
      <c r="E48" s="175"/>
      <c r="F48" s="173"/>
      <c r="H48" s="154"/>
      <c r="I48" s="154"/>
      <c r="J48" s="154"/>
      <c r="L48" s="154"/>
      <c r="M48" s="154"/>
      <c r="N48" s="154"/>
      <c r="O48" s="154"/>
      <c r="P48" s="154"/>
      <c r="Q48" s="154"/>
    </row>
    <row r="49" spans="1:17" ht="20.100000000000001" customHeight="1" x14ac:dyDescent="0.2">
      <c r="A49" s="80" t="s">
        <v>1</v>
      </c>
      <c r="D49" s="24" t="s">
        <v>623</v>
      </c>
      <c r="E49" s="174">
        <f>SUM(N33:N33)+N("Partial sum")</f>
        <v>26.981400000000001</v>
      </c>
      <c r="F49" s="16" t="str">
        <f t="shared" ref="F49:F52" si="2">$E$12</f>
        <v>t CO2-e</v>
      </c>
      <c r="H49" s="154"/>
      <c r="I49" s="154"/>
      <c r="J49" s="154"/>
      <c r="L49" s="154"/>
      <c r="M49" s="154"/>
      <c r="N49" s="154"/>
      <c r="O49" s="154"/>
      <c r="P49" s="154"/>
      <c r="Q49" s="154"/>
    </row>
    <row r="50" spans="1:17" ht="20.100000000000001" customHeight="1" x14ac:dyDescent="0.2">
      <c r="A50" s="5" t="str">
        <f>HYPERLINK("#'Constants - Poultry'!A1", "Constants - Poultry")</f>
        <v>Constants - Poultry</v>
      </c>
      <c r="D50" s="24" t="s">
        <v>624</v>
      </c>
      <c r="E50" s="174">
        <f>SUM(O33:O33)+N("Partial sum")</f>
        <v>0.1158</v>
      </c>
      <c r="F50" s="16" t="str">
        <f t="shared" si="2"/>
        <v>t CO2-e</v>
      </c>
      <c r="H50" s="154"/>
      <c r="I50" s="154"/>
      <c r="J50" s="154"/>
      <c r="L50" s="154"/>
      <c r="M50" s="154"/>
      <c r="N50" s="154"/>
      <c r="O50" s="154"/>
      <c r="P50" s="154"/>
      <c r="Q50" s="154"/>
    </row>
    <row r="51" spans="1:17" ht="20.100000000000001" customHeight="1" x14ac:dyDescent="0.2">
      <c r="A51" s="5" t="str">
        <f>HYPERLINK("#'Constants - Common livestock'!A1", "Constants - Common Livestock")</f>
        <v>Constants - Common Livestock</v>
      </c>
      <c r="D51" s="24" t="s">
        <v>625</v>
      </c>
      <c r="E51" s="174">
        <f>SUM(P33:P33)+N("Partial sum")</f>
        <v>0.193</v>
      </c>
      <c r="F51" s="16" t="str">
        <f t="shared" si="2"/>
        <v>t CO2-e</v>
      </c>
      <c r="H51" s="154"/>
      <c r="I51" s="154"/>
      <c r="J51" s="154"/>
      <c r="L51" s="154"/>
      <c r="M51" s="154"/>
      <c r="N51" s="154"/>
      <c r="O51" s="154"/>
      <c r="P51" s="154"/>
      <c r="Q51" s="154"/>
    </row>
    <row r="52" spans="1:17" ht="20.100000000000001" customHeight="1" x14ac:dyDescent="0.2">
      <c r="A52" s="5" t="str">
        <f>HYPERLINK("#'Constants - Electricity'!A1", "Constants - Electricity")</f>
        <v>Constants - Electricity</v>
      </c>
      <c r="D52" s="24" t="s">
        <v>239</v>
      </c>
      <c r="E52" s="174">
        <f>SUM(Q33)+N("Partial sum")</f>
        <v>6.6778000000000004</v>
      </c>
      <c r="F52" s="16" t="str">
        <f t="shared" si="2"/>
        <v>t CO2-e</v>
      </c>
      <c r="H52" s="154"/>
      <c r="I52" s="154"/>
      <c r="J52" s="154"/>
      <c r="L52" s="154"/>
      <c r="M52" s="154"/>
      <c r="N52" s="154"/>
      <c r="O52" s="154"/>
      <c r="P52" s="154"/>
      <c r="Q52" s="154"/>
    </row>
    <row r="53" spans="1:17" ht="20.100000000000001" customHeight="1" x14ac:dyDescent="0.2">
      <c r="A53" s="5" t="str">
        <f>HYPERLINK("#'Constants - Fertiliser'!A1", "Constants - Fertiliser")</f>
        <v>Constants - Fertiliser</v>
      </c>
      <c r="D53" s="154"/>
      <c r="E53" s="176"/>
      <c r="F53" s="154"/>
      <c r="G53" s="154"/>
      <c r="H53" s="154"/>
      <c r="I53" s="154"/>
      <c r="J53" s="154"/>
      <c r="L53" s="154"/>
      <c r="M53" s="154"/>
      <c r="N53" s="154"/>
      <c r="O53" s="154"/>
      <c r="P53" s="154"/>
      <c r="Q53" s="154"/>
    </row>
    <row r="54" spans="1:17" ht="20.100000000000001" customHeight="1" x14ac:dyDescent="0.2">
      <c r="A54" s="5" t="str">
        <f>HYPERLINK("#'Constants - Fuel'!A1", "Constants - Fuel")</f>
        <v>Constants - Fuel</v>
      </c>
      <c r="D54" s="171" t="str">
        <f>"Total scope 1 - " &amp; D34</f>
        <v>Total scope 1 - Aviation</v>
      </c>
      <c r="E54" s="175"/>
      <c r="F54" s="173"/>
      <c r="G54" s="154"/>
      <c r="H54" s="154"/>
      <c r="I54" s="154"/>
      <c r="J54" s="154"/>
      <c r="L54" s="154"/>
      <c r="M54" s="154"/>
      <c r="N54" s="154"/>
      <c r="O54" s="154"/>
      <c r="P54" s="154"/>
      <c r="Q54" s="154"/>
    </row>
    <row r="55" spans="1:17" ht="20.100000000000001" customHeight="1" x14ac:dyDescent="0.2">
      <c r="A55" s="5" t="str">
        <f>HYPERLINK("#'Constants - Scope 3'!A1", "Constants - Scope 3")</f>
        <v>Constants - Scope 3</v>
      </c>
      <c r="D55" s="24" t="s">
        <v>623</v>
      </c>
      <c r="E55" s="174">
        <f>SUM(N34:N36)+N("Partial sum")</f>
        <v>0</v>
      </c>
      <c r="F55" s="16" t="str">
        <f t="shared" ref="F55:F58" si="3">$E$12</f>
        <v>t CO2-e</v>
      </c>
      <c r="G55" s="154"/>
      <c r="H55" s="154"/>
      <c r="I55" s="154"/>
      <c r="J55" s="154"/>
      <c r="L55" s="154"/>
      <c r="M55" s="154"/>
      <c r="N55" s="154"/>
      <c r="O55" s="154"/>
      <c r="P55" s="154"/>
      <c r="Q55" s="154"/>
    </row>
    <row r="56" spans="1:17" ht="20.100000000000001" customHeight="1" x14ac:dyDescent="0.2">
      <c r="A56" s="5" t="str">
        <f>HYPERLINK("#'Constants - Solid Waste'!A1", "Constants - Solid Waste")</f>
        <v>Constants - Solid Waste</v>
      </c>
      <c r="D56" s="24" t="s">
        <v>624</v>
      </c>
      <c r="E56" s="174">
        <f>SUM(O34:O36)+N("Partial sum")</f>
        <v>0</v>
      </c>
      <c r="F56" s="16" t="str">
        <f t="shared" si="3"/>
        <v>t CO2-e</v>
      </c>
      <c r="G56" s="154"/>
      <c r="H56" s="154"/>
      <c r="I56" s="154"/>
      <c r="J56" s="154"/>
      <c r="L56" s="154"/>
      <c r="M56" s="154"/>
      <c r="N56" s="154"/>
      <c r="O56" s="154"/>
      <c r="P56" s="154"/>
      <c r="Q56" s="154"/>
    </row>
    <row r="57" spans="1:17" ht="20.100000000000001" customHeight="1" x14ac:dyDescent="0.2">
      <c r="A57" s="5" t="str">
        <f>HYPERLINK("#'Constants - Common'!A1", "Constants - Common")</f>
        <v>Constants - Common</v>
      </c>
      <c r="D57" s="24" t="s">
        <v>625</v>
      </c>
      <c r="E57" s="174">
        <f>SUM(P34:P36)+N("Partial sum")</f>
        <v>0</v>
      </c>
      <c r="F57" s="16" t="str">
        <f t="shared" si="3"/>
        <v>t CO2-e</v>
      </c>
      <c r="G57" s="154"/>
      <c r="H57" s="154"/>
      <c r="I57" s="154"/>
      <c r="J57" s="154"/>
      <c r="L57" s="154"/>
      <c r="M57" s="154"/>
      <c r="N57" s="154"/>
      <c r="O57" s="154"/>
      <c r="P57" s="154"/>
      <c r="Q57" s="154"/>
    </row>
    <row r="58" spans="1:17" ht="20.100000000000001" customHeight="1" x14ac:dyDescent="0.2">
      <c r="D58" s="24" t="s">
        <v>239</v>
      </c>
      <c r="E58" s="174">
        <f>SUM(Q34:Q36)+N("Partial sum")</f>
        <v>0</v>
      </c>
      <c r="F58" s="16" t="str">
        <f t="shared" si="3"/>
        <v>t CO2-e</v>
      </c>
      <c r="G58" s="154"/>
      <c r="H58" s="154"/>
      <c r="I58" s="154"/>
      <c r="J58" s="154"/>
      <c r="L58" s="154"/>
      <c r="M58" s="154"/>
      <c r="N58" s="154"/>
      <c r="O58" s="154"/>
      <c r="P58" s="154"/>
      <c r="Q58" s="154"/>
    </row>
    <row r="59" spans="1:17" ht="20.100000000000001" customHeight="1" x14ac:dyDescent="0.2">
      <c r="D59" s="154"/>
      <c r="E59" s="176"/>
      <c r="F59" s="154"/>
      <c r="G59" s="154"/>
      <c r="H59" s="154"/>
      <c r="I59" s="154"/>
      <c r="J59" s="154"/>
      <c r="L59" s="154"/>
      <c r="M59" s="154"/>
      <c r="N59" s="154"/>
      <c r="O59" s="154"/>
      <c r="P59" s="154"/>
      <c r="Q59" s="154"/>
    </row>
    <row r="60" spans="1:17" ht="20.100000000000001" customHeight="1" x14ac:dyDescent="0.2">
      <c r="D60" s="171" t="str">
        <f>"Total scope 1 - " &amp; D37</f>
        <v>Total scope 1 - Vessels</v>
      </c>
      <c r="E60" s="175"/>
      <c r="F60" s="173"/>
      <c r="G60" s="154"/>
      <c r="H60" s="154"/>
      <c r="I60" s="154"/>
      <c r="J60" s="154"/>
      <c r="L60" s="154"/>
      <c r="M60" s="154"/>
      <c r="N60" s="154"/>
      <c r="O60" s="154"/>
      <c r="P60" s="154"/>
      <c r="Q60" s="154"/>
    </row>
    <row r="61" spans="1:17" ht="20.100000000000001" customHeight="1" x14ac:dyDescent="0.2">
      <c r="D61" s="24" t="s">
        <v>623</v>
      </c>
      <c r="E61" s="174">
        <f>SUM(N37:N39)+N("Partial sum")</f>
        <v>29.219199999999997</v>
      </c>
      <c r="F61" s="16" t="str">
        <f t="shared" ref="F61:F64" si="4">$E$12</f>
        <v>t CO2-e</v>
      </c>
      <c r="G61" s="154"/>
      <c r="H61" s="154"/>
      <c r="I61" s="154"/>
      <c r="J61" s="154"/>
      <c r="L61" s="154"/>
      <c r="M61" s="154"/>
      <c r="N61" s="154"/>
      <c r="O61" s="154"/>
      <c r="P61" s="154"/>
      <c r="Q61" s="154"/>
    </row>
    <row r="62" spans="1:17" ht="20.100000000000001" customHeight="1" x14ac:dyDescent="0.2">
      <c r="D62" s="24" t="s">
        <v>624</v>
      </c>
      <c r="E62" s="174">
        <f>SUM(O37:O39)+N("Partial sum")</f>
        <v>7.9400000000000012E-2</v>
      </c>
      <c r="F62" s="16" t="str">
        <f t="shared" si="4"/>
        <v>t CO2-e</v>
      </c>
      <c r="G62" s="154"/>
      <c r="H62" s="154"/>
      <c r="I62" s="154"/>
      <c r="J62" s="154"/>
      <c r="L62" s="154"/>
      <c r="M62" s="154"/>
      <c r="N62" s="154"/>
      <c r="O62" s="154"/>
      <c r="P62" s="154"/>
      <c r="Q62" s="154"/>
    </row>
    <row r="63" spans="1:17" ht="20.100000000000001" customHeight="1" x14ac:dyDescent="0.2">
      <c r="D63" s="24" t="s">
        <v>625</v>
      </c>
      <c r="E63" s="174">
        <f>SUM(P37:P39)+N("Partial sum")</f>
        <v>0.19850000000000001</v>
      </c>
      <c r="F63" s="16" t="str">
        <f t="shared" si="4"/>
        <v>t CO2-e</v>
      </c>
      <c r="G63" s="154"/>
      <c r="H63" s="154"/>
      <c r="I63" s="154"/>
      <c r="J63" s="154"/>
      <c r="L63" s="154"/>
      <c r="M63" s="154"/>
      <c r="N63" s="154"/>
      <c r="O63" s="154"/>
      <c r="P63" s="154"/>
      <c r="Q63" s="154"/>
    </row>
    <row r="64" spans="1:17" ht="20.100000000000001" customHeight="1" x14ac:dyDescent="0.2">
      <c r="D64" s="24" t="s">
        <v>239</v>
      </c>
      <c r="E64" s="174">
        <f>SUM(Q37:Q39)+N("Partial sum")</f>
        <v>7.1459999999999999</v>
      </c>
      <c r="F64" s="16" t="str">
        <f t="shared" si="4"/>
        <v>t CO2-e</v>
      </c>
      <c r="G64" s="154"/>
      <c r="H64" s="154"/>
      <c r="I64" s="154"/>
      <c r="J64" s="154"/>
      <c r="L64" s="154"/>
      <c r="M64" s="154"/>
      <c r="N64" s="154"/>
      <c r="O64" s="154"/>
      <c r="P64" s="154"/>
      <c r="Q64" s="154"/>
    </row>
    <row r="65" spans="1:17" ht="20.100000000000001" customHeight="1" x14ac:dyDescent="0.2">
      <c r="G65" s="154"/>
      <c r="H65" s="154"/>
      <c r="I65" s="154"/>
      <c r="J65" s="154"/>
      <c r="L65" s="154"/>
      <c r="M65" s="154"/>
      <c r="N65" s="154"/>
      <c r="O65" s="154"/>
      <c r="P65" s="154"/>
      <c r="Q65" s="154"/>
    </row>
    <row r="66" spans="1:17" ht="20.100000000000001" customHeight="1" x14ac:dyDescent="0.2">
      <c r="D66" s="171" t="s">
        <v>626</v>
      </c>
      <c r="E66" s="177"/>
      <c r="F66" s="173"/>
      <c r="G66" s="154"/>
      <c r="H66" s="154"/>
      <c r="I66" s="154"/>
      <c r="J66" s="154"/>
      <c r="L66" s="154"/>
      <c r="M66" s="154"/>
      <c r="N66" s="154"/>
      <c r="O66" s="154"/>
      <c r="P66" s="154"/>
      <c r="Q66" s="154"/>
    </row>
    <row r="67" spans="1:17" ht="20.100000000000001" customHeight="1" x14ac:dyDescent="0.2">
      <c r="D67" s="24" t="s">
        <v>623</v>
      </c>
      <c r="E67" s="174">
        <f>E43+E49+E55+E61</f>
        <v>83.182000000000002</v>
      </c>
      <c r="F67" s="16" t="str">
        <f t="shared" ref="F67:F70" si="5">$E$12</f>
        <v>t CO2-e</v>
      </c>
      <c r="G67" s="154"/>
    </row>
    <row r="68" spans="1:17" ht="20.100000000000001" customHeight="1" x14ac:dyDescent="0.2">
      <c r="A68" s="79" t="str">
        <f>HYPERLINK("#A1", "▲ Back to top")</f>
        <v>▲ Back to top</v>
      </c>
      <c r="D68" s="24" t="s">
        <v>624</v>
      </c>
      <c r="E68" s="174">
        <f t="shared" ref="E68:E70" si="6">E44+E50+E56+E62</f>
        <v>0.19906000000000001</v>
      </c>
      <c r="F68" s="16" t="str">
        <f t="shared" si="5"/>
        <v>t CO2-e</v>
      </c>
      <c r="G68" s="154"/>
    </row>
    <row r="69" spans="1:17" ht="20.100000000000001" customHeight="1" x14ac:dyDescent="0.2">
      <c r="D69" s="24" t="s">
        <v>625</v>
      </c>
      <c r="E69" s="174">
        <f t="shared" si="6"/>
        <v>0.58450000000000002</v>
      </c>
      <c r="F69" s="16" t="str">
        <f t="shared" si="5"/>
        <v>t CO2-e</v>
      </c>
      <c r="G69" s="154"/>
    </row>
    <row r="70" spans="1:17" ht="20.100000000000001" customHeight="1" x14ac:dyDescent="0.2">
      <c r="D70" s="24" t="s">
        <v>239</v>
      </c>
      <c r="E70" s="174">
        <f t="shared" si="6"/>
        <v>20.5016</v>
      </c>
      <c r="F70" s="16" t="str">
        <f t="shared" si="5"/>
        <v>t CO2-e</v>
      </c>
      <c r="G70" s="154"/>
    </row>
    <row r="71" spans="1:17" ht="20.100000000000001" customHeight="1" x14ac:dyDescent="0.2">
      <c r="G71" s="154"/>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N172:Q172 O150:Q150 E269 N166:Q166 O143:Q144 E228 O167:Q167 G132 I129:I133 F134:I134 F129:F132 H128:H132 G129 F148:I148 I149 F150:I150" xr:uid="{BA585954-7A82-4164-945F-B8B029D70527}"/>
  </dataValidation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0E7BB-C94D-43B5-8500-9C7C1D9A6824}">
  <sheetPr>
    <tabColor rgb="FF008000"/>
  </sheetPr>
  <dimension ref="A1:R71"/>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20" customFormat="1" ht="30" customHeight="1" x14ac:dyDescent="0.35">
      <c r="A1" s="10" t="e" vm="1">
        <v>#VALUE!</v>
      </c>
      <c r="C1" s="20" t="s">
        <v>627</v>
      </c>
    </row>
    <row r="2" spans="1:18" s="3" customFormat="1" ht="20.100000000000001" customHeight="1" x14ac:dyDescent="0.2">
      <c r="A2"/>
    </row>
    <row r="3" spans="1:18" ht="20.100000000000001" customHeight="1" x14ac:dyDescent="0.2">
      <c r="A3" s="5" t="str">
        <f>HYPERLINK("#'Home'!A1", "Home")</f>
        <v>Home</v>
      </c>
      <c r="C3" s="22"/>
      <c r="D3" s="22" t="s">
        <v>130</v>
      </c>
      <c r="E3" s="22"/>
      <c r="F3" s="22"/>
      <c r="G3" s="22"/>
      <c r="H3" s="22"/>
      <c r="I3" s="22"/>
      <c r="J3" s="22"/>
      <c r="K3" s="22"/>
      <c r="L3" s="22"/>
      <c r="M3" s="22"/>
      <c r="N3" s="22"/>
      <c r="O3" s="22"/>
      <c r="P3" s="22"/>
      <c r="Q3" s="22"/>
      <c r="R3" s="22"/>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Emissions Intensity")</f>
        <v>Results - Product Emissions Intensity</v>
      </c>
      <c r="D5" s="2" t="s">
        <v>1414</v>
      </c>
      <c r="K5" s="2" t="s">
        <v>1416</v>
      </c>
      <c r="O5" s="154"/>
      <c r="P5" s="154"/>
      <c r="Q5" s="154"/>
      <c r="R5" s="154"/>
    </row>
    <row r="6" spans="1:18" ht="20.100000000000001" customHeight="1" x14ac:dyDescent="0.2">
      <c r="D6" s="17" t="s">
        <v>1415</v>
      </c>
      <c r="K6" s="17" t="s">
        <v>1417</v>
      </c>
      <c r="O6" s="154"/>
      <c r="P6" s="154"/>
      <c r="Q6" s="154"/>
      <c r="R6" s="154"/>
    </row>
    <row r="7" spans="1:18" ht="20.100000000000001" customHeight="1" x14ac:dyDescent="0.2">
      <c r="D7" s="112"/>
      <c r="E7" s="112"/>
      <c r="K7" s="25" t="s">
        <v>1418</v>
      </c>
      <c r="O7" s="154"/>
      <c r="P7" s="154"/>
      <c r="Q7" s="154"/>
      <c r="R7" s="154"/>
    </row>
    <row r="8" spans="1:18" ht="20.100000000000001" customHeight="1" x14ac:dyDescent="0.2">
      <c r="A8" s="7" t="s">
        <v>0</v>
      </c>
      <c r="K8" s="112"/>
      <c r="L8" s="112"/>
      <c r="O8" s="154"/>
      <c r="P8" s="154"/>
      <c r="Q8" s="154"/>
      <c r="R8" s="154"/>
    </row>
    <row r="9" spans="1:18" ht="20.100000000000001" customHeight="1" x14ac:dyDescent="0.2">
      <c r="A9" s="5" t="str">
        <f>HYPERLINK("#'Input - Enterprise'!A1", "Enterprise")</f>
        <v>Enterprise</v>
      </c>
      <c r="G9" s="17"/>
      <c r="O9" s="154"/>
      <c r="P9" s="154"/>
      <c r="Q9" s="154"/>
      <c r="R9" s="154"/>
    </row>
    <row r="10" spans="1:18" ht="20.100000000000001" customHeight="1" x14ac:dyDescent="0.2">
      <c r="A10" s="5" t="str">
        <f>HYPERLINK("#'Input - Site'!A1", "Site")</f>
        <v>Site</v>
      </c>
      <c r="O10" s="154"/>
      <c r="P10" s="154"/>
      <c r="Q10" s="154"/>
      <c r="R10" s="154"/>
    </row>
    <row r="11" spans="1:18" ht="20.100000000000001" customHeight="1" x14ac:dyDescent="0.2">
      <c r="A11" s="5" t="str">
        <f>HYPERLINK("#'Input - Poultry'!A1", "Poultry")</f>
        <v>Poultry</v>
      </c>
      <c r="D11" s="75" t="s">
        <v>328</v>
      </c>
      <c r="E11" s="1" t="s">
        <v>1391</v>
      </c>
      <c r="K11" s="75" t="s">
        <v>328</v>
      </c>
      <c r="L11" s="1" t="s">
        <v>1419</v>
      </c>
      <c r="O11" s="154"/>
      <c r="P11" s="154"/>
      <c r="Q11" s="154"/>
      <c r="R11" s="154"/>
    </row>
    <row r="12" spans="1:18" ht="20.100000000000001" customHeight="1" x14ac:dyDescent="0.2">
      <c r="A12" s="5" t="str">
        <f>HYPERLINK("#'Input - Livestock sales'!A1", "Livestock sales")</f>
        <v>Livestock sales</v>
      </c>
      <c r="D12" s="75" t="s">
        <v>118</v>
      </c>
      <c r="E12" s="9" t="s">
        <v>251</v>
      </c>
      <c r="K12" s="75" t="s">
        <v>118</v>
      </c>
      <c r="L12" s="9" t="s">
        <v>7</v>
      </c>
    </row>
    <row r="13" spans="1:18" ht="20.100000000000001" customHeight="1" x14ac:dyDescent="0.2">
      <c r="A13" s="5" t="str">
        <f>HYPERLINK("#'Input - Poultry purchases'!A1", "Poultry purchases")</f>
        <v>Poultry purchases</v>
      </c>
    </row>
    <row r="14" spans="1:18" ht="20.100000000000001" customHeight="1" x14ac:dyDescent="0.2">
      <c r="A14" s="5" t="str">
        <f>HYPERLINK("#'Input - Fuel'!A1", "Fuel")</f>
        <v>Fuel</v>
      </c>
      <c r="D14" s="113" t="s">
        <v>1420</v>
      </c>
      <c r="E14" s="122" t="s">
        <v>1421</v>
      </c>
      <c r="F14" s="123"/>
      <c r="G14" s="113" t="s">
        <v>1404</v>
      </c>
      <c r="H14" s="114" t="s">
        <v>1202</v>
      </c>
      <c r="I14" s="116" t="str" cm="1">
        <f t="array" aca="1" ref="I14" ca="1">HYPERLINK(Common_InputFunctions.Utility_SourceHyperlink($D$22), $D$22)</f>
        <v>Table_E_g</v>
      </c>
      <c r="K14" s="113" t="s">
        <v>1420</v>
      </c>
      <c r="L14" s="113" t="s">
        <v>1428</v>
      </c>
      <c r="M14" s="113"/>
      <c r="N14" s="113" t="s">
        <v>661</v>
      </c>
      <c r="O14" s="114" t="s">
        <v>1202</v>
      </c>
      <c r="P14" s="116" t="str" cm="1">
        <f t="array" aca="1" ref="P14" ca="1">HYPERLINK(Common_InputFunctions.Utility_SourceHyperlink($D$22), $D$22)</f>
        <v>Table_E_g</v>
      </c>
      <c r="Q14" s="154"/>
    </row>
    <row r="15" spans="1:18" ht="20.100000000000001" customHeight="1" x14ac:dyDescent="0.2">
      <c r="A15" s="5" t="str">
        <f>HYPERLINK("#'Input - Electricity'!A1", "Electricity")</f>
        <v>Electricity</v>
      </c>
      <c r="D15" s="113" t="s">
        <v>1422</v>
      </c>
      <c r="E15" s="122" t="s">
        <v>1423</v>
      </c>
      <c r="F15" s="123"/>
      <c r="G15" s="113" t="s">
        <v>1405</v>
      </c>
      <c r="H15" s="115" t="s">
        <v>1203</v>
      </c>
      <c r="I15" s="116" t="str" cm="1">
        <f t="array" aca="1" ref="I15" ca="1">HYPERLINK(Common_InputFunctions.Utility_SourceHyperlink($D$22), $D$22)</f>
        <v>Table_E_g</v>
      </c>
      <c r="K15" s="113" t="s">
        <v>1422</v>
      </c>
      <c r="L15" s="113" t="s">
        <v>1429</v>
      </c>
      <c r="M15" s="113"/>
      <c r="N15" s="113" t="s">
        <v>1434</v>
      </c>
      <c r="O15" s="115" t="s">
        <v>1203</v>
      </c>
      <c r="P15" s="116" t="str" cm="1">
        <f t="array" aca="1" ref="P15" ca="1">HYPERLINK(Common_InputFunctions.Utility_SourceHyperlink($D$22), $D$22)</f>
        <v>Table_E_g</v>
      </c>
      <c r="Q15" s="154"/>
    </row>
    <row r="16" spans="1:18" ht="20.100000000000001" customHeight="1" x14ac:dyDescent="0.2">
      <c r="A16" s="5" t="str">
        <f>HYPERLINK("#'Input - Common farm inputs'!A1", "Common farm inputs")</f>
        <v>Common farm inputs</v>
      </c>
      <c r="D16" s="113" t="s">
        <v>1424</v>
      </c>
      <c r="E16" s="122" t="s">
        <v>1425</v>
      </c>
      <c r="F16" s="123"/>
      <c r="G16" s="113" t="s">
        <v>1406</v>
      </c>
      <c r="H16" s="115" t="s">
        <v>1203</v>
      </c>
      <c r="I16" s="116" t="str" cm="1">
        <f t="array" aca="1" ref="I16" ca="1">HYPERLINK(Common_InputFunctions.Utility_SourceHyperlink($D$22), $D$22)</f>
        <v>Table_E_g</v>
      </c>
      <c r="K16" s="113" t="s">
        <v>1430</v>
      </c>
      <c r="L16" s="113" t="s">
        <v>1431</v>
      </c>
      <c r="M16" s="113"/>
      <c r="N16" s="113" t="s">
        <v>1413</v>
      </c>
      <c r="O16" s="115" t="s">
        <v>1203</v>
      </c>
      <c r="P16" s="116" t="str" cm="1">
        <f t="array" aca="1" ref="P16" ca="1">HYPERLINK(Common_InputFunctions.Utility_SourceHyperlink($D$22), $D$22)</f>
        <v>Table_E_g</v>
      </c>
      <c r="Q16" s="154"/>
    </row>
    <row r="17" spans="1:17" ht="20.100000000000001" customHeight="1" x14ac:dyDescent="0.2">
      <c r="A17" s="5" t="str">
        <f>HYPERLINK("#'Input - Livestock farm Inputs'!A1", "Livestock farm Inputs")</f>
        <v>Livestock farm Inputs</v>
      </c>
      <c r="D17" s="113" t="s">
        <v>1399</v>
      </c>
      <c r="E17" s="122" t="s">
        <v>659</v>
      </c>
      <c r="F17" s="123"/>
      <c r="G17" s="113"/>
      <c r="H17" s="115" t="s">
        <v>1203</v>
      </c>
      <c r="I17" s="116"/>
      <c r="J17" s="154"/>
      <c r="K17" s="113" t="s">
        <v>1217</v>
      </c>
      <c r="L17" s="122" t="s">
        <v>1218</v>
      </c>
      <c r="M17" s="123"/>
      <c r="N17" s="113"/>
      <c r="O17" s="114" t="s">
        <v>1202</v>
      </c>
      <c r="P17" s="113" t="str">
        <f>X_Cell_Site_State</f>
        <v>Western Australia</v>
      </c>
      <c r="Q17" s="154"/>
    </row>
    <row r="18" spans="1:17" ht="20.100000000000001" customHeight="1" x14ac:dyDescent="0.2">
      <c r="A18" s="5" t="str">
        <f>HYPERLINK("#'Input - Freight'!A1", "Freight")</f>
        <v>Freight</v>
      </c>
      <c r="D18" s="113" t="s">
        <v>1426</v>
      </c>
      <c r="E18" s="122" t="s">
        <v>1427</v>
      </c>
      <c r="F18" s="123"/>
      <c r="G18" s="113"/>
      <c r="H18" s="115" t="s">
        <v>1203</v>
      </c>
      <c r="I18" s="116"/>
      <c r="J18" s="154"/>
      <c r="K18" s="113" t="s">
        <v>1432</v>
      </c>
      <c r="L18" s="122" t="s">
        <v>1433</v>
      </c>
      <c r="M18" s="123"/>
      <c r="N18" s="113"/>
      <c r="O18" s="114" t="s">
        <v>1202</v>
      </c>
      <c r="P18" s="113" t="str">
        <f>X_Cell_Fuel_IsMetroLocation</f>
        <v>Metro</v>
      </c>
      <c r="Q18" s="154"/>
    </row>
    <row r="19" spans="1:17" ht="20.100000000000001" customHeight="1" x14ac:dyDescent="0.2">
      <c r="A19" s="5" t="str">
        <f>HYPERLINK("#'Input - Solid waste'!A1", "Solid waste")</f>
        <v>Solid waste</v>
      </c>
      <c r="D19" s="113" t="s">
        <v>1402</v>
      </c>
      <c r="E19" s="122" t="s">
        <v>1403</v>
      </c>
      <c r="F19" s="123"/>
      <c r="G19" s="113"/>
      <c r="H19" s="115" t="s">
        <v>1203</v>
      </c>
      <c r="I19" s="116"/>
      <c r="J19" s="154"/>
      <c r="L19" s="154"/>
      <c r="N19" s="154"/>
      <c r="O19" s="154"/>
      <c r="P19" s="154"/>
      <c r="Q19" s="154"/>
    </row>
    <row r="20" spans="1:17" ht="20.100000000000001" customHeight="1" x14ac:dyDescent="0.2">
      <c r="A20" s="5" t="str">
        <f>HYPERLINK("#'Input - Manure sent off-site'!A1", "Manure sent off-site")</f>
        <v>Manure sent off-site</v>
      </c>
      <c r="D20" s="113">
        <v>1</v>
      </c>
      <c r="E20" s="122" t="s">
        <v>235</v>
      </c>
      <c r="F20" s="123"/>
      <c r="G20" s="113"/>
      <c r="H20" s="115" t="s">
        <v>1203</v>
      </c>
      <c r="I20" s="116"/>
      <c r="J20" s="154"/>
      <c r="L20" s="154"/>
      <c r="N20" s="154"/>
      <c r="O20" s="154"/>
      <c r="P20" s="154"/>
      <c r="Q20" s="154"/>
    </row>
    <row r="21" spans="1:17" ht="20.100000000000001" customHeight="1" x14ac:dyDescent="0.2">
      <c r="A21" s="5" t="str">
        <f>HYPERLINK("#'Input - Data quality'!A1", "Data quality")</f>
        <v>Data quality</v>
      </c>
      <c r="O21" s="154"/>
      <c r="P21" s="154"/>
      <c r="Q21" s="154"/>
    </row>
    <row r="22" spans="1:17" ht="20.100000000000001" customHeight="1" x14ac:dyDescent="0.2">
      <c r="A22" s="5" t="str">
        <f>HYPERLINK("#'Input - Fert Prod System'!A1", "Fert Prod System")</f>
        <v>Fert Prod System</v>
      </c>
      <c r="D22" s="118" t="s">
        <v>607</v>
      </c>
    </row>
    <row r="23" spans="1:17" ht="20.100000000000001" customHeight="1" x14ac:dyDescent="0.2">
      <c r="A23" s="5" t="str">
        <f>HYPERLINK("#'Input - Fertiliser'!A1", "Fertiliser")</f>
        <v>Fertiliser</v>
      </c>
      <c r="D23" s="119" t="s">
        <v>628</v>
      </c>
    </row>
    <row r="24" spans="1:17" ht="20.100000000000001" customHeight="1" x14ac:dyDescent="0.2">
      <c r="D24" s="120" t="s">
        <v>609</v>
      </c>
      <c r="E24" s="120" t="s">
        <v>610</v>
      </c>
      <c r="F24" s="120" t="s">
        <v>611</v>
      </c>
      <c r="G24" s="120" t="s">
        <v>629</v>
      </c>
      <c r="H24" s="120" t="s">
        <v>630</v>
      </c>
      <c r="I24" s="120" t="s">
        <v>631</v>
      </c>
      <c r="J24" s="120" t="s">
        <v>632</v>
      </c>
      <c r="K24" s="120" t="s">
        <v>633</v>
      </c>
      <c r="L24" s="78" t="s">
        <v>634</v>
      </c>
      <c r="M24" s="120" t="s">
        <v>618</v>
      </c>
      <c r="N24" s="120" t="s">
        <v>619</v>
      </c>
      <c r="O24" s="120" t="s">
        <v>620</v>
      </c>
      <c r="P24" s="120" t="s">
        <v>621</v>
      </c>
      <c r="Q24" s="120" t="s">
        <v>635</v>
      </c>
    </row>
    <row r="25" spans="1:17" ht="20.100000000000001" customHeight="1" x14ac:dyDescent="0.2">
      <c r="D25" s="24" t="str">
        <f>Table_FuelTypesPerUse[[#Headers],[Generators]]</f>
        <v>Generators</v>
      </c>
      <c r="E25" s="155" t="str">
        <f>'Constants - Fuel'!$D$58</f>
        <v>Automotive gasoline / petrol (other than for use as fuel in an aircraft)</v>
      </c>
      <c r="F25" s="155" t="str">
        <f>'Constants - Fuel'!D131</f>
        <v>Petrol</v>
      </c>
      <c r="G25" s="15">
        <f>IFERROR(_xlfn.XLOOKUP($E25, Table_Fuel_EFs_StationaryLiquid[Fuel combusted], Table_Fuel_EFs_StationaryLiquid[Energy Content Factor (GJ per unit of fuel)]),0)</f>
        <v>34.200000000000003</v>
      </c>
      <c r="H25" s="15">
        <f>IFERROR(_xlfn.XLOOKUP($E25, Table_Fuel_EFs_StationaryLiquid[Fuel combusted], Table_Fuel_EFs_StationaryLiquid[Scope 1 Emission Factor (kg CO2 - e / GJ) CO2]),0)</f>
        <v>67.400000000000006</v>
      </c>
      <c r="I25" s="15">
        <f>IFERROR(_xlfn.XLOOKUP($E25, Table_Fuel_EFs_StationaryLiquid[Fuel combusted], Table_Fuel_EFs_StationaryLiquid[Scope 1 Emission Factor (kg CO2 - e / GJ) CH4]),0)</f>
        <v>0.2</v>
      </c>
      <c r="J25" s="15">
        <f>IFERROR(_xlfn.XLOOKUP($E25, Table_Fuel_EFs_StationaryLiquid[Fuel combusted], Table_Fuel_EFs_StationaryLiquid[Scope 1 Emission Factor (kg CO2 - e / GJ) N2O]),0)</f>
        <v>0.2</v>
      </c>
      <c r="K25" s="15">
        <f>IFERROR(_xlfn.XLOOKUP($E25, Table_Fuel_EFs_StationaryLiquid[Fuel combusted], Table_Fuel_EFs_StationaryLiquid[Scope 3 Emission Factor (kg CO2 - e / GJ)]),0)</f>
        <v>17.2</v>
      </c>
      <c r="L25" s="156" cm="1">
        <f t="array" ref="L25">Fuel_InputFunctions.Fuel_TotalConsumption(Table_Input_Fuel[Amount consumed], Table_Input_Fuel[Fuel use (select)], D25, Table_Input_Fuel[Fuel type (select)],F25)</f>
        <v>0</v>
      </c>
      <c r="M25" s="156" t="str" cm="1">
        <f t="array" ref="M25">Common_InputFunctions.Utility_LookupValueInTable(F25,Table_FuelTypes_Units[Fuel type],Table_FuelTypes_Units[Unit])</f>
        <v>kL</v>
      </c>
      <c r="N25" s="178">
        <f>((($L25 * $G25 * H25) * 10 ^ -3))</f>
        <v>0</v>
      </c>
      <c r="O25" s="178">
        <f>((($L25 * $G25 * I25) * 10 ^ -3))</f>
        <v>0</v>
      </c>
      <c r="P25" s="178">
        <f>((($L25 * $G25 * J25) * 10 ^ -3))</f>
        <v>0</v>
      </c>
      <c r="Q25" s="178">
        <f>((($L25 * $G25 * ((IF(ISNUMBER(K25), K25, 0)))) * 10 ^ -3))</f>
        <v>0</v>
      </c>
    </row>
    <row r="26" spans="1:17" ht="20.100000000000001" customHeight="1" x14ac:dyDescent="0.2">
      <c r="A26" s="6" t="s">
        <v>2</v>
      </c>
      <c r="D26" s="158" t="str">
        <f t="shared" ref="D26:D31" si="0">$D$25</f>
        <v>Generators</v>
      </c>
      <c r="E26" s="155" t="str">
        <f>'Constants - Fuel'!$D$63</f>
        <v>Diesel oil</v>
      </c>
      <c r="F26" s="155" t="str">
        <f>'Constants - Fuel'!D132</f>
        <v>Diesel</v>
      </c>
      <c r="G26" s="15">
        <f>IFERROR(_xlfn.XLOOKUP($E26, Table_Fuel_EFs_StationaryLiquid[Fuel combusted], Table_Fuel_EFs_StationaryLiquid[Energy Content Factor (GJ per unit of fuel)]),0)</f>
        <v>38.6</v>
      </c>
      <c r="H26" s="15">
        <f>IFERROR(_xlfn.XLOOKUP($E26, Table_Fuel_EFs_StationaryLiquid[Fuel combusted], Table_Fuel_EFs_StationaryLiquid[Scope 1 Emission Factor (kg CO2 - e / GJ) CO2]),0)</f>
        <v>69.900000000000006</v>
      </c>
      <c r="I26" s="15">
        <f>IFERROR(_xlfn.XLOOKUP($E26, Table_Fuel_EFs_StationaryLiquid[Fuel combusted], Table_Fuel_EFs_StationaryLiquid[Scope 1 Emission Factor (kg CO2 - e / GJ) CH4]),0)</f>
        <v>0.1</v>
      </c>
      <c r="J26" s="15">
        <f>IFERROR(_xlfn.XLOOKUP($E26, Table_Fuel_EFs_StationaryLiquid[Fuel combusted], Table_Fuel_EFs_StationaryLiquid[Scope 1 Emission Factor (kg CO2 - e / GJ) N2O]),0)</f>
        <v>0.2</v>
      </c>
      <c r="K26" s="15">
        <f>IFERROR(_xlfn.XLOOKUP($E26, Table_Fuel_EFs_StationaryLiquid[Fuel combusted], Table_Fuel_EFs_StationaryLiquid[Scope 3 Emission Factor (kg CO2 - e / GJ)]),0)</f>
        <v>17.3</v>
      </c>
      <c r="L26" s="156" cm="1">
        <f t="array" ref="L26">Fuel_InputFunctions.Fuel_TotalConsumption(Table_Input_Fuel[Amount consumed], Table_Input_Fuel[Fuel use (select)], D26, Table_Input_Fuel[Fuel type (select)],F26)</f>
        <v>0</v>
      </c>
      <c r="M26" s="156" t="str" cm="1">
        <f t="array" ref="M26">Common_InputFunctions.Utility_LookupValueInTable(F26,Table_FuelTypes_Units[Fuel type],Table_FuelTypes_Units[Unit])</f>
        <v>kL</v>
      </c>
      <c r="N26" s="178">
        <f>((($L26 * $G26 * H26) * 10 ^ -3))</f>
        <v>0</v>
      </c>
      <c r="O26" s="178">
        <f>((($L26 * $G26 * I26) * 10 ^ -3))</f>
        <v>0</v>
      </c>
      <c r="P26" s="178">
        <f>((($L26 * $G26 * J26) * 10 ^ -3))</f>
        <v>0</v>
      </c>
      <c r="Q26" s="178">
        <f>((($L26 * $G26 * ((IF(ISNUMBER(K26), K26, 0)))) * 10 ^ -3))</f>
        <v>0</v>
      </c>
    </row>
    <row r="27" spans="1:17" ht="20.100000000000001" customHeight="1" x14ac:dyDescent="0.2">
      <c r="A27" s="5" t="str">
        <f>HYPERLINK("#'4.6.1.1-2 Methane'!A1", "4.6.1.1-2 Manure Methane")</f>
        <v>4.6.1.1-2 Manure Methane</v>
      </c>
      <c r="D27" s="158" t="str">
        <f t="shared" si="0"/>
        <v>Generators</v>
      </c>
      <c r="E27" s="155" t="str">
        <f>'Constants - Fuel'!$D$67</f>
        <v>Liquefied petroleum gas (LPG)</v>
      </c>
      <c r="F27" s="155" t="str">
        <f>'Constants - Fuel'!D133</f>
        <v>Liquefied petroleum gas (LPG)</v>
      </c>
      <c r="G27" s="15">
        <f>IFERROR(_xlfn.XLOOKUP($E27, Table_Fuel_EFs_StationaryLiquid[Fuel combusted], Table_Fuel_EFs_StationaryLiquid[Energy Content Factor (GJ per unit of fuel)]),0)</f>
        <v>25.7</v>
      </c>
      <c r="H27" s="15">
        <f>IFERROR(_xlfn.XLOOKUP($E27, Table_Fuel_EFs_StationaryLiquid[Fuel combusted], Table_Fuel_EFs_StationaryLiquid[Scope 1 Emission Factor (kg CO2 - e / GJ) CO2]),0)</f>
        <v>60.2</v>
      </c>
      <c r="I27" s="15">
        <f>IFERROR(_xlfn.XLOOKUP($E27, Table_Fuel_EFs_StationaryLiquid[Fuel combusted], Table_Fuel_EFs_StationaryLiquid[Scope 1 Emission Factor (kg CO2 - e / GJ) CH4]),0)</f>
        <v>0.2</v>
      </c>
      <c r="J27" s="15">
        <f>IFERROR(_xlfn.XLOOKUP($E27, Table_Fuel_EFs_StationaryLiquid[Fuel combusted], Table_Fuel_EFs_StationaryLiquid[Scope 1 Emission Factor (kg CO2 - e / GJ) N2O]),0)</f>
        <v>0.2</v>
      </c>
      <c r="K27" s="15">
        <f>IFERROR(_xlfn.XLOOKUP($E27, Table_Fuel_EFs_StationaryLiquid[Fuel combusted], Table_Fuel_EFs_StationaryLiquid[Scope 3 Emission Factor (kg CO2 - e / GJ)]),0)</f>
        <v>20.2</v>
      </c>
      <c r="L27" s="156" cm="1">
        <f t="array" ref="L27">Fuel_InputFunctions.Fuel_TotalConsumption(Table_Input_Fuel[Amount consumed], Table_Input_Fuel[Fuel use (select)], D27, Table_Input_Fuel[Fuel type (select)],F27)</f>
        <v>0</v>
      </c>
      <c r="M27" s="156" t="str" cm="1">
        <f t="array" ref="M27">Common_InputFunctions.Utility_LookupValueInTable(F27,Table_FuelTypes_Units[Fuel type],Table_FuelTypes_Units[Unit])</f>
        <v>kL</v>
      </c>
      <c r="N27" s="178">
        <f>((($L27 * $G27 * H27) * 10 ^ -3))</f>
        <v>0</v>
      </c>
      <c r="O27" s="178">
        <f>((($L27 * $G27 * I27) * 10 ^ -3))</f>
        <v>0</v>
      </c>
      <c r="P27" s="178">
        <f>((($L27 * $G27 * J27) * 10 ^ -3))</f>
        <v>0</v>
      </c>
      <c r="Q27" s="178">
        <f>((($L27 * $G27 * ((IF(ISNUMBER(K27), K27, 0)))) * 10 ^ -3))</f>
        <v>0</v>
      </c>
    </row>
    <row r="28" spans="1:17" ht="20.100000000000001" customHeight="1" x14ac:dyDescent="0.2">
      <c r="A28" s="5" t="str">
        <f>HYPERLINK("#'4.6.1.3-4 Direct N20'!A1", "4.6.1.3-4 Manure Direct N2O")</f>
        <v>4.6.1.3-4 Manure Direct N2O</v>
      </c>
      <c r="D28" s="158" t="str">
        <f t="shared" si="0"/>
        <v>Generators</v>
      </c>
      <c r="E28" s="155" t="str">
        <f>'Constants - Fuel'!$D$73</f>
        <v>Biodiesel</v>
      </c>
      <c r="F28" s="155" t="str">
        <f>'Constants - Fuel'!D134</f>
        <v>Biodiesel</v>
      </c>
      <c r="G28" s="15">
        <f>IFERROR(_xlfn.XLOOKUP($E28, Table_Fuel_EFs_StationaryLiquid[Fuel combusted], Table_Fuel_EFs_StationaryLiquid[Energy Content Factor (GJ per unit of fuel)]),0)</f>
        <v>34.6</v>
      </c>
      <c r="H28" s="15">
        <f>IFERROR(_xlfn.XLOOKUP($E28, Table_Fuel_EFs_StationaryLiquid[Fuel combusted], Table_Fuel_EFs_StationaryLiquid[Scope 1 Emission Factor (kg CO2 - e / GJ) CO2]),0)</f>
        <v>0</v>
      </c>
      <c r="I28" s="15">
        <f>IFERROR(_xlfn.XLOOKUP($E28, Table_Fuel_EFs_StationaryLiquid[Fuel combusted], Table_Fuel_EFs_StationaryLiquid[Scope 1 Emission Factor (kg CO2 - e / GJ) CH4]),0)</f>
        <v>0.08</v>
      </c>
      <c r="J28" s="15">
        <f>IFERROR(_xlfn.XLOOKUP($E28, Table_Fuel_EFs_StationaryLiquid[Fuel combusted], Table_Fuel_EFs_StationaryLiquid[Scope 1 Emission Factor (kg CO2 - e / GJ) N2O]),0)</f>
        <v>0.2</v>
      </c>
      <c r="K28" s="15" t="str">
        <f>IFERROR(_xlfn.XLOOKUP($E28, Table_Fuel_EFs_StationaryLiquid[Fuel combusted], Table_Fuel_EFs_StationaryLiquid[Scope 3 Emission Factor (kg CO2 - e / GJ)]),0)</f>
        <v>NE</v>
      </c>
      <c r="L28" s="156" cm="1">
        <f t="array" ref="L28">Fuel_InputFunctions.Fuel_TotalConsumption(Table_Input_Fuel[Amount consumed], Table_Input_Fuel[Fuel use (select)], D28, Table_Input_Fuel[Fuel type (select)],F28)</f>
        <v>0</v>
      </c>
      <c r="M28" s="156" t="str" cm="1">
        <f t="array" ref="M28">Common_InputFunctions.Utility_LookupValueInTable(F28,Table_FuelTypes_Units[Fuel type],Table_FuelTypes_Units[Unit])</f>
        <v>kL</v>
      </c>
      <c r="N28" s="178">
        <f>((($L28 * $G28 * H28) * 10 ^ -3))</f>
        <v>0</v>
      </c>
      <c r="O28" s="178">
        <f>((($L28 * $G28 * I28) * 10 ^ -3))</f>
        <v>0</v>
      </c>
      <c r="P28" s="178">
        <f>((($L28 * $G28 * J28) * 10 ^ -3))</f>
        <v>0</v>
      </c>
      <c r="Q28" s="178">
        <f>((($L28 * $G28 * ((IF(ISNUMBER(K28), K28, 0)))) * 10 ^ -3))</f>
        <v>0</v>
      </c>
    </row>
    <row r="29" spans="1:17" ht="20.100000000000001" customHeight="1" x14ac:dyDescent="0.2">
      <c r="A29" s="5" t="str">
        <f>HYPERLINK("#'4.6.1.5-6 Atmos Dep'!A1", "4.6.1.5-6 Manure Atmos Dep")</f>
        <v>4.6.1.5-6 Manure Atmos Dep</v>
      </c>
      <c r="D29" s="158" t="str">
        <f t="shared" si="0"/>
        <v>Generators</v>
      </c>
      <c r="E29" s="155" t="str">
        <f>'Constants - Fuel'!$D$74</f>
        <v>Ethanol for use as a fuel in an internal combustion engine</v>
      </c>
      <c r="F29" s="155" t="str">
        <f>'Constants - Fuel'!D135</f>
        <v>Ethanol</v>
      </c>
      <c r="G29" s="15">
        <f>IFERROR(_xlfn.XLOOKUP($E29, Table_Fuel_EFs_StationaryLiquid[Fuel combusted], Table_Fuel_EFs_StationaryLiquid[Energy Content Factor (GJ per unit of fuel)]),0)</f>
        <v>23.4</v>
      </c>
      <c r="H29" s="15">
        <f>IFERROR(_xlfn.XLOOKUP($E29, Table_Fuel_EFs_StationaryLiquid[Fuel combusted], Table_Fuel_EFs_StationaryLiquid[Scope 1 Emission Factor (kg CO2 - e / GJ) CO2]),0)</f>
        <v>0</v>
      </c>
      <c r="I29" s="15">
        <f>IFERROR(_xlfn.XLOOKUP($E29, Table_Fuel_EFs_StationaryLiquid[Fuel combusted], Table_Fuel_EFs_StationaryLiquid[Scope 1 Emission Factor (kg CO2 - e / GJ) CH4]),0)</f>
        <v>0.08</v>
      </c>
      <c r="J29" s="15">
        <f>IFERROR(_xlfn.XLOOKUP($E29, Table_Fuel_EFs_StationaryLiquid[Fuel combusted], Table_Fuel_EFs_StationaryLiquid[Scope 1 Emission Factor (kg CO2 - e / GJ) N2O]),0)</f>
        <v>0.2</v>
      </c>
      <c r="K29" s="15" t="str">
        <f>IFERROR(_xlfn.XLOOKUP($E29, Table_Fuel_EFs_StationaryLiquid[Fuel combusted], Table_Fuel_EFs_StationaryLiquid[Scope 3 Emission Factor (kg CO2 - e / GJ)]),0)</f>
        <v>NE</v>
      </c>
      <c r="L29" s="156" cm="1">
        <f t="array" ref="L29">Fuel_InputFunctions.Fuel_TotalConsumption(Table_Input_Fuel[Amount consumed], Table_Input_Fuel[Fuel use (select)], D29, Table_Input_Fuel[Fuel type (select)],F29)</f>
        <v>0</v>
      </c>
      <c r="M29" s="156" t="str" cm="1">
        <f t="array" ref="M29">Common_InputFunctions.Utility_LookupValueInTable(F29,Table_FuelTypes_Units[Fuel type],Table_FuelTypes_Units[Unit])</f>
        <v>kL</v>
      </c>
      <c r="N29" s="178">
        <f>((($L29 * $G29 * H29) * 10 ^ -3))</f>
        <v>0</v>
      </c>
      <c r="O29" s="178">
        <f>((($L29 * $G29 * I29) * 10 ^ -3))</f>
        <v>0</v>
      </c>
      <c r="P29" s="178">
        <f>((($L29 * $G29 * J29) * 10 ^ -3))</f>
        <v>0</v>
      </c>
      <c r="Q29" s="178">
        <f>((($L29 * $G29 * ((IF(ISNUMBER(K29), K29, 0)))) * 10 ^ -3))</f>
        <v>0</v>
      </c>
    </row>
    <row r="30" spans="1:17" ht="20.100000000000001" customHeight="1" x14ac:dyDescent="0.2">
      <c r="A30" s="5" t="str">
        <f>HYPERLINK("#'4.6.1.7-8 Leaching and runoff'!A1", "4.6.1.7-8 Manure Leaching and runoff")</f>
        <v>4.6.1.7-8 Manure Leaching and runoff</v>
      </c>
      <c r="D30" s="158" t="str">
        <f t="shared" si="0"/>
        <v>Generators</v>
      </c>
      <c r="E30" s="155" t="str">
        <f>'Constants - Fuel'!$D$75</f>
        <v>Biofuels other than those mentioned in the items above and below</v>
      </c>
      <c r="F30" s="155" t="str">
        <f>'Constants - Fuel'!D136</f>
        <v>Other biofuels</v>
      </c>
      <c r="G30" s="15">
        <f>IFERROR(_xlfn.XLOOKUP($E30, Table_Fuel_EFs_StationaryLiquid[Fuel combusted], Table_Fuel_EFs_StationaryLiquid[Energy Content Factor (GJ per unit of fuel)]),0)</f>
        <v>23.4</v>
      </c>
      <c r="H30" s="15">
        <f>IFERROR(_xlfn.XLOOKUP($E30, Table_Fuel_EFs_StationaryLiquid[Fuel combusted], Table_Fuel_EFs_StationaryLiquid[Scope 1 Emission Factor (kg CO2 - e / GJ) CO2]),0)</f>
        <v>0</v>
      </c>
      <c r="I30" s="15">
        <f>IFERROR(_xlfn.XLOOKUP($E30, Table_Fuel_EFs_StationaryLiquid[Fuel combusted], Table_Fuel_EFs_StationaryLiquid[Scope 1 Emission Factor (kg CO2 - e / GJ) CH4]),0)</f>
        <v>0.08</v>
      </c>
      <c r="J30" s="15">
        <f>IFERROR(_xlfn.XLOOKUP($E30, Table_Fuel_EFs_StationaryLiquid[Fuel combusted], Table_Fuel_EFs_StationaryLiquid[Scope 1 Emission Factor (kg CO2 - e / GJ) N2O]),0)</f>
        <v>0.2</v>
      </c>
      <c r="K30" s="15" t="str">
        <f>IFERROR(_xlfn.XLOOKUP($E30, Table_Fuel_EFs_StationaryLiquid[Fuel combusted], Table_Fuel_EFs_StationaryLiquid[Scope 3 Emission Factor (kg CO2 - e / GJ)]),0)</f>
        <v>NE</v>
      </c>
      <c r="L30" s="156" cm="1">
        <f t="array" ref="L30">Fuel_InputFunctions.Fuel_TotalConsumption(Table_Input_Fuel[Amount consumed], Table_Input_Fuel[Fuel use (select)], D30, Table_Input_Fuel[Fuel type (select)],F30)</f>
        <v>0</v>
      </c>
      <c r="M30" s="156" t="str" cm="1">
        <f t="array" ref="M30">Common_InputFunctions.Utility_LookupValueInTable(F30,Table_FuelTypes_Units[Fuel type],Table_FuelTypes_Units[Unit])</f>
        <v>kL</v>
      </c>
      <c r="N30" s="178">
        <f>((($L30 * $G30 * H30) * 10 ^ -3))</f>
        <v>0</v>
      </c>
      <c r="O30" s="178">
        <f>((($L30 * $G30 * I30) * 10 ^ -3))</f>
        <v>0</v>
      </c>
      <c r="P30" s="178">
        <f>((($L30 * $G30 * J30) * 10 ^ -3))</f>
        <v>0</v>
      </c>
      <c r="Q30" s="178">
        <f>((($L30 * $G30 * ((IF(ISNUMBER(K30), K30, 0)))) * 10 ^ -3))</f>
        <v>0</v>
      </c>
    </row>
    <row r="31" spans="1:17" ht="20.100000000000001" customHeight="1" x14ac:dyDescent="0.2">
      <c r="A31" s="5" t="str">
        <f>HYPERLINK("#'4.6.1.9 Manure applied to soils'!A1", "4.6.1.9 Manure applied to soils")</f>
        <v>4.6.1.9 Manure applied to soils</v>
      </c>
      <c r="D31" s="158" t="str">
        <f t="shared" si="0"/>
        <v>Generators</v>
      </c>
      <c r="E31" s="155" t="str">
        <f>'Constants - Fuel'!$D$77</f>
        <v>Renewable diesel</v>
      </c>
      <c r="F31" s="155" t="str">
        <f>'Constants - Fuel'!D137</f>
        <v>Renewable diesel</v>
      </c>
      <c r="G31" s="152">
        <f>IFERROR(_xlfn.XLOOKUP($E31, Table_Fuel_EFs_StationaryLiquid[Fuel combusted], Table_Fuel_EFs_StationaryLiquid[Energy Content Factor (GJ per unit of fuel)]),0)</f>
        <v>38.6</v>
      </c>
      <c r="H31" s="152">
        <f>IFERROR(_xlfn.XLOOKUP($E31, Table_Fuel_EFs_StationaryLiquid[Fuel combusted], Table_Fuel_EFs_StationaryLiquid[Scope 1 Emission Factor (kg CO2 - e / GJ) CO2]),0)</f>
        <v>0</v>
      </c>
      <c r="I31" s="152">
        <f>IFERROR(_xlfn.XLOOKUP($E31, Table_Fuel_EFs_StationaryLiquid[Fuel combusted], Table_Fuel_EFs_StationaryLiquid[Scope 1 Emission Factor (kg CO2 - e / GJ) CH4]),0)</f>
        <v>0.1</v>
      </c>
      <c r="J31" s="152">
        <f>IFERROR(_xlfn.XLOOKUP($E31, Table_Fuel_EFs_StationaryLiquid[Fuel combusted], Table_Fuel_EFs_StationaryLiquid[Scope 1 Emission Factor (kg CO2 - e / GJ) N2O]),0)</f>
        <v>0.2</v>
      </c>
      <c r="K31" s="152" t="str">
        <f>IFERROR(_xlfn.XLOOKUP($E31, Table_Fuel_EFs_StationaryLiquid[Fuel combusted], Table_Fuel_EFs_StationaryLiquid[Scope 3 Emission Factor (kg CO2 - e / GJ)]),0)</f>
        <v>NE</v>
      </c>
      <c r="L31" s="159" cm="1">
        <f t="array" ref="L31">Fuel_InputFunctions.Fuel_TotalConsumption(Table_Input_Fuel[Amount consumed], Table_Input_Fuel[Fuel use (select)], D31, Table_Input_Fuel[Fuel type (select)],F31)</f>
        <v>0</v>
      </c>
      <c r="M31" s="159" t="str" cm="1">
        <f t="array" ref="M31">Common_InputFunctions.Utility_LookupValueInTable(F31,Table_FuelTypes_Units[Fuel type],Table_FuelTypes_Units[Unit])</f>
        <v>kL</v>
      </c>
      <c r="N31" s="179">
        <f>((($L31 * $G31 * H31) * 10 ^ -3))</f>
        <v>0</v>
      </c>
      <c r="O31" s="179">
        <f>((($L31 * $G31 * I31) * 10 ^ -3))</f>
        <v>0</v>
      </c>
      <c r="P31" s="179">
        <f>((($L31 * $G31 * J31) * 10 ^ -3))</f>
        <v>0</v>
      </c>
      <c r="Q31" s="179">
        <f>((($L31 * $G31 * ((IF(ISNUMBER(K31), K31, 0)))) * 10 ^ -3))</f>
        <v>0</v>
      </c>
    </row>
    <row r="32" spans="1:17" ht="20.100000000000001" customHeight="1" x14ac:dyDescent="0.2">
      <c r="A32" s="5" t="str">
        <f>HYPERLINK("#'4.6.1.10-11 Soil direct N2O'!A1", "4.6.1.10-11 Soil direct N2O")</f>
        <v>4.6.1.10-11 Soil direct N2O</v>
      </c>
      <c r="D32" s="161" t="str">
        <f>Table_FuelTypesPerUse[[#Headers],[Power standalone machinery or heating]]</f>
        <v>Power standalone machinery or heating</v>
      </c>
      <c r="E32" s="162" t="str">
        <f>'Constants - Fuel'!$D$58</f>
        <v>Automotive gasoline / petrol (other than for use as fuel in an aircraft)</v>
      </c>
      <c r="F32" s="162" t="str">
        <f>'Constants - Fuel'!E131</f>
        <v>Petrol</v>
      </c>
      <c r="G32" s="169">
        <f>IFERROR(_xlfn.XLOOKUP($E32, Table_Fuel_EFs_StationaryLiquid[Fuel combusted], Table_Fuel_EFs_StationaryLiquid[Energy Content Factor (GJ per unit of fuel)]),0)</f>
        <v>34.200000000000003</v>
      </c>
      <c r="H32" s="169">
        <f>IFERROR(_xlfn.XLOOKUP($E32, Table_Fuel_EFs_StationaryLiquid[Fuel combusted], Table_Fuel_EFs_StationaryLiquid[Scope 1 Emission Factor (kg CO2 - e / GJ) CO2]),0)</f>
        <v>67.400000000000006</v>
      </c>
      <c r="I32" s="169">
        <f>IFERROR(_xlfn.XLOOKUP($E32, Table_Fuel_EFs_StationaryLiquid[Fuel combusted], Table_Fuel_EFs_StationaryLiquid[Scope 1 Emission Factor (kg CO2 - e / GJ) CH4]),0)</f>
        <v>0.2</v>
      </c>
      <c r="J32" s="169">
        <f>IFERROR(_xlfn.XLOOKUP($E32, Table_Fuel_EFs_StationaryLiquid[Fuel combusted], Table_Fuel_EFs_StationaryLiquid[Scope 1 Emission Factor (kg CO2 - e / GJ) N2O]),0)</f>
        <v>0.2</v>
      </c>
      <c r="K32" s="169">
        <f>IFERROR(_xlfn.XLOOKUP($E32, Table_Fuel_EFs_StationaryLiquid[Fuel combusted], Table_Fuel_EFs_StationaryLiquid[Scope 3 Emission Factor (kg CO2 - e / GJ)]),0)</f>
        <v>17.2</v>
      </c>
      <c r="L32" s="165" cm="1">
        <f t="array" ref="L32">Fuel_InputFunctions.Fuel_TotalConsumption(Table_Input_Fuel[Amount consumed], Table_Input_Fuel[Fuel use (select)], D32, Table_Input_Fuel[Fuel type (select)],F32)</f>
        <v>10</v>
      </c>
      <c r="M32" s="166" t="str" cm="1">
        <f t="array" ref="M32">Common_InputFunctions.Utility_LookupValueInTable(F32,Table_FuelTypes_Units[Fuel type],Table_FuelTypes_Units[Unit])</f>
        <v>kL</v>
      </c>
      <c r="N32" s="180">
        <f>((($L32 * $G32 * H32) * 10 ^ -3))</f>
        <v>23.050800000000002</v>
      </c>
      <c r="O32" s="180">
        <f>((($L32 * $G32 * I32) * 10 ^ -3))</f>
        <v>6.8400000000000002E-2</v>
      </c>
      <c r="P32" s="180">
        <f>((($L32 * $G32 * J32) * 10 ^ -3))</f>
        <v>6.8400000000000002E-2</v>
      </c>
      <c r="Q32" s="180">
        <f>((($L32 * $G32 * ((IF(ISNUMBER(K32), K32, 0)))) * 10 ^ -3))</f>
        <v>5.8823999999999996</v>
      </c>
    </row>
    <row r="33" spans="1:17" ht="20.100000000000001" customHeight="1" x14ac:dyDescent="0.2">
      <c r="A33" s="5" t="str">
        <f>HYPERLINK("#'4.6.1.12-13 Soil atmos dep'!A1", "4.6.1.12-13 Soil atmos dep")</f>
        <v>4.6.1.12-13 Soil atmos dep</v>
      </c>
      <c r="D33" s="158" t="str">
        <f t="shared" ref="D33:D40" si="1">$D$32</f>
        <v>Power standalone machinery or heating</v>
      </c>
      <c r="E33" s="155" t="str">
        <f>'Constants - Fuel'!$D$63</f>
        <v>Diesel oil</v>
      </c>
      <c r="F33" s="155" t="str">
        <f>'Constants - Fuel'!E132</f>
        <v>Diesel</v>
      </c>
      <c r="G33" s="15">
        <f>IFERROR(_xlfn.XLOOKUP($E33, Table_Fuel_EFs_StationaryLiquid[Fuel combusted], Table_Fuel_EFs_StationaryLiquid[Energy Content Factor (GJ per unit of fuel)]),0)</f>
        <v>38.6</v>
      </c>
      <c r="H33" s="15">
        <f>IFERROR(_xlfn.XLOOKUP($E33, Table_Fuel_EFs_StationaryLiquid[Fuel combusted], Table_Fuel_EFs_StationaryLiquid[Scope 1 Emission Factor (kg CO2 - e / GJ) CO2]),0)</f>
        <v>69.900000000000006</v>
      </c>
      <c r="I33" s="15">
        <f>IFERROR(_xlfn.XLOOKUP($E33, Table_Fuel_EFs_StationaryLiquid[Fuel combusted], Table_Fuel_EFs_StationaryLiquid[Scope 1 Emission Factor (kg CO2 - e / GJ) CH4]),0)</f>
        <v>0.1</v>
      </c>
      <c r="J33" s="15">
        <f>IFERROR(_xlfn.XLOOKUP($E33, Table_Fuel_EFs_StationaryLiquid[Fuel combusted], Table_Fuel_EFs_StationaryLiquid[Scope 1 Emission Factor (kg CO2 - e / GJ) N2O]),0)</f>
        <v>0.2</v>
      </c>
      <c r="K33" s="15">
        <f>IFERROR(_xlfn.XLOOKUP($E33, Table_Fuel_EFs_StationaryLiquid[Fuel combusted], Table_Fuel_EFs_StationaryLiquid[Scope 3 Emission Factor (kg CO2 - e / GJ)]),0)</f>
        <v>17.3</v>
      </c>
      <c r="L33" s="15" cm="1">
        <f t="array" ref="L33">Fuel_InputFunctions.Fuel_TotalConsumption(Table_Input_Fuel[Amount consumed], Table_Input_Fuel[Fuel use (select)], D33, Table_Input_Fuel[Fuel type (select)],F33)</f>
        <v>0</v>
      </c>
      <c r="M33" s="15" t="str" cm="1">
        <f t="array" ref="M33">Common_InputFunctions.Utility_LookupValueInTable(F33,Table_FuelTypes_Units[Fuel type],Table_FuelTypes_Units[Unit])</f>
        <v>kL</v>
      </c>
      <c r="N33" s="178">
        <f>((($L33 * $G33 * H33) * 10 ^ -3))</f>
        <v>0</v>
      </c>
      <c r="O33" s="178">
        <f>((($L33 * $G33 * I33) * 10 ^ -3))</f>
        <v>0</v>
      </c>
      <c r="P33" s="178">
        <f>((($L33 * $G33 * J33) * 10 ^ -3))</f>
        <v>0</v>
      </c>
      <c r="Q33" s="178">
        <f>((($L33 * $G33 * ((IF(ISNUMBER(K33), K33, 0)))) * 10 ^ -3))</f>
        <v>0</v>
      </c>
    </row>
    <row r="34" spans="1:17" ht="20.100000000000001" customHeight="1" x14ac:dyDescent="0.2">
      <c r="A34" s="5" t="str">
        <f>HYPERLINK("#'4.6.1.14-15 Soil leach runoff'!A1", "4.6.1.14-15 Soil leach runoff")</f>
        <v>4.6.1.14-15 Soil leach runoff</v>
      </c>
      <c r="D34" s="158" t="str">
        <f t="shared" si="1"/>
        <v>Power standalone machinery or heating</v>
      </c>
      <c r="E34" s="155" t="str">
        <f>'Constants - Fuel'!$D$67</f>
        <v>Liquefied petroleum gas (LPG)</v>
      </c>
      <c r="F34" s="155" t="str">
        <f>'Constants - Fuel'!E133</f>
        <v>Liquefied petroleum gas (LPG)</v>
      </c>
      <c r="G34" s="15">
        <f>IFERROR(_xlfn.XLOOKUP($E34, Table_Fuel_EFs_StationaryLiquid[Fuel combusted], Table_Fuel_EFs_StationaryLiquid[Energy Content Factor (GJ per unit of fuel)]),0)</f>
        <v>25.7</v>
      </c>
      <c r="H34" s="15">
        <f>IFERROR(_xlfn.XLOOKUP($E34, Table_Fuel_EFs_StationaryLiquid[Fuel combusted], Table_Fuel_EFs_StationaryLiquid[Scope 1 Emission Factor (kg CO2 - e / GJ) CO2]),0)</f>
        <v>60.2</v>
      </c>
      <c r="I34" s="15">
        <f>IFERROR(_xlfn.XLOOKUP($E34, Table_Fuel_EFs_StationaryLiquid[Fuel combusted], Table_Fuel_EFs_StationaryLiquid[Scope 1 Emission Factor (kg CO2 - e / GJ) CH4]),0)</f>
        <v>0.2</v>
      </c>
      <c r="J34" s="15">
        <f>IFERROR(_xlfn.XLOOKUP($E34, Table_Fuel_EFs_StationaryLiquid[Fuel combusted], Table_Fuel_EFs_StationaryLiquid[Scope 1 Emission Factor (kg CO2 - e / GJ) N2O]),0)</f>
        <v>0.2</v>
      </c>
      <c r="K34" s="15">
        <f>IFERROR(_xlfn.XLOOKUP($E34, Table_Fuel_EFs_StationaryLiquid[Fuel combusted], Table_Fuel_EFs_StationaryLiquid[Scope 3 Emission Factor (kg CO2 - e / GJ)]),0)</f>
        <v>20.2</v>
      </c>
      <c r="L34" s="15" cm="1">
        <f t="array" ref="L34">Fuel_InputFunctions.Fuel_TotalConsumption(Table_Input_Fuel[Amount consumed], Table_Input_Fuel[Fuel use (select)], D34, Table_Input_Fuel[Fuel type (select)],F34)</f>
        <v>0</v>
      </c>
      <c r="M34" s="15" t="str" cm="1">
        <f t="array" ref="M34">Common_InputFunctions.Utility_LookupValueInTable(F34,Table_FuelTypes_Units[Fuel type],Table_FuelTypes_Units[Unit])</f>
        <v>kL</v>
      </c>
      <c r="N34" s="178">
        <f>((($L34 * $G34 * H34) * 10 ^ -3))</f>
        <v>0</v>
      </c>
      <c r="O34" s="178">
        <f>((($L34 * $G34 * I34) * 10 ^ -3))</f>
        <v>0</v>
      </c>
      <c r="P34" s="178">
        <f>((($L34 * $G34 * J34) * 10 ^ -3))</f>
        <v>0</v>
      </c>
      <c r="Q34" s="178">
        <f>((($L34 * $G34 * ((IF(ISNUMBER(K34), K34, 0)))) * 10 ^ -3))</f>
        <v>0</v>
      </c>
    </row>
    <row r="35" spans="1:17" ht="20.100000000000001" customHeight="1" x14ac:dyDescent="0.2">
      <c r="A35" s="5" t="str">
        <f>HYPERLINK("#'8.1.1.1-2 Transport fuel'!A1", "8.1.1.1-2 Transport fuel")</f>
        <v>8.1.1.1-2 Transport fuel</v>
      </c>
      <c r="D35" s="158" t="str">
        <f t="shared" si="1"/>
        <v>Power standalone machinery or heating</v>
      </c>
      <c r="E35" s="155" t="str">
        <f>'Constants - Fuel'!$D$73</f>
        <v>Biodiesel</v>
      </c>
      <c r="F35" s="155" t="str">
        <f>'Constants - Fuel'!E134</f>
        <v>Biodiesel</v>
      </c>
      <c r="G35" s="15">
        <f>IFERROR(_xlfn.XLOOKUP($E35, Table_Fuel_EFs_StationaryLiquid[Fuel combusted], Table_Fuel_EFs_StationaryLiquid[Energy Content Factor (GJ per unit of fuel)]),0)</f>
        <v>34.6</v>
      </c>
      <c r="H35" s="15">
        <f>IFERROR(_xlfn.XLOOKUP($E35, Table_Fuel_EFs_StationaryLiquid[Fuel combusted], Table_Fuel_EFs_StationaryLiquid[Scope 1 Emission Factor (kg CO2 - e / GJ) CO2]),0)</f>
        <v>0</v>
      </c>
      <c r="I35" s="15">
        <f>IFERROR(_xlfn.XLOOKUP($E35, Table_Fuel_EFs_StationaryLiquid[Fuel combusted], Table_Fuel_EFs_StationaryLiquid[Scope 1 Emission Factor (kg CO2 - e / GJ) CH4]),0)</f>
        <v>0.08</v>
      </c>
      <c r="J35" s="15">
        <f>IFERROR(_xlfn.XLOOKUP($E35, Table_Fuel_EFs_StationaryLiquid[Fuel combusted], Table_Fuel_EFs_StationaryLiquid[Scope 1 Emission Factor (kg CO2 - e / GJ) N2O]),0)</f>
        <v>0.2</v>
      </c>
      <c r="K35" s="15" t="str">
        <f>IFERROR(_xlfn.XLOOKUP($E35, Table_Fuel_EFs_StationaryLiquid[Fuel combusted], Table_Fuel_EFs_StationaryLiquid[Scope 3 Emission Factor (kg CO2 - e / GJ)]),0)</f>
        <v>NE</v>
      </c>
      <c r="L35" s="15" cm="1">
        <f t="array" ref="L35">Fuel_InputFunctions.Fuel_TotalConsumption(Table_Input_Fuel[Amount consumed], Table_Input_Fuel[Fuel use (select)], D35, Table_Input_Fuel[Fuel type (select)],F35)</f>
        <v>0</v>
      </c>
      <c r="M35" s="15" t="str" cm="1">
        <f t="array" ref="M35">Common_InputFunctions.Utility_LookupValueInTable(F35,Table_FuelTypes_Units[Fuel type],Table_FuelTypes_Units[Unit])</f>
        <v>kL</v>
      </c>
      <c r="N35" s="178">
        <f>((($L35 * $G35 * H35) * 10 ^ -3))</f>
        <v>0</v>
      </c>
      <c r="O35" s="178">
        <f>((($L35 * $G35 * I35) * 10 ^ -3))</f>
        <v>0</v>
      </c>
      <c r="P35" s="178">
        <f>((($L35 * $G35 * J35) * 10 ^ -3))</f>
        <v>0</v>
      </c>
      <c r="Q35" s="178">
        <f>((($L35 * $G35 * ((IF(ISNUMBER(K35), K35, 0)))) * 10 ^ -3))</f>
        <v>0</v>
      </c>
    </row>
    <row r="36" spans="1:17" ht="20.100000000000001" customHeight="1" x14ac:dyDescent="0.2">
      <c r="A36" s="117" t="str">
        <f>HYPERLINK("#'8.2.1.1-2 Stationary fuel'!A1", "8.2.1.1-2 Stationary fuel")</f>
        <v>8.2.1.1-2 Stationary fuel</v>
      </c>
      <c r="D36" s="158" t="str">
        <f t="shared" si="1"/>
        <v>Power standalone machinery or heating</v>
      </c>
      <c r="E36" s="155" t="str">
        <f>'Constants - Fuel'!$D$74</f>
        <v>Ethanol for use as a fuel in an internal combustion engine</v>
      </c>
      <c r="F36" s="155" t="str">
        <f>'Constants - Fuel'!E135</f>
        <v>Ethanol</v>
      </c>
      <c r="G36" s="15">
        <f>IFERROR(_xlfn.XLOOKUP($E36, Table_Fuel_EFs_StationaryLiquid[Fuel combusted], Table_Fuel_EFs_StationaryLiquid[Energy Content Factor (GJ per unit of fuel)]),0)</f>
        <v>23.4</v>
      </c>
      <c r="H36" s="15">
        <f>IFERROR(_xlfn.XLOOKUP($E36, Table_Fuel_EFs_StationaryLiquid[Fuel combusted], Table_Fuel_EFs_StationaryLiquid[Scope 1 Emission Factor (kg CO2 - e / GJ) CO2]),0)</f>
        <v>0</v>
      </c>
      <c r="I36" s="15">
        <f>IFERROR(_xlfn.XLOOKUP($E36, Table_Fuel_EFs_StationaryLiquid[Fuel combusted], Table_Fuel_EFs_StationaryLiquid[Scope 1 Emission Factor (kg CO2 - e / GJ) CH4]),0)</f>
        <v>0.08</v>
      </c>
      <c r="J36" s="15">
        <f>IFERROR(_xlfn.XLOOKUP($E36, Table_Fuel_EFs_StationaryLiquid[Fuel combusted], Table_Fuel_EFs_StationaryLiquid[Scope 1 Emission Factor (kg CO2 - e / GJ) N2O]),0)</f>
        <v>0.2</v>
      </c>
      <c r="K36" s="15" t="str">
        <f>IFERROR(_xlfn.XLOOKUP($E36, Table_Fuel_EFs_StationaryLiquid[Fuel combusted], Table_Fuel_EFs_StationaryLiquid[Scope 3 Emission Factor (kg CO2 - e / GJ)]),0)</f>
        <v>NE</v>
      </c>
      <c r="L36" s="15" cm="1">
        <f t="array" ref="L36">Fuel_InputFunctions.Fuel_TotalConsumption(Table_Input_Fuel[Amount consumed], Table_Input_Fuel[Fuel use (select)], D36, Table_Input_Fuel[Fuel type (select)],F36)</f>
        <v>0</v>
      </c>
      <c r="M36" s="15" t="str" cm="1">
        <f t="array" ref="M36">Common_InputFunctions.Utility_LookupValueInTable(F36,Table_FuelTypes_Units[Fuel type],Table_FuelTypes_Units[Unit])</f>
        <v>kL</v>
      </c>
      <c r="N36" s="178">
        <f>((($L36 * $G36 * H36) * 10 ^ -3))</f>
        <v>0</v>
      </c>
      <c r="O36" s="178">
        <f>((($L36 * $G36 * I36) * 10 ^ -3))</f>
        <v>0</v>
      </c>
      <c r="P36" s="178">
        <f>((($L36 * $G36 * J36) * 10 ^ -3))</f>
        <v>0</v>
      </c>
      <c r="Q36" s="178">
        <f>((($L36 * $G36 * ((IF(ISNUMBER(K36), K36, 0)))) * 10 ^ -3))</f>
        <v>0</v>
      </c>
    </row>
    <row r="37" spans="1:17" ht="20.100000000000001" customHeight="1" x14ac:dyDescent="0.2">
      <c r="A37" s="5" t="str">
        <f>HYPERLINK("#'10.1.1-2 Solid waste treatment'!A1", "10.1.1.1-2 Solid waste")</f>
        <v>10.1.1.1-2 Solid waste</v>
      </c>
      <c r="D37" s="158" t="str">
        <f t="shared" si="1"/>
        <v>Power standalone machinery or heating</v>
      </c>
      <c r="E37" s="155" t="str">
        <f>'Constants - Fuel'!$D$75</f>
        <v>Biofuels other than those mentioned in the items above and below</v>
      </c>
      <c r="F37" s="155" t="str">
        <f>'Constants - Fuel'!E136</f>
        <v>Other biofuels</v>
      </c>
      <c r="G37" s="15">
        <f>IFERROR(_xlfn.XLOOKUP($E37, Table_Fuel_EFs_StationaryLiquid[Fuel combusted], Table_Fuel_EFs_StationaryLiquid[Energy Content Factor (GJ per unit of fuel)]),0)</f>
        <v>23.4</v>
      </c>
      <c r="H37" s="15">
        <f>IFERROR(_xlfn.XLOOKUP($E37, Table_Fuel_EFs_StationaryLiquid[Fuel combusted], Table_Fuel_EFs_StationaryLiquid[Scope 1 Emission Factor (kg CO2 - e / GJ) CO2]),0)</f>
        <v>0</v>
      </c>
      <c r="I37" s="15">
        <f>IFERROR(_xlfn.XLOOKUP($E37, Table_Fuel_EFs_StationaryLiquid[Fuel combusted], Table_Fuel_EFs_StationaryLiquid[Scope 1 Emission Factor (kg CO2 - e / GJ) CH4]),0)</f>
        <v>0.08</v>
      </c>
      <c r="J37" s="15">
        <f>IFERROR(_xlfn.XLOOKUP($E37, Table_Fuel_EFs_StationaryLiquid[Fuel combusted], Table_Fuel_EFs_StationaryLiquid[Scope 1 Emission Factor (kg CO2 - e / GJ) N2O]),0)</f>
        <v>0.2</v>
      </c>
      <c r="K37" s="15" t="str">
        <f>IFERROR(_xlfn.XLOOKUP($E37, Table_Fuel_EFs_StationaryLiquid[Fuel combusted], Table_Fuel_EFs_StationaryLiquid[Scope 3 Emission Factor (kg CO2 - e / GJ)]),0)</f>
        <v>NE</v>
      </c>
      <c r="L37" s="15" cm="1">
        <f t="array" ref="L37">Fuel_InputFunctions.Fuel_TotalConsumption(Table_Input_Fuel[Amount consumed], Table_Input_Fuel[Fuel use (select)], D37, Table_Input_Fuel[Fuel type (select)],F37)</f>
        <v>0</v>
      </c>
      <c r="M37" s="15" t="str" cm="1">
        <f t="array" ref="M37">Common_InputFunctions.Utility_LookupValueInTable(F37,Table_FuelTypes_Units[Fuel type],Table_FuelTypes_Units[Unit])</f>
        <v>kL</v>
      </c>
      <c r="N37" s="178">
        <f>((($L37 * $G37 * H37) * 10 ^ -3))</f>
        <v>0</v>
      </c>
      <c r="O37" s="178">
        <f>((($L37 * $G37 * I37) * 10 ^ -3))</f>
        <v>0</v>
      </c>
      <c r="P37" s="178">
        <f>((($L37 * $G37 * J37) * 10 ^ -3))</f>
        <v>0</v>
      </c>
      <c r="Q37" s="178">
        <f>((($L37 * $G37 * ((IF(ISNUMBER(K37), K37, 0)))) * 10 ^ -3))</f>
        <v>0</v>
      </c>
    </row>
    <row r="38" spans="1:17" ht="20.100000000000001" customHeight="1" x14ac:dyDescent="0.2">
      <c r="A38" s="5" t="str">
        <f>HYPERLINK("#'14.1.1-2 Purchased electricity'!A1", "14.1.1-2 Purchased electricity")</f>
        <v>14.1.1-2 Purchased electricity</v>
      </c>
      <c r="D38" s="158" t="str">
        <f t="shared" si="1"/>
        <v>Power standalone machinery or heating</v>
      </c>
      <c r="E38" s="155" t="str">
        <f>'Constants - Fuel'!$D$77</f>
        <v>Renewable diesel</v>
      </c>
      <c r="F38" s="155" t="str">
        <f>'Constants - Fuel'!E137</f>
        <v>Renewable diesel</v>
      </c>
      <c r="G38" s="15">
        <f>IFERROR(_xlfn.XLOOKUP($E38, Table_Fuel_EFs_StationaryLiquid[Fuel combusted], Table_Fuel_EFs_StationaryLiquid[Energy Content Factor (GJ per unit of fuel)]),0)</f>
        <v>38.6</v>
      </c>
      <c r="H38" s="15">
        <f>IFERROR(_xlfn.XLOOKUP($E38, Table_Fuel_EFs_StationaryLiquid[Fuel combusted], Table_Fuel_EFs_StationaryLiquid[Scope 1 Emission Factor (kg CO2 - e / GJ) CO2]),0)</f>
        <v>0</v>
      </c>
      <c r="I38" s="15">
        <f>IFERROR(_xlfn.XLOOKUP($E38, Table_Fuel_EFs_StationaryLiquid[Fuel combusted], Table_Fuel_EFs_StationaryLiquid[Scope 1 Emission Factor (kg CO2 - e / GJ) CH4]),0)</f>
        <v>0.1</v>
      </c>
      <c r="J38" s="15">
        <f>IFERROR(_xlfn.XLOOKUP($E38, Table_Fuel_EFs_StationaryLiquid[Fuel combusted], Table_Fuel_EFs_StationaryLiquid[Scope 1 Emission Factor (kg CO2 - e / GJ) N2O]),0)</f>
        <v>0.2</v>
      </c>
      <c r="K38" s="15" t="str">
        <f>IFERROR(_xlfn.XLOOKUP($E38, Table_Fuel_EFs_StationaryLiquid[Fuel combusted], Table_Fuel_EFs_StationaryLiquid[Scope 3 Emission Factor (kg CO2 - e / GJ)]),0)</f>
        <v>NE</v>
      </c>
      <c r="L38" s="15" cm="1">
        <f t="array" ref="L38">Fuel_InputFunctions.Fuel_TotalConsumption(Table_Input_Fuel[Amount consumed], Table_Input_Fuel[Fuel use (select)], D38, Table_Input_Fuel[Fuel type (select)],F38)</f>
        <v>0</v>
      </c>
      <c r="M38" s="15" t="str" cm="1">
        <f t="array" ref="M38">Common_InputFunctions.Utility_LookupValueInTable(F38,Table_FuelTypes_Units[Fuel type],Table_FuelTypes_Units[Unit])</f>
        <v>kL</v>
      </c>
      <c r="N38" s="178">
        <f>((($L38 * $G38 * H38) * 10 ^ -3))</f>
        <v>0</v>
      </c>
      <c r="O38" s="178">
        <f>((($L38 * $G38 * I38) * 10 ^ -3))</f>
        <v>0</v>
      </c>
      <c r="P38" s="178">
        <f>((($L38 * $G38 * J38) * 10 ^ -3))</f>
        <v>0</v>
      </c>
      <c r="Q38" s="178">
        <f>((($L38 * $G38 * ((IF(ISNUMBER(K38), K38, 0)))) * 10 ^ -3))</f>
        <v>0</v>
      </c>
    </row>
    <row r="39" spans="1:17" ht="20.100000000000001" customHeight="1" x14ac:dyDescent="0.2">
      <c r="A39" s="5" t="str">
        <f>HYPERLINK("#'15 Scope 3'!A1", "15 Scope 3")</f>
        <v>15 Scope 3</v>
      </c>
      <c r="D39" s="158" t="str">
        <f t="shared" si="1"/>
        <v>Power standalone machinery or heating</v>
      </c>
      <c r="E39" s="155" t="str">
        <f>'Constants - Fuel'!$D$103</f>
        <v>Natural gas distributed in a pipeline - Gigajoules</v>
      </c>
      <c r="F39" s="155" t="str">
        <f>'Constants - Fuel'!E138</f>
        <v>Natural gas (via pipeline) in GJ</v>
      </c>
      <c r="G39" s="15">
        <f>IFERROR(_xlfn.XLOOKUP($E39, Table_Fuel_EFs_StationaryGaseous[Fuel combusted], Table_Fuel_EFs_StationaryGaseous[Energy Content Factor (GJ per unit of fuel)]),0)</f>
        <v>1</v>
      </c>
      <c r="H39" s="15">
        <f>IFERROR(_xlfn.XLOOKUP($E39, Table_Fuel_EFs_StationaryGaseous[Fuel combusted], Table_Fuel_EFs_StationaryGaseous[Scope 1 Emission Factor (kg CO2 - e / GJ) CO2]),0)</f>
        <v>51.4</v>
      </c>
      <c r="I39" s="15">
        <f>IFERROR(_xlfn.XLOOKUP($E39, Table_Fuel_EFs_StationaryGaseous[Fuel combusted], Table_Fuel_EFs_StationaryGaseous[Scope 1 Emission Factor (kg CO2 - e / GJ) CH4]),0)</f>
        <v>0.1</v>
      </c>
      <c r="J39" s="15">
        <f>IFERROR(_xlfn.XLOOKUP($E39, Table_Fuel_EFs_StationaryGaseous[Fuel combusted], Table_Fuel_EFs_StationaryGaseous[Scope 1 Emission Factor (kg CO2 - e / GJ) N2O]),0)</f>
        <v>0.03</v>
      </c>
      <c r="K39" s="15" cm="1">
        <f t="array" ref="K39">IFERROR(Common_InputFunctions.Utility_LookupValueInTableOneColumnAndHeader($P$17,$P$18,Table_Fuel_EFs_StationaryGaseous34[State or territory],Table_Fuel_EFs_StationaryGaseous34[#Headers],Table_Fuel_EFs_StationaryGaseous34[#Data]),0)</f>
        <v>4.0999999999999996</v>
      </c>
      <c r="L39" s="156" cm="1">
        <f t="array" ref="L39">Fuel_InputFunctions.Fuel_TotalConsumption(Table_Input_Fuel[Amount consumed], Table_Input_Fuel[Fuel use (select)], D39, Table_Input_Fuel[Fuel type (select)],F39)</f>
        <v>0</v>
      </c>
      <c r="M39" s="156" t="str" cm="1">
        <f t="array" ref="M39">Common_InputFunctions.Utility_LookupValueInTable(F39,Table_FuelTypes_Units[Fuel type],Table_FuelTypes_Units[Unit])</f>
        <v>GJ</v>
      </c>
      <c r="N39" s="178">
        <f>((($L39 * $G39 * H39) * 10 ^ -3))</f>
        <v>0</v>
      </c>
      <c r="O39" s="178">
        <f>((($L39 * $G39 * I39) * 10 ^ -3))</f>
        <v>0</v>
      </c>
      <c r="P39" s="178">
        <f>((($L39 * $G39 * J39) * 10 ^ -3))</f>
        <v>0</v>
      </c>
      <c r="Q39" s="178">
        <f>((($L39 * $G39 * ((IF(ISNUMBER(K39), K39, 0)))) * 10 ^ -3))</f>
        <v>0</v>
      </c>
    </row>
    <row r="40" spans="1:17" ht="20.100000000000001" customHeight="1" x14ac:dyDescent="0.2">
      <c r="A40" s="5" t="str">
        <f>HYPERLINK("#'Calcs - Manure sent off-site'!A1", "Calcs - Manure sent off-site")</f>
        <v>Calcs - Manure sent off-site</v>
      </c>
      <c r="D40" s="158" t="str">
        <f t="shared" si="1"/>
        <v>Power standalone machinery or heating</v>
      </c>
      <c r="E40" s="155" t="str">
        <f>'Constants - Fuel'!$D$104</f>
        <v>Town gas - Gigajoules</v>
      </c>
      <c r="F40" s="155" t="str">
        <f>'Constants - Fuel'!E139</f>
        <v>Town gas in GJ</v>
      </c>
      <c r="G40" s="15">
        <f>IFERROR(_xlfn.XLOOKUP($E40, Table_Fuel_EFs_StationaryGaseous[Fuel combusted], Table_Fuel_EFs_StationaryGaseous[Energy Content Factor (GJ per unit of fuel)]),0)</f>
        <v>1</v>
      </c>
      <c r="H40" s="15">
        <f>IFERROR(_xlfn.XLOOKUP($E40, Table_Fuel_EFs_StationaryGaseous[Fuel combusted], Table_Fuel_EFs_StationaryGaseous[Scope 1 Emission Factor (kg CO2 - e / GJ) CO2]),0)</f>
        <v>60.2</v>
      </c>
      <c r="I40" s="15">
        <f>IFERROR(_xlfn.XLOOKUP($E40, Table_Fuel_EFs_StationaryGaseous[Fuel combusted], Table_Fuel_EFs_StationaryGaseous[Scope 1 Emission Factor (kg CO2 - e / GJ) CH4]),0)</f>
        <v>0.04</v>
      </c>
      <c r="J40" s="15">
        <f>IFERROR(_xlfn.XLOOKUP($E40, Table_Fuel_EFs_StationaryGaseous[Fuel combusted], Table_Fuel_EFs_StationaryGaseous[Scope 1 Emission Factor (kg CO2 - e / GJ) N2O]),0)</f>
        <v>0.03</v>
      </c>
      <c r="K40" s="15" cm="1">
        <f t="array" ref="K40">IFERROR(Common_InputFunctions.Utility_LookupValueInTableOneColumnAndHeader($P$17,$P$18,Table_Fuel_EFs_StationaryGaseous34[State or territory],Table_Fuel_EFs_StationaryGaseous34[#Headers],Table_Fuel_EFs_StationaryGaseous34[#Data]),0)</f>
        <v>4.0999999999999996</v>
      </c>
      <c r="L40" s="156" cm="1">
        <f t="array" ref="L40">Fuel_InputFunctions.Fuel_TotalConsumption(Table_Input_Fuel[Amount consumed], Table_Input_Fuel[Fuel use (select)], D40, Table_Input_Fuel[Fuel type (select)],F40)</f>
        <v>100</v>
      </c>
      <c r="M40" s="156" t="str" cm="1">
        <f t="array" ref="M40">Common_InputFunctions.Utility_LookupValueInTable(F40,Table_FuelTypes_Units[Fuel type],Table_FuelTypes_Units[Unit])</f>
        <v>GJ</v>
      </c>
      <c r="N40" s="178">
        <f>((($L40 * $G40 * H40) * 10 ^ -3))</f>
        <v>6.0200000000000005</v>
      </c>
      <c r="O40" s="178">
        <f>((($L40 * $G40 * I40) * 10 ^ -3))</f>
        <v>4.0000000000000001E-3</v>
      </c>
      <c r="P40" s="178">
        <f>((($L40 * $G40 * J40) * 10 ^ -3))</f>
        <v>3.0000000000000001E-3</v>
      </c>
      <c r="Q40" s="178">
        <f>((($L40 * $G40 * ((IF(ISNUMBER(K40), K40, 0)))) * 10 ^ -3))</f>
        <v>0.41</v>
      </c>
    </row>
    <row r="41" spans="1:17" ht="20.100000000000001" customHeight="1" x14ac:dyDescent="0.2">
      <c r="A41" s="5" t="str">
        <f>HYPERLINK("#'5.1.1.1-2 Inorganic fert N2O'!A1", "5.1.1.1-2 Inorganic fert N2O")</f>
        <v>5.1.1.1-2 Inorganic fert N2O</v>
      </c>
    </row>
    <row r="42" spans="1:17" ht="20.100000000000001" customHeight="1" x14ac:dyDescent="0.2">
      <c r="A42" s="5" t="str">
        <f>HYPERLINK("#'5.1.1.3-4 Inorganic fert CO2'!A1", "5.1.1.3-4 Inorganic fert CO2")</f>
        <v>5.1.1.3-4 Inorganic fert CO2</v>
      </c>
      <c r="D42" s="171" t="str">
        <f>"Total scope 1 - " &amp; D25</f>
        <v>Total scope 1 - Generators</v>
      </c>
      <c r="E42" s="172"/>
      <c r="F42" s="173"/>
    </row>
    <row r="43" spans="1:17" ht="20.100000000000001" customHeight="1" x14ac:dyDescent="0.2">
      <c r="A43" s="5" t="str">
        <f>HYPERLINK("#'5.2.1.1-2 Organic Fert N2O'!A1", "5.2.1.1-2 Organic Fert N2O")</f>
        <v>5.2.1.1-2 Organic Fert N2O</v>
      </c>
      <c r="D43" s="24" t="s">
        <v>623</v>
      </c>
      <c r="E43" s="174">
        <f>SUM(N25:N31)+N("Partial sum")</f>
        <v>0</v>
      </c>
      <c r="F43" s="16" t="str">
        <f>$E$12</f>
        <v>t CO2-e</v>
      </c>
    </row>
    <row r="44" spans="1:17" ht="20.100000000000001" customHeight="1" x14ac:dyDescent="0.2">
      <c r="A44" s="5" t="str">
        <f>HYPERLINK("#'5.3.1.1-2 Lime CO2'!A1", "5.3.1.1-2 Lime CO2")</f>
        <v>5.3.1.1-2 Lime CO2</v>
      </c>
      <c r="D44" s="24" t="s">
        <v>624</v>
      </c>
      <c r="E44" s="174">
        <f>SUM(O25:O31)+N("Partial sum")</f>
        <v>0</v>
      </c>
      <c r="F44" s="16" t="str">
        <f t="shared" ref="F44:F46" si="2">$E$12</f>
        <v>t CO2-e</v>
      </c>
    </row>
    <row r="45" spans="1:17" ht="20.100000000000001" customHeight="1" x14ac:dyDescent="0.2">
      <c r="A45" s="5" t="str">
        <f>HYPERLINK("#'5.4.1.1-4 Atmos deposition'!A1", "5.4.1.1-4 Atmos deposition")</f>
        <v>5.4.1.1-4 Atmos deposition</v>
      </c>
      <c r="D45" s="24" t="s">
        <v>625</v>
      </c>
      <c r="E45" s="174">
        <f>SUM(P25:P31)+N("Partial sum")</f>
        <v>0</v>
      </c>
      <c r="F45" s="16" t="str">
        <f t="shared" si="2"/>
        <v>t CO2-e</v>
      </c>
    </row>
    <row r="46" spans="1:17" ht="20.100000000000001" customHeight="1" x14ac:dyDescent="0.2">
      <c r="A46" s="5" t="str">
        <f>HYPERLINK("#'5.5.1.1-2 Leaching and runoff'!A1", "5.5.1.1-2 Leaching and runoff")</f>
        <v>5.5.1.1-2 Leaching and runoff</v>
      </c>
      <c r="D46" s="24" t="s">
        <v>239</v>
      </c>
      <c r="E46" s="174">
        <f>SUM(Q25:Q31)+N("Partial sum")</f>
        <v>0</v>
      </c>
      <c r="F46" s="16" t="str">
        <f t="shared" si="2"/>
        <v>t CO2-e</v>
      </c>
    </row>
    <row r="47" spans="1:17" ht="20.100000000000001" customHeight="1" x14ac:dyDescent="0.2">
      <c r="H47" s="154"/>
      <c r="I47" s="154"/>
      <c r="J47" s="154"/>
      <c r="L47" s="154"/>
      <c r="N47" s="154"/>
      <c r="O47" s="154"/>
      <c r="P47" s="154"/>
      <c r="Q47" s="154"/>
    </row>
    <row r="48" spans="1:17" ht="20.100000000000001" customHeight="1" x14ac:dyDescent="0.2">
      <c r="D48" s="171" t="str">
        <f>"Total scope 1 - " &amp; D32</f>
        <v>Total scope 1 - Power standalone machinery or heating</v>
      </c>
      <c r="E48" s="175"/>
      <c r="F48" s="173"/>
      <c r="H48" s="154"/>
      <c r="I48" s="154"/>
      <c r="J48" s="154"/>
      <c r="L48" s="154"/>
      <c r="N48" s="154"/>
      <c r="O48" s="154"/>
      <c r="P48" s="154"/>
      <c r="Q48" s="154"/>
    </row>
    <row r="49" spans="1:17" ht="20.100000000000001" customHeight="1" x14ac:dyDescent="0.2">
      <c r="A49" s="80" t="s">
        <v>1</v>
      </c>
      <c r="D49" s="24" t="s">
        <v>623</v>
      </c>
      <c r="E49" s="174">
        <f>SUM(N32:N40)+N("Partial sum")</f>
        <v>29.070800000000002</v>
      </c>
      <c r="F49" s="16" t="str">
        <f t="shared" ref="F49:F52" si="3">$E$12</f>
        <v>t CO2-e</v>
      </c>
      <c r="H49" s="154"/>
      <c r="I49" s="154"/>
      <c r="J49" s="154"/>
      <c r="L49" s="154"/>
      <c r="N49" s="154"/>
      <c r="O49" s="154"/>
      <c r="P49" s="154"/>
      <c r="Q49" s="154"/>
    </row>
    <row r="50" spans="1:17" ht="20.100000000000001" customHeight="1" x14ac:dyDescent="0.2">
      <c r="A50" s="5" t="str">
        <f>HYPERLINK("#'Constants - Poultry'!A1", "Constants - Poultry")</f>
        <v>Constants - Poultry</v>
      </c>
      <c r="D50" s="24" t="s">
        <v>624</v>
      </c>
      <c r="E50" s="174">
        <f>SUM(O32:O40)+N("Partial sum")</f>
        <v>7.2400000000000006E-2</v>
      </c>
      <c r="F50" s="16" t="str">
        <f t="shared" si="3"/>
        <v>t CO2-e</v>
      </c>
      <c r="H50" s="154"/>
      <c r="I50" s="154"/>
      <c r="J50" s="154"/>
      <c r="L50" s="154"/>
      <c r="N50" s="154"/>
      <c r="O50" s="154"/>
      <c r="P50" s="154"/>
      <c r="Q50" s="154"/>
    </row>
    <row r="51" spans="1:17" ht="20.100000000000001" customHeight="1" x14ac:dyDescent="0.2">
      <c r="A51" s="5" t="str">
        <f>HYPERLINK("#'Constants - Common livestock'!A1", "Constants - Common Livestock")</f>
        <v>Constants - Common Livestock</v>
      </c>
      <c r="D51" s="24" t="s">
        <v>625</v>
      </c>
      <c r="E51" s="174">
        <f>SUM(P32:P40)+N("Partial sum")</f>
        <v>7.1400000000000005E-2</v>
      </c>
      <c r="F51" s="16" t="str">
        <f t="shared" si="3"/>
        <v>t CO2-e</v>
      </c>
      <c r="H51" s="154"/>
      <c r="I51" s="154"/>
      <c r="J51" s="154"/>
      <c r="L51" s="154"/>
      <c r="N51" s="154"/>
      <c r="O51" s="154"/>
      <c r="P51" s="154"/>
      <c r="Q51" s="154"/>
    </row>
    <row r="52" spans="1:17" ht="20.100000000000001" customHeight="1" x14ac:dyDescent="0.2">
      <c r="A52" s="5" t="str">
        <f>HYPERLINK("#'Constants - Electricity'!A1", "Constants - Electricity")</f>
        <v>Constants - Electricity</v>
      </c>
      <c r="D52" s="24" t="s">
        <v>239</v>
      </c>
      <c r="E52" s="174">
        <f>SUM(Q32:Q40)+N("Partial sum")</f>
        <v>6.2923999999999998</v>
      </c>
      <c r="F52" s="16" t="str">
        <f t="shared" si="3"/>
        <v>t CO2-e</v>
      </c>
      <c r="G52" s="154"/>
      <c r="H52" s="154"/>
      <c r="I52" s="154"/>
      <c r="J52" s="154"/>
      <c r="L52" s="154"/>
      <c r="N52" s="154"/>
      <c r="O52" s="154"/>
      <c r="P52" s="154"/>
      <c r="Q52" s="154"/>
    </row>
    <row r="53" spans="1:17" ht="20.100000000000001" customHeight="1" x14ac:dyDescent="0.2">
      <c r="A53" s="5" t="str">
        <f>HYPERLINK("#'Constants - Fertiliser'!A1", "Constants - Fertiliser")</f>
        <v>Constants - Fertiliser</v>
      </c>
      <c r="G53" s="154"/>
      <c r="H53" s="154"/>
      <c r="I53" s="154"/>
      <c r="J53" s="154"/>
      <c r="L53" s="154"/>
      <c r="N53" s="154"/>
      <c r="O53" s="154"/>
      <c r="P53" s="154"/>
      <c r="Q53" s="154"/>
    </row>
    <row r="54" spans="1:17" ht="20.100000000000001" customHeight="1" x14ac:dyDescent="0.2">
      <c r="A54" s="5" t="str">
        <f>HYPERLINK("#'Constants - Fuel'!A1", "Constants - Fuel")</f>
        <v>Constants - Fuel</v>
      </c>
      <c r="D54" s="171" t="s">
        <v>636</v>
      </c>
      <c r="E54" s="175"/>
      <c r="F54" s="173"/>
      <c r="G54" s="154"/>
      <c r="H54" s="154"/>
      <c r="I54" s="154"/>
      <c r="J54" s="154"/>
      <c r="L54" s="154"/>
      <c r="N54" s="154"/>
      <c r="O54" s="154"/>
      <c r="P54" s="154"/>
      <c r="Q54" s="154"/>
    </row>
    <row r="55" spans="1:17" ht="20.100000000000001" customHeight="1" x14ac:dyDescent="0.2">
      <c r="A55" s="5" t="str">
        <f>HYPERLINK("#'Constants - Scope 3'!A1", "Constants - Scope 3")</f>
        <v>Constants - Scope 3</v>
      </c>
      <c r="D55" s="24" t="s">
        <v>623</v>
      </c>
      <c r="E55" s="174">
        <f>E43+E49</f>
        <v>29.070800000000002</v>
      </c>
      <c r="F55" s="16" t="str">
        <f t="shared" ref="F55:F58" si="4">$E$12</f>
        <v>t CO2-e</v>
      </c>
      <c r="G55" s="154"/>
      <c r="H55" s="154"/>
      <c r="I55" s="154"/>
      <c r="J55" s="154"/>
      <c r="L55" s="154"/>
      <c r="N55" s="154"/>
      <c r="O55" s="154"/>
      <c r="P55" s="154"/>
      <c r="Q55" s="154"/>
    </row>
    <row r="56" spans="1:17" ht="20.100000000000001" customHeight="1" x14ac:dyDescent="0.2">
      <c r="A56" s="5" t="str">
        <f>HYPERLINK("#'Constants - Solid Waste'!A1", "Constants - Solid Waste")</f>
        <v>Constants - Solid Waste</v>
      </c>
      <c r="D56" s="24" t="s">
        <v>624</v>
      </c>
      <c r="E56" s="174">
        <f>E44+E50</f>
        <v>7.2400000000000006E-2</v>
      </c>
      <c r="F56" s="16" t="str">
        <f t="shared" si="4"/>
        <v>t CO2-e</v>
      </c>
      <c r="H56" s="154"/>
    </row>
    <row r="57" spans="1:17" ht="20.100000000000001" customHeight="1" x14ac:dyDescent="0.2">
      <c r="A57" s="5" t="str">
        <f>HYPERLINK("#'Constants - Common'!A1", "Constants - Common")</f>
        <v>Constants - Common</v>
      </c>
      <c r="D57" s="24" t="s">
        <v>625</v>
      </c>
      <c r="E57" s="174">
        <f>E45+E51</f>
        <v>7.1400000000000005E-2</v>
      </c>
      <c r="F57" s="16" t="str">
        <f t="shared" si="4"/>
        <v>t CO2-e</v>
      </c>
      <c r="G57" s="154"/>
      <c r="H57" s="154"/>
      <c r="I57" s="154"/>
      <c r="J57" s="154"/>
      <c r="L57" s="154"/>
      <c r="N57" s="154"/>
      <c r="O57" s="154"/>
      <c r="P57" s="154"/>
      <c r="Q57" s="154"/>
    </row>
    <row r="58" spans="1:17" ht="20.100000000000001" customHeight="1" x14ac:dyDescent="0.2">
      <c r="D58" s="24" t="s">
        <v>239</v>
      </c>
      <c r="E58" s="174">
        <f>E46+E52</f>
        <v>6.2923999999999998</v>
      </c>
      <c r="F58" s="16" t="str">
        <f t="shared" si="4"/>
        <v>t CO2-e</v>
      </c>
      <c r="G58" s="154"/>
      <c r="H58" s="154"/>
      <c r="I58" s="154"/>
      <c r="J58" s="154"/>
      <c r="L58" s="154"/>
      <c r="N58" s="154"/>
      <c r="O58" s="154"/>
      <c r="P58" s="154"/>
      <c r="Q58" s="154"/>
    </row>
    <row r="59" spans="1:17" ht="20.100000000000001" customHeight="1" x14ac:dyDescent="0.2">
      <c r="G59" s="154"/>
      <c r="H59" s="154"/>
      <c r="I59" s="154"/>
      <c r="J59" s="154"/>
      <c r="L59" s="154"/>
      <c r="N59" s="154"/>
      <c r="O59" s="154"/>
      <c r="P59" s="154"/>
      <c r="Q59" s="154"/>
    </row>
    <row r="60" spans="1:17" ht="20.100000000000001" customHeight="1" x14ac:dyDescent="0.2">
      <c r="G60" s="154"/>
      <c r="H60" s="154"/>
      <c r="I60" s="154"/>
      <c r="J60" s="154"/>
      <c r="L60" s="154"/>
      <c r="N60" s="154"/>
      <c r="O60" s="154"/>
      <c r="P60" s="154"/>
      <c r="Q60" s="154"/>
    </row>
    <row r="61" spans="1:17" ht="20.100000000000001" customHeight="1" x14ac:dyDescent="0.2">
      <c r="G61" s="154"/>
      <c r="H61" s="154"/>
      <c r="I61" s="154"/>
      <c r="J61" s="154"/>
      <c r="L61" s="154"/>
      <c r="N61" s="154"/>
      <c r="O61" s="154"/>
      <c r="P61" s="154"/>
      <c r="Q61" s="154"/>
    </row>
    <row r="62" spans="1:17" ht="20.100000000000001" customHeight="1" x14ac:dyDescent="0.2">
      <c r="G62" s="154"/>
      <c r="H62" s="154"/>
      <c r="I62" s="154"/>
      <c r="J62" s="154"/>
      <c r="L62" s="154"/>
      <c r="N62" s="154"/>
      <c r="O62" s="154"/>
      <c r="P62" s="154"/>
      <c r="Q62" s="154"/>
    </row>
    <row r="63" spans="1:17" ht="20.100000000000001" customHeight="1" x14ac:dyDescent="0.2">
      <c r="G63" s="154"/>
      <c r="H63" s="154"/>
      <c r="I63" s="154"/>
      <c r="J63" s="154"/>
      <c r="L63" s="154"/>
      <c r="N63" s="154"/>
      <c r="O63" s="154"/>
      <c r="P63" s="154"/>
      <c r="Q63" s="154"/>
    </row>
    <row r="64" spans="1:17" ht="20.100000000000001" customHeight="1" x14ac:dyDescent="0.2">
      <c r="G64" s="154"/>
      <c r="H64" s="154"/>
      <c r="I64" s="154"/>
      <c r="J64" s="154"/>
      <c r="L64" s="154"/>
      <c r="N64" s="154"/>
      <c r="O64" s="154"/>
      <c r="P64" s="154"/>
      <c r="Q64" s="154"/>
    </row>
    <row r="65" spans="7:17" ht="20.100000000000001" customHeight="1" x14ac:dyDescent="0.2">
      <c r="G65" s="154"/>
      <c r="H65" s="154"/>
      <c r="I65" s="154"/>
      <c r="J65" s="154"/>
      <c r="L65" s="154"/>
      <c r="N65" s="154"/>
      <c r="O65" s="154"/>
      <c r="P65" s="154"/>
      <c r="Q65" s="154"/>
    </row>
    <row r="66" spans="7:17" ht="20.100000000000001" customHeight="1" x14ac:dyDescent="0.2">
      <c r="G66" s="154"/>
      <c r="H66" s="154"/>
      <c r="I66" s="154"/>
      <c r="J66" s="154"/>
      <c r="L66" s="154"/>
      <c r="N66" s="154"/>
      <c r="O66" s="154"/>
      <c r="P66" s="154"/>
      <c r="Q66" s="154"/>
    </row>
    <row r="67" spans="7:17" ht="20.100000000000001" customHeight="1" x14ac:dyDescent="0.2">
      <c r="G67" s="154"/>
    </row>
    <row r="68" spans="7:17" ht="20.100000000000001" customHeight="1" x14ac:dyDescent="0.2">
      <c r="G68" s="154"/>
    </row>
    <row r="69" spans="7:17" ht="20.100000000000001" customHeight="1" x14ac:dyDescent="0.2">
      <c r="G69" s="154"/>
    </row>
    <row r="70" spans="7:17" ht="20.100000000000001" customHeight="1" x14ac:dyDescent="0.2">
      <c r="G70" s="154"/>
    </row>
    <row r="71" spans="7:17" ht="20.100000000000001" customHeight="1" x14ac:dyDescent="0.2">
      <c r="G71" s="154"/>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7D00E-AA71-46EF-81DD-910C436316D8}">
  <sheetPr>
    <tabColor rgb="FF008000"/>
  </sheetPr>
  <dimension ref="A1:L342"/>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20" customFormat="1" ht="30" customHeight="1" x14ac:dyDescent="0.35">
      <c r="A1" s="10" t="e" vm="1">
        <v>#VALUE!</v>
      </c>
      <c r="C1" s="20" t="s">
        <v>266</v>
      </c>
    </row>
    <row r="2" spans="1:12" s="3" customFormat="1" ht="20.100000000000001" customHeight="1" x14ac:dyDescent="0.2">
      <c r="A2"/>
    </row>
    <row r="3" spans="1:12" ht="20.100000000000001" customHeight="1" x14ac:dyDescent="0.2">
      <c r="A3" s="5" t="str">
        <f>HYPERLINK("#'Home'!A1", "Home")</f>
        <v>Home</v>
      </c>
      <c r="C3" s="22"/>
      <c r="D3" s="22" t="s">
        <v>130</v>
      </c>
      <c r="E3" s="22"/>
      <c r="F3" s="22"/>
      <c r="G3" s="22"/>
      <c r="H3" s="22"/>
      <c r="I3" s="22"/>
      <c r="J3" s="22"/>
      <c r="K3" s="22"/>
      <c r="L3" s="22"/>
    </row>
    <row r="4" spans="1:12" ht="20.100000000000001" customHeight="1" x14ac:dyDescent="0.2">
      <c r="A4" s="5" t="str">
        <f>HYPERLINK("#'Results - Activity period'!A1", "Results - Activity period")</f>
        <v>Results - Activity period</v>
      </c>
    </row>
    <row r="5" spans="1:12" ht="20.100000000000001" customHeight="1" x14ac:dyDescent="0.2">
      <c r="A5" s="5" t="str">
        <f>HYPERLINK("#'Results - Product EI'!A1", "Results - Product Emissions Intensity")</f>
        <v>Results - Product Emissions Intensity</v>
      </c>
      <c r="D5" s="2" t="s">
        <v>1435</v>
      </c>
    </row>
    <row r="6" spans="1:12" ht="20.100000000000001" customHeight="1" x14ac:dyDescent="0.2">
      <c r="D6" s="17" t="s">
        <v>1436</v>
      </c>
    </row>
    <row r="7" spans="1:12" ht="20.100000000000001" customHeight="1" x14ac:dyDescent="0.2">
      <c r="D7" s="112"/>
      <c r="E7" s="112"/>
    </row>
    <row r="8" spans="1:12" ht="20.100000000000001" customHeight="1" x14ac:dyDescent="0.2">
      <c r="A8" s="7" t="s">
        <v>0</v>
      </c>
    </row>
    <row r="9" spans="1:12" ht="20.100000000000001" customHeight="1" x14ac:dyDescent="0.2">
      <c r="A9" s="5" t="str">
        <f>HYPERLINK("#'Input - Enterprise'!A1", "Enterprise")</f>
        <v>Enterprise</v>
      </c>
    </row>
    <row r="10" spans="1:12" ht="20.100000000000001" customHeight="1" x14ac:dyDescent="0.2">
      <c r="A10" s="5" t="str">
        <f>HYPERLINK("#'Input - Site'!A1", "Site")</f>
        <v>Site</v>
      </c>
      <c r="D10" s="75" t="s">
        <v>328</v>
      </c>
      <c r="E10" s="1" t="s">
        <v>1437</v>
      </c>
    </row>
    <row r="11" spans="1:12" ht="20.100000000000001" customHeight="1" x14ac:dyDescent="0.2">
      <c r="A11" s="5" t="str">
        <f>HYPERLINK("#'Input - Poultry'!A1", "Poultry")</f>
        <v>Poultry</v>
      </c>
      <c r="D11" s="75" t="s">
        <v>118</v>
      </c>
      <c r="E11" s="9" t="s">
        <v>1438</v>
      </c>
    </row>
    <row r="12" spans="1:12" ht="20.100000000000001" customHeight="1" x14ac:dyDescent="0.2">
      <c r="A12" s="5" t="str">
        <f>HYPERLINK("#'Input - Livestock sales'!A1", "Livestock sales")</f>
        <v>Livestock sales</v>
      </c>
    </row>
    <row r="13" spans="1:12" ht="20.100000000000001" customHeight="1" x14ac:dyDescent="0.2">
      <c r="A13" s="5" t="str">
        <f>HYPERLINK("#'Input - Poultry purchases'!A1", "Poultry purchases")</f>
        <v>Poultry purchases</v>
      </c>
      <c r="D13" s="113" t="s">
        <v>1439</v>
      </c>
      <c r="E13" s="122" t="s">
        <v>1440</v>
      </c>
      <c r="F13" s="123"/>
      <c r="G13" s="113" t="s">
        <v>1446</v>
      </c>
      <c r="H13" s="114" t="s">
        <v>1202</v>
      </c>
      <c r="I13" s="116" t="str" cm="1">
        <f t="array" aca="1" ref="I13" ca="1">HYPERLINK(Common_InputFunctions.Utility_SourceHyperlink($D$18),$D$18)</f>
        <v>Table_V_w_t_onsite</v>
      </c>
      <c r="J13" s="116" t="str" cm="1">
        <f t="array" aca="1" ref="J13" ca="1">HYPERLINK(Common_InputFunctions.Utility_SourceHyperlink($D$56),$D$56)</f>
        <v>Table_V_w_t_offsite</v>
      </c>
    </row>
    <row r="14" spans="1:12" ht="20.100000000000001" customHeight="1" x14ac:dyDescent="0.2">
      <c r="A14" s="5" t="str">
        <f>HYPERLINK("#'Input - Fuel'!A1", "Fuel")</f>
        <v>Fuel</v>
      </c>
      <c r="D14" s="113" t="s">
        <v>1441</v>
      </c>
      <c r="E14" s="122" t="s">
        <v>1442</v>
      </c>
      <c r="F14" s="123"/>
      <c r="G14" s="113" t="s">
        <v>1447</v>
      </c>
      <c r="H14" s="115" t="s">
        <v>1203</v>
      </c>
      <c r="I14" s="116" t="str" cm="1">
        <f t="array" aca="1" ref="I14" ca="1">HYPERLINK(Common_InputFunctions.Utility_SourceHyperlink($D$18),$D$18)</f>
        <v>Table_V_w_t_onsite</v>
      </c>
      <c r="J14" s="116" t="str" cm="1">
        <f t="array" aca="1" ref="J14" ca="1">HYPERLINK(Common_InputFunctions.Utility_SourceHyperlink($D$56),$D$56)</f>
        <v>Table_V_w_t_offsite</v>
      </c>
    </row>
    <row r="15" spans="1:12" ht="20.100000000000001" customHeight="1" x14ac:dyDescent="0.2">
      <c r="A15" s="5" t="str">
        <f>HYPERLINK("#'Input - Electricity'!A1", "Electricity")</f>
        <v>Electricity</v>
      </c>
      <c r="D15" s="113" t="s">
        <v>1443</v>
      </c>
      <c r="E15" s="122" t="s">
        <v>1444</v>
      </c>
      <c r="F15" s="123"/>
      <c r="G15" s="113"/>
      <c r="H15" s="114" t="s">
        <v>1202</v>
      </c>
      <c r="I15" s="116" t="str" cm="1">
        <f t="array" aca="1" ref="I15" ca="1">HYPERLINK(Common_InputFunctions.Utility_SourceHyperlink($D$18),$D$18)</f>
        <v>Table_V_w_t_onsite</v>
      </c>
      <c r="J15" s="116" t="str" cm="1">
        <f t="array" aca="1" ref="J15" ca="1">HYPERLINK(Common_InputFunctions.Utility_SourceHyperlink($D$56),$D$56)</f>
        <v>Table_V_w_t_offsite</v>
      </c>
    </row>
    <row r="16" spans="1:12" ht="20.100000000000001" customHeight="1" x14ac:dyDescent="0.2">
      <c r="A16" s="5" t="str">
        <f>HYPERLINK("#'Input - Common farm inputs'!A1", "Common farm inputs")</f>
        <v>Common farm inputs</v>
      </c>
      <c r="D16" s="113" t="s">
        <v>1438</v>
      </c>
      <c r="E16" s="122" t="s">
        <v>1445</v>
      </c>
      <c r="F16" s="123"/>
      <c r="G16" s="113"/>
      <c r="H16" s="114" t="s">
        <v>1202</v>
      </c>
      <c r="I16" s="116" t="str" cm="1">
        <f t="array" aca="1" ref="I16" ca="1">HYPERLINK(Common_InputFunctions.Utility_SourceHyperlink($D$18),$D$18)</f>
        <v>Table_V_w_t_onsite</v>
      </c>
      <c r="J16" s="116" t="str" cm="1">
        <f t="array" aca="1" ref="J16" ca="1">HYPERLINK(Common_InputFunctions.Utility_SourceHyperlink($D$56),$D$56)</f>
        <v>Table_V_w_t_offsite</v>
      </c>
    </row>
    <row r="17" spans="1:9" ht="20.100000000000001" customHeight="1" x14ac:dyDescent="0.2">
      <c r="A17" s="5" t="str">
        <f>HYPERLINK("#'Input - Livestock farm Inputs'!A1", "Livestock farm Inputs")</f>
        <v>Livestock farm Inputs</v>
      </c>
    </row>
    <row r="18" spans="1:9" ht="20.100000000000001" customHeight="1" x14ac:dyDescent="0.2">
      <c r="A18" s="5" t="str">
        <f>HYPERLINK("#'Input - Freight'!A1", "Freight")</f>
        <v>Freight</v>
      </c>
      <c r="D18" s="118" t="s">
        <v>911</v>
      </c>
    </row>
    <row r="19" spans="1:9" ht="20.100000000000001" customHeight="1" x14ac:dyDescent="0.2">
      <c r="A19" s="5" t="str">
        <f>HYPERLINK("#'Input - Solid waste'!A1", "Solid waste")</f>
        <v>Solid waste</v>
      </c>
      <c r="D19" s="119" t="s">
        <v>912</v>
      </c>
    </row>
    <row r="20" spans="1:9" ht="20.100000000000001" customHeight="1" x14ac:dyDescent="0.2">
      <c r="A20" s="5" t="str">
        <f>HYPERLINK("#'Input - Manure sent off-site'!A1", "Manure sent off-site")</f>
        <v>Manure sent off-site</v>
      </c>
      <c r="D20" s="78" t="s">
        <v>913</v>
      </c>
      <c r="E20" s="78" t="s">
        <v>914</v>
      </c>
      <c r="F20" s="78"/>
      <c r="G20" s="78" t="s">
        <v>915</v>
      </c>
      <c r="H20" s="120" t="s">
        <v>916</v>
      </c>
      <c r="I20" s="120" t="s">
        <v>917</v>
      </c>
    </row>
    <row r="21" spans="1:9" ht="20.100000000000001" customHeight="1" x14ac:dyDescent="0.2">
      <c r="A21" s="5" t="str">
        <f>HYPERLINK("#'Input - Data quality'!A1", "Data quality")</f>
        <v>Data quality</v>
      </c>
      <c r="D21" s="113" t="str" cm="1">
        <f t="array" ref="D21:D54">Table_SourceData_WasteSolid_WasteTreatmentEFs[Treatment type t]</f>
        <v>Landfill</v>
      </c>
      <c r="E21" s="122" t="str" cm="1">
        <f t="array" ref="E21:E54">Table_SourceData_WasteSolid_WasteTreatmentEFs[Waste type w]</f>
        <v>Food waste (including animal carcasses, spoiled animal feed or crop)</v>
      </c>
      <c r="F21" s="225"/>
      <c r="G21" s="15"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15" cm="1">
        <f t="array" ref="H21">Common_InputFunctions.Utility_LookupValueInTableNumber(E21,Table_SourceData_WasteSolid_VolumeToMassConversion[Waste type w],Table_SourceData_WasteSolid_VolumeToMassConversion[VTMw])</f>
        <v>0.5</v>
      </c>
      <c r="I21" s="15">
        <f>(G21 * H21)</f>
        <v>25</v>
      </c>
    </row>
    <row r="22" spans="1:9" ht="20.100000000000001" customHeight="1" x14ac:dyDescent="0.2">
      <c r="A22" s="5" t="str">
        <f>HYPERLINK("#'Input - Fert Prod System'!A1", "Fert Prod System")</f>
        <v>Fert Prod System</v>
      </c>
      <c r="D22" s="113" t="str">
        <v>Landfill</v>
      </c>
      <c r="E22" s="122" t="str">
        <v>Paper and cardboard</v>
      </c>
      <c r="F22" s="225"/>
      <c r="G22" s="15"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15" cm="1">
        <f t="array" ref="H22">Common_InputFunctions.Utility_LookupValueInTableNumber(E22,Table_SourceData_WasteSolid_VolumeToMassConversion[Waste type w],Table_SourceData_WasteSolid_VolumeToMassConversion[VTMw])</f>
        <v>0.09</v>
      </c>
      <c r="I22" s="15">
        <f>(G22 * H22)</f>
        <v>4.5</v>
      </c>
    </row>
    <row r="23" spans="1:9" ht="20.100000000000001" customHeight="1" x14ac:dyDescent="0.2">
      <c r="A23" s="5" t="str">
        <f>HYPERLINK("#'Input - Fertiliser'!A1", "Fertiliser")</f>
        <v>Fertiliser</v>
      </c>
      <c r="D23" s="113" t="str">
        <v>Landfill</v>
      </c>
      <c r="E23" s="122" t="str">
        <v>Green waste (including crop residues or prunings)</v>
      </c>
      <c r="F23" s="225"/>
      <c r="G23" s="15"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15" cm="1">
        <f t="array" ref="H23">Common_InputFunctions.Utility_LookupValueInTableNumber(E23,Table_SourceData_WasteSolid_VolumeToMassConversion[Waste type w],Table_SourceData_WasteSolid_VolumeToMassConversion[VTMw])</f>
        <v>0.24</v>
      </c>
      <c r="I23" s="15">
        <f>(G23 * H23)</f>
        <v>12</v>
      </c>
    </row>
    <row r="24" spans="1:9" ht="20.100000000000001" customHeight="1" x14ac:dyDescent="0.2">
      <c r="D24" s="113" t="str">
        <v>Landfill</v>
      </c>
      <c r="E24" s="122" t="str">
        <v>Wood</v>
      </c>
      <c r="F24" s="225"/>
      <c r="G24" s="15"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15" cm="1">
        <f t="array" ref="H24">Common_InputFunctions.Utility_LookupValueInTableNumber(E24,Table_SourceData_WasteSolid_VolumeToMassConversion[Waste type w],Table_SourceData_WasteSolid_VolumeToMassConversion[VTMw])</f>
        <v>0.15</v>
      </c>
      <c r="I24" s="15">
        <f>(G24 * H24)</f>
        <v>0</v>
      </c>
    </row>
    <row r="25" spans="1:9" ht="20.100000000000001" customHeight="1" x14ac:dyDescent="0.2">
      <c r="D25" s="113" t="str">
        <v>Landfill</v>
      </c>
      <c r="E25" s="122" t="str">
        <v>Textiles</v>
      </c>
      <c r="F25" s="225"/>
      <c r="G25" s="15"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15" cm="1">
        <f t="array" ref="H25">Common_InputFunctions.Utility_LookupValueInTableNumber(E25,Table_SourceData_WasteSolid_VolumeToMassConversion[Waste type w],Table_SourceData_WasteSolid_VolumeToMassConversion[VTMw])</f>
        <v>0.14000000000000001</v>
      </c>
      <c r="I25" s="15">
        <f>(G25 * H25)</f>
        <v>0</v>
      </c>
    </row>
    <row r="26" spans="1:9" ht="20.100000000000001" customHeight="1" x14ac:dyDescent="0.2">
      <c r="A26" s="6" t="s">
        <v>2</v>
      </c>
      <c r="D26" s="113" t="str">
        <v>Landfill</v>
      </c>
      <c r="E26" s="122" t="str">
        <v>Sludge</v>
      </c>
      <c r="F26" s="225"/>
      <c r="G26" s="15"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15" cm="1">
        <f t="array" ref="H26">Common_InputFunctions.Utility_LookupValueInTableNumber(E26,Table_SourceData_WasteSolid_VolumeToMassConversion[Waste type w],Table_SourceData_WasteSolid_VolumeToMassConversion[VTMw])</f>
        <v>0.72</v>
      </c>
      <c r="I26" s="15">
        <f>(G26 * H26)</f>
        <v>0</v>
      </c>
    </row>
    <row r="27" spans="1:9" ht="20.100000000000001" customHeight="1" x14ac:dyDescent="0.2">
      <c r="A27" s="5" t="str">
        <f>HYPERLINK("#'4.6.1.1-2 Methane'!A1", "4.6.1.1-2 Manure Methane")</f>
        <v>4.6.1.1-2 Manure Methane</v>
      </c>
      <c r="D27" s="113" t="str">
        <v>Landfill</v>
      </c>
      <c r="E27" s="122" t="str">
        <v>Rubber and leather</v>
      </c>
      <c r="F27" s="225"/>
      <c r="G27" s="15"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15" cm="1">
        <f t="array" ref="H27">Common_InputFunctions.Utility_LookupValueInTableNumber(E27,Table_SourceData_WasteSolid_VolumeToMassConversion[Waste type w],Table_SourceData_WasteSolid_VolumeToMassConversion[VTMw])</f>
        <v>0.14000000000000001</v>
      </c>
      <c r="I27" s="15">
        <f>(G27 * H27)</f>
        <v>0</v>
      </c>
    </row>
    <row r="28" spans="1:9" ht="20.100000000000001" customHeight="1" x14ac:dyDescent="0.2">
      <c r="A28" s="5" t="str">
        <f>HYPERLINK("#'4.6.1.3-4 Direct N20'!A1", "4.6.1.3-4 Manure Direct N2O")</f>
        <v>4.6.1.3-4 Manure Direct N2O</v>
      </c>
      <c r="D28" s="113" t="str">
        <v>Landfill</v>
      </c>
      <c r="E28" s="122" t="str">
        <v>Inert waste (including concrete, metal, plastic or glass)</v>
      </c>
      <c r="F28" s="225"/>
      <c r="G28" s="15"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15" cm="1">
        <f t="array" ref="H28">Common_InputFunctions.Utility_LookupValueInTableNumber(E28,Table_SourceData_WasteSolid_VolumeToMassConversion[Waste type w],Table_SourceData_WasteSolid_VolumeToMassConversion[VTMw])</f>
        <v>0.42</v>
      </c>
      <c r="I28" s="15">
        <f>(G28 * H28)</f>
        <v>0</v>
      </c>
    </row>
    <row r="29" spans="1:9" ht="20.100000000000001" customHeight="1" x14ac:dyDescent="0.2">
      <c r="A29" s="5" t="str">
        <f>HYPERLINK("#'4.6.1.5-6 Atmos Dep'!A1", "4.6.1.5-6 Manure Atmos Dep")</f>
        <v>4.6.1.5-6 Manure Atmos Dep</v>
      </c>
      <c r="D29" s="113" t="str">
        <v>Landfill</v>
      </c>
      <c r="E29" s="122" t="str">
        <v>Municipal solid waste</v>
      </c>
      <c r="F29" s="225"/>
      <c r="G29" s="15"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15" cm="1">
        <f t="array" ref="H29">Common_InputFunctions.Utility_LookupValueInTableNumber(E29,Table_SourceData_WasteSolid_VolumeToMassConversion[Waste type w],Table_SourceData_WasteSolid_VolumeToMassConversion[VTMw])</f>
        <v>0.36</v>
      </c>
      <c r="I29" s="15">
        <f>(G29 * H29)</f>
        <v>0</v>
      </c>
    </row>
    <row r="30" spans="1:9" ht="20.100000000000001" customHeight="1" x14ac:dyDescent="0.2">
      <c r="A30" s="5" t="str">
        <f>HYPERLINK("#'4.6.1.7-8 Leaching and runoff'!A1", "4.6.1.7-8 Manure Leaching and runoff")</f>
        <v>4.6.1.7-8 Manure Leaching and runoff</v>
      </c>
      <c r="D30" s="113" t="str">
        <v>Landfill</v>
      </c>
      <c r="E30" s="122" t="str">
        <v>Commercial and industrial waste</v>
      </c>
      <c r="F30" s="225"/>
      <c r="G30" s="15"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15" cm="1">
        <f t="array" ref="H30">Common_InputFunctions.Utility_LookupValueInTableNumber(E30,Table_SourceData_WasteSolid_VolumeToMassConversion[Waste type w],Table_SourceData_WasteSolid_VolumeToMassConversion[VTMw])</f>
        <v>0.33</v>
      </c>
      <c r="I30" s="15">
        <f>(G30 * H30)</f>
        <v>0</v>
      </c>
    </row>
    <row r="31" spans="1:9" ht="20.100000000000001" customHeight="1" x14ac:dyDescent="0.2">
      <c r="A31" s="5" t="str">
        <f>HYPERLINK("#'4.6.1.9 Manure applied to soils'!A1", "4.6.1.9 Manure applied to soils")</f>
        <v>4.6.1.9 Manure applied to soils</v>
      </c>
      <c r="D31" s="113" t="str">
        <v>Landfill</v>
      </c>
      <c r="E31" s="122" t="str">
        <v>Construction and demolition waste</v>
      </c>
      <c r="F31" s="225"/>
      <c r="G31" s="15"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15" cm="1">
        <f t="array" ref="H31">Common_InputFunctions.Utility_LookupValueInTableNumber(E31,Table_SourceData_WasteSolid_VolumeToMassConversion[Waste type w],Table_SourceData_WasteSolid_VolumeToMassConversion[VTMw])</f>
        <v>0.39</v>
      </c>
      <c r="I31" s="15">
        <f>(G31 * H31)</f>
        <v>0</v>
      </c>
    </row>
    <row r="32" spans="1:9" ht="20.100000000000001" customHeight="1" x14ac:dyDescent="0.2">
      <c r="A32" s="5" t="str">
        <f>HYPERLINK("#'4.6.1.10-11 Soil direct N2O'!A1", "4.6.1.10-11 Soil direct N2O")</f>
        <v>4.6.1.10-11 Soil direct N2O</v>
      </c>
      <c r="D32" s="113" t="str">
        <v>Incineration</v>
      </c>
      <c r="E32" s="122" t="str">
        <v>Food waste, green waste, wood, sludge</v>
      </c>
      <c r="F32" s="225"/>
      <c r="G32" s="15" t="s">
        <v>781</v>
      </c>
      <c r="H32" s="15" t="s">
        <v>781</v>
      </c>
      <c r="I32" s="15" t="s">
        <v>781</v>
      </c>
    </row>
    <row r="33" spans="1:9" ht="20.100000000000001" customHeight="1" x14ac:dyDescent="0.2">
      <c r="A33" s="5" t="str">
        <f>HYPERLINK("#'4.6.1.12-13 Soil atmos dep'!A1", "4.6.1.12-13 Soil atmos dep")</f>
        <v>4.6.1.12-13 Soil atmos dep</v>
      </c>
      <c r="D33" s="113" t="str">
        <v>Incineration</v>
      </c>
      <c r="E33" s="122" t="str">
        <v>Food waste (including animal carcasses, spoiled animal feed or crop)</v>
      </c>
      <c r="F33" s="225"/>
      <c r="G33" s="15"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15" cm="1">
        <f t="array" ref="H33">Common_InputFunctions.Utility_LookupValueInTableNumber(E33,Table_SourceData_WasteSolid_VolumeToMassConversion[Waste type w],Table_SourceData_WasteSolid_VolumeToMassConversion[VTMw])</f>
        <v>0.5</v>
      </c>
      <c r="I33" s="15">
        <f>(G33 * H33)</f>
        <v>0</v>
      </c>
    </row>
    <row r="34" spans="1:9" ht="20.100000000000001" customHeight="1" x14ac:dyDescent="0.2">
      <c r="A34" s="5" t="str">
        <f>HYPERLINK("#'4.6.1.14-15 Soil leach runoff'!A1", "4.6.1.14-15 Soil leach runoff")</f>
        <v>4.6.1.14-15 Soil leach runoff</v>
      </c>
      <c r="D34" s="113" t="str">
        <v>Incineration</v>
      </c>
      <c r="E34" s="122" t="str">
        <v>Green waste (including crop residues or prunings)</v>
      </c>
      <c r="F34" s="225"/>
      <c r="G34" s="15"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15" cm="1">
        <f t="array" ref="H34">Common_InputFunctions.Utility_LookupValueInTableNumber(E34,Table_SourceData_WasteSolid_VolumeToMassConversion[Waste type w],Table_SourceData_WasteSolid_VolumeToMassConversion[VTMw])</f>
        <v>0.24</v>
      </c>
      <c r="I34" s="15">
        <f>(G34 * H34)</f>
        <v>24</v>
      </c>
    </row>
    <row r="35" spans="1:9" ht="20.100000000000001" customHeight="1" x14ac:dyDescent="0.2">
      <c r="A35" s="5" t="str">
        <f>HYPERLINK("#'8.1.1.1-2 Transport fuel'!A1", "8.1.1.1-2 Transport fuel")</f>
        <v>8.1.1.1-2 Transport fuel</v>
      </c>
      <c r="D35" s="113" t="str">
        <v>Incineration</v>
      </c>
      <c r="E35" s="122" t="str">
        <v>Wood</v>
      </c>
      <c r="F35" s="225"/>
      <c r="G35" s="15"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15" cm="1">
        <f t="array" ref="H35">Common_InputFunctions.Utility_LookupValueInTableNumber(E35,Table_SourceData_WasteSolid_VolumeToMassConversion[Waste type w],Table_SourceData_WasteSolid_VolumeToMassConversion[VTMw])</f>
        <v>0.15</v>
      </c>
      <c r="I35" s="15">
        <f>(G35 * H35)</f>
        <v>0</v>
      </c>
    </row>
    <row r="36" spans="1:9" ht="20.100000000000001" customHeight="1" x14ac:dyDescent="0.2">
      <c r="A36" s="5" t="str">
        <f>HYPERLINK("#'8.2.1.1-2 Stationary fuel'!A1", "8.2.1.1-2 Stationary fuel")</f>
        <v>8.2.1.1-2 Stationary fuel</v>
      </c>
      <c r="D36" s="113" t="str">
        <v>Incineration</v>
      </c>
      <c r="E36" s="122" t="str">
        <v>Sludge</v>
      </c>
      <c r="F36" s="225"/>
      <c r="G36" s="15"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15" cm="1">
        <f t="array" ref="H36">Common_InputFunctions.Utility_LookupValueInTableNumber(E36,Table_SourceData_WasteSolid_VolumeToMassConversion[Waste type w],Table_SourceData_WasteSolid_VolumeToMassConversion[VTMw])</f>
        <v>0.72</v>
      </c>
      <c r="I36" s="15">
        <f>(G36 * H36)</f>
        <v>0</v>
      </c>
    </row>
    <row r="37" spans="1:9" ht="20.100000000000001" customHeight="1" x14ac:dyDescent="0.2">
      <c r="A37" s="117" t="str">
        <f>HYPERLINK("#'10.1.1-2 Solid waste treatment'!A1", "10.1.1.1-2 Solid waste")</f>
        <v>10.1.1.1-2 Solid waste</v>
      </c>
      <c r="D37" s="113" t="str">
        <v>Incineration</v>
      </c>
      <c r="E37" s="122" t="str">
        <v>Paper and cardboard</v>
      </c>
      <c r="F37" s="225"/>
      <c r="G37" s="15"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15" cm="1">
        <f t="array" ref="H37">Common_InputFunctions.Utility_LookupValueInTableNumber(E37,Table_SourceData_WasteSolid_VolumeToMassConversion[Waste type w],Table_SourceData_WasteSolid_VolumeToMassConversion[VTMw])</f>
        <v>0.09</v>
      </c>
      <c r="I37" s="15">
        <f>(G37 * H37)</f>
        <v>4.5</v>
      </c>
    </row>
    <row r="38" spans="1:9" ht="20.100000000000001" customHeight="1" x14ac:dyDescent="0.2">
      <c r="A38" s="5" t="str">
        <f>HYPERLINK("#'14.1.1-2 Purchased electricity'!A1", "14.1.1-2 Purchased electricity")</f>
        <v>14.1.1-2 Purchased electricity</v>
      </c>
      <c r="D38" s="113" t="str">
        <v>Incineration</v>
      </c>
      <c r="E38" s="122" t="str">
        <v>Textiles</v>
      </c>
      <c r="F38" s="225"/>
      <c r="G38" s="15"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15" cm="1">
        <f t="array" ref="H38">Common_InputFunctions.Utility_LookupValueInTableNumber(E38,Table_SourceData_WasteSolid_VolumeToMassConversion[Waste type w],Table_SourceData_WasteSolid_VolumeToMassConversion[VTMw])</f>
        <v>0.14000000000000001</v>
      </c>
      <c r="I38" s="15">
        <f>(G38 * H38)</f>
        <v>0</v>
      </c>
    </row>
    <row r="39" spans="1:9" ht="20.100000000000001" customHeight="1" x14ac:dyDescent="0.2">
      <c r="A39" s="5" t="str">
        <f>HYPERLINK("#'15 Scope 3'!A1", "15 Scope 3")</f>
        <v>15 Scope 3</v>
      </c>
      <c r="D39" s="113" t="str">
        <v>Incineration</v>
      </c>
      <c r="E39" s="122" t="str">
        <v>Rubber and leather</v>
      </c>
      <c r="F39" s="225"/>
      <c r="G39" s="15"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15" cm="1">
        <f t="array" ref="H39">Common_InputFunctions.Utility_LookupValueInTableNumber(E39,Table_SourceData_WasteSolid_VolumeToMassConversion[Waste type w],Table_SourceData_WasteSolid_VolumeToMassConversion[VTMw])</f>
        <v>0.14000000000000001</v>
      </c>
      <c r="I39" s="15">
        <f>(G39 * H39)</f>
        <v>0</v>
      </c>
    </row>
    <row r="40" spans="1:9" ht="20.100000000000001" customHeight="1" x14ac:dyDescent="0.2">
      <c r="A40" s="5" t="str">
        <f>HYPERLINK("#'Calcs - Manure sent off-site'!A1", "Calcs - Manure sent off-site")</f>
        <v>Calcs - Manure sent off-site</v>
      </c>
      <c r="D40" s="113" t="str">
        <v>Incineration</v>
      </c>
      <c r="E40" s="113" t="str">
        <v>Inert waste (including concrete, metal, plastic or glass)</v>
      </c>
      <c r="F40" s="113"/>
      <c r="G40" s="15"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15" cm="1">
        <f t="array" ref="H40">Common_InputFunctions.Utility_LookupValueInTableNumber(E40,Table_SourceData_WasteSolid_VolumeToMassConversion[Waste type w],Table_SourceData_WasteSolid_VolumeToMassConversion[VTMw])</f>
        <v>0.42</v>
      </c>
      <c r="I40" s="15">
        <f>(G40 * H40)</f>
        <v>0</v>
      </c>
    </row>
    <row r="41" spans="1:9" ht="20.100000000000001" customHeight="1" x14ac:dyDescent="0.2">
      <c r="A41" s="5" t="str">
        <f>HYPERLINK("#'5.1.1.1-2 Inorganic fert N2O'!A1", "5.1.1.1-2 Inorganic fert N2O")</f>
        <v>5.1.1.1-2 Inorganic fert N2O</v>
      </c>
      <c r="D41" s="113" t="str">
        <v>Incineration</v>
      </c>
      <c r="E41" s="122" t="str">
        <v>Municipal solid waste</v>
      </c>
      <c r="F41" s="123"/>
      <c r="G41" s="15"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15" cm="1">
        <f t="array" ref="H41">Common_InputFunctions.Utility_LookupValueInTableNumber(E41,Table_SourceData_WasteSolid_VolumeToMassConversion[Waste type w],Table_SourceData_WasteSolid_VolumeToMassConversion[VTMw])</f>
        <v>0.36</v>
      </c>
      <c r="I41" s="15">
        <f>(G41 * H41)</f>
        <v>0</v>
      </c>
    </row>
    <row r="42" spans="1:9" ht="20.100000000000001" customHeight="1" x14ac:dyDescent="0.2">
      <c r="A42" s="5" t="str">
        <f>HYPERLINK("#'5.1.1.3-4 Inorganic fert CO2'!A1", "5.1.1.3-4 Inorganic fert CO2")</f>
        <v>5.1.1.3-4 Inorganic fert CO2</v>
      </c>
      <c r="D42" s="113" t="str">
        <v>Incineration</v>
      </c>
      <c r="E42" s="122" t="str">
        <v>Commercial and industrial waste</v>
      </c>
      <c r="F42" s="123"/>
      <c r="G42" s="15"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15" cm="1">
        <f t="array" ref="H42">Common_InputFunctions.Utility_LookupValueInTableNumber(E42,Table_SourceData_WasteSolid_VolumeToMassConversion[Waste type w],Table_SourceData_WasteSolid_VolumeToMassConversion[VTMw])</f>
        <v>0.33</v>
      </c>
      <c r="I42" s="15">
        <f>(G42 * H42)</f>
        <v>0</v>
      </c>
    </row>
    <row r="43" spans="1:9" ht="20.100000000000001" customHeight="1" x14ac:dyDescent="0.2">
      <c r="A43" s="5" t="str">
        <f>HYPERLINK("#'5.2.1.1-2 Organic Fert N2O'!A1", "5.2.1.1-2 Organic Fert N2O")</f>
        <v>5.2.1.1-2 Organic Fert N2O</v>
      </c>
      <c r="D43" s="113" t="str">
        <v>Composting</v>
      </c>
      <c r="E43" s="122" t="str">
        <v>All organic waste</v>
      </c>
      <c r="F43" s="123"/>
      <c r="G43" s="15" t="s">
        <v>781</v>
      </c>
      <c r="H43" s="15" t="s">
        <v>781</v>
      </c>
      <c r="I43" s="15" t="s">
        <v>781</v>
      </c>
    </row>
    <row r="44" spans="1:9" ht="20.100000000000001" customHeight="1" x14ac:dyDescent="0.2">
      <c r="A44" s="5" t="str">
        <f>HYPERLINK("#'5.3.1.1-2 Lime CO2'!A1", "5.3.1.1-2 Lime CO2")</f>
        <v>5.3.1.1-2 Lime CO2</v>
      </c>
      <c r="D44" s="113" t="str">
        <v>Composting</v>
      </c>
      <c r="E44" s="122" t="str">
        <v>Food waste (including animal carcasses, spoiled animal feed or crop)</v>
      </c>
      <c r="F44" s="123"/>
      <c r="G44" s="15"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15" cm="1">
        <f t="array" ref="H44">Common_InputFunctions.Utility_LookupValueInTableNumber(E44,Table_SourceData_WasteSolid_VolumeToMassConversion[Waste type w],Table_SourceData_WasteSolid_VolumeToMassConversion[VTMw])</f>
        <v>0.5</v>
      </c>
      <c r="I44" s="15">
        <f>(G44 * H44)</f>
        <v>25</v>
      </c>
    </row>
    <row r="45" spans="1:9" ht="20.100000000000001" customHeight="1" x14ac:dyDescent="0.2">
      <c r="A45" s="5" t="str">
        <f>HYPERLINK("#'5.4.1.1-4 Atmos deposition'!A1", "5.4.1.1-4 Atmos deposition")</f>
        <v>5.4.1.1-4 Atmos deposition</v>
      </c>
      <c r="D45" s="113" t="str">
        <v>Composting</v>
      </c>
      <c r="E45" s="122" t="str">
        <v>Green waste (including crop residues or prunings)</v>
      </c>
      <c r="F45" s="123"/>
      <c r="G45" s="15"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15" cm="1">
        <f t="array" ref="H45">Common_InputFunctions.Utility_LookupValueInTableNumber(E45,Table_SourceData_WasteSolid_VolumeToMassConversion[Waste type w],Table_SourceData_WasteSolid_VolumeToMassConversion[VTMw])</f>
        <v>0.24</v>
      </c>
      <c r="I45" s="15">
        <f>(G45 * H45)</f>
        <v>0</v>
      </c>
    </row>
    <row r="46" spans="1:9" ht="20.100000000000001" customHeight="1" x14ac:dyDescent="0.2">
      <c r="A46" s="5" t="str">
        <f>HYPERLINK("#'5.5.1.1-2 Leaching and runoff'!A1", "5.5.1.1-2 Leaching and runoff")</f>
        <v>5.5.1.1-2 Leaching and runoff</v>
      </c>
      <c r="D46" s="113" t="str">
        <v>Composting</v>
      </c>
      <c r="E46" s="122" t="str">
        <v>Wood</v>
      </c>
      <c r="F46" s="123"/>
      <c r="G46" s="15"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15" cm="1">
        <f t="array" ref="H46">Common_InputFunctions.Utility_LookupValueInTableNumber(E46,Table_SourceData_WasteSolid_VolumeToMassConversion[Waste type w],Table_SourceData_WasteSolid_VolumeToMassConversion[VTMw])</f>
        <v>0.15</v>
      </c>
      <c r="I46" s="15">
        <f>(G46 * H46)</f>
        <v>0</v>
      </c>
    </row>
    <row r="47" spans="1:9" ht="20.100000000000001" customHeight="1" x14ac:dyDescent="0.2">
      <c r="D47" s="113" t="str">
        <v>Composting</v>
      </c>
      <c r="E47" s="122" t="str">
        <v>Sludge</v>
      </c>
      <c r="F47" s="123"/>
      <c r="G47" s="15"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15" cm="1">
        <f t="array" ref="H47">Common_InputFunctions.Utility_LookupValueInTableNumber(E47,Table_SourceData_WasteSolid_VolumeToMassConversion[Waste type w],Table_SourceData_WasteSolid_VolumeToMassConversion[VTMw])</f>
        <v>0.72</v>
      </c>
      <c r="I47" s="15">
        <f>(G47 * H47)</f>
        <v>0</v>
      </c>
    </row>
    <row r="48" spans="1:9" ht="20.100000000000001" customHeight="1" x14ac:dyDescent="0.2">
      <c r="D48" s="113" t="str">
        <v>Composting</v>
      </c>
      <c r="E48" s="122" t="str">
        <v>Paper and cardboard</v>
      </c>
      <c r="F48" s="123"/>
      <c r="G48" s="15"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15" cm="1">
        <f t="array" ref="H48">Common_InputFunctions.Utility_LookupValueInTableNumber(E48,Table_SourceData_WasteSolid_VolumeToMassConversion[Waste type w],Table_SourceData_WasteSolid_VolumeToMassConversion[VTMw])</f>
        <v>0.09</v>
      </c>
      <c r="I48" s="15">
        <f>(G48 * H48)</f>
        <v>4.5</v>
      </c>
    </row>
    <row r="49" spans="1:9" ht="20.100000000000001" customHeight="1" x14ac:dyDescent="0.2">
      <c r="A49" s="80" t="s">
        <v>1</v>
      </c>
      <c r="D49" s="113" t="str">
        <v>Anaerobic digestion</v>
      </c>
      <c r="E49" s="122" t="str">
        <v>All organic waste</v>
      </c>
      <c r="F49" s="123"/>
      <c r="G49" s="15" t="s">
        <v>781</v>
      </c>
      <c r="H49" s="15" t="s">
        <v>781</v>
      </c>
      <c r="I49" s="15" t="s">
        <v>781</v>
      </c>
    </row>
    <row r="50" spans="1:9" ht="20.100000000000001" customHeight="1" x14ac:dyDescent="0.2">
      <c r="A50" s="5" t="str">
        <f>HYPERLINK("#'Constants - Poultry'!A1", "Constants - Poultry")</f>
        <v>Constants - Poultry</v>
      </c>
      <c r="D50" s="113" t="str">
        <v>Anaerobic digestion</v>
      </c>
      <c r="E50" s="122" t="str">
        <v>Food waste (including animal carcasses, spoiled animal feed or crop)</v>
      </c>
      <c r="F50" s="123"/>
      <c r="G50" s="15"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15" cm="1">
        <f t="array" ref="H50">Common_InputFunctions.Utility_LookupValueInTableNumber(E50,Table_SourceData_WasteSolid_VolumeToMassConversion[Waste type w],Table_SourceData_WasteSolid_VolumeToMassConversion[VTMw])</f>
        <v>0.5</v>
      </c>
      <c r="I50" s="15">
        <f>(G50 * H50)</f>
        <v>0</v>
      </c>
    </row>
    <row r="51" spans="1:9" ht="20.100000000000001" customHeight="1" x14ac:dyDescent="0.2">
      <c r="A51" s="5" t="str">
        <f>HYPERLINK("#'Constants - Common livestock'!A1", "Constants - Common Livestock")</f>
        <v>Constants - Common Livestock</v>
      </c>
      <c r="D51" s="113" t="str">
        <v>Anaerobic digestion</v>
      </c>
      <c r="E51" s="122" t="str">
        <v>Green waste (including crop residues or prunings)</v>
      </c>
      <c r="F51" s="123"/>
      <c r="G51" s="15"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15" cm="1">
        <f t="array" ref="H51">Common_InputFunctions.Utility_LookupValueInTableNumber(E51,Table_SourceData_WasteSolid_VolumeToMassConversion[Waste type w],Table_SourceData_WasteSolid_VolumeToMassConversion[VTMw])</f>
        <v>0.24</v>
      </c>
      <c r="I51" s="15">
        <f>(G51 * H51)</f>
        <v>0</v>
      </c>
    </row>
    <row r="52" spans="1:9" ht="20.100000000000001" customHeight="1" x14ac:dyDescent="0.2">
      <c r="A52" s="5" t="str">
        <f>HYPERLINK("#'Constants - Electricity'!A1", "Constants - Electricity")</f>
        <v>Constants - Electricity</v>
      </c>
      <c r="D52" s="113" t="str">
        <v>Anaerobic digestion</v>
      </c>
      <c r="E52" s="122" t="str">
        <v>Wood</v>
      </c>
      <c r="F52" s="123"/>
      <c r="G52" s="15"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15" cm="1">
        <f t="array" ref="H52">Common_InputFunctions.Utility_LookupValueInTableNumber(E52,Table_SourceData_WasteSolid_VolumeToMassConversion[Waste type w],Table_SourceData_WasteSolid_VolumeToMassConversion[VTMw])</f>
        <v>0.15</v>
      </c>
      <c r="I52" s="15">
        <f>(G52 * H52)</f>
        <v>0</v>
      </c>
    </row>
    <row r="53" spans="1:9" ht="20.100000000000001" customHeight="1" x14ac:dyDescent="0.2">
      <c r="A53" s="5" t="str">
        <f>HYPERLINK("#'Constants - Fertiliser'!A1", "Constants - Fertiliser")</f>
        <v>Constants - Fertiliser</v>
      </c>
      <c r="D53" s="113" t="str">
        <v>Anaerobic digestion</v>
      </c>
      <c r="E53" s="122" t="str">
        <v>Sludge</v>
      </c>
      <c r="F53" s="123"/>
      <c r="G53" s="15"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15" cm="1">
        <f t="array" ref="H53">Common_InputFunctions.Utility_LookupValueInTableNumber(E53,Table_SourceData_WasteSolid_VolumeToMassConversion[Waste type w],Table_SourceData_WasteSolid_VolumeToMassConversion[VTMw])</f>
        <v>0.72</v>
      </c>
      <c r="I53" s="15">
        <f>(G53 * H53)</f>
        <v>0</v>
      </c>
    </row>
    <row r="54" spans="1:9" ht="20.100000000000001" customHeight="1" x14ac:dyDescent="0.2">
      <c r="A54" s="5" t="str">
        <f>HYPERLINK("#'Constants - Fuel'!A1", "Constants - Fuel")</f>
        <v>Constants - Fuel</v>
      </c>
      <c r="D54" s="113" t="str">
        <v>Anaerobic digestion</v>
      </c>
      <c r="E54" s="122" t="str">
        <v>Paper and cardboard</v>
      </c>
      <c r="F54" s="123"/>
      <c r="G54" s="15"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15" cm="1">
        <f t="array" ref="H54">Common_InputFunctions.Utility_LookupValueInTableNumber(E54,Table_SourceData_WasteSolid_VolumeToMassConversion[Waste type w],Table_SourceData_WasteSolid_VolumeToMassConversion[VTMw])</f>
        <v>0.09</v>
      </c>
      <c r="I54" s="15">
        <f>(G54 * H54)</f>
        <v>0</v>
      </c>
    </row>
    <row r="55" spans="1:9" ht="20.100000000000001" customHeight="1" x14ac:dyDescent="0.2">
      <c r="A55" s="5" t="str">
        <f>HYPERLINK("#'Constants - Scope 3'!A1", "Constants - Scope 3")</f>
        <v>Constants - Scope 3</v>
      </c>
    </row>
    <row r="56" spans="1:9" ht="20.100000000000001" customHeight="1" x14ac:dyDescent="0.2">
      <c r="A56" s="5" t="str">
        <f>HYPERLINK("#'Constants - Solid Waste'!A1", "Constants - Solid Waste")</f>
        <v>Constants - Solid Waste</v>
      </c>
      <c r="D56" s="118" t="s">
        <v>918</v>
      </c>
    </row>
    <row r="57" spans="1:9" ht="20.100000000000001" customHeight="1" x14ac:dyDescent="0.2">
      <c r="A57" s="5" t="str">
        <f>HYPERLINK("#'Constants - Common'!A1", "Constants - Common")</f>
        <v>Constants - Common</v>
      </c>
      <c r="D57" s="119" t="s">
        <v>919</v>
      </c>
    </row>
    <row r="58" spans="1:9" ht="20.100000000000001" customHeight="1" x14ac:dyDescent="0.2">
      <c r="D58" s="78" t="s">
        <v>913</v>
      </c>
      <c r="E58" s="78" t="s">
        <v>914</v>
      </c>
      <c r="F58" s="78"/>
      <c r="G58" s="78" t="s">
        <v>915</v>
      </c>
      <c r="H58" s="120" t="s">
        <v>916</v>
      </c>
      <c r="I58" s="120" t="s">
        <v>917</v>
      </c>
    </row>
    <row r="59" spans="1:9" ht="20.100000000000001" customHeight="1" x14ac:dyDescent="0.2">
      <c r="D59" s="113" t="str" cm="1">
        <f t="array" ref="D59:D92">Table_SourceData_WasteSolid_WasteTreatmentEFs[Treatment type t]</f>
        <v>Landfill</v>
      </c>
      <c r="E59" s="122" t="str" cm="1">
        <f t="array" ref="E59:E92">Table_SourceData_WasteSolid_WasteTreatmentEFs[Waste type w]</f>
        <v>Food waste (including animal carcasses, spoiled animal feed or crop)</v>
      </c>
      <c r="F59" s="225"/>
      <c r="G59" s="15"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15" cm="1">
        <f t="array" ref="H59">Common_InputFunctions.Utility_LookupValueInTableNumber(E59,Table_SourceData_WasteSolid_VolumeToMassConversion[Waste type w],Table_SourceData_WasteSolid_VolumeToMassConversion[VTMw])</f>
        <v>0.5</v>
      </c>
      <c r="I59" s="15">
        <f>(G59 * H59)</f>
        <v>25</v>
      </c>
    </row>
    <row r="60" spans="1:9" ht="20.100000000000001" customHeight="1" x14ac:dyDescent="0.2">
      <c r="D60" s="113" t="str">
        <v>Landfill</v>
      </c>
      <c r="E60" s="122" t="str">
        <v>Paper and cardboard</v>
      </c>
      <c r="F60" s="225"/>
      <c r="G60" s="15"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15" cm="1">
        <f t="array" ref="H60">Common_InputFunctions.Utility_LookupValueInTableNumber(E60,Table_SourceData_WasteSolid_VolumeToMassConversion[Waste type w],Table_SourceData_WasteSolid_VolumeToMassConversion[VTMw])</f>
        <v>0.09</v>
      </c>
      <c r="I60" s="15">
        <f>(G60 * H60)</f>
        <v>4.5</v>
      </c>
    </row>
    <row r="61" spans="1:9" ht="20.100000000000001" customHeight="1" x14ac:dyDescent="0.2">
      <c r="D61" s="113" t="str">
        <v>Landfill</v>
      </c>
      <c r="E61" s="122" t="str">
        <v>Green waste (including crop residues or prunings)</v>
      </c>
      <c r="F61" s="225"/>
      <c r="G61" s="15"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15" cm="1">
        <f t="array" ref="H61">Common_InputFunctions.Utility_LookupValueInTableNumber(E61,Table_SourceData_WasteSolid_VolumeToMassConversion[Waste type w],Table_SourceData_WasteSolid_VolumeToMassConversion[VTMw])</f>
        <v>0.24</v>
      </c>
      <c r="I61" s="15">
        <f>(G61 * H61)</f>
        <v>12</v>
      </c>
    </row>
    <row r="62" spans="1:9" ht="20.100000000000001" customHeight="1" x14ac:dyDescent="0.2">
      <c r="D62" s="113" t="str">
        <v>Landfill</v>
      </c>
      <c r="E62" s="122" t="str">
        <v>Wood</v>
      </c>
      <c r="F62" s="225"/>
      <c r="G62" s="15"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15" cm="1">
        <f t="array" ref="H62">Common_InputFunctions.Utility_LookupValueInTableNumber(E62,Table_SourceData_WasteSolid_VolumeToMassConversion[Waste type w],Table_SourceData_WasteSolid_VolumeToMassConversion[VTMw])</f>
        <v>0.15</v>
      </c>
      <c r="I62" s="15">
        <f>(G62 * H62)</f>
        <v>0</v>
      </c>
    </row>
    <row r="63" spans="1:9" ht="20.100000000000001" customHeight="1" x14ac:dyDescent="0.2">
      <c r="D63" s="113" t="str">
        <v>Landfill</v>
      </c>
      <c r="E63" s="122" t="str">
        <v>Textiles</v>
      </c>
      <c r="F63" s="225"/>
      <c r="G63" s="15"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15" cm="1">
        <f t="array" ref="H63">Common_InputFunctions.Utility_LookupValueInTableNumber(E63,Table_SourceData_WasteSolid_VolumeToMassConversion[Waste type w],Table_SourceData_WasteSolid_VolumeToMassConversion[VTMw])</f>
        <v>0.14000000000000001</v>
      </c>
      <c r="I63" s="15">
        <f>(G63 * H63)</f>
        <v>0</v>
      </c>
    </row>
    <row r="64" spans="1:9" ht="20.100000000000001" customHeight="1" x14ac:dyDescent="0.2">
      <c r="D64" s="113" t="str">
        <v>Landfill</v>
      </c>
      <c r="E64" s="122" t="str">
        <v>Sludge</v>
      </c>
      <c r="F64" s="225"/>
      <c r="G64" s="15"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15" cm="1">
        <f t="array" ref="H64">Common_InputFunctions.Utility_LookupValueInTableNumber(E64,Table_SourceData_WasteSolid_VolumeToMassConversion[Waste type w],Table_SourceData_WasteSolid_VolumeToMassConversion[VTMw])</f>
        <v>0.72</v>
      </c>
      <c r="I64" s="15">
        <f>(G64 * H64)</f>
        <v>0</v>
      </c>
    </row>
    <row r="65" spans="1:9" ht="20.100000000000001" customHeight="1" x14ac:dyDescent="0.2">
      <c r="D65" s="113" t="str">
        <v>Landfill</v>
      </c>
      <c r="E65" s="122" t="str">
        <v>Rubber and leather</v>
      </c>
      <c r="F65" s="225"/>
      <c r="G65" s="15"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15" cm="1">
        <f t="array" ref="H65">Common_InputFunctions.Utility_LookupValueInTableNumber(E65,Table_SourceData_WasteSolid_VolumeToMassConversion[Waste type w],Table_SourceData_WasteSolid_VolumeToMassConversion[VTMw])</f>
        <v>0.14000000000000001</v>
      </c>
      <c r="I65" s="15">
        <f>(G65 * H65)</f>
        <v>0</v>
      </c>
    </row>
    <row r="66" spans="1:9" ht="20.100000000000001" customHeight="1" x14ac:dyDescent="0.2">
      <c r="D66" s="113" t="str">
        <v>Landfill</v>
      </c>
      <c r="E66" s="122" t="str">
        <v>Inert waste (including concrete, metal, plastic or glass)</v>
      </c>
      <c r="F66" s="225"/>
      <c r="G66" s="15"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15" cm="1">
        <f t="array" ref="H66">Common_InputFunctions.Utility_LookupValueInTableNumber(E66,Table_SourceData_WasteSolid_VolumeToMassConversion[Waste type w],Table_SourceData_WasteSolid_VolumeToMassConversion[VTMw])</f>
        <v>0.42</v>
      </c>
      <c r="I66" s="15">
        <f>(G66 * H66)</f>
        <v>0</v>
      </c>
    </row>
    <row r="67" spans="1:9" ht="20.100000000000001" customHeight="1" x14ac:dyDescent="0.2">
      <c r="D67" s="113" t="str">
        <v>Landfill</v>
      </c>
      <c r="E67" s="122" t="str">
        <v>Municipal solid waste</v>
      </c>
      <c r="F67" s="225"/>
      <c r="G67" s="15"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15" cm="1">
        <f t="array" ref="H67">Common_InputFunctions.Utility_LookupValueInTableNumber(E67,Table_SourceData_WasteSolid_VolumeToMassConversion[Waste type w],Table_SourceData_WasteSolid_VolumeToMassConversion[VTMw])</f>
        <v>0.36</v>
      </c>
      <c r="I67" s="15">
        <f>(G67 * H67)</f>
        <v>0</v>
      </c>
    </row>
    <row r="68" spans="1:9" ht="20.100000000000001" customHeight="1" x14ac:dyDescent="0.2">
      <c r="A68" s="79" t="str">
        <f>HYPERLINK("#A1", "▲ Back to top")</f>
        <v>▲ Back to top</v>
      </c>
      <c r="D68" s="113" t="str">
        <v>Landfill</v>
      </c>
      <c r="E68" s="122" t="str">
        <v>Commercial and industrial waste</v>
      </c>
      <c r="F68" s="225"/>
      <c r="G68" s="15"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15" cm="1">
        <f t="array" ref="H68">Common_InputFunctions.Utility_LookupValueInTableNumber(E68,Table_SourceData_WasteSolid_VolumeToMassConversion[Waste type w],Table_SourceData_WasteSolid_VolumeToMassConversion[VTMw])</f>
        <v>0.33</v>
      </c>
      <c r="I68" s="15">
        <f>(G68 * H68)</f>
        <v>0</v>
      </c>
    </row>
    <row r="69" spans="1:9" ht="20.100000000000001" customHeight="1" x14ac:dyDescent="0.2">
      <c r="D69" s="113" t="str">
        <v>Landfill</v>
      </c>
      <c r="E69" s="122" t="str">
        <v>Construction and demolition waste</v>
      </c>
      <c r="F69" s="225"/>
      <c r="G69" s="15"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15" cm="1">
        <f t="array" ref="H69">Common_InputFunctions.Utility_LookupValueInTableNumber(E69,Table_SourceData_WasteSolid_VolumeToMassConversion[Waste type w],Table_SourceData_WasteSolid_VolumeToMassConversion[VTMw])</f>
        <v>0.39</v>
      </c>
      <c r="I69" s="15">
        <f>(G69 * H69)</f>
        <v>0</v>
      </c>
    </row>
    <row r="70" spans="1:9" ht="20.100000000000001" customHeight="1" x14ac:dyDescent="0.2">
      <c r="D70" s="113" t="str">
        <v>Incineration</v>
      </c>
      <c r="E70" s="122" t="str">
        <v>Food waste, green waste, wood, sludge</v>
      </c>
      <c r="F70" s="225"/>
      <c r="G70" s="15" t="s">
        <v>781</v>
      </c>
      <c r="H70" s="15" t="s">
        <v>781</v>
      </c>
      <c r="I70" s="15" t="s">
        <v>781</v>
      </c>
    </row>
    <row r="71" spans="1:9" ht="20.100000000000001" customHeight="1" x14ac:dyDescent="0.2">
      <c r="D71" s="113" t="str">
        <v>Incineration</v>
      </c>
      <c r="E71" s="122" t="str">
        <v>Food waste (including animal carcasses, spoiled animal feed or crop)</v>
      </c>
      <c r="F71" s="225"/>
      <c r="G71" s="15"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15" cm="1">
        <f t="array" ref="H71">Common_InputFunctions.Utility_LookupValueInTableNumber(E71,Table_SourceData_WasteSolid_VolumeToMassConversion[Waste type w],Table_SourceData_WasteSolid_VolumeToMassConversion[VTMw])</f>
        <v>0.5</v>
      </c>
      <c r="I71" s="15">
        <f>(G71 * H71)</f>
        <v>0</v>
      </c>
    </row>
    <row r="72" spans="1:9" ht="20.100000000000001" customHeight="1" x14ac:dyDescent="0.2">
      <c r="D72" s="113" t="str">
        <v>Incineration</v>
      </c>
      <c r="E72" s="122" t="str">
        <v>Green waste (including crop residues or prunings)</v>
      </c>
      <c r="F72" s="225"/>
      <c r="G72" s="15"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15" cm="1">
        <f t="array" ref="H72">Common_InputFunctions.Utility_LookupValueInTableNumber(E72,Table_SourceData_WasteSolid_VolumeToMassConversion[Waste type w],Table_SourceData_WasteSolid_VolumeToMassConversion[VTMw])</f>
        <v>0.24</v>
      </c>
      <c r="I72" s="15">
        <f>(G72 * H72)</f>
        <v>12</v>
      </c>
    </row>
    <row r="73" spans="1:9" ht="20.100000000000001" customHeight="1" x14ac:dyDescent="0.2">
      <c r="D73" s="113" t="str">
        <v>Incineration</v>
      </c>
      <c r="E73" s="122" t="str">
        <v>Wood</v>
      </c>
      <c r="F73" s="225"/>
      <c r="G73" s="15"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15" cm="1">
        <f t="array" ref="H73">Common_InputFunctions.Utility_LookupValueInTableNumber(E73,Table_SourceData_WasteSolid_VolumeToMassConversion[Waste type w],Table_SourceData_WasteSolid_VolumeToMassConversion[VTMw])</f>
        <v>0.15</v>
      </c>
      <c r="I73" s="15">
        <f>(G73 * H73)</f>
        <v>0</v>
      </c>
    </row>
    <row r="74" spans="1:9" ht="20.100000000000001" customHeight="1" x14ac:dyDescent="0.2">
      <c r="D74" s="113" t="str">
        <v>Incineration</v>
      </c>
      <c r="E74" s="122" t="str">
        <v>Sludge</v>
      </c>
      <c r="F74" s="225"/>
      <c r="G74" s="15"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15" cm="1">
        <f t="array" ref="H74">Common_InputFunctions.Utility_LookupValueInTableNumber(E74,Table_SourceData_WasteSolid_VolumeToMassConversion[Waste type w],Table_SourceData_WasteSolid_VolumeToMassConversion[VTMw])</f>
        <v>0.72</v>
      </c>
      <c r="I74" s="15">
        <f>(G74 * H74)</f>
        <v>0</v>
      </c>
    </row>
    <row r="75" spans="1:9" ht="20.100000000000001" customHeight="1" x14ac:dyDescent="0.2">
      <c r="D75" s="113" t="str">
        <v>Incineration</v>
      </c>
      <c r="E75" s="122" t="str">
        <v>Paper and cardboard</v>
      </c>
      <c r="F75" s="225"/>
      <c r="G75" s="15"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15" cm="1">
        <f t="array" ref="H75">Common_InputFunctions.Utility_LookupValueInTableNumber(E75,Table_SourceData_WasteSolid_VolumeToMassConversion[Waste type w],Table_SourceData_WasteSolid_VolumeToMassConversion[VTMw])</f>
        <v>0.09</v>
      </c>
      <c r="I75" s="15">
        <f>(G75 * H75)</f>
        <v>0</v>
      </c>
    </row>
    <row r="76" spans="1:9" ht="20.100000000000001" customHeight="1" x14ac:dyDescent="0.2">
      <c r="D76" s="113" t="str">
        <v>Incineration</v>
      </c>
      <c r="E76" s="122" t="str">
        <v>Textiles</v>
      </c>
      <c r="F76" s="225"/>
      <c r="G76" s="15"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15" cm="1">
        <f t="array" ref="H76">Common_InputFunctions.Utility_LookupValueInTableNumber(E76,Table_SourceData_WasteSolid_VolumeToMassConversion[Waste type w],Table_SourceData_WasteSolid_VolumeToMassConversion[VTMw])</f>
        <v>0.14000000000000001</v>
      </c>
      <c r="I76" s="15">
        <f>(G76 * H76)</f>
        <v>0</v>
      </c>
    </row>
    <row r="77" spans="1:9" ht="20.100000000000001" customHeight="1" x14ac:dyDescent="0.2">
      <c r="D77" s="113" t="str">
        <v>Incineration</v>
      </c>
      <c r="E77" s="122" t="str">
        <v>Rubber and leather</v>
      </c>
      <c r="F77" s="225"/>
      <c r="G77" s="15"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15" cm="1">
        <f t="array" ref="H77">Common_InputFunctions.Utility_LookupValueInTableNumber(E77,Table_SourceData_WasteSolid_VolumeToMassConversion[Waste type w],Table_SourceData_WasteSolid_VolumeToMassConversion[VTMw])</f>
        <v>0.14000000000000001</v>
      </c>
      <c r="I77" s="15">
        <f>(G77 * H77)</f>
        <v>0</v>
      </c>
    </row>
    <row r="78" spans="1:9" ht="20.100000000000001" customHeight="1" x14ac:dyDescent="0.2">
      <c r="D78" s="113" t="str">
        <v>Incineration</v>
      </c>
      <c r="E78" s="122" t="str">
        <v>Inert waste (including concrete, metal, plastic or glass)</v>
      </c>
      <c r="F78" s="225"/>
      <c r="G78" s="15"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15" cm="1">
        <f t="array" ref="H78">Common_InputFunctions.Utility_LookupValueInTableNumber(E78,Table_SourceData_WasteSolid_VolumeToMassConversion[Waste type w],Table_SourceData_WasteSolid_VolumeToMassConversion[VTMw])</f>
        <v>0.42</v>
      </c>
      <c r="I78" s="15">
        <f>(G78 * H78)</f>
        <v>0</v>
      </c>
    </row>
    <row r="79" spans="1:9" ht="20.100000000000001" customHeight="1" x14ac:dyDescent="0.2">
      <c r="D79" s="113" t="str">
        <v>Incineration</v>
      </c>
      <c r="E79" s="122" t="str">
        <v>Municipal solid waste</v>
      </c>
      <c r="F79" s="123"/>
      <c r="G79" s="15"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15" cm="1">
        <f t="array" ref="H79">Common_InputFunctions.Utility_LookupValueInTableNumber(E79,Table_SourceData_WasteSolid_VolumeToMassConversion[Waste type w],Table_SourceData_WasteSolid_VolumeToMassConversion[VTMw])</f>
        <v>0.36</v>
      </c>
      <c r="I79" s="15">
        <f>(G79 * H79)</f>
        <v>0</v>
      </c>
    </row>
    <row r="80" spans="1:9" ht="20.100000000000001" customHeight="1" x14ac:dyDescent="0.2">
      <c r="D80" s="113" t="str">
        <v>Incineration</v>
      </c>
      <c r="E80" s="122" t="str">
        <v>Commercial and industrial waste</v>
      </c>
      <c r="F80" s="123"/>
      <c r="G80" s="15"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15" cm="1">
        <f t="array" ref="H80">Common_InputFunctions.Utility_LookupValueInTableNumber(E80,Table_SourceData_WasteSolid_VolumeToMassConversion[Waste type w],Table_SourceData_WasteSolid_VolumeToMassConversion[VTMw])</f>
        <v>0.33</v>
      </c>
      <c r="I80" s="15">
        <f>(G80 * H80)</f>
        <v>0</v>
      </c>
    </row>
    <row r="81" spans="3:12" ht="20.100000000000001" customHeight="1" x14ac:dyDescent="0.2">
      <c r="D81" s="113" t="str">
        <v>Composting</v>
      </c>
      <c r="E81" s="122" t="str">
        <v>All organic waste</v>
      </c>
      <c r="F81" s="123"/>
      <c r="G81" s="15" t="s">
        <v>781</v>
      </c>
      <c r="H81" s="15" t="s">
        <v>781</v>
      </c>
      <c r="I81" s="15" t="s">
        <v>781</v>
      </c>
    </row>
    <row r="82" spans="3:12" ht="20.100000000000001" customHeight="1" x14ac:dyDescent="0.2">
      <c r="D82" s="113" t="str">
        <v>Composting</v>
      </c>
      <c r="E82" s="122" t="str">
        <v>Food waste (including animal carcasses, spoiled animal feed or crop)</v>
      </c>
      <c r="F82" s="123"/>
      <c r="G82" s="15"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15" cm="1">
        <f t="array" ref="H82">Common_InputFunctions.Utility_LookupValueInTableNumber(E82,Table_SourceData_WasteSolid_VolumeToMassConversion[Waste type w],Table_SourceData_WasteSolid_VolumeToMassConversion[VTMw])</f>
        <v>0.5</v>
      </c>
      <c r="I82" s="15">
        <f>(G82 * H82)</f>
        <v>0</v>
      </c>
    </row>
    <row r="83" spans="3:12" ht="20.100000000000001" customHeight="1" x14ac:dyDescent="0.2">
      <c r="D83" s="113" t="str">
        <v>Composting</v>
      </c>
      <c r="E83" s="122" t="str">
        <v>Green waste (including crop residues or prunings)</v>
      </c>
      <c r="F83" s="123"/>
      <c r="G83" s="15"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15" cm="1">
        <f t="array" ref="H83">Common_InputFunctions.Utility_LookupValueInTableNumber(E83,Table_SourceData_WasteSolid_VolumeToMassConversion[Waste type w],Table_SourceData_WasteSolid_VolumeToMassConversion[VTMw])</f>
        <v>0.24</v>
      </c>
      <c r="I83" s="15">
        <f>(G83 * H83)</f>
        <v>0</v>
      </c>
    </row>
    <row r="84" spans="3:12" ht="20.100000000000001" customHeight="1" x14ac:dyDescent="0.2">
      <c r="D84" s="113" t="str">
        <v>Composting</v>
      </c>
      <c r="E84" s="122" t="str">
        <v>Wood</v>
      </c>
      <c r="F84" s="123"/>
      <c r="G84" s="15"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15" cm="1">
        <f t="array" ref="H84">Common_InputFunctions.Utility_LookupValueInTableNumber(E84,Table_SourceData_WasteSolid_VolumeToMassConversion[Waste type w],Table_SourceData_WasteSolid_VolumeToMassConversion[VTMw])</f>
        <v>0.15</v>
      </c>
      <c r="I84" s="15">
        <f>(G84 * H84)</f>
        <v>0</v>
      </c>
    </row>
    <row r="85" spans="3:12" ht="20.100000000000001" customHeight="1" x14ac:dyDescent="0.2">
      <c r="D85" s="113" t="str">
        <v>Composting</v>
      </c>
      <c r="E85" s="122" t="str">
        <v>Sludge</v>
      </c>
      <c r="F85" s="123"/>
      <c r="G85" s="15"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15" cm="1">
        <f t="array" ref="H85">Common_InputFunctions.Utility_LookupValueInTableNumber(E85,Table_SourceData_WasteSolid_VolumeToMassConversion[Waste type w],Table_SourceData_WasteSolid_VolumeToMassConversion[VTMw])</f>
        <v>0.72</v>
      </c>
      <c r="I85" s="15">
        <f>(G85 * H85)</f>
        <v>0</v>
      </c>
    </row>
    <row r="86" spans="3:12" ht="20.100000000000001" customHeight="1" x14ac:dyDescent="0.2">
      <c r="D86" s="113" t="str">
        <v>Composting</v>
      </c>
      <c r="E86" s="122" t="str">
        <v>Paper and cardboard</v>
      </c>
      <c r="F86" s="123"/>
      <c r="G86" s="15"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15" cm="1">
        <f t="array" ref="H86">Common_InputFunctions.Utility_LookupValueInTableNumber(E86,Table_SourceData_WasteSolid_VolumeToMassConversion[Waste type w],Table_SourceData_WasteSolid_VolumeToMassConversion[VTMw])</f>
        <v>0.09</v>
      </c>
      <c r="I86" s="15">
        <f>(G86 * H86)</f>
        <v>0</v>
      </c>
    </row>
    <row r="87" spans="3:12" ht="20.100000000000001" customHeight="1" x14ac:dyDescent="0.2">
      <c r="D87" s="113" t="str">
        <v>Anaerobic digestion</v>
      </c>
      <c r="E87" s="122" t="str">
        <v>All organic waste</v>
      </c>
      <c r="F87" s="123"/>
      <c r="G87" s="15" t="s">
        <v>781</v>
      </c>
      <c r="H87" s="15" t="s">
        <v>781</v>
      </c>
      <c r="I87" s="15" t="s">
        <v>781</v>
      </c>
    </row>
    <row r="88" spans="3:12" ht="20.100000000000001" customHeight="1" x14ac:dyDescent="0.2">
      <c r="D88" s="113" t="str">
        <v>Anaerobic digestion</v>
      </c>
      <c r="E88" s="122" t="str">
        <v>Food waste (including animal carcasses, spoiled animal feed or crop)</v>
      </c>
      <c r="F88" s="123"/>
      <c r="G88" s="15"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15" cm="1">
        <f t="array" ref="H88">Common_InputFunctions.Utility_LookupValueInTableNumber(E88,Table_SourceData_WasteSolid_VolumeToMassConversion[Waste type w],Table_SourceData_WasteSolid_VolumeToMassConversion[VTMw])</f>
        <v>0.5</v>
      </c>
      <c r="I88" s="15">
        <f>(G88 * H88)</f>
        <v>0</v>
      </c>
    </row>
    <row r="89" spans="3:12" ht="20.100000000000001" customHeight="1" x14ac:dyDescent="0.2">
      <c r="D89" s="113" t="str">
        <v>Anaerobic digestion</v>
      </c>
      <c r="E89" s="122" t="str">
        <v>Green waste (including crop residues or prunings)</v>
      </c>
      <c r="F89" s="123"/>
      <c r="G89" s="15"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15" cm="1">
        <f t="array" ref="H89">Common_InputFunctions.Utility_LookupValueInTableNumber(E89,Table_SourceData_WasteSolid_VolumeToMassConversion[Waste type w],Table_SourceData_WasteSolid_VolumeToMassConversion[VTMw])</f>
        <v>0.24</v>
      </c>
      <c r="I89" s="15">
        <f>(G89 * H89)</f>
        <v>0</v>
      </c>
    </row>
    <row r="90" spans="3:12" ht="20.100000000000001" customHeight="1" x14ac:dyDescent="0.2">
      <c r="D90" s="113" t="str">
        <v>Anaerobic digestion</v>
      </c>
      <c r="E90" s="122" t="str">
        <v>Wood</v>
      </c>
      <c r="F90" s="123"/>
      <c r="G90" s="15"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15" cm="1">
        <f t="array" ref="H90">Common_InputFunctions.Utility_LookupValueInTableNumber(E90,Table_SourceData_WasteSolid_VolumeToMassConversion[Waste type w],Table_SourceData_WasteSolid_VolumeToMassConversion[VTMw])</f>
        <v>0.15</v>
      </c>
      <c r="I90" s="15">
        <f>(G90 * H90)</f>
        <v>0</v>
      </c>
    </row>
    <row r="91" spans="3:12" ht="20.100000000000001" customHeight="1" x14ac:dyDescent="0.2">
      <c r="D91" s="113" t="str">
        <v>Anaerobic digestion</v>
      </c>
      <c r="E91" s="122" t="str">
        <v>Sludge</v>
      </c>
      <c r="F91" s="123"/>
      <c r="G91" s="15"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15" cm="1">
        <f t="array" ref="H91">Common_InputFunctions.Utility_LookupValueInTableNumber(E91,Table_SourceData_WasteSolid_VolumeToMassConversion[Waste type w],Table_SourceData_WasteSolid_VolumeToMassConversion[VTMw])</f>
        <v>0.72</v>
      </c>
      <c r="I91" s="15">
        <f>(G91 * H91)</f>
        <v>0</v>
      </c>
    </row>
    <row r="92" spans="3:12" ht="20.100000000000001" customHeight="1" x14ac:dyDescent="0.2">
      <c r="D92" s="113" t="str">
        <v>Anaerobic digestion</v>
      </c>
      <c r="E92" s="122" t="str">
        <v>Paper and cardboard</v>
      </c>
      <c r="F92" s="123"/>
      <c r="G92" s="15"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15" cm="1">
        <f t="array" ref="H92">Common_InputFunctions.Utility_LookupValueInTableNumber(E92,Table_SourceData_WasteSolid_VolumeToMassConversion[Waste type w],Table_SourceData_WasteSolid_VolumeToMassConversion[VTMw])</f>
        <v>0.09</v>
      </c>
      <c r="I92" s="15">
        <f>(G92 * H92)</f>
        <v>0</v>
      </c>
    </row>
    <row r="95" spans="3:12" ht="20.100000000000001" customHeight="1" x14ac:dyDescent="0.2">
      <c r="C95" s="83"/>
      <c r="D95" s="83"/>
      <c r="E95" s="83"/>
      <c r="F95" s="83"/>
      <c r="G95" s="83"/>
      <c r="H95" s="83"/>
      <c r="I95" s="83"/>
      <c r="J95" s="83"/>
      <c r="K95" s="83"/>
      <c r="L95" s="83"/>
    </row>
    <row r="96" spans="3:12" ht="20.100000000000001" customHeight="1" x14ac:dyDescent="0.2">
      <c r="D96" s="2" t="s">
        <v>1448</v>
      </c>
    </row>
    <row r="97" spans="1:9" ht="20.100000000000001" customHeight="1" x14ac:dyDescent="0.2">
      <c r="D97" s="17" t="s">
        <v>1449</v>
      </c>
    </row>
    <row r="98" spans="1:9" ht="20.100000000000001" customHeight="1" x14ac:dyDescent="0.2">
      <c r="A98" s="79" t="str">
        <f>HYPERLINK("#A1", "▲ Back to top")</f>
        <v>▲ Back to top</v>
      </c>
      <c r="D98" s="25" t="s">
        <v>1450</v>
      </c>
    </row>
    <row r="99" spans="1:9" ht="20.100000000000001" customHeight="1" x14ac:dyDescent="0.2">
      <c r="D99" s="112"/>
      <c r="E99" s="112"/>
    </row>
    <row r="102" spans="1:9" ht="20.100000000000001" customHeight="1" x14ac:dyDescent="0.2">
      <c r="D102" s="75" t="s">
        <v>328</v>
      </c>
      <c r="E102" s="1" t="s">
        <v>1391</v>
      </c>
    </row>
    <row r="103" spans="1:9" ht="20.100000000000001" customHeight="1" x14ac:dyDescent="0.2">
      <c r="D103" s="75" t="s">
        <v>118</v>
      </c>
      <c r="E103" s="9" t="s">
        <v>7</v>
      </c>
    </row>
    <row r="105" spans="1:9" ht="20.100000000000001" customHeight="1" x14ac:dyDescent="0.2">
      <c r="D105" s="113" t="s">
        <v>1437</v>
      </c>
      <c r="E105" s="122" t="s">
        <v>1451</v>
      </c>
      <c r="F105" s="136"/>
      <c r="G105" s="123"/>
      <c r="H105" s="113" t="s">
        <v>1438</v>
      </c>
      <c r="I105" s="115" t="s">
        <v>1459</v>
      </c>
    </row>
    <row r="106" spans="1:9" ht="20.100000000000001" customHeight="1" x14ac:dyDescent="0.2">
      <c r="D106" s="113" t="s">
        <v>1452</v>
      </c>
      <c r="E106" s="122" t="s">
        <v>1453</v>
      </c>
      <c r="F106" s="136"/>
      <c r="G106" s="123"/>
      <c r="H106" s="113" t="s">
        <v>1460</v>
      </c>
      <c r="I106" s="115" t="s">
        <v>1203</v>
      </c>
    </row>
    <row r="107" spans="1:9" ht="20.100000000000001" customHeight="1" x14ac:dyDescent="0.2">
      <c r="D107" s="113" t="s">
        <v>1443</v>
      </c>
      <c r="E107" s="122" t="s">
        <v>1444</v>
      </c>
      <c r="F107" s="136"/>
      <c r="G107" s="123"/>
      <c r="H107" s="113"/>
      <c r="I107" s="114" t="s">
        <v>1202</v>
      </c>
    </row>
    <row r="108" spans="1:9" ht="20.100000000000001" customHeight="1" x14ac:dyDescent="0.2">
      <c r="D108" s="113" t="s">
        <v>1438</v>
      </c>
      <c r="E108" s="122" t="s">
        <v>1445</v>
      </c>
      <c r="F108" s="136"/>
      <c r="G108" s="123"/>
      <c r="H108" s="113"/>
      <c r="I108" s="114" t="s">
        <v>1202</v>
      </c>
    </row>
    <row r="109" spans="1:9" ht="20.100000000000001" customHeight="1" x14ac:dyDescent="0.2">
      <c r="D109" s="113" t="s">
        <v>1402</v>
      </c>
      <c r="E109" s="122" t="s">
        <v>1454</v>
      </c>
      <c r="F109" s="136"/>
      <c r="G109" s="123"/>
      <c r="H109" s="113"/>
      <c r="I109" s="114" t="s">
        <v>1202</v>
      </c>
    </row>
    <row r="110" spans="1:9" ht="20.100000000000001" customHeight="1" x14ac:dyDescent="0.2">
      <c r="D110" s="113" t="s">
        <v>1455</v>
      </c>
      <c r="E110" s="122" t="s">
        <v>1456</v>
      </c>
      <c r="F110" s="136"/>
      <c r="G110" s="123"/>
      <c r="H110" s="113" t="s">
        <v>19</v>
      </c>
      <c r="I110" s="115" t="s">
        <v>1461</v>
      </c>
    </row>
    <row r="111" spans="1:9" ht="20.100000000000001" customHeight="1" x14ac:dyDescent="0.2">
      <c r="D111" s="113" t="s">
        <v>1457</v>
      </c>
      <c r="E111" s="122" t="s">
        <v>1458</v>
      </c>
      <c r="F111" s="136"/>
      <c r="G111" s="123"/>
      <c r="H111" s="113" t="s">
        <v>19</v>
      </c>
      <c r="I111" s="114" t="s">
        <v>1202</v>
      </c>
    </row>
    <row r="113" spans="1:11" ht="20.100000000000001" customHeight="1" x14ac:dyDescent="0.2">
      <c r="D113" s="118" t="s">
        <v>920</v>
      </c>
    </row>
    <row r="114" spans="1:11" ht="20.100000000000001" customHeight="1" x14ac:dyDescent="0.2">
      <c r="D114" s="119" t="s">
        <v>921</v>
      </c>
    </row>
    <row r="115" spans="1:11" ht="20.100000000000001" customHeight="1" x14ac:dyDescent="0.2">
      <c r="D115" s="78" t="s">
        <v>913</v>
      </c>
      <c r="E115" s="78" t="s">
        <v>914</v>
      </c>
      <c r="F115" s="78"/>
      <c r="G115" s="78" t="s">
        <v>922</v>
      </c>
      <c r="H115" s="120" t="s">
        <v>923</v>
      </c>
      <c r="I115" s="120" t="s">
        <v>917</v>
      </c>
      <c r="J115" s="120" t="s">
        <v>924</v>
      </c>
      <c r="K115" s="120" t="s">
        <v>925</v>
      </c>
    </row>
    <row r="116" spans="1:11" ht="20.100000000000001" customHeight="1" x14ac:dyDescent="0.2">
      <c r="D116" s="113" t="str" cm="1">
        <f t="array" ref="D116:D149">Table_SourceData_WasteSolid_WasteTreatmentEFs[Treatment type t]</f>
        <v>Landfill</v>
      </c>
      <c r="E116" s="122" t="str" cm="1">
        <f t="array" ref="E116:E149">Table_SourceData_WasteSolid_WasteTreatmentEFs[Waste type w]</f>
        <v>Food waste (including animal carcasses, spoiled animal feed or crop)</v>
      </c>
      <c r="F116" s="225"/>
      <c r="G116" s="15"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15">
        <f t="shared" ref="H116:H149" si="0">I21</f>
        <v>25</v>
      </c>
      <c r="I116" s="15">
        <f>G116+H116</f>
        <v>75</v>
      </c>
      <c r="J116" s="15" cm="1">
        <f t="array" ref="J116">Common_InputFunctions.Utility_LookupValueInTableTwoColumns(D116,E116,Table_SourceData_WasteSolid_WasteTreatmentEFs[Treatment type t],Table_SourceData_WasteSolid_WasteTreatmentEFs[Waste type w],Table_SourceData_WasteSolid_WasteTreatmentEFs[EFwt])</f>
        <v>2.1</v>
      </c>
      <c r="K116" s="15">
        <f>(I116 * J116)</f>
        <v>157.5</v>
      </c>
    </row>
    <row r="117" spans="1:11" ht="20.100000000000001" customHeight="1" x14ac:dyDescent="0.2">
      <c r="D117" s="113" t="str">
        <v>Landfill</v>
      </c>
      <c r="E117" s="122" t="str">
        <v>Paper and cardboard</v>
      </c>
      <c r="F117" s="225"/>
      <c r="G117" s="15"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15">
        <f t="shared" si="0"/>
        <v>4.5</v>
      </c>
      <c r="I117" s="15">
        <f t="shared" ref="I117:I126" si="1">G117+H117</f>
        <v>54.5</v>
      </c>
      <c r="J117" s="15" cm="1">
        <f t="array" ref="J117">Common_InputFunctions.Utility_LookupValueInTableTwoColumns(D117,E117,Table_SourceData_WasteSolid_WasteTreatmentEFs[Treatment type t],Table_SourceData_WasteSolid_WasteTreatmentEFs[Waste type w],Table_SourceData_WasteSolid_WasteTreatmentEFs[EFwt])</f>
        <v>3.3</v>
      </c>
      <c r="K117" s="15">
        <f>(I117 * J117)</f>
        <v>179.85</v>
      </c>
    </row>
    <row r="118" spans="1:11" ht="20.100000000000001" customHeight="1" x14ac:dyDescent="0.2">
      <c r="D118" s="113" t="str">
        <v>Landfill</v>
      </c>
      <c r="E118" s="122" t="str">
        <v>Green waste (including crop residues or prunings)</v>
      </c>
      <c r="F118" s="225"/>
      <c r="G118" s="15"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15">
        <f t="shared" si="0"/>
        <v>12</v>
      </c>
      <c r="I118" s="15">
        <f t="shared" si="1"/>
        <v>62</v>
      </c>
      <c r="J118" s="15" cm="1">
        <f t="array" ref="J118">Common_InputFunctions.Utility_LookupValueInTableTwoColumns(D118,E118,Table_SourceData_WasteSolid_WasteTreatmentEFs[Treatment type t],Table_SourceData_WasteSolid_WasteTreatmentEFs[Waste type w],Table_SourceData_WasteSolid_WasteTreatmentEFs[EFwt])</f>
        <v>1.6</v>
      </c>
      <c r="K118" s="15">
        <f>(I118 * J118)</f>
        <v>99.2</v>
      </c>
    </row>
    <row r="119" spans="1:11" ht="20.100000000000001" customHeight="1" x14ac:dyDescent="0.2">
      <c r="D119" s="113" t="str">
        <v>Landfill</v>
      </c>
      <c r="E119" s="122" t="str">
        <v>Wood</v>
      </c>
      <c r="F119" s="225"/>
      <c r="G119" s="15"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15">
        <f t="shared" si="0"/>
        <v>0</v>
      </c>
      <c r="I119" s="15">
        <f t="shared" si="1"/>
        <v>0</v>
      </c>
      <c r="J119" s="15" cm="1">
        <f t="array" ref="J119">Common_InputFunctions.Utility_LookupValueInTableTwoColumns(D119,E119,Table_SourceData_WasteSolid_WasteTreatmentEFs[Treatment type t],Table_SourceData_WasteSolid_WasteTreatmentEFs[Waste type w],Table_SourceData_WasteSolid_WasteTreatmentEFs[EFwt])</f>
        <v>0.7</v>
      </c>
      <c r="K119" s="15">
        <f>(I119 * J119)</f>
        <v>0</v>
      </c>
    </row>
    <row r="120" spans="1:11" ht="20.100000000000001" customHeight="1" x14ac:dyDescent="0.2">
      <c r="D120" s="113" t="str">
        <v>Landfill</v>
      </c>
      <c r="E120" s="122" t="str">
        <v>Textiles</v>
      </c>
      <c r="F120" s="225"/>
      <c r="G120" s="15"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15">
        <f t="shared" si="0"/>
        <v>0</v>
      </c>
      <c r="I120" s="15">
        <f t="shared" si="1"/>
        <v>0</v>
      </c>
      <c r="J120" s="15" cm="1">
        <f t="array" ref="J120">Common_InputFunctions.Utility_LookupValueInTableTwoColumns(D120,E120,Table_SourceData_WasteSolid_WasteTreatmentEFs[Treatment type t],Table_SourceData_WasteSolid_WasteTreatmentEFs[Waste type w],Table_SourceData_WasteSolid_WasteTreatmentEFs[EFwt])</f>
        <v>2</v>
      </c>
      <c r="K120" s="15">
        <f>(I120 * J120)</f>
        <v>0</v>
      </c>
    </row>
    <row r="121" spans="1:11" ht="20.100000000000001" customHeight="1" x14ac:dyDescent="0.2">
      <c r="D121" s="113" t="str">
        <v>Landfill</v>
      </c>
      <c r="E121" s="122" t="str">
        <v>Sludge</v>
      </c>
      <c r="F121" s="225"/>
      <c r="G121" s="15"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15">
        <f t="shared" si="0"/>
        <v>0</v>
      </c>
      <c r="I121" s="15">
        <f t="shared" si="1"/>
        <v>0</v>
      </c>
      <c r="J121" s="15" cm="1">
        <f t="array" ref="J121">Common_InputFunctions.Utility_LookupValueInTableTwoColumns(D121,E121,Table_SourceData_WasteSolid_WasteTreatmentEFs[Treatment type t],Table_SourceData_WasteSolid_WasteTreatmentEFs[Waste type w],Table_SourceData_WasteSolid_WasteTreatmentEFs[EFwt])</f>
        <v>0.4</v>
      </c>
      <c r="K121" s="15">
        <f>(I121 * J121)</f>
        <v>0</v>
      </c>
    </row>
    <row r="122" spans="1:11" ht="20.100000000000001" customHeight="1" x14ac:dyDescent="0.2">
      <c r="D122" s="113" t="str">
        <v>Landfill</v>
      </c>
      <c r="E122" s="122" t="str">
        <v>Rubber and leather</v>
      </c>
      <c r="F122" s="225"/>
      <c r="G122" s="15"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15">
        <f t="shared" si="0"/>
        <v>0</v>
      </c>
      <c r="I122" s="15">
        <f t="shared" si="1"/>
        <v>0</v>
      </c>
      <c r="J122" s="15" cm="1">
        <f t="array" ref="J122">Common_InputFunctions.Utility_LookupValueInTableTwoColumns(D122,E122,Table_SourceData_WasteSolid_WasteTreatmentEFs[Treatment type t],Table_SourceData_WasteSolid_WasteTreatmentEFs[Waste type w],Table_SourceData_WasteSolid_WasteTreatmentEFs[EFwt])</f>
        <v>3.3</v>
      </c>
      <c r="K122" s="15">
        <f>(I122 * J122)</f>
        <v>0</v>
      </c>
    </row>
    <row r="123" spans="1:11" ht="20.100000000000001" customHeight="1" x14ac:dyDescent="0.2">
      <c r="D123" s="113" t="str">
        <v>Landfill</v>
      </c>
      <c r="E123" s="122" t="str">
        <v>Inert waste (including concrete, metal, plastic or glass)</v>
      </c>
      <c r="F123" s="225"/>
      <c r="G123" s="15"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15">
        <f t="shared" si="0"/>
        <v>0</v>
      </c>
      <c r="I123" s="15">
        <f t="shared" si="1"/>
        <v>0</v>
      </c>
      <c r="J123" s="15" cm="1">
        <f t="array" ref="J123">Common_InputFunctions.Utility_LookupValueInTableTwoColumns(D123,E123,Table_SourceData_WasteSolid_WasteTreatmentEFs[Treatment type t],Table_SourceData_WasteSolid_WasteTreatmentEFs[Waste type w],Table_SourceData_WasteSolid_WasteTreatmentEFs[EFwt])</f>
        <v>0</v>
      </c>
      <c r="K123" s="15">
        <f>(I123 * J123)</f>
        <v>0</v>
      </c>
    </row>
    <row r="124" spans="1:11" ht="20.100000000000001" customHeight="1" x14ac:dyDescent="0.2">
      <c r="D124" s="113" t="str">
        <v>Landfill</v>
      </c>
      <c r="E124" s="122" t="str">
        <v>Municipal solid waste</v>
      </c>
      <c r="F124" s="225"/>
      <c r="G124" s="15"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15">
        <f t="shared" si="0"/>
        <v>0</v>
      </c>
      <c r="I124" s="15">
        <f t="shared" si="1"/>
        <v>0</v>
      </c>
      <c r="J124" s="15" cm="1">
        <f t="array" ref="J124">Common_InputFunctions.Utility_LookupValueInTableTwoColumns(D124,E124,Table_SourceData_WasteSolid_WasteTreatmentEFs[Treatment type t],Table_SourceData_WasteSolid_WasteTreatmentEFs[Waste type w],Table_SourceData_WasteSolid_WasteTreatmentEFs[EFwt])</f>
        <v>1.6</v>
      </c>
      <c r="K124" s="15">
        <f>(I124 * J124)</f>
        <v>0</v>
      </c>
    </row>
    <row r="125" spans="1:11" ht="20.100000000000001" customHeight="1" x14ac:dyDescent="0.2">
      <c r="D125" s="113" t="str">
        <v>Landfill</v>
      </c>
      <c r="E125" s="122" t="str">
        <v>Commercial and industrial waste</v>
      </c>
      <c r="F125" s="225"/>
      <c r="G125" s="15"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15">
        <f t="shared" si="0"/>
        <v>0</v>
      </c>
      <c r="I125" s="15">
        <f t="shared" si="1"/>
        <v>0</v>
      </c>
      <c r="J125" s="15" cm="1">
        <f t="array" ref="J125">Common_InputFunctions.Utility_LookupValueInTableTwoColumns(D125,E125,Table_SourceData_WasteSolid_WasteTreatmentEFs[Treatment type t],Table_SourceData_WasteSolid_WasteTreatmentEFs[Waste type w],Table_SourceData_WasteSolid_WasteTreatmentEFs[EFwt])</f>
        <v>1.3</v>
      </c>
      <c r="K125" s="15">
        <f>(I125 * J125)</f>
        <v>0</v>
      </c>
    </row>
    <row r="126" spans="1:11" ht="20.100000000000001" customHeight="1" x14ac:dyDescent="0.2">
      <c r="D126" s="113" t="str">
        <v>Landfill</v>
      </c>
      <c r="E126" s="122" t="str">
        <v>Construction and demolition waste</v>
      </c>
      <c r="F126" s="225"/>
      <c r="G126" s="15"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15">
        <f t="shared" si="0"/>
        <v>0</v>
      </c>
      <c r="I126" s="15">
        <f t="shared" si="1"/>
        <v>0</v>
      </c>
      <c r="J126" s="15" cm="1">
        <f t="array" ref="J126">Common_InputFunctions.Utility_LookupValueInTableTwoColumns(D126,E126,Table_SourceData_WasteSolid_WasteTreatmentEFs[Treatment type t],Table_SourceData_WasteSolid_WasteTreatmentEFs[Waste type w],Table_SourceData_WasteSolid_WasteTreatmentEFs[EFwt])</f>
        <v>0.2</v>
      </c>
      <c r="K126" s="15">
        <f>(I126 * J126)</f>
        <v>0</v>
      </c>
    </row>
    <row r="127" spans="1:11" ht="20.100000000000001" customHeight="1" x14ac:dyDescent="0.2">
      <c r="D127" s="113" t="str">
        <v>Incineration</v>
      </c>
      <c r="E127" s="122" t="str">
        <v>Food waste, green waste, wood, sludge</v>
      </c>
      <c r="F127" s="225"/>
      <c r="G127" s="15" t="s">
        <v>781</v>
      </c>
      <c r="H127" s="15" t="str">
        <f t="shared" si="0"/>
        <v>Not used</v>
      </c>
      <c r="I127" s="15">
        <f>SUM(G128:G131)+SUM(H128:H131)+N("Partial sum")</f>
        <v>74</v>
      </c>
      <c r="J127" s="15" cm="1">
        <f t="array" ref="J127">Common_InputFunctions.Utility_LookupValueInTableTwoColumns(D127,E127,Table_SourceData_WasteSolid_WasteTreatmentEFs[Treatment type t],Table_SourceData_WasteSolid_WasteTreatmentEFs[Waste type w],Table_SourceData_WasteSolid_WasteTreatmentEFs[EFwt])</f>
        <v>0</v>
      </c>
      <c r="K127" s="15">
        <f>(I127 * J127)</f>
        <v>0</v>
      </c>
    </row>
    <row r="128" spans="1:11" ht="20.100000000000001" customHeight="1" x14ac:dyDescent="0.2">
      <c r="A128" s="79" t="str">
        <f>HYPERLINK("#A1", "▲ Back to top")</f>
        <v>▲ Back to top</v>
      </c>
      <c r="D128" s="113" t="str">
        <v>Incineration</v>
      </c>
      <c r="E128" s="122" t="str">
        <v>Food waste (including animal carcasses, spoiled animal feed or crop)</v>
      </c>
      <c r="F128" s="225"/>
      <c r="G128" s="15"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15">
        <f t="shared" si="0"/>
        <v>0</v>
      </c>
      <c r="I128" s="15" t="s">
        <v>926</v>
      </c>
      <c r="J128" s="15" t="s">
        <v>781</v>
      </c>
      <c r="K128" s="15" t="s">
        <v>781</v>
      </c>
    </row>
    <row r="129" spans="4:11" ht="20.100000000000001" customHeight="1" x14ac:dyDescent="0.2">
      <c r="D129" s="113" t="str">
        <v>Incineration</v>
      </c>
      <c r="E129" s="122" t="str">
        <v>Green waste (including crop residues or prunings)</v>
      </c>
      <c r="F129" s="225"/>
      <c r="G129" s="15"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15">
        <f t="shared" si="0"/>
        <v>24</v>
      </c>
      <c r="I129" s="15" t="s">
        <v>926</v>
      </c>
      <c r="J129" s="15" t="s">
        <v>781</v>
      </c>
      <c r="K129" s="15" t="s">
        <v>781</v>
      </c>
    </row>
    <row r="130" spans="4:11" ht="20.100000000000001" customHeight="1" x14ac:dyDescent="0.2">
      <c r="D130" s="113" t="str">
        <v>Incineration</v>
      </c>
      <c r="E130" s="122" t="str">
        <v>Wood</v>
      </c>
      <c r="F130" s="225"/>
      <c r="G130" s="15"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15">
        <f t="shared" si="0"/>
        <v>0</v>
      </c>
      <c r="I130" s="15" t="s">
        <v>926</v>
      </c>
      <c r="J130" s="15" t="s">
        <v>781</v>
      </c>
      <c r="K130" s="15" t="s">
        <v>781</v>
      </c>
    </row>
    <row r="131" spans="4:11" ht="20.100000000000001" customHeight="1" x14ac:dyDescent="0.2">
      <c r="D131" s="113" t="str">
        <v>Incineration</v>
      </c>
      <c r="E131" s="122" t="str">
        <v>Sludge</v>
      </c>
      <c r="F131" s="225"/>
      <c r="G131" s="15"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15">
        <f t="shared" si="0"/>
        <v>0</v>
      </c>
      <c r="I131" s="15" t="s">
        <v>926</v>
      </c>
      <c r="J131" s="15" t="s">
        <v>781</v>
      </c>
      <c r="K131" s="15" t="s">
        <v>781</v>
      </c>
    </row>
    <row r="132" spans="4:11" ht="20.100000000000001" customHeight="1" x14ac:dyDescent="0.2">
      <c r="D132" s="113" t="str">
        <v>Incineration</v>
      </c>
      <c r="E132" s="122" t="str">
        <v>Paper and cardboard</v>
      </c>
      <c r="F132" s="225"/>
      <c r="G132" s="15"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15">
        <f t="shared" si="0"/>
        <v>4.5</v>
      </c>
      <c r="I132" s="15">
        <f>G132+H132+N("Partial sum")</f>
        <v>54.5</v>
      </c>
      <c r="J132" s="15"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15">
        <f>(I132 * J132)</f>
        <v>0.92104999999999992</v>
      </c>
    </row>
    <row r="133" spans="4:11" ht="20.100000000000001" customHeight="1" x14ac:dyDescent="0.2">
      <c r="D133" s="113" t="str">
        <v>Incineration</v>
      </c>
      <c r="E133" s="122" t="str">
        <v>Textiles</v>
      </c>
      <c r="F133" s="225"/>
      <c r="G133" s="15"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15">
        <f t="shared" si="0"/>
        <v>0</v>
      </c>
      <c r="I133" s="15">
        <f t="shared" ref="I133:I137" si="2">G133+H133</f>
        <v>0</v>
      </c>
      <c r="J133" s="15"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15">
        <f>(I133 * J133)</f>
        <v>0</v>
      </c>
    </row>
    <row r="134" spans="4:11" ht="20.100000000000001" customHeight="1" x14ac:dyDescent="0.2">
      <c r="D134" s="113" t="str">
        <v>Incineration</v>
      </c>
      <c r="E134" s="122" t="str">
        <v>Rubber and leather</v>
      </c>
      <c r="F134" s="225"/>
      <c r="G134" s="15"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15">
        <f t="shared" si="0"/>
        <v>0</v>
      </c>
      <c r="I134" s="15">
        <f t="shared" si="2"/>
        <v>0</v>
      </c>
      <c r="J134" s="15" cm="1">
        <f t="array" ref="J134">Common_InputFunctions.Utility_LookupValueInTableTwoColumns(D134,E134,Table_SourceData_WasteSolid_WasteTreatmentEFs[Treatment type t],Table_SourceData_WasteSolid_WasteTreatmentEFs[Waste type w],Table_SourceData_WasteSolid_WasteTreatmentEFs[EFwt])</f>
        <v>0.4919</v>
      </c>
      <c r="K134" s="15">
        <f>(I134 * J134)</f>
        <v>0</v>
      </c>
    </row>
    <row r="135" spans="4:11" ht="20.100000000000001" customHeight="1" x14ac:dyDescent="0.2">
      <c r="D135" s="113" t="str">
        <v>Incineration</v>
      </c>
      <c r="E135" s="122" t="str">
        <v>Inert waste (including concrete, metal, plastic or glass)</v>
      </c>
      <c r="F135" s="225"/>
      <c r="G135" s="15"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15">
        <f t="shared" si="0"/>
        <v>0</v>
      </c>
      <c r="I135" s="15">
        <f t="shared" si="2"/>
        <v>0</v>
      </c>
      <c r="J135" s="15" cm="1">
        <f t="array" ref="J135">Common_InputFunctions.Utility_LookupValueInTableTwoColumns(D135,E135,Table_SourceData_WasteSolid_WasteTreatmentEFs[Treatment type t],Table_SourceData_WasteSolid_WasteTreatmentEFs[Waste type w],Table_SourceData_WasteSolid_WasteTreatmentEFs[EFwt])</f>
        <v>0.11</v>
      </c>
      <c r="K135" s="15">
        <f>(I135 * J135)</f>
        <v>0</v>
      </c>
    </row>
    <row r="136" spans="4:11" ht="20.100000000000001" customHeight="1" x14ac:dyDescent="0.2">
      <c r="D136" s="113" t="str">
        <v>Incineration</v>
      </c>
      <c r="E136" s="122" t="str">
        <v>Municipal solid waste</v>
      </c>
      <c r="F136" s="123"/>
      <c r="G136" s="15"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15">
        <f t="shared" si="0"/>
        <v>0</v>
      </c>
      <c r="I136" s="15">
        <f t="shared" si="2"/>
        <v>0</v>
      </c>
      <c r="J136" s="15"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15">
        <f>(I136 * J136)</f>
        <v>0</v>
      </c>
    </row>
    <row r="137" spans="4:11" ht="20.100000000000001" customHeight="1" x14ac:dyDescent="0.2">
      <c r="D137" s="113" t="str">
        <v>Incineration</v>
      </c>
      <c r="E137" s="122" t="str">
        <v>Commercial and industrial waste</v>
      </c>
      <c r="F137" s="123"/>
      <c r="G137" s="15"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15">
        <f t="shared" si="0"/>
        <v>0</v>
      </c>
      <c r="I137" s="15">
        <f t="shared" si="2"/>
        <v>0</v>
      </c>
      <c r="J137" s="15" cm="1">
        <f t="array" ref="J137">Common_InputFunctions.Utility_LookupValueInTableTwoColumns(D137,E137,Table_SourceData_WasteSolid_WasteTreatmentEFs[Treatment type t],Table_SourceData_WasteSolid_WasteTreatmentEFs[Waste type w],Table_SourceData_WasteSolid_WasteTreatmentEFs[EFwt])</f>
        <v>1.649</v>
      </c>
      <c r="K137" s="15">
        <f>(I137 * J137)</f>
        <v>0</v>
      </c>
    </row>
    <row r="138" spans="4:11" ht="20.100000000000001" customHeight="1" x14ac:dyDescent="0.2">
      <c r="D138" s="113" t="str">
        <v>Composting</v>
      </c>
      <c r="E138" s="122" t="str">
        <v>All organic waste</v>
      </c>
      <c r="F138" s="123"/>
      <c r="G138" s="15" t="s">
        <v>781</v>
      </c>
      <c r="H138" s="15" t="str">
        <f t="shared" si="0"/>
        <v>Not used</v>
      </c>
      <c r="I138" s="15">
        <f>SUM(G139:G143)+SUM(H139:H143)+N("Partial sum")</f>
        <v>29.5</v>
      </c>
      <c r="J138" s="15"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15">
        <f>(I138 * J138)</f>
        <v>1.357</v>
      </c>
    </row>
    <row r="139" spans="4:11" ht="20.100000000000001" customHeight="1" x14ac:dyDescent="0.2">
      <c r="D139" s="113" t="str">
        <v>Composting</v>
      </c>
      <c r="E139" s="122" t="str">
        <v>Food waste (including animal carcasses, spoiled animal feed or crop)</v>
      </c>
      <c r="F139" s="123"/>
      <c r="G139" s="15"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15">
        <f t="shared" si="0"/>
        <v>25</v>
      </c>
      <c r="I139" s="15" t="s">
        <v>926</v>
      </c>
      <c r="J139" s="15" t="s">
        <v>781</v>
      </c>
      <c r="K139" s="15" t="s">
        <v>781</v>
      </c>
    </row>
    <row r="140" spans="4:11" ht="20.100000000000001" customHeight="1" x14ac:dyDescent="0.2">
      <c r="D140" s="113" t="str">
        <v>Composting</v>
      </c>
      <c r="E140" s="122" t="str">
        <v>Green waste (including crop residues or prunings)</v>
      </c>
      <c r="F140" s="123"/>
      <c r="G140" s="15"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15">
        <f t="shared" si="0"/>
        <v>0</v>
      </c>
      <c r="I140" s="15" t="s">
        <v>926</v>
      </c>
      <c r="J140" s="15" t="s">
        <v>781</v>
      </c>
      <c r="K140" s="15" t="s">
        <v>781</v>
      </c>
    </row>
    <row r="141" spans="4:11" ht="20.100000000000001" customHeight="1" x14ac:dyDescent="0.2">
      <c r="D141" s="113" t="str">
        <v>Composting</v>
      </c>
      <c r="E141" s="122" t="str">
        <v>Wood</v>
      </c>
      <c r="F141" s="123"/>
      <c r="G141" s="15"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15">
        <f t="shared" si="0"/>
        <v>0</v>
      </c>
      <c r="I141" s="15" t="s">
        <v>926</v>
      </c>
      <c r="J141" s="15" t="s">
        <v>781</v>
      </c>
      <c r="K141" s="15" t="s">
        <v>781</v>
      </c>
    </row>
    <row r="142" spans="4:11" ht="20.100000000000001" customHeight="1" x14ac:dyDescent="0.2">
      <c r="D142" s="113" t="str">
        <v>Composting</v>
      </c>
      <c r="E142" s="122" t="str">
        <v>Sludge</v>
      </c>
      <c r="F142" s="123"/>
      <c r="G142" s="15"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15">
        <f t="shared" si="0"/>
        <v>0</v>
      </c>
      <c r="I142" s="15" t="s">
        <v>926</v>
      </c>
      <c r="J142" s="15" t="s">
        <v>781</v>
      </c>
      <c r="K142" s="15" t="s">
        <v>781</v>
      </c>
    </row>
    <row r="143" spans="4:11" ht="20.100000000000001" customHeight="1" x14ac:dyDescent="0.2">
      <c r="D143" s="113" t="str">
        <v>Composting</v>
      </c>
      <c r="E143" s="122" t="str">
        <v>Paper and cardboard</v>
      </c>
      <c r="F143" s="123"/>
      <c r="G143" s="15"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15">
        <f t="shared" si="0"/>
        <v>4.5</v>
      </c>
      <c r="I143" s="15" t="s">
        <v>926</v>
      </c>
      <c r="J143" s="15" t="s">
        <v>781</v>
      </c>
      <c r="K143" s="15" t="s">
        <v>781</v>
      </c>
    </row>
    <row r="144" spans="4:11" ht="20.100000000000001" customHeight="1" x14ac:dyDescent="0.2">
      <c r="D144" s="113" t="str">
        <v>Anaerobic digestion</v>
      </c>
      <c r="E144" s="122" t="str">
        <v>All organic waste</v>
      </c>
      <c r="F144" s="123"/>
      <c r="G144" s="15" t="s">
        <v>781</v>
      </c>
      <c r="H144" s="15" t="str">
        <f t="shared" si="0"/>
        <v>Not used</v>
      </c>
      <c r="I144" s="15">
        <f>SUM(G145:G149)+SUM(H145:H149)+N("Partial sum")</f>
        <v>0</v>
      </c>
      <c r="J144" s="15"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15">
        <f>(I144 * J144)</f>
        <v>0</v>
      </c>
    </row>
    <row r="145" spans="1:11" ht="20.100000000000001" customHeight="1" x14ac:dyDescent="0.2">
      <c r="D145" s="113" t="str">
        <v>Anaerobic digestion</v>
      </c>
      <c r="E145" s="122" t="str">
        <v>Food waste (including animal carcasses, spoiled animal feed or crop)</v>
      </c>
      <c r="F145" s="123"/>
      <c r="G145" s="15"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15">
        <f t="shared" si="0"/>
        <v>0</v>
      </c>
      <c r="I145" s="15" t="s">
        <v>926</v>
      </c>
      <c r="J145" s="15" t="s">
        <v>781</v>
      </c>
      <c r="K145" s="15" t="s">
        <v>781</v>
      </c>
    </row>
    <row r="146" spans="1:11" ht="20.100000000000001" customHeight="1" x14ac:dyDescent="0.2">
      <c r="D146" s="113" t="str">
        <v>Anaerobic digestion</v>
      </c>
      <c r="E146" s="122" t="str">
        <v>Green waste (including crop residues or prunings)</v>
      </c>
      <c r="F146" s="123"/>
      <c r="G146" s="15"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15">
        <f t="shared" si="0"/>
        <v>0</v>
      </c>
      <c r="I146" s="15" t="s">
        <v>926</v>
      </c>
      <c r="J146" s="15" t="s">
        <v>781</v>
      </c>
      <c r="K146" s="15" t="s">
        <v>781</v>
      </c>
    </row>
    <row r="147" spans="1:11" ht="20.100000000000001" customHeight="1" x14ac:dyDescent="0.2">
      <c r="D147" s="113" t="str">
        <v>Anaerobic digestion</v>
      </c>
      <c r="E147" s="122" t="str">
        <v>Wood</v>
      </c>
      <c r="F147" s="123"/>
      <c r="G147" s="15"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15">
        <f t="shared" si="0"/>
        <v>0</v>
      </c>
      <c r="I147" s="15" t="s">
        <v>926</v>
      </c>
      <c r="J147" s="15" t="s">
        <v>781</v>
      </c>
      <c r="K147" s="15" t="s">
        <v>781</v>
      </c>
    </row>
    <row r="148" spans="1:11" ht="20.100000000000001" customHeight="1" x14ac:dyDescent="0.2">
      <c r="D148" s="113" t="str">
        <v>Anaerobic digestion</v>
      </c>
      <c r="E148" s="122" t="str">
        <v>Sludge</v>
      </c>
      <c r="F148" s="123"/>
      <c r="G148" s="15"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15">
        <f t="shared" si="0"/>
        <v>0</v>
      </c>
      <c r="I148" s="15" t="s">
        <v>926</v>
      </c>
      <c r="J148" s="15" t="s">
        <v>781</v>
      </c>
      <c r="K148" s="15" t="s">
        <v>781</v>
      </c>
    </row>
    <row r="149" spans="1:11" ht="20.100000000000001" customHeight="1" x14ac:dyDescent="0.2">
      <c r="D149" s="113" t="str">
        <v>Anaerobic digestion</v>
      </c>
      <c r="E149" s="122" t="str">
        <v>Paper and cardboard</v>
      </c>
      <c r="F149" s="123"/>
      <c r="G149" s="15"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15">
        <f t="shared" si="0"/>
        <v>0</v>
      </c>
      <c r="I149" s="15" t="s">
        <v>926</v>
      </c>
      <c r="J149" s="15" t="s">
        <v>781</v>
      </c>
      <c r="K149" s="15" t="s">
        <v>781</v>
      </c>
    </row>
    <row r="151" spans="1:11" ht="20.100000000000001" customHeight="1" x14ac:dyDescent="0.2">
      <c r="D151" s="85" t="s">
        <v>927</v>
      </c>
      <c r="E151" s="86">
        <f>SUM(K116:K149)</f>
        <v>438.82805000000002</v>
      </c>
      <c r="F151" s="95" t="str">
        <f>$E$103</f>
        <v>t CO2e</v>
      </c>
    </row>
    <row r="154" spans="1:11" ht="20.100000000000001" customHeight="1" x14ac:dyDescent="0.2">
      <c r="D154" s="118" t="s">
        <v>928</v>
      </c>
    </row>
    <row r="155" spans="1:11" ht="20.100000000000001" customHeight="1" x14ac:dyDescent="0.2">
      <c r="D155" s="119" t="s">
        <v>929</v>
      </c>
    </row>
    <row r="156" spans="1:11" ht="20.100000000000001" customHeight="1" x14ac:dyDescent="0.2">
      <c r="D156" s="78" t="s">
        <v>913</v>
      </c>
      <c r="E156" s="78" t="s">
        <v>914</v>
      </c>
      <c r="F156" s="78"/>
      <c r="G156" s="78" t="s">
        <v>922</v>
      </c>
      <c r="H156" s="120" t="s">
        <v>923</v>
      </c>
      <c r="I156" s="120" t="s">
        <v>917</v>
      </c>
      <c r="J156" s="120" t="s">
        <v>924</v>
      </c>
      <c r="K156" s="120" t="s">
        <v>925</v>
      </c>
    </row>
    <row r="157" spans="1:11" ht="20.100000000000001" customHeight="1" x14ac:dyDescent="0.2">
      <c r="D157" s="113" t="str" cm="1">
        <f t="array" ref="D157:D190">Table_SourceData_WasteSolid_WasteTreatmentEFs[Treatment type t]</f>
        <v>Landfill</v>
      </c>
      <c r="E157" s="122" t="str" cm="1">
        <f t="array" ref="E157:E190">Table_SourceData_WasteSolid_WasteTreatmentEFs[Waste type w]</f>
        <v>Food waste (including animal carcasses, spoiled animal feed or crop)</v>
      </c>
      <c r="F157" s="225"/>
      <c r="G157" s="15"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15">
        <f t="shared" ref="H157:H190" si="3">I59</f>
        <v>25</v>
      </c>
      <c r="I157" s="15">
        <f>G157+H157</f>
        <v>75</v>
      </c>
      <c r="J157" s="15" cm="1">
        <f t="array" ref="J157">Common_InputFunctions.Utility_LookupValueInTableTwoColumns(D157,E157,Table_SourceData_WasteSolid_WasteTreatmentEFs[Treatment type t],Table_SourceData_WasteSolid_WasteTreatmentEFs[Waste type w],Table_SourceData_WasteSolid_WasteTreatmentEFs[EFwt])</f>
        <v>2.1</v>
      </c>
      <c r="K157" s="15">
        <f>(I157 * J157)</f>
        <v>157.5</v>
      </c>
    </row>
    <row r="158" spans="1:11" ht="20.100000000000001" customHeight="1" x14ac:dyDescent="0.2">
      <c r="A158" s="79" t="str">
        <f>HYPERLINK("#A1", "▲ Back to top")</f>
        <v>▲ Back to top</v>
      </c>
      <c r="D158" s="113" t="str">
        <v>Landfill</v>
      </c>
      <c r="E158" s="122" t="str">
        <v>Paper and cardboard</v>
      </c>
      <c r="F158" s="225"/>
      <c r="G158" s="15"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15">
        <f t="shared" si="3"/>
        <v>4.5</v>
      </c>
      <c r="I158" s="15">
        <f t="shared" ref="I158:I167" si="4">G158+H158</f>
        <v>54.5</v>
      </c>
      <c r="J158" s="15" cm="1">
        <f t="array" ref="J158">Common_InputFunctions.Utility_LookupValueInTableTwoColumns(D158,E158,Table_SourceData_WasteSolid_WasteTreatmentEFs[Treatment type t],Table_SourceData_WasteSolid_WasteTreatmentEFs[Waste type w],Table_SourceData_WasteSolid_WasteTreatmentEFs[EFwt])</f>
        <v>3.3</v>
      </c>
      <c r="K158" s="15">
        <f>(I158 * J158)</f>
        <v>179.85</v>
      </c>
    </row>
    <row r="159" spans="1:11" ht="20.100000000000001" customHeight="1" x14ac:dyDescent="0.2">
      <c r="D159" s="113" t="str">
        <v>Landfill</v>
      </c>
      <c r="E159" s="122" t="str">
        <v>Green waste (including crop residues or prunings)</v>
      </c>
      <c r="F159" s="225"/>
      <c r="G159" s="15"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15">
        <f t="shared" si="3"/>
        <v>12</v>
      </c>
      <c r="I159" s="15">
        <f t="shared" si="4"/>
        <v>62</v>
      </c>
      <c r="J159" s="15" cm="1">
        <f t="array" ref="J159">Common_InputFunctions.Utility_LookupValueInTableTwoColumns(D159,E159,Table_SourceData_WasteSolid_WasteTreatmentEFs[Treatment type t],Table_SourceData_WasteSolid_WasteTreatmentEFs[Waste type w],Table_SourceData_WasteSolid_WasteTreatmentEFs[EFwt])</f>
        <v>1.6</v>
      </c>
      <c r="K159" s="15">
        <f>(I159 * J159)</f>
        <v>99.2</v>
      </c>
    </row>
    <row r="160" spans="1:11" ht="20.100000000000001" customHeight="1" x14ac:dyDescent="0.2">
      <c r="D160" s="113" t="str">
        <v>Landfill</v>
      </c>
      <c r="E160" s="122" t="str">
        <v>Wood</v>
      </c>
      <c r="F160" s="225"/>
      <c r="G160" s="15"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15">
        <f t="shared" si="3"/>
        <v>0</v>
      </c>
      <c r="I160" s="15">
        <f t="shared" si="4"/>
        <v>0</v>
      </c>
      <c r="J160" s="15" cm="1">
        <f t="array" ref="J160">Common_InputFunctions.Utility_LookupValueInTableTwoColumns(D160,E160,Table_SourceData_WasteSolid_WasteTreatmentEFs[Treatment type t],Table_SourceData_WasteSolid_WasteTreatmentEFs[Waste type w],Table_SourceData_WasteSolid_WasteTreatmentEFs[EFwt])</f>
        <v>0.7</v>
      </c>
      <c r="K160" s="15">
        <f>(I160 * J160)</f>
        <v>0</v>
      </c>
    </row>
    <row r="161" spans="4:11" ht="20.100000000000001" customHeight="1" x14ac:dyDescent="0.2">
      <c r="D161" s="113" t="str">
        <v>Landfill</v>
      </c>
      <c r="E161" s="122" t="str">
        <v>Textiles</v>
      </c>
      <c r="F161" s="225"/>
      <c r="G161" s="15"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15">
        <f t="shared" si="3"/>
        <v>0</v>
      </c>
      <c r="I161" s="15">
        <f t="shared" si="4"/>
        <v>0</v>
      </c>
      <c r="J161" s="15" cm="1">
        <f t="array" ref="J161">Common_InputFunctions.Utility_LookupValueInTableTwoColumns(D161,E161,Table_SourceData_WasteSolid_WasteTreatmentEFs[Treatment type t],Table_SourceData_WasteSolid_WasteTreatmentEFs[Waste type w],Table_SourceData_WasteSolid_WasteTreatmentEFs[EFwt])</f>
        <v>2</v>
      </c>
      <c r="K161" s="15">
        <f>(I161 * J161)</f>
        <v>0</v>
      </c>
    </row>
    <row r="162" spans="4:11" ht="20.100000000000001" customHeight="1" x14ac:dyDescent="0.2">
      <c r="D162" s="113" t="str">
        <v>Landfill</v>
      </c>
      <c r="E162" s="122" t="str">
        <v>Sludge</v>
      </c>
      <c r="F162" s="225"/>
      <c r="G162" s="15"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15">
        <f t="shared" si="3"/>
        <v>0</v>
      </c>
      <c r="I162" s="15">
        <f t="shared" si="4"/>
        <v>0</v>
      </c>
      <c r="J162" s="15" cm="1">
        <f t="array" ref="J162">Common_InputFunctions.Utility_LookupValueInTableTwoColumns(D162,E162,Table_SourceData_WasteSolid_WasteTreatmentEFs[Treatment type t],Table_SourceData_WasteSolid_WasteTreatmentEFs[Waste type w],Table_SourceData_WasteSolid_WasteTreatmentEFs[EFwt])</f>
        <v>0.4</v>
      </c>
      <c r="K162" s="15">
        <f>(I162 * J162)</f>
        <v>0</v>
      </c>
    </row>
    <row r="163" spans="4:11" ht="20.100000000000001" customHeight="1" x14ac:dyDescent="0.2">
      <c r="D163" s="113" t="str">
        <v>Landfill</v>
      </c>
      <c r="E163" s="122" t="str">
        <v>Rubber and leather</v>
      </c>
      <c r="F163" s="225"/>
      <c r="G163" s="15"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15">
        <f t="shared" si="3"/>
        <v>0</v>
      </c>
      <c r="I163" s="15">
        <f t="shared" si="4"/>
        <v>0</v>
      </c>
      <c r="J163" s="15" cm="1">
        <f t="array" ref="J163">Common_InputFunctions.Utility_LookupValueInTableTwoColumns(D163,E163,Table_SourceData_WasteSolid_WasteTreatmentEFs[Treatment type t],Table_SourceData_WasteSolid_WasteTreatmentEFs[Waste type w],Table_SourceData_WasteSolid_WasteTreatmentEFs[EFwt])</f>
        <v>3.3</v>
      </c>
      <c r="K163" s="15">
        <f>(I163 * J163)</f>
        <v>0</v>
      </c>
    </row>
    <row r="164" spans="4:11" ht="20.100000000000001" customHeight="1" x14ac:dyDescent="0.2">
      <c r="D164" s="113" t="str">
        <v>Landfill</v>
      </c>
      <c r="E164" s="122" t="str">
        <v>Inert waste (including concrete, metal, plastic or glass)</v>
      </c>
      <c r="F164" s="225"/>
      <c r="G164" s="15"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15">
        <f t="shared" si="3"/>
        <v>0</v>
      </c>
      <c r="I164" s="15">
        <f t="shared" si="4"/>
        <v>0</v>
      </c>
      <c r="J164" s="15" cm="1">
        <f t="array" ref="J164">Common_InputFunctions.Utility_LookupValueInTableTwoColumns(D164,E164,Table_SourceData_WasteSolid_WasteTreatmentEFs[Treatment type t],Table_SourceData_WasteSolid_WasteTreatmentEFs[Waste type w],Table_SourceData_WasteSolid_WasteTreatmentEFs[EFwt])</f>
        <v>0</v>
      </c>
      <c r="K164" s="15">
        <f>(I164 * J164)</f>
        <v>0</v>
      </c>
    </row>
    <row r="165" spans="4:11" ht="20.100000000000001" customHeight="1" x14ac:dyDescent="0.2">
      <c r="D165" s="113" t="str">
        <v>Landfill</v>
      </c>
      <c r="E165" s="122" t="str">
        <v>Municipal solid waste</v>
      </c>
      <c r="F165" s="225"/>
      <c r="G165" s="15"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15">
        <f t="shared" si="3"/>
        <v>0</v>
      </c>
      <c r="I165" s="15">
        <f t="shared" si="4"/>
        <v>0</v>
      </c>
      <c r="J165" s="15" cm="1">
        <f t="array" ref="J165">Common_InputFunctions.Utility_LookupValueInTableTwoColumns(D165,E165,Table_SourceData_WasteSolid_WasteTreatmentEFs[Treatment type t],Table_SourceData_WasteSolid_WasteTreatmentEFs[Waste type w],Table_SourceData_WasteSolid_WasteTreatmentEFs[EFwt])</f>
        <v>1.6</v>
      </c>
      <c r="K165" s="15">
        <f>(I165 * J165)</f>
        <v>0</v>
      </c>
    </row>
    <row r="166" spans="4:11" ht="20.100000000000001" customHeight="1" x14ac:dyDescent="0.2">
      <c r="D166" s="113" t="str">
        <v>Landfill</v>
      </c>
      <c r="E166" s="122" t="str">
        <v>Commercial and industrial waste</v>
      </c>
      <c r="F166" s="225"/>
      <c r="G166" s="15"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15">
        <f t="shared" si="3"/>
        <v>0</v>
      </c>
      <c r="I166" s="15">
        <f t="shared" si="4"/>
        <v>0</v>
      </c>
      <c r="J166" s="15" cm="1">
        <f t="array" ref="J166">Common_InputFunctions.Utility_LookupValueInTableTwoColumns(D166,E166,Table_SourceData_WasteSolid_WasteTreatmentEFs[Treatment type t],Table_SourceData_WasteSolid_WasteTreatmentEFs[Waste type w],Table_SourceData_WasteSolid_WasteTreatmentEFs[EFwt])</f>
        <v>1.3</v>
      </c>
      <c r="K166" s="15">
        <f>(I166 * J166)</f>
        <v>0</v>
      </c>
    </row>
    <row r="167" spans="4:11" ht="20.100000000000001" customHeight="1" x14ac:dyDescent="0.2">
      <c r="D167" s="113" t="str">
        <v>Landfill</v>
      </c>
      <c r="E167" s="122" t="str">
        <v>Construction and demolition waste</v>
      </c>
      <c r="F167" s="225"/>
      <c r="G167" s="15"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15">
        <f t="shared" si="3"/>
        <v>0</v>
      </c>
      <c r="I167" s="15">
        <f t="shared" si="4"/>
        <v>0</v>
      </c>
      <c r="J167" s="15" cm="1">
        <f t="array" ref="J167">Common_InputFunctions.Utility_LookupValueInTableTwoColumns(D167,E167,Table_SourceData_WasteSolid_WasteTreatmentEFs[Treatment type t],Table_SourceData_WasteSolid_WasteTreatmentEFs[Waste type w],Table_SourceData_WasteSolid_WasteTreatmentEFs[EFwt])</f>
        <v>0.2</v>
      </c>
      <c r="K167" s="15">
        <f>(I167 * J167)</f>
        <v>0</v>
      </c>
    </row>
    <row r="168" spans="4:11" ht="20.100000000000001" customHeight="1" x14ac:dyDescent="0.2">
      <c r="D168" s="113" t="str">
        <v>Incineration</v>
      </c>
      <c r="E168" s="122" t="str">
        <v>Food waste, green waste, wood, sludge</v>
      </c>
      <c r="F168" s="225"/>
      <c r="G168" s="15" t="s">
        <v>781</v>
      </c>
      <c r="H168" s="15" t="str">
        <f t="shared" si="3"/>
        <v>Not used</v>
      </c>
      <c r="I168" s="15">
        <f>SUM(G169:G172)+SUM(H169:H172)+N("Partial sum")</f>
        <v>62</v>
      </c>
      <c r="J168" s="15" cm="1">
        <f t="array" ref="J168">Common_InputFunctions.Utility_LookupValueInTableTwoColumns(D168,E168,Table_SourceData_WasteSolid_WasteTreatmentEFs[Treatment type t],Table_SourceData_WasteSolid_WasteTreatmentEFs[Waste type w],Table_SourceData_WasteSolid_WasteTreatmentEFs[EFwt])</f>
        <v>0</v>
      </c>
      <c r="K168" s="15">
        <f>(I168 * J168)</f>
        <v>0</v>
      </c>
    </row>
    <row r="169" spans="4:11" ht="20.100000000000001" customHeight="1" x14ac:dyDescent="0.2">
      <c r="D169" s="113" t="str">
        <v>Incineration</v>
      </c>
      <c r="E169" s="122" t="str">
        <v>Food waste (including animal carcasses, spoiled animal feed or crop)</v>
      </c>
      <c r="F169" s="225"/>
      <c r="G169" s="15"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15">
        <f t="shared" si="3"/>
        <v>0</v>
      </c>
      <c r="I169" s="15" t="s">
        <v>926</v>
      </c>
      <c r="J169" s="15" t="s">
        <v>781</v>
      </c>
      <c r="K169" s="15" t="s">
        <v>781</v>
      </c>
    </row>
    <row r="170" spans="4:11" ht="20.100000000000001" customHeight="1" x14ac:dyDescent="0.2">
      <c r="D170" s="113" t="str">
        <v>Incineration</v>
      </c>
      <c r="E170" s="122" t="str">
        <v>Green waste (including crop residues or prunings)</v>
      </c>
      <c r="F170" s="225"/>
      <c r="G170" s="15"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15">
        <f t="shared" si="3"/>
        <v>12</v>
      </c>
      <c r="I170" s="15" t="s">
        <v>926</v>
      </c>
      <c r="J170" s="15" t="s">
        <v>781</v>
      </c>
      <c r="K170" s="15" t="s">
        <v>781</v>
      </c>
    </row>
    <row r="171" spans="4:11" ht="20.100000000000001" customHeight="1" x14ac:dyDescent="0.2">
      <c r="D171" s="113" t="str">
        <v>Incineration</v>
      </c>
      <c r="E171" s="122" t="str">
        <v>Wood</v>
      </c>
      <c r="F171" s="225"/>
      <c r="G171" s="15"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15">
        <f t="shared" si="3"/>
        <v>0</v>
      </c>
      <c r="I171" s="15" t="s">
        <v>926</v>
      </c>
      <c r="J171" s="15" t="s">
        <v>781</v>
      </c>
      <c r="K171" s="15" t="s">
        <v>781</v>
      </c>
    </row>
    <row r="172" spans="4:11" ht="20.100000000000001" customHeight="1" x14ac:dyDescent="0.2">
      <c r="D172" s="113" t="str">
        <v>Incineration</v>
      </c>
      <c r="E172" s="122" t="str">
        <v>Sludge</v>
      </c>
      <c r="F172" s="225"/>
      <c r="G172" s="15"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15">
        <f t="shared" si="3"/>
        <v>0</v>
      </c>
      <c r="I172" s="15" t="s">
        <v>926</v>
      </c>
      <c r="J172" s="15" t="s">
        <v>781</v>
      </c>
      <c r="K172" s="15" t="s">
        <v>781</v>
      </c>
    </row>
    <row r="173" spans="4:11" ht="20.100000000000001" customHeight="1" x14ac:dyDescent="0.2">
      <c r="D173" s="113" t="str">
        <v>Incineration</v>
      </c>
      <c r="E173" s="122" t="str">
        <v>Paper and cardboard</v>
      </c>
      <c r="F173" s="225"/>
      <c r="G173" s="15"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15">
        <f t="shared" si="3"/>
        <v>0</v>
      </c>
      <c r="I173" s="15">
        <f t="shared" ref="I173:I178" si="5">G173+H173</f>
        <v>0</v>
      </c>
      <c r="J173" s="15"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15">
        <f>(I173 * J173)</f>
        <v>0</v>
      </c>
    </row>
    <row r="174" spans="4:11" ht="20.100000000000001" customHeight="1" x14ac:dyDescent="0.2">
      <c r="D174" s="113" t="str">
        <v>Incineration</v>
      </c>
      <c r="E174" s="122" t="str">
        <v>Textiles</v>
      </c>
      <c r="F174" s="225"/>
      <c r="G174" s="15"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15">
        <f t="shared" si="3"/>
        <v>0</v>
      </c>
      <c r="I174" s="15">
        <f t="shared" si="5"/>
        <v>0</v>
      </c>
      <c r="J174" s="15"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15">
        <f>(I174 * J174)</f>
        <v>0</v>
      </c>
    </row>
    <row r="175" spans="4:11" ht="20.100000000000001" customHeight="1" x14ac:dyDescent="0.2">
      <c r="D175" s="113" t="str">
        <v>Incineration</v>
      </c>
      <c r="E175" s="122" t="str">
        <v>Rubber and leather</v>
      </c>
      <c r="F175" s="225"/>
      <c r="G175" s="15"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15">
        <f t="shared" si="3"/>
        <v>0</v>
      </c>
      <c r="I175" s="15">
        <f t="shared" si="5"/>
        <v>0</v>
      </c>
      <c r="J175" s="15" cm="1">
        <f t="array" ref="J175">Common_InputFunctions.Utility_LookupValueInTableTwoColumns(D175,E175,Table_SourceData_WasteSolid_WasteTreatmentEFs[Treatment type t],Table_SourceData_WasteSolid_WasteTreatmentEFs[Waste type w],Table_SourceData_WasteSolid_WasteTreatmentEFs[EFwt])</f>
        <v>0.4919</v>
      </c>
      <c r="K175" s="15">
        <f>(I175 * J175)</f>
        <v>0</v>
      </c>
    </row>
    <row r="176" spans="4:11" ht="20.100000000000001" customHeight="1" x14ac:dyDescent="0.2">
      <c r="D176" s="113" t="str">
        <v>Incineration</v>
      </c>
      <c r="E176" s="122" t="str">
        <v>Inert waste (including concrete, metal, plastic or glass)</v>
      </c>
      <c r="F176" s="225"/>
      <c r="G176" s="15"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15">
        <f t="shared" si="3"/>
        <v>0</v>
      </c>
      <c r="I176" s="15">
        <f t="shared" si="5"/>
        <v>0</v>
      </c>
      <c r="J176" s="15" cm="1">
        <f t="array" ref="J176">Common_InputFunctions.Utility_LookupValueInTableTwoColumns(D176,E176,Table_SourceData_WasteSolid_WasteTreatmentEFs[Treatment type t],Table_SourceData_WasteSolid_WasteTreatmentEFs[Waste type w],Table_SourceData_WasteSolid_WasteTreatmentEFs[EFwt])</f>
        <v>0.11</v>
      </c>
      <c r="K176" s="15">
        <f>(I176 * J176)</f>
        <v>0</v>
      </c>
    </row>
    <row r="177" spans="1:11" ht="20.100000000000001" customHeight="1" x14ac:dyDescent="0.2">
      <c r="D177" s="113" t="str">
        <v>Incineration</v>
      </c>
      <c r="E177" s="122" t="str">
        <v>Municipal solid waste</v>
      </c>
      <c r="F177" s="123"/>
      <c r="G177" s="15"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15">
        <f t="shared" si="3"/>
        <v>0</v>
      </c>
      <c r="I177" s="15">
        <f t="shared" si="5"/>
        <v>0</v>
      </c>
      <c r="J177" s="15"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15">
        <f>(I177 * J177)</f>
        <v>0</v>
      </c>
    </row>
    <row r="178" spans="1:11" ht="20.100000000000001" customHeight="1" x14ac:dyDescent="0.2">
      <c r="D178" s="113" t="str">
        <v>Incineration</v>
      </c>
      <c r="E178" s="122" t="str">
        <v>Commercial and industrial waste</v>
      </c>
      <c r="F178" s="123"/>
      <c r="G178" s="15"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15">
        <f t="shared" si="3"/>
        <v>0</v>
      </c>
      <c r="I178" s="15">
        <f t="shared" si="5"/>
        <v>0</v>
      </c>
      <c r="J178" s="15" cm="1">
        <f t="array" ref="J178">Common_InputFunctions.Utility_LookupValueInTableTwoColumns(D178,E178,Table_SourceData_WasteSolid_WasteTreatmentEFs[Treatment type t],Table_SourceData_WasteSolid_WasteTreatmentEFs[Waste type w],Table_SourceData_WasteSolid_WasteTreatmentEFs[EFwt])</f>
        <v>1.649</v>
      </c>
      <c r="K178" s="15">
        <f>(I178 * J178)</f>
        <v>0</v>
      </c>
    </row>
    <row r="179" spans="1:11" ht="20.100000000000001" customHeight="1" x14ac:dyDescent="0.2">
      <c r="D179" s="113" t="str">
        <v>Composting</v>
      </c>
      <c r="E179" s="122" t="str">
        <v>All organic waste</v>
      </c>
      <c r="F179" s="123"/>
      <c r="G179" s="15" t="s">
        <v>781</v>
      </c>
      <c r="H179" s="15" t="str">
        <f t="shared" si="3"/>
        <v>Not used</v>
      </c>
      <c r="I179" s="15">
        <f>SUM(G180:G184)+SUM(H180:H184)+N("Partial sum")</f>
        <v>100</v>
      </c>
      <c r="J179" s="15"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15">
        <f>(I179 * J179)</f>
        <v>4.5999999999999996</v>
      </c>
    </row>
    <row r="180" spans="1:11" ht="20.100000000000001" customHeight="1" x14ac:dyDescent="0.2">
      <c r="D180" s="113" t="str">
        <v>Composting</v>
      </c>
      <c r="E180" s="122" t="str">
        <v>Food waste (including animal carcasses, spoiled animal feed or crop)</v>
      </c>
      <c r="F180" s="123"/>
      <c r="G180" s="15"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15">
        <f t="shared" si="3"/>
        <v>0</v>
      </c>
      <c r="I180" s="15" t="s">
        <v>926</v>
      </c>
      <c r="J180" s="15" t="s">
        <v>781</v>
      </c>
      <c r="K180" s="15" t="s">
        <v>781</v>
      </c>
    </row>
    <row r="181" spans="1:11" ht="20.100000000000001" customHeight="1" x14ac:dyDescent="0.2">
      <c r="D181" s="113" t="str">
        <v>Composting</v>
      </c>
      <c r="E181" s="122" t="str">
        <v>Green waste (including crop residues or prunings)</v>
      </c>
      <c r="F181" s="123"/>
      <c r="G181" s="15"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15">
        <f t="shared" si="3"/>
        <v>0</v>
      </c>
      <c r="I181" s="15" t="s">
        <v>926</v>
      </c>
      <c r="J181" s="15" t="s">
        <v>781</v>
      </c>
      <c r="K181" s="15" t="s">
        <v>781</v>
      </c>
    </row>
    <row r="182" spans="1:11" ht="20.100000000000001" customHeight="1" x14ac:dyDescent="0.2">
      <c r="D182" s="113" t="str">
        <v>Composting</v>
      </c>
      <c r="E182" s="122" t="str">
        <v>Wood</v>
      </c>
      <c r="F182" s="123"/>
      <c r="G182" s="15"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15">
        <f t="shared" si="3"/>
        <v>0</v>
      </c>
      <c r="I182" s="15" t="s">
        <v>926</v>
      </c>
      <c r="J182" s="15" t="s">
        <v>781</v>
      </c>
      <c r="K182" s="15" t="s">
        <v>781</v>
      </c>
    </row>
    <row r="183" spans="1:11" ht="20.100000000000001" customHeight="1" x14ac:dyDescent="0.2">
      <c r="D183" s="113" t="str">
        <v>Composting</v>
      </c>
      <c r="E183" s="122" t="str">
        <v>Sludge</v>
      </c>
      <c r="F183" s="123"/>
      <c r="G183" s="15"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15">
        <f t="shared" si="3"/>
        <v>0</v>
      </c>
      <c r="I183" s="15" t="s">
        <v>926</v>
      </c>
      <c r="J183" s="15" t="s">
        <v>781</v>
      </c>
      <c r="K183" s="15" t="s">
        <v>781</v>
      </c>
    </row>
    <row r="184" spans="1:11" ht="20.100000000000001" customHeight="1" x14ac:dyDescent="0.2">
      <c r="D184" s="113" t="str">
        <v>Composting</v>
      </c>
      <c r="E184" s="122" t="str">
        <v>Paper and cardboard</v>
      </c>
      <c r="F184" s="123"/>
      <c r="G184" s="15"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v>
      </c>
      <c r="H184" s="15">
        <f t="shared" si="3"/>
        <v>0</v>
      </c>
      <c r="I184" s="15" t="s">
        <v>926</v>
      </c>
      <c r="J184" s="15" t="s">
        <v>781</v>
      </c>
      <c r="K184" s="15" t="s">
        <v>781</v>
      </c>
    </row>
    <row r="185" spans="1:11" ht="20.100000000000001" customHeight="1" x14ac:dyDescent="0.2">
      <c r="D185" s="113" t="str">
        <v>Anaerobic digestion</v>
      </c>
      <c r="E185" s="122" t="str">
        <v>All organic waste</v>
      </c>
      <c r="F185" s="123"/>
      <c r="G185" s="15" t="s">
        <v>781</v>
      </c>
      <c r="H185" s="15" t="str">
        <f t="shared" si="3"/>
        <v>Not used</v>
      </c>
      <c r="I185" s="15">
        <f>SUM(G186:G190)+SUM(H186:H190)+N("Partial sum")</f>
        <v>0</v>
      </c>
      <c r="J185" s="15"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15">
        <f>(I185 * J185)</f>
        <v>0</v>
      </c>
    </row>
    <row r="186" spans="1:11" ht="20.100000000000001" customHeight="1" x14ac:dyDescent="0.2">
      <c r="D186" s="113" t="str">
        <v>Anaerobic digestion</v>
      </c>
      <c r="E186" s="122" t="str">
        <v>Food waste (including animal carcasses, spoiled animal feed or crop)</v>
      </c>
      <c r="F186" s="123"/>
      <c r="G186" s="15"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15">
        <f t="shared" si="3"/>
        <v>0</v>
      </c>
      <c r="I186" s="15" t="s">
        <v>926</v>
      </c>
      <c r="J186" s="15" t="s">
        <v>781</v>
      </c>
      <c r="K186" s="15" t="s">
        <v>781</v>
      </c>
    </row>
    <row r="187" spans="1:11" ht="20.100000000000001" customHeight="1" x14ac:dyDescent="0.2">
      <c r="D187" s="113" t="str">
        <v>Anaerobic digestion</v>
      </c>
      <c r="E187" s="122" t="str">
        <v>Green waste (including crop residues or prunings)</v>
      </c>
      <c r="F187" s="123"/>
      <c r="G187" s="15"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15">
        <f t="shared" si="3"/>
        <v>0</v>
      </c>
      <c r="I187" s="15" t="s">
        <v>926</v>
      </c>
      <c r="J187" s="15" t="s">
        <v>781</v>
      </c>
      <c r="K187" s="15" t="s">
        <v>781</v>
      </c>
    </row>
    <row r="188" spans="1:11" ht="20.100000000000001" customHeight="1" x14ac:dyDescent="0.2">
      <c r="A188" s="79" t="str">
        <f>HYPERLINK("#A1", "▲ Back to top")</f>
        <v>▲ Back to top</v>
      </c>
      <c r="D188" s="113" t="str">
        <v>Anaerobic digestion</v>
      </c>
      <c r="E188" s="122" t="str">
        <v>Wood</v>
      </c>
      <c r="F188" s="123"/>
      <c r="G188" s="15"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15">
        <f t="shared" si="3"/>
        <v>0</v>
      </c>
      <c r="I188" s="15" t="s">
        <v>926</v>
      </c>
      <c r="J188" s="15" t="s">
        <v>781</v>
      </c>
      <c r="K188" s="15" t="s">
        <v>781</v>
      </c>
    </row>
    <row r="189" spans="1:11" ht="20.100000000000001" customHeight="1" x14ac:dyDescent="0.2">
      <c r="D189" s="113" t="str">
        <v>Anaerobic digestion</v>
      </c>
      <c r="E189" s="122" t="str">
        <v>Sludge</v>
      </c>
      <c r="F189" s="123"/>
      <c r="G189" s="15"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15">
        <f t="shared" si="3"/>
        <v>0</v>
      </c>
      <c r="I189" s="15" t="s">
        <v>926</v>
      </c>
      <c r="J189" s="15" t="s">
        <v>781</v>
      </c>
      <c r="K189" s="15" t="s">
        <v>781</v>
      </c>
    </row>
    <row r="190" spans="1:11" ht="20.100000000000001" customHeight="1" x14ac:dyDescent="0.2">
      <c r="D190" s="113" t="str">
        <v>Anaerobic digestion</v>
      </c>
      <c r="E190" s="122" t="str">
        <v>Paper and cardboard</v>
      </c>
      <c r="F190" s="123"/>
      <c r="G190" s="15"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15">
        <f t="shared" si="3"/>
        <v>0</v>
      </c>
      <c r="I190" s="15" t="s">
        <v>926</v>
      </c>
      <c r="J190" s="15" t="s">
        <v>781</v>
      </c>
      <c r="K190" s="15" t="s">
        <v>781</v>
      </c>
    </row>
    <row r="192" spans="1:11" ht="20.100000000000001" customHeight="1" x14ac:dyDescent="0.2">
      <c r="D192" s="85" t="s">
        <v>927</v>
      </c>
      <c r="E192" s="86">
        <f>SUM(K157:K190)</f>
        <v>441.15000000000003</v>
      </c>
      <c r="F192" s="95" t="str">
        <f>$E$103</f>
        <v>t CO2e</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E269 E228" xr:uid="{C0DBD77D-BFA6-48BA-8205-85AF5CE8C7F8}"/>
  </dataValidation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76386-3C76-4AF2-BA60-8EE167D9B8A7}">
  <sheetPr>
    <tabColor rgb="FF008000"/>
  </sheetPr>
  <dimension ref="A1:K342"/>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20" customFormat="1" ht="30" customHeight="1" x14ac:dyDescent="0.35">
      <c r="A1" s="10" t="e" vm="1">
        <v>#VALUE!</v>
      </c>
      <c r="C1" s="20" t="s">
        <v>573</v>
      </c>
    </row>
    <row r="2" spans="1:11" s="3" customFormat="1" ht="20.100000000000001" customHeight="1" x14ac:dyDescent="0.2">
      <c r="A2"/>
    </row>
    <row r="3" spans="1:11" ht="20.100000000000001" customHeight="1" x14ac:dyDescent="0.2">
      <c r="A3" s="5" t="str">
        <f>HYPERLINK("#'Home'!A1", "Home")</f>
        <v>Home</v>
      </c>
      <c r="C3" s="22"/>
      <c r="D3" s="22" t="s">
        <v>130</v>
      </c>
      <c r="E3" s="22"/>
      <c r="F3" s="22"/>
      <c r="G3" s="22"/>
      <c r="H3" s="22"/>
      <c r="I3" s="22"/>
      <c r="J3" s="22"/>
      <c r="K3" s="22"/>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2" t="s">
        <v>1462</v>
      </c>
    </row>
    <row r="6" spans="1:11" ht="20.100000000000001" customHeight="1" x14ac:dyDescent="0.2">
      <c r="D6" s="17" t="s">
        <v>1463</v>
      </c>
    </row>
    <row r="7" spans="1:11" ht="20.100000000000001" customHeight="1" x14ac:dyDescent="0.2">
      <c r="D7" s="25" t="s">
        <v>1464</v>
      </c>
    </row>
    <row r="8" spans="1:11" ht="20.100000000000001" customHeight="1" x14ac:dyDescent="0.2">
      <c r="A8" s="7" t="s">
        <v>0</v>
      </c>
      <c r="D8" s="112"/>
      <c r="E8" s="112"/>
    </row>
    <row r="9" spans="1:11" ht="20.100000000000001" customHeight="1" x14ac:dyDescent="0.2">
      <c r="A9" s="5" t="str">
        <f>HYPERLINK("#'Input - Enterprise'!A1", "Enterprise")</f>
        <v>Enterprise</v>
      </c>
    </row>
    <row r="10" spans="1:11" ht="20.100000000000001" customHeight="1" x14ac:dyDescent="0.2">
      <c r="A10" s="5" t="str">
        <f>HYPERLINK("#'Input - Site'!A1", "Site")</f>
        <v>Site</v>
      </c>
    </row>
    <row r="11" spans="1:11" ht="20.100000000000001" customHeight="1" x14ac:dyDescent="0.2">
      <c r="A11" s="5" t="str">
        <f>HYPERLINK("#'Input - Poultry'!A1", "Poultry")</f>
        <v>Poultry</v>
      </c>
      <c r="D11" s="75" t="s">
        <v>328</v>
      </c>
      <c r="E11" s="1" t="s">
        <v>1465</v>
      </c>
    </row>
    <row r="12" spans="1:11" ht="20.100000000000001" customHeight="1" x14ac:dyDescent="0.2">
      <c r="A12" s="5" t="str">
        <f>HYPERLINK("#'Input - Livestock sales'!A1", "Livestock sales")</f>
        <v>Livestock sales</v>
      </c>
      <c r="D12" s="75" t="s">
        <v>118</v>
      </c>
      <c r="E12" s="9" t="s">
        <v>7</v>
      </c>
    </row>
    <row r="13" spans="1:11" ht="20.100000000000001" customHeight="1" x14ac:dyDescent="0.2">
      <c r="A13" s="5" t="str">
        <f>HYPERLINK("#'Input - Poultry purchases'!A1", "Poultry purchases")</f>
        <v>Poultry purchases</v>
      </c>
    </row>
    <row r="14" spans="1:11" ht="20.100000000000001" customHeight="1" x14ac:dyDescent="0.2">
      <c r="A14" s="5" t="str">
        <f>HYPERLINK("#'Input - Fuel'!A1", "Fuel")</f>
        <v>Fuel</v>
      </c>
      <c r="D14" s="113" t="s">
        <v>1466</v>
      </c>
      <c r="E14" s="122" t="s">
        <v>1467</v>
      </c>
      <c r="F14" s="123"/>
      <c r="G14" s="113" t="s">
        <v>544</v>
      </c>
      <c r="H14" s="114" t="s">
        <v>1202</v>
      </c>
      <c r="I14" s="122">
        <f>X_Cell_Electricity_Location_AmountPurchasedInkWh</f>
        <v>30000</v>
      </c>
      <c r="J14" s="123"/>
    </row>
    <row r="15" spans="1:11" ht="20.100000000000001" customHeight="1" x14ac:dyDescent="0.2">
      <c r="A15" s="5" t="str">
        <f>HYPERLINK("#'Input - Electricity'!A1", "Electricity")</f>
        <v>Electricity</v>
      </c>
      <c r="D15" s="113" t="s">
        <v>1468</v>
      </c>
      <c r="E15" s="122" t="s">
        <v>1469</v>
      </c>
      <c r="F15" s="123"/>
      <c r="G15" s="113" t="s">
        <v>1471</v>
      </c>
      <c r="H15" s="115" t="s">
        <v>1203</v>
      </c>
      <c r="I15" s="122" cm="1">
        <f t="array" ref="I15">Common_InputFunctions.Utility_LookupValueInTableNumber(I16,Table_SourceData_ElectricityEFs[State, Territory or grid description],Table_SourceData_ElectricityEFs[Scope 2 Emission Factors (kg CO2-e/kWh)])</f>
        <v>0.56000000000000005</v>
      </c>
      <c r="J15" s="123"/>
    </row>
    <row r="16" spans="1:11" ht="20.100000000000001" customHeight="1" x14ac:dyDescent="0.2">
      <c r="A16" s="5" t="str">
        <f>HYPERLINK("#'Input - Common farm inputs'!A1", "Common farm inputs")</f>
        <v>Common farm inputs</v>
      </c>
      <c r="D16" s="113" t="s">
        <v>1402</v>
      </c>
      <c r="E16" s="122" t="s">
        <v>1470</v>
      </c>
      <c r="F16" s="123"/>
      <c r="G16" s="113"/>
      <c r="H16" s="114" t="s">
        <v>1202</v>
      </c>
      <c r="I16" s="122" t="str">
        <f>X_Cell_Electricity_Location_GridElectricityPurchasedFrom</f>
        <v>Western Australia - North Western Interconnected System (NWIS)</v>
      </c>
      <c r="J16" s="123"/>
    </row>
    <row r="17" spans="1:11" ht="20.100000000000001" customHeight="1" x14ac:dyDescent="0.2">
      <c r="A17" s="5" t="str">
        <f>HYPERLINK("#'Input - Livestock farm Inputs'!A1", "Livestock farm Inputs")</f>
        <v>Livestock farm Inputs</v>
      </c>
    </row>
    <row r="18" spans="1:11" ht="20.100000000000001" customHeight="1" x14ac:dyDescent="0.2">
      <c r="A18" s="5" t="str">
        <f>HYPERLINK("#'Input - Freight'!A1", "Freight")</f>
        <v>Freight</v>
      </c>
      <c r="D18" s="85" t="s">
        <v>574</v>
      </c>
      <c r="E18" s="86">
        <f>(I14 * I15 * 10 ^ -3)</f>
        <v>16.8</v>
      </c>
      <c r="F18" s="95" t="str">
        <f>$E$12</f>
        <v>t CO2e</v>
      </c>
    </row>
    <row r="19" spans="1:11" ht="20.100000000000001" customHeight="1" x14ac:dyDescent="0.2">
      <c r="A19" s="5" t="str">
        <f>HYPERLINK("#'Input - Solid waste'!A1", "Solid waste")</f>
        <v>Solid waste</v>
      </c>
    </row>
    <row r="20" spans="1:11" ht="20.100000000000001" customHeight="1" x14ac:dyDescent="0.2">
      <c r="A20" s="5" t="str">
        <f>HYPERLINK("#'Input - Manure sent off-site'!A1", "Manure sent off-site")</f>
        <v>Manure sent off-site</v>
      </c>
    </row>
    <row r="21" spans="1:11" ht="20.100000000000001" customHeight="1" x14ac:dyDescent="0.2">
      <c r="A21" s="5" t="str">
        <f>HYPERLINK("#'Input - Data quality'!A1", "Data quality")</f>
        <v>Data quality</v>
      </c>
      <c r="C21" s="83"/>
      <c r="D21" s="83"/>
      <c r="E21" s="83"/>
      <c r="F21" s="83"/>
      <c r="G21" s="83"/>
      <c r="H21" s="83"/>
      <c r="I21" s="83"/>
      <c r="J21" s="83"/>
      <c r="K21" s="83"/>
    </row>
    <row r="22" spans="1:11" ht="20.100000000000001" customHeight="1" x14ac:dyDescent="0.2">
      <c r="A22" s="5" t="str">
        <f>HYPERLINK("#'Input - Fert Prod System'!A1", "Fert Prod System")</f>
        <v>Fert Prod System</v>
      </c>
      <c r="D22" s="2" t="s">
        <v>1472</v>
      </c>
    </row>
    <row r="23" spans="1:11" ht="20.100000000000001" customHeight="1" x14ac:dyDescent="0.2">
      <c r="A23" s="5" t="str">
        <f>HYPERLINK("#'Input - Fertiliser'!A1", "Fertiliser")</f>
        <v>Fertiliser</v>
      </c>
      <c r="D23" s="17" t="s">
        <v>1473</v>
      </c>
    </row>
    <row r="24" spans="1:11" ht="20.100000000000001" customHeight="1" x14ac:dyDescent="0.2">
      <c r="D24" s="25" t="s">
        <v>1474</v>
      </c>
    </row>
    <row r="25" spans="1:11" ht="20.100000000000001" customHeight="1" x14ac:dyDescent="0.2">
      <c r="D25" s="112"/>
      <c r="E25" s="112"/>
    </row>
    <row r="26" spans="1:11" ht="20.100000000000001" customHeight="1" x14ac:dyDescent="0.2">
      <c r="A26" s="6" t="s">
        <v>2</v>
      </c>
    </row>
    <row r="27" spans="1:11" ht="20.100000000000001" customHeight="1" x14ac:dyDescent="0.2">
      <c r="A27" s="5" t="str">
        <f>HYPERLINK("#'4.6.1.1-2 Methane'!A1", "4.6.1.1-2 Manure Methane")</f>
        <v>4.6.1.1-2 Manure Methane</v>
      </c>
    </row>
    <row r="28" spans="1:11" ht="20.100000000000001" customHeight="1" x14ac:dyDescent="0.2">
      <c r="A28" s="5" t="str">
        <f>HYPERLINK("#'4.6.1.3-4 Direct N20'!A1", "4.6.1.3-4 Manure Direct N2O")</f>
        <v>4.6.1.3-4 Manure Direct N2O</v>
      </c>
      <c r="D28" s="75" t="s">
        <v>328</v>
      </c>
      <c r="E28" s="1" t="s">
        <v>1465</v>
      </c>
    </row>
    <row r="29" spans="1:11" ht="20.100000000000001" customHeight="1" x14ac:dyDescent="0.2">
      <c r="A29" s="5" t="str">
        <f>HYPERLINK("#'4.6.1.5-6 Atmos Dep'!A1", "4.6.1.5-6 Manure Atmos Dep")</f>
        <v>4.6.1.5-6 Manure Atmos Dep</v>
      </c>
      <c r="D29" s="75" t="s">
        <v>118</v>
      </c>
      <c r="E29" s="9" t="s">
        <v>7</v>
      </c>
    </row>
    <row r="30" spans="1:11" ht="20.100000000000001" customHeight="1" x14ac:dyDescent="0.2">
      <c r="A30" s="5" t="str">
        <f>HYPERLINK("#'4.6.1.7-8 Leaching and runoff'!A1", "4.6.1.7-8 Manure Leaching and runoff")</f>
        <v>4.6.1.7-8 Manure Leaching and runoff</v>
      </c>
    </row>
    <row r="31" spans="1:11" ht="20.100000000000001" customHeight="1" x14ac:dyDescent="0.2">
      <c r="A31" s="5" t="str">
        <f>HYPERLINK("#'4.6.1.9 Manure applied to soils'!A1", "4.6.1.9 Manure applied to soils")</f>
        <v>4.6.1.9 Manure applied to soils</v>
      </c>
      <c r="D31" s="113" t="s">
        <v>1466</v>
      </c>
      <c r="E31" s="122" t="s">
        <v>1467</v>
      </c>
      <c r="F31" s="136"/>
      <c r="G31" s="136"/>
      <c r="H31" s="113" t="s">
        <v>544</v>
      </c>
      <c r="I31" s="114" t="s">
        <v>1202</v>
      </c>
      <c r="J31" s="113">
        <f>X_Cell_Electricity_Market_AmountPurchasedExcludingGreenPower</f>
        <v>30000</v>
      </c>
    </row>
    <row r="32" spans="1:11" ht="20.100000000000001" customHeight="1" x14ac:dyDescent="0.2">
      <c r="A32" s="5" t="str">
        <f>HYPERLINK("#'4.6.1.10-11 Soil direct N2O'!A1", "4.6.1.10-11 Soil direct N2O")</f>
        <v>4.6.1.10-11 Soil direct N2O</v>
      </c>
      <c r="D32" s="113" t="s">
        <v>1475</v>
      </c>
      <c r="E32" s="122" t="s">
        <v>1476</v>
      </c>
      <c r="F32" s="136"/>
      <c r="G32" s="136"/>
      <c r="H32" s="113" t="s">
        <v>1485</v>
      </c>
      <c r="I32" s="114" t="s">
        <v>1202</v>
      </c>
      <c r="J32" s="146">
        <f>X_Cell_Electricity_Market_RenewablePowerPercentage</f>
        <v>0.1</v>
      </c>
    </row>
    <row r="33" spans="1:10" ht="20.100000000000001" customHeight="1" x14ac:dyDescent="0.2">
      <c r="A33" s="5" t="str">
        <f>HYPERLINK("#'4.6.1.12-13 Soil atmos dep'!A1", "4.6.1.12-13 Soil atmos dep")</f>
        <v>4.6.1.12-13 Soil atmos dep</v>
      </c>
      <c r="D33" s="113" t="s">
        <v>1477</v>
      </c>
      <c r="E33" s="122" t="s">
        <v>1478</v>
      </c>
      <c r="F33" s="136"/>
      <c r="G33" s="136"/>
      <c r="H33" s="113" t="s">
        <v>1485</v>
      </c>
      <c r="I33" s="114" t="s">
        <v>1202</v>
      </c>
      <c r="J33" s="146" t="str">
        <f>IF(J37="ACT", X_Cell_Electricity_Market_JurisdictionalRenewablePowerPercentage, "N/A")</f>
        <v>N/A</v>
      </c>
    </row>
    <row r="34" spans="1:10" ht="20.100000000000001" customHeight="1" x14ac:dyDescent="0.2">
      <c r="A34" s="5" t="str">
        <f>HYPERLINK("#'4.6.1.14-15 Soil leach runoff'!A1", "4.6.1.14-15 Soil leach runoff")</f>
        <v>4.6.1.14-15 Soil leach runoff</v>
      </c>
      <c r="D34" s="113" t="s">
        <v>1479</v>
      </c>
      <c r="E34" s="122" t="s">
        <v>1480</v>
      </c>
      <c r="F34" s="136"/>
      <c r="G34" s="136"/>
      <c r="H34" s="113" t="s">
        <v>560</v>
      </c>
      <c r="I34" s="114" t="s">
        <v>1202</v>
      </c>
      <c r="J34" s="113">
        <f>(X_Cell_Electricity_Market_AmountPurchasedGreenPower*10^-3)+X_Cell_TotalElegibleVoluntarilySurrenderedRECs</f>
        <v>15</v>
      </c>
    </row>
    <row r="35" spans="1:10" ht="20.100000000000001" customHeight="1" x14ac:dyDescent="0.2">
      <c r="A35" s="5" t="str">
        <f>HYPERLINK("#'8.1.1.1-2 Transport fuel'!A1", "8.1.1.1-2 Transport fuel")</f>
        <v>8.1.1.1-2 Transport fuel</v>
      </c>
      <c r="D35" s="113" t="s">
        <v>1481</v>
      </c>
      <c r="E35" s="122" t="s">
        <v>1482</v>
      </c>
      <c r="F35" s="136"/>
      <c r="G35" s="136"/>
      <c r="H35" s="113" t="s">
        <v>560</v>
      </c>
      <c r="I35" s="114" t="s">
        <v>1202</v>
      </c>
      <c r="J35" s="113">
        <f>X_Cell_TotalElegibleRECsForElectricityProducedOnSite</f>
        <v>0</v>
      </c>
    </row>
    <row r="36" spans="1:10" ht="20.100000000000001" customHeight="1" x14ac:dyDescent="0.2">
      <c r="A36" s="5" t="str">
        <f>HYPERLINK("#'8.2.1.1-2 Stationary fuel'!A1", "8.2.1.1-2 Stationary fuel")</f>
        <v>8.2.1.1-2 Stationary fuel</v>
      </c>
      <c r="D36" s="113" t="s">
        <v>1483</v>
      </c>
      <c r="E36" s="122" t="s">
        <v>1484</v>
      </c>
      <c r="F36" s="136"/>
      <c r="G36" s="136"/>
      <c r="H36" s="113" t="s">
        <v>1471</v>
      </c>
      <c r="I36" s="115" t="s">
        <v>1203</v>
      </c>
      <c r="J36" s="113" cm="1">
        <f t="array" ref="J36">Table_SourceData_ElectricityEFsMarketBased[Scope 2 EF (kg CO2-e/kWh)]</f>
        <v>0.81</v>
      </c>
    </row>
    <row r="37" spans="1:10" ht="20.100000000000001" customHeight="1" x14ac:dyDescent="0.2">
      <c r="A37" s="5" t="str">
        <f>HYPERLINK("#'10.1.1-2 Solid waste treatment'!A1", "10.1.1.1-2 Solid waste")</f>
        <v>10.1.1.1-2 Solid waste</v>
      </c>
      <c r="D37" s="113" t="s">
        <v>1217</v>
      </c>
      <c r="E37" s="122" t="s">
        <v>1218</v>
      </c>
      <c r="F37" s="136"/>
      <c r="G37" s="123"/>
      <c r="H37" s="113"/>
      <c r="I37" s="114" t="s">
        <v>1202</v>
      </c>
      <c r="J37" s="113" t="str">
        <f>X_Cell_Site_State</f>
        <v>Western Australia</v>
      </c>
    </row>
    <row r="38" spans="1:10" ht="20.100000000000001" customHeight="1" x14ac:dyDescent="0.2">
      <c r="A38" s="117" t="str">
        <f>HYPERLINK("#'14.1.1-2 Purchased electricity'!A1", "14.1.1-2 Purchased electricity")</f>
        <v>14.1.1-2 Purchased electricity</v>
      </c>
    </row>
    <row r="39" spans="1:10" ht="20.100000000000001" customHeight="1" x14ac:dyDescent="0.2">
      <c r="A39" s="5" t="str">
        <f>HYPERLINK("#'15 Scope 3'!A1", "15 Scope 3")</f>
        <v>15 Scope 3</v>
      </c>
      <c r="D39" s="85" t="s">
        <v>574</v>
      </c>
      <c r="E39" s="86">
        <f>(((J31 * (1 - (J32 + (IF(ISNUMBER(J33), J33, 0))))) - ((J34 - J35) * 10 ^ 3)) * J36 * 10 ^ -3)</f>
        <v>9.7200000000000006</v>
      </c>
      <c r="F39" s="95" t="str">
        <f>E29</f>
        <v>t CO2e</v>
      </c>
    </row>
    <row r="40" spans="1:10" ht="20.100000000000001" customHeight="1" x14ac:dyDescent="0.2">
      <c r="A40" s="5" t="str">
        <f>HYPERLINK("#'Calcs - Manure sent off-site'!A1", "Calcs - Manure sent off-site")</f>
        <v>Calcs - Manure sent off-site</v>
      </c>
      <c r="H40" s="1" t="s">
        <v>313</v>
      </c>
    </row>
    <row r="41" spans="1:10" ht="20.100000000000001" customHeight="1" x14ac:dyDescent="0.2">
      <c r="A41" s="5" t="str">
        <f>HYPERLINK("#'5.1.1.1-2 Inorganic fert N2O'!A1", "5.1.1.1-2 Inorganic fert N2O")</f>
        <v>5.1.1.1-2 Inorganic fert N2O</v>
      </c>
    </row>
    <row r="42" spans="1:10" ht="20.100000000000001" customHeight="1" x14ac:dyDescent="0.2">
      <c r="A42" s="5" t="str">
        <f>HYPERLINK("#'5.1.1.3-4 Inorganic fert CO2'!A1", "5.1.1.3-4 Inorganic fert CO2")</f>
        <v>5.1.1.3-4 Inorganic fert CO2</v>
      </c>
    </row>
    <row r="43" spans="1:10" ht="20.100000000000001" customHeight="1" x14ac:dyDescent="0.2">
      <c r="A43" s="5" t="str">
        <f>HYPERLINK("#'5.2.1.1-2 Organic Fert N2O'!A1", "5.2.1.1-2 Organic Fert N2O")</f>
        <v>5.2.1.1-2 Organic Fert N2O</v>
      </c>
    </row>
    <row r="44" spans="1:10" ht="20.100000000000001" customHeight="1" x14ac:dyDescent="0.2">
      <c r="A44" s="5" t="str">
        <f>HYPERLINK("#'5.3.1.1-2 Lime CO2'!A1", "5.3.1.1-2 Lime CO2")</f>
        <v>5.3.1.1-2 Lime CO2</v>
      </c>
      <c r="E44" s="142"/>
    </row>
    <row r="45" spans="1:10" ht="20.100000000000001" customHeight="1" x14ac:dyDescent="0.2">
      <c r="A45" s="5" t="str">
        <f>HYPERLINK("#'5.4.1.1-4 Atmos deposition'!A1", "5.4.1.1-4 Atmos deposition")</f>
        <v>5.4.1.1-4 Atmos deposition</v>
      </c>
    </row>
    <row r="46" spans="1:10" ht="20.100000000000001" customHeight="1" x14ac:dyDescent="0.2">
      <c r="A46" s="5" t="str">
        <f>HYPERLINK("#'5.5.1.1-2 Leaching and runoff'!A1", "5.5.1.1-2 Leaching and runoff")</f>
        <v>5.5.1.1-2 Leaching and runoff</v>
      </c>
    </row>
    <row r="49" spans="1:1" ht="20.100000000000001" customHeight="1" x14ac:dyDescent="0.2">
      <c r="A49" s="80" t="s">
        <v>1</v>
      </c>
    </row>
    <row r="50" spans="1:1" ht="20.100000000000001" customHeight="1" x14ac:dyDescent="0.2">
      <c r="A50" s="5" t="str">
        <f>HYPERLINK("#'Constants - Poultry'!A1", "Constants - Poultry")</f>
        <v>Constants - Poultry</v>
      </c>
    </row>
    <row r="51" spans="1:1" ht="20.100000000000001" customHeight="1" x14ac:dyDescent="0.2">
      <c r="A51" s="5" t="str">
        <f>HYPERLINK("#'Constants - Common livestock'!A1", "Constants - Common Livestock")</f>
        <v>Constants - Common Livestock</v>
      </c>
    </row>
    <row r="52" spans="1:1" ht="20.100000000000001" customHeight="1" x14ac:dyDescent="0.2">
      <c r="A52" s="5" t="str">
        <f>HYPERLINK("#'Constants - Electricity'!A1", "Constants - Electricity")</f>
        <v>Constants - Electricity</v>
      </c>
    </row>
    <row r="53" spans="1:1" ht="20.100000000000001" customHeight="1" x14ac:dyDescent="0.2">
      <c r="A53" s="5" t="str">
        <f>HYPERLINK("#'Constants - Fertiliser'!A1", "Constants - Fertiliser")</f>
        <v>Constants - Fertiliser</v>
      </c>
    </row>
    <row r="54" spans="1:1" ht="20.100000000000001" customHeight="1" x14ac:dyDescent="0.2">
      <c r="A54" s="5" t="str">
        <f>HYPERLINK("#'Constants - Fuel'!A1", "Constants - Fuel")</f>
        <v>Constants - Fuel</v>
      </c>
    </row>
    <row r="55" spans="1:1" ht="20.100000000000001" customHeight="1" x14ac:dyDescent="0.2">
      <c r="A55" s="5" t="str">
        <f>HYPERLINK("#'Constants - Scope 3'!A1", "Constants - Scope 3")</f>
        <v>Constants - Scope 3</v>
      </c>
    </row>
    <row r="56" spans="1:1" ht="20.100000000000001" customHeight="1" x14ac:dyDescent="0.2">
      <c r="A56" s="5" t="str">
        <f>HYPERLINK("#'Constants - Solid Waste'!A1", "Constants - Solid Waste")</f>
        <v>Constants - Solid Waste</v>
      </c>
    </row>
    <row r="57" spans="1:1" ht="20.100000000000001" customHeight="1" x14ac:dyDescent="0.2">
      <c r="A57" s="5" t="str">
        <f>HYPERLINK("#'Constants - Common'!A1", "Constants - Common")</f>
        <v>Constants - Common</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E269 E228 G132 I129:I133 F134:I134 F129:F132 H128:H132 G129 F148:I148 I149 F150:I150" xr:uid="{1843485F-D603-4657-ABD1-6A9099C50F12}"/>
  </dataValidation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80FB9-FAA3-4725-9A1B-7A9B023D67D6}">
  <sheetPr>
    <tabColor theme="9" tint="-0.249977111117893"/>
  </sheetPr>
  <dimension ref="A1:AO657"/>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5703125" customWidth="1"/>
    <col min="3" max="3" width="4.5703125" style="1" customWidth="1"/>
    <col min="4" max="40" width="30.5703125" style="1" customWidth="1"/>
    <col min="41" max="41" width="4.5703125" style="1" customWidth="1"/>
  </cols>
  <sheetData>
    <row r="1" spans="1:41" s="20" customFormat="1" ht="30" customHeight="1" x14ac:dyDescent="0.35">
      <c r="A1" s="10" t="e" vm="1">
        <v>#VALUE!</v>
      </c>
      <c r="C1" s="20" t="s">
        <v>1031</v>
      </c>
    </row>
    <row r="2" spans="1:41" s="3" customFormat="1" ht="20.100000000000001" customHeight="1" x14ac:dyDescent="0.2">
      <c r="A2"/>
    </row>
    <row r="3" spans="1:41"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row>
    <row r="4" spans="1:41" ht="20.100000000000001" customHeight="1" x14ac:dyDescent="0.2">
      <c r="A4" s="5" t="str">
        <f>HYPERLINK("#'Results - Activity period'!A1", "Results - Activity period")</f>
        <v>Results - Activity period</v>
      </c>
    </row>
    <row r="5" spans="1:41" ht="20.100000000000001" customHeight="1" x14ac:dyDescent="0.2">
      <c r="A5" s="5" t="str">
        <f>HYPERLINK("#'Results - Product EI'!A1", "Results - Product Emissions Intensity")</f>
        <v>Results - Product Emissions Intensity</v>
      </c>
      <c r="D5" s="2" t="s">
        <v>1486</v>
      </c>
    </row>
    <row r="6" spans="1:41" ht="20.100000000000001" customHeight="1" x14ac:dyDescent="0.2">
      <c r="D6" s="17" t="s">
        <v>1487</v>
      </c>
    </row>
    <row r="7" spans="1:41" ht="20.100000000000001" customHeight="1" x14ac:dyDescent="0.2">
      <c r="D7" s="112"/>
      <c r="E7" s="112"/>
    </row>
    <row r="8" spans="1:41" ht="20.100000000000001" customHeight="1" x14ac:dyDescent="0.2">
      <c r="A8" s="7" t="s">
        <v>0</v>
      </c>
    </row>
    <row r="9" spans="1:41" ht="20.100000000000001" customHeight="1" x14ac:dyDescent="0.2">
      <c r="A9" s="5" t="str">
        <f>HYPERLINK("#'Input - Enterprise'!A1", "Enterprise")</f>
        <v>Enterprise</v>
      </c>
      <c r="H9" s="112"/>
    </row>
    <row r="10" spans="1:41" ht="20.100000000000001" customHeight="1" x14ac:dyDescent="0.2">
      <c r="A10" s="5" t="str">
        <f>HYPERLINK("#'Input - Site'!A1", "Site")</f>
        <v>Site</v>
      </c>
      <c r="D10" s="75" t="s">
        <v>328</v>
      </c>
      <c r="E10" s="1" t="s">
        <v>1146</v>
      </c>
    </row>
    <row r="11" spans="1:41" ht="20.100000000000001" customHeight="1" x14ac:dyDescent="0.2">
      <c r="A11" s="5" t="str">
        <f>HYPERLINK("#'Input - Poultry'!A1", "Poultry")</f>
        <v>Poultry</v>
      </c>
      <c r="D11" s="75" t="s">
        <v>118</v>
      </c>
      <c r="E11" s="9" t="s">
        <v>7</v>
      </c>
    </row>
    <row r="12" spans="1:41" ht="20.100000000000001" customHeight="1" x14ac:dyDescent="0.2">
      <c r="A12" s="5" t="str">
        <f>HYPERLINK("#'Input - Livestock sales'!A1", "Livestock sales")</f>
        <v>Livestock sales</v>
      </c>
    </row>
    <row r="13" spans="1:41" ht="20.100000000000001" customHeight="1" x14ac:dyDescent="0.2">
      <c r="A13" s="5" t="str">
        <f>HYPERLINK("#'Input - Poultry purchases'!A1", "Poultry purchases")</f>
        <v>Poultry purchases</v>
      </c>
      <c r="D13" s="113" t="s">
        <v>1488</v>
      </c>
      <c r="E13" s="122" t="s">
        <v>1489</v>
      </c>
      <c r="F13" s="123"/>
      <c r="G13" s="113" t="s">
        <v>1498</v>
      </c>
      <c r="H13" s="249" t="s">
        <v>1202</v>
      </c>
    </row>
    <row r="14" spans="1:41" ht="20.100000000000001" customHeight="1" x14ac:dyDescent="0.2">
      <c r="A14" s="5" t="str">
        <f>HYPERLINK("#'Input - Fuel'!A1", "Fuel")</f>
        <v>Fuel</v>
      </c>
      <c r="D14" s="113" t="s">
        <v>1490</v>
      </c>
      <c r="E14" s="122" t="s">
        <v>1491</v>
      </c>
      <c r="F14" s="123"/>
      <c r="G14" s="113" t="s">
        <v>1499</v>
      </c>
      <c r="H14" s="249" t="s">
        <v>1202</v>
      </c>
    </row>
    <row r="15" spans="1:41" ht="20.100000000000001" customHeight="1" x14ac:dyDescent="0.2">
      <c r="A15" s="5" t="str">
        <f>HYPERLINK("#'Input - Electricity'!A1", "Electricity")</f>
        <v>Electricity</v>
      </c>
      <c r="D15" s="113" t="s">
        <v>1492</v>
      </c>
      <c r="E15" s="122" t="s">
        <v>1493</v>
      </c>
      <c r="F15" s="123"/>
      <c r="G15" s="113" t="s">
        <v>1500</v>
      </c>
      <c r="H15" s="115" t="s">
        <v>1203</v>
      </c>
    </row>
    <row r="16" spans="1:41" ht="20.100000000000001" customHeight="1" x14ac:dyDescent="0.2">
      <c r="A16" s="5" t="str">
        <f>HYPERLINK("#'Input - Common farm inputs'!A1", "Common farm inputs")</f>
        <v>Common farm inputs</v>
      </c>
      <c r="D16" s="113" t="s">
        <v>1494</v>
      </c>
      <c r="E16" s="122" t="s">
        <v>1495</v>
      </c>
      <c r="F16" s="123"/>
      <c r="G16" s="113"/>
      <c r="H16" s="249" t="s">
        <v>1202</v>
      </c>
    </row>
    <row r="17" spans="1:16" ht="20.100000000000001" customHeight="1" x14ac:dyDescent="0.2">
      <c r="A17" s="5" t="str">
        <f>HYPERLINK("#'Input - Livestock farm Inputs'!A1", "Livestock farm Inputs")</f>
        <v>Livestock farm Inputs</v>
      </c>
      <c r="D17" s="113" t="s">
        <v>1496</v>
      </c>
      <c r="E17" s="122" t="s">
        <v>1497</v>
      </c>
      <c r="F17" s="123"/>
      <c r="G17" s="113"/>
      <c r="H17" s="249" t="s">
        <v>1202</v>
      </c>
    </row>
    <row r="18" spans="1:16" ht="20.100000000000001" customHeight="1" x14ac:dyDescent="0.2">
      <c r="A18" s="5" t="str">
        <f>HYPERLINK("#'Input - Freight'!A1", "Freight")</f>
        <v>Freight</v>
      </c>
    </row>
    <row r="19" spans="1:16" ht="20.100000000000001" customHeight="1" x14ac:dyDescent="0.2">
      <c r="A19" s="5" t="str">
        <f>HYPERLINK("#'Input - Solid waste'!A1", "Solid waste")</f>
        <v>Solid waste</v>
      </c>
      <c r="D19" s="35" t="s">
        <v>1032</v>
      </c>
      <c r="E19" s="37"/>
      <c r="F19" s="38"/>
    </row>
    <row r="20" spans="1:16" ht="20.100000000000001" customHeight="1" x14ac:dyDescent="0.2">
      <c r="A20" s="5" t="str">
        <f>HYPERLINK("#'Input - Manure sent off-site'!A1", "Manure sent off-site")</f>
        <v>Manure sent off-site</v>
      </c>
    </row>
    <row r="21" spans="1:16" ht="20.100000000000001" customHeight="1" x14ac:dyDescent="0.2">
      <c r="A21" s="5" t="str">
        <f>HYPERLINK("#'Input - Data quality'!A1", "Data quality")</f>
        <v>Data quality</v>
      </c>
      <c r="D21" s="244" t="s">
        <v>1033</v>
      </c>
    </row>
    <row r="22" spans="1:16" ht="20.100000000000001" customHeight="1" x14ac:dyDescent="0.2">
      <c r="A22" s="5" t="str">
        <f>HYPERLINK("#'Input - Fert Prod System'!A1", "Fert Prod System")</f>
        <v>Fert Prod System</v>
      </c>
      <c r="D22" s="78" t="s">
        <v>1034</v>
      </c>
      <c r="E22" s="250" t="s">
        <v>1035</v>
      </c>
      <c r="F22" s="250" t="s">
        <v>1036</v>
      </c>
      <c r="G22" s="250" t="s">
        <v>1037</v>
      </c>
      <c r="H22" s="250" t="s">
        <v>1038</v>
      </c>
      <c r="I22" s="120" t="s">
        <v>1039</v>
      </c>
      <c r="J22" s="120" t="s">
        <v>1040</v>
      </c>
      <c r="K22" s="250" t="s">
        <v>1041</v>
      </c>
      <c r="L22" s="78" t="s">
        <v>1042</v>
      </c>
      <c r="M22" s="120" t="s">
        <v>1043</v>
      </c>
      <c r="N22" s="78" t="s">
        <v>1044</v>
      </c>
      <c r="O22" s="78" t="s">
        <v>1045</v>
      </c>
      <c r="P22" s="78" t="s">
        <v>1046</v>
      </c>
    </row>
    <row r="23" spans="1:16" ht="20.100000000000001" customHeight="1" x14ac:dyDescent="0.2">
      <c r="A23" s="5" t="str">
        <f>HYPERLINK("#'Input - Fertiliser'!A1", "Fertiliser")</f>
        <v>Fertiliser</v>
      </c>
      <c r="D23" s="15"/>
      <c r="E23" s="15"/>
      <c r="F23" s="15"/>
      <c r="G23" s="15"/>
      <c r="H23" s="15"/>
      <c r="I23" s="15" cm="1">
        <f t="array" ref="I23">Common_InputFunctions.Utility_LookupValueInTableTwoColumns(E23,F23,Table_SourceData_Scope3_Animals[Product],Table_SourceData_Scope3_Animals[Region of origin],Table_SourceData_Scope3_Animals[Emissions intensity], 0)</f>
        <v>0</v>
      </c>
      <c r="J23" s="251">
        <f>((G23 * H23 * I23) * 10 ^ -3)</f>
        <v>0</v>
      </c>
      <c r="K23" s="15"/>
      <c r="L23" s="74">
        <v>20</v>
      </c>
      <c r="M23" s="251">
        <f>((G23 * K23 * (IF(L23, L23, I23))) * 10 ^ -3)</f>
        <v>0</v>
      </c>
      <c r="N23" s="33" t="s">
        <v>1047</v>
      </c>
      <c r="O23" s="13" t="s">
        <v>1048</v>
      </c>
      <c r="P23" t="s">
        <v>1049</v>
      </c>
    </row>
    <row r="24" spans="1:16" ht="20.100000000000001" customHeight="1" x14ac:dyDescent="0.2">
      <c r="D24" s="15"/>
      <c r="E24" s="15"/>
      <c r="F24" s="15"/>
      <c r="G24" s="15"/>
      <c r="H24" s="15"/>
      <c r="I24" s="15" cm="1">
        <f t="array" ref="I24">Common_InputFunctions.Utility_LookupValueInTableTwoColumns(E24,F24,Table_SourceData_Scope3_Animals[Product],Table_SourceData_Scope3_Animals[Region of origin],Table_SourceData_Scope3_Animals[Emissions intensity], 0)</f>
        <v>0</v>
      </c>
      <c r="J24" s="251">
        <f>((G24 * H24 * I24) * 10 ^ -3)</f>
        <v>0</v>
      </c>
      <c r="K24" s="15"/>
      <c r="L24" s="74">
        <v>13</v>
      </c>
      <c r="M24" s="251">
        <f>((G24 * K24 * (IF(L24, L24, I24))) * 10 ^ -3)</f>
        <v>0</v>
      </c>
      <c r="N24" s="33"/>
      <c r="O24" s="13"/>
      <c r="P24" s="33"/>
    </row>
    <row r="25" spans="1:16" ht="20.100000000000001" customHeight="1" x14ac:dyDescent="0.2">
      <c r="D25" s="15"/>
      <c r="E25" s="15"/>
      <c r="F25" s="15"/>
      <c r="G25" s="15"/>
      <c r="H25" s="15"/>
      <c r="I25" s="15" cm="1">
        <f t="array" ref="I25">Common_InputFunctions.Utility_LookupValueInTableTwoColumns(E25,F25,Table_SourceData_Scope3_Animals[Product],Table_SourceData_Scope3_Animals[Region of origin],Table_SourceData_Scope3_Animals[Emissions intensity], 0)</f>
        <v>0</v>
      </c>
      <c r="J25" s="251">
        <f>((G25 * H25 * I25) * 10 ^ -3)</f>
        <v>0</v>
      </c>
      <c r="K25" s="15"/>
      <c r="L25" s="74"/>
      <c r="M25" s="251">
        <f>((G25 * K25 * (IF(L25, L25, I25))) * 10 ^ -3)</f>
        <v>0</v>
      </c>
      <c r="N25" s="33"/>
      <c r="O25" s="13"/>
      <c r="P25" s="33"/>
    </row>
    <row r="26" spans="1:16" ht="20.100000000000001" customHeight="1" x14ac:dyDescent="0.2">
      <c r="A26" s="6" t="s">
        <v>2</v>
      </c>
      <c r="D26" s="15"/>
      <c r="E26" s="15"/>
      <c r="F26" s="15"/>
      <c r="G26" s="15"/>
      <c r="H26" s="15"/>
      <c r="I26" s="15" cm="1">
        <f t="array" ref="I26">Common_InputFunctions.Utility_LookupValueInTableTwoColumns(E26,F26,Table_SourceData_Scope3_Animals[Product],Table_SourceData_Scope3_Animals[Region of origin],Table_SourceData_Scope3_Animals[Emissions intensity], 0)</f>
        <v>0</v>
      </c>
      <c r="J26" s="251">
        <f>((G26 * H26 * I26) * 10 ^ -3)</f>
        <v>0</v>
      </c>
      <c r="K26" s="15"/>
      <c r="L26" s="74"/>
      <c r="M26" s="251">
        <f>((G26 * K26 * (IF(L26, L26, I26))) * 10 ^ -3)</f>
        <v>0</v>
      </c>
      <c r="N26" s="33"/>
      <c r="O26" s="13"/>
      <c r="P26" s="33"/>
    </row>
    <row r="27" spans="1:16" ht="20.100000000000001" customHeight="1" x14ac:dyDescent="0.2">
      <c r="A27" s="5" t="str">
        <f>HYPERLINK("#'4.6.1.1-2 Methane'!A1", "4.6.1.1-2 Manure Methane")</f>
        <v>4.6.1.1-2 Manure Methane</v>
      </c>
      <c r="D27" s="15"/>
      <c r="E27" s="15"/>
      <c r="F27" s="15"/>
      <c r="G27" s="15"/>
      <c r="H27" s="15"/>
      <c r="I27" s="15" cm="1">
        <f t="array" ref="I27">Common_InputFunctions.Utility_LookupValueInTableTwoColumns(E27,F27,Table_SourceData_Scope3_Animals[Product],Table_SourceData_Scope3_Animals[Region of origin],Table_SourceData_Scope3_Animals[Emissions intensity], 0)</f>
        <v>0</v>
      </c>
      <c r="J27" s="251">
        <f>((G27 * H27 * I27) * 10 ^ -3)</f>
        <v>0</v>
      </c>
      <c r="K27" s="15"/>
      <c r="L27" s="74"/>
      <c r="M27" s="251">
        <f>((G27 * K27 * (IF(L27, L27, I27))) * 10 ^ -3)</f>
        <v>0</v>
      </c>
      <c r="N27" s="33"/>
      <c r="O27" s="13"/>
      <c r="P27" s="33"/>
    </row>
    <row r="28" spans="1:16" ht="20.100000000000001" customHeight="1" x14ac:dyDescent="0.2">
      <c r="A28" s="5" t="str">
        <f>HYPERLINK("#'4.6.1.3-4 Direct N20'!A1", "4.6.1.3-4 Manure Direct N2O")</f>
        <v>4.6.1.3-4 Manure Direct N2O</v>
      </c>
      <c r="D28" s="15"/>
      <c r="E28" s="15"/>
      <c r="F28" s="15"/>
      <c r="G28" s="15"/>
      <c r="H28" s="15"/>
      <c r="I28" s="15" cm="1">
        <f t="array" ref="I28">Common_InputFunctions.Utility_LookupValueInTableTwoColumns(E28,F28,Table_SourceData_Scope3_Animals[Product],Table_SourceData_Scope3_Animals[Region of origin],Table_SourceData_Scope3_Animals[Emissions intensity], 0)</f>
        <v>0</v>
      </c>
      <c r="J28" s="251">
        <f>((G28 * H28 * I28) * 10 ^ -3)</f>
        <v>0</v>
      </c>
      <c r="K28" s="15"/>
      <c r="L28" s="74"/>
      <c r="M28" s="251">
        <f>((G28 * K28 * (IF(L28, L28, I28))) * 10 ^ -3)</f>
        <v>0</v>
      </c>
      <c r="N28" s="33"/>
      <c r="O28" s="13"/>
      <c r="P28" s="33"/>
    </row>
    <row r="29" spans="1:16" ht="20.100000000000001" customHeight="1" x14ac:dyDescent="0.2">
      <c r="A29" s="5" t="str">
        <f>HYPERLINK("#'4.6.1.5-6 Atmos Dep'!A1", "4.6.1.5-6 Manure Atmos Dep")</f>
        <v>4.6.1.5-6 Manure Atmos Dep</v>
      </c>
      <c r="D29" s="15"/>
      <c r="E29" s="15"/>
      <c r="F29" s="15"/>
      <c r="G29" s="15"/>
      <c r="H29" s="15"/>
      <c r="I29" s="15" cm="1">
        <f t="array" ref="I29">Common_InputFunctions.Utility_LookupValueInTableTwoColumns(E29,F29,Table_SourceData_Scope3_Animals[Product],Table_SourceData_Scope3_Animals[Region of origin],Table_SourceData_Scope3_Animals[Emissions intensity], 0)</f>
        <v>0</v>
      </c>
      <c r="J29" s="251">
        <f>((G29 * H29 * I29) * 10 ^ -3)</f>
        <v>0</v>
      </c>
      <c r="K29" s="15"/>
      <c r="L29" s="74"/>
      <c r="M29" s="251">
        <f>((G29 * K29 * (IF(L29, L29, I29))) * 10 ^ -3)</f>
        <v>0</v>
      </c>
      <c r="N29" s="33"/>
      <c r="O29" s="13"/>
      <c r="P29" s="33"/>
    </row>
    <row r="30" spans="1:16" ht="20.100000000000001" customHeight="1" x14ac:dyDescent="0.2">
      <c r="A30" s="5" t="str">
        <f>HYPERLINK("#'4.6.1.7-8 Leaching and runoff'!A1", "4.6.1.7-8 Manure Leaching and runoff")</f>
        <v>4.6.1.7-8 Manure Leaching and runoff</v>
      </c>
      <c r="D30" s="15"/>
      <c r="E30" s="15"/>
      <c r="F30" s="15"/>
      <c r="G30" s="15"/>
      <c r="H30" s="15"/>
      <c r="I30" s="15" cm="1">
        <f t="array" ref="I30">Common_InputFunctions.Utility_LookupValueInTableTwoColumns(E30,F30,Table_SourceData_Scope3_Animals[Product],Table_SourceData_Scope3_Animals[Region of origin],Table_SourceData_Scope3_Animals[Emissions intensity], 0)</f>
        <v>0</v>
      </c>
      <c r="J30" s="251">
        <f>((G30 * H30 * I30) * 10 ^ -3)</f>
        <v>0</v>
      </c>
      <c r="K30" s="15"/>
      <c r="L30" s="74"/>
      <c r="M30" s="251">
        <f>((G30 * K30 * (IF(L30, L30, I30))) * 10 ^ -3)</f>
        <v>0</v>
      </c>
      <c r="N30" s="33"/>
      <c r="O30" s="13"/>
      <c r="P30" s="33"/>
    </row>
    <row r="31" spans="1:16" ht="20.100000000000001" customHeight="1" x14ac:dyDescent="0.2">
      <c r="A31" s="5" t="str">
        <f>HYPERLINK("#'4.6.1.9 Manure applied to soils'!A1", "4.6.1.9 Manure applied to soils")</f>
        <v>4.6.1.9 Manure applied to soils</v>
      </c>
      <c r="D31" s="15"/>
      <c r="E31" s="15"/>
      <c r="F31" s="15"/>
      <c r="G31" s="15"/>
      <c r="H31" s="15"/>
      <c r="I31" s="15" cm="1">
        <f t="array" ref="I31">Common_InputFunctions.Utility_LookupValueInTableTwoColumns(E31,F31,Table_SourceData_Scope3_Animals[Product],Table_SourceData_Scope3_Animals[Region of origin],Table_SourceData_Scope3_Animals[Emissions intensity], 0)</f>
        <v>0</v>
      </c>
      <c r="J31" s="251">
        <f>((G31 * H31 * I31) * 10 ^ -3)</f>
        <v>0</v>
      </c>
      <c r="K31" s="15"/>
      <c r="L31" s="74"/>
      <c r="M31" s="251">
        <f>((G31 * K31 * (IF(L31, L31, I31))) * 10 ^ -3)</f>
        <v>0</v>
      </c>
      <c r="N31" s="33"/>
      <c r="O31" s="13"/>
      <c r="P31" s="33"/>
    </row>
    <row r="32" spans="1:16" ht="20.100000000000001" customHeight="1" x14ac:dyDescent="0.2">
      <c r="A32" s="5" t="str">
        <f>HYPERLINK("#'4.6.1.10-11 Soil direct N2O'!A1", "4.6.1.10-11 Soil direct N2O")</f>
        <v>4.6.1.10-11 Soil direct N2O</v>
      </c>
      <c r="D32" s="15"/>
      <c r="E32" s="15"/>
      <c r="F32" s="15"/>
      <c r="G32" s="15"/>
      <c r="H32" s="15"/>
      <c r="I32" s="15" cm="1">
        <f t="array" ref="I32">Common_InputFunctions.Utility_LookupValueInTableTwoColumns(E32,F32,Table_SourceData_Scope3_Animals[Product],Table_SourceData_Scope3_Animals[Region of origin],Table_SourceData_Scope3_Animals[Emissions intensity], 0)</f>
        <v>0</v>
      </c>
      <c r="J32" s="251">
        <f>((G32 * H32 * I32) * 10 ^ -3)</f>
        <v>0</v>
      </c>
      <c r="K32" s="15"/>
      <c r="L32" s="74"/>
      <c r="M32" s="251">
        <f>((G32 * K32 * (IF(L32, L32, I32))) * 10 ^ -3)</f>
        <v>0</v>
      </c>
      <c r="N32" s="33"/>
      <c r="O32" s="13"/>
      <c r="P32" s="33"/>
    </row>
    <row r="33" spans="1:13" ht="20.100000000000001" customHeight="1" x14ac:dyDescent="0.2">
      <c r="A33" s="5" t="str">
        <f>HYPERLINK("#'4.6.1.12-13 Soil atmos dep'!A1", "4.6.1.12-13 Soil atmos dep")</f>
        <v>4.6.1.12-13 Soil atmos dep</v>
      </c>
    </row>
    <row r="34" spans="1:13" ht="20.100000000000001" customHeight="1" x14ac:dyDescent="0.2">
      <c r="A34" s="5" t="str">
        <f>HYPERLINK("#'4.6.1.14-15 Soil leach runoff'!A1", "4.6.1.14-15 Soil leach runoff")</f>
        <v>4.6.1.14-15 Soil leach runoff</v>
      </c>
      <c r="D34" s="88" t="s">
        <v>1050</v>
      </c>
      <c r="E34" s="83">
        <f>SUM(J23:J32)</f>
        <v>0</v>
      </c>
      <c r="F34" s="89" t="str">
        <f>$E$11</f>
        <v>t CO2e</v>
      </c>
    </row>
    <row r="35" spans="1:13" ht="20.100000000000001" customHeight="1" x14ac:dyDescent="0.2">
      <c r="A35" s="5" t="str">
        <f>HYPERLINK("#'8.1.1.1-2 Transport fuel'!A1", "8.1.1.1-2 Transport fuel")</f>
        <v>8.1.1.1-2 Transport fuel</v>
      </c>
      <c r="D35" s="88" t="s">
        <v>1051</v>
      </c>
      <c r="E35" s="83">
        <f>SUM(M23:M32)</f>
        <v>0</v>
      </c>
      <c r="F35" s="89" t="str">
        <f>$E$11</f>
        <v>t CO2e</v>
      </c>
    </row>
    <row r="36" spans="1:13" ht="20.100000000000001" customHeight="1" x14ac:dyDescent="0.2">
      <c r="A36" s="5" t="str">
        <f>HYPERLINK("#'8.2.1.1-2 Stationary fuel'!A1", "8.2.1.1-2 Stationary fuel")</f>
        <v>8.2.1.1-2 Stationary fuel</v>
      </c>
    </row>
    <row r="37" spans="1:13" ht="20.100000000000001" customHeight="1" x14ac:dyDescent="0.2">
      <c r="A37" s="5" t="str">
        <f>HYPERLINK("#'10.1.1-2 Solid waste treatment'!A1", "10.1.1.1-2 Solid waste")</f>
        <v>10.1.1.1-2 Solid waste</v>
      </c>
    </row>
    <row r="38" spans="1:13" ht="20.100000000000001" customHeight="1" x14ac:dyDescent="0.2">
      <c r="A38" s="5" t="str">
        <f>HYPERLINK("#'14.1.1-2 Purchased electricity'!A1", "14.1.1-2 Purchased electricity")</f>
        <v>14.1.1-2 Purchased electricity</v>
      </c>
      <c r="D38" s="244" t="s">
        <v>1052</v>
      </c>
    </row>
    <row r="39" spans="1:13" ht="20.100000000000001" customHeight="1" x14ac:dyDescent="0.2">
      <c r="A39" s="117" t="str">
        <f>HYPERLINK("#'15 Scope 3'!A1", "15 Scope 3")</f>
        <v>15 Scope 3</v>
      </c>
      <c r="D39" s="113" t="s">
        <v>1053</v>
      </c>
      <c r="E39" s="15" cm="1">
        <f t="array" ref="E39">Common_InputFunctions.Utility_LookupValueInTableNumber("Dairy cows", Table_SourceData_Scope3_Animals[Product],Table_SourceData_Scope3_Animals[Emissions intensity])</f>
        <v>4.41</v>
      </c>
    </row>
    <row r="40" spans="1:13" ht="20.100000000000001" customHeight="1" x14ac:dyDescent="0.2">
      <c r="A40" s="5" t="str">
        <f>HYPERLINK("#'Calcs - Manure sent off-site'!A1", "Calcs - Manure sent off-site")</f>
        <v>Calcs - Manure sent off-site</v>
      </c>
    </row>
    <row r="41" spans="1:13" ht="20.100000000000001" customHeight="1" x14ac:dyDescent="0.2">
      <c r="A41" s="5" t="str">
        <f>HYPERLINK("#'5.1.1.1-2 Inorganic fert N2O'!A1", "5.1.1.1-2 Inorganic fert N2O")</f>
        <v>5.1.1.1-2 Inorganic fert N2O</v>
      </c>
      <c r="D41" s="78" t="s">
        <v>1034</v>
      </c>
      <c r="E41" s="250" t="s">
        <v>1037</v>
      </c>
      <c r="F41" s="250" t="s">
        <v>1038</v>
      </c>
      <c r="G41" s="120" t="s">
        <v>1040</v>
      </c>
      <c r="H41" s="250" t="s">
        <v>1041</v>
      </c>
      <c r="I41" s="78" t="s">
        <v>1042</v>
      </c>
      <c r="J41" s="120" t="s">
        <v>1043</v>
      </c>
      <c r="K41" s="78" t="s">
        <v>1044</v>
      </c>
      <c r="L41" s="78" t="s">
        <v>1045</v>
      </c>
      <c r="M41" s="78" t="s">
        <v>1046</v>
      </c>
    </row>
    <row r="42" spans="1:13" ht="20.100000000000001" customHeight="1" x14ac:dyDescent="0.2">
      <c r="A42" s="5" t="str">
        <f>HYPERLINK("#'5.1.1.3-4 Inorganic fert CO2'!A1", "5.1.1.3-4 Inorganic fert CO2")</f>
        <v>5.1.1.3-4 Inorganic fert CO2</v>
      </c>
      <c r="D42" s="15"/>
      <c r="E42" s="15"/>
      <c r="F42" s="15"/>
      <c r="G42" s="251">
        <f>((E42 * F42 * $E$39) * 10 ^ -3)</f>
        <v>0</v>
      </c>
      <c r="H42" s="15"/>
      <c r="I42" s="74">
        <v>4</v>
      </c>
      <c r="J42" s="251">
        <f>((E42 * H42 * (IF(I42,I42,$E$39))) * 10 ^ -3)</f>
        <v>0</v>
      </c>
      <c r="K42" s="33" t="s">
        <v>1047</v>
      </c>
      <c r="L42" s="13" t="s">
        <v>1048</v>
      </c>
      <c r="M42" t="s">
        <v>1049</v>
      </c>
    </row>
    <row r="43" spans="1:13" ht="20.100000000000001" customHeight="1" x14ac:dyDescent="0.2">
      <c r="A43" s="5" t="str">
        <f>HYPERLINK("#'5.2.1.1-2 Organic Fert N2O'!A1", "5.2.1.1-2 Organic Fert N2O")</f>
        <v>5.2.1.1-2 Organic Fert N2O</v>
      </c>
      <c r="D43" s="15"/>
      <c r="E43" s="15"/>
      <c r="F43" s="15"/>
      <c r="G43" s="251">
        <f>((E43 * F43 * $E$39) * 10 ^ -3)</f>
        <v>0</v>
      </c>
      <c r="H43" s="15"/>
      <c r="I43" s="74"/>
      <c r="J43" s="251">
        <f>((E43 * H43 * (IF(I43,I43,$E$39))) * 10 ^ -3)</f>
        <v>0</v>
      </c>
      <c r="K43" s="33"/>
      <c r="L43" s="13"/>
      <c r="M43" s="33"/>
    </row>
    <row r="44" spans="1:13" ht="20.100000000000001" customHeight="1" x14ac:dyDescent="0.2">
      <c r="A44" s="5" t="str">
        <f>HYPERLINK("#'5.3.1.1-2 Lime CO2'!A1", "5.3.1.1-2 Lime CO2")</f>
        <v>5.3.1.1-2 Lime CO2</v>
      </c>
      <c r="D44" s="15"/>
      <c r="E44" s="15"/>
      <c r="F44" s="15"/>
      <c r="G44" s="251">
        <f>((E44 * F44 * $E$39) * 10 ^ -3)</f>
        <v>0</v>
      </c>
      <c r="H44" s="15"/>
      <c r="I44" s="74"/>
      <c r="J44" s="251">
        <f>((E44 * H44 * (IF(I44,I44,$E$39))) * 10 ^ -3)</f>
        <v>0</v>
      </c>
      <c r="K44" s="33"/>
      <c r="L44" s="13"/>
      <c r="M44" s="33"/>
    </row>
    <row r="45" spans="1:13" ht="20.100000000000001" customHeight="1" x14ac:dyDescent="0.2">
      <c r="A45" s="5" t="str">
        <f>HYPERLINK("#'5.4.1.1-4 Atmos deposition'!A1", "5.4.1.1-4 Atmos deposition")</f>
        <v>5.4.1.1-4 Atmos deposition</v>
      </c>
      <c r="D45" s="15"/>
      <c r="E45" s="15"/>
      <c r="F45" s="15"/>
      <c r="G45" s="251">
        <f>((E45 * F45 * $E$39) * 10 ^ -3)</f>
        <v>0</v>
      </c>
      <c r="H45" s="15"/>
      <c r="I45" s="74"/>
      <c r="J45" s="251">
        <f>((E45 * H45 * (IF(I45,I45,$E$39))) * 10 ^ -3)</f>
        <v>0</v>
      </c>
      <c r="K45" s="33"/>
      <c r="L45" s="13"/>
      <c r="M45" s="33"/>
    </row>
    <row r="46" spans="1:13" ht="20.100000000000001" customHeight="1" x14ac:dyDescent="0.2">
      <c r="A46" s="5" t="str">
        <f>HYPERLINK("#'5.5.1.1-2 Leaching and runoff'!A1", "5.5.1.1-2 Leaching and runoff")</f>
        <v>5.5.1.1-2 Leaching and runoff</v>
      </c>
      <c r="D46" s="15"/>
      <c r="E46" s="15"/>
      <c r="F46" s="15"/>
      <c r="G46" s="251">
        <f>((E46 * F46 * $E$39) * 10 ^ -3)</f>
        <v>0</v>
      </c>
      <c r="H46" s="15"/>
      <c r="I46" s="74"/>
      <c r="J46" s="251">
        <f>((E46 * H46 * (IF(I46,I46,$E$39))) * 10 ^ -3)</f>
        <v>0</v>
      </c>
      <c r="K46" s="33"/>
      <c r="L46" s="13"/>
      <c r="M46" s="33"/>
    </row>
    <row r="47" spans="1:13" ht="20.100000000000001" customHeight="1" x14ac:dyDescent="0.2">
      <c r="D47" s="15"/>
      <c r="E47" s="15"/>
      <c r="F47" s="15"/>
      <c r="G47" s="251">
        <f>((E47 * F47 * $E$39) * 10 ^ -3)</f>
        <v>0</v>
      </c>
      <c r="H47" s="15"/>
      <c r="I47" s="74"/>
      <c r="J47" s="251">
        <f>((E47 * H47 * (IF(I47,I47,$E$39))) * 10 ^ -3)</f>
        <v>0</v>
      </c>
      <c r="K47" s="33"/>
      <c r="L47" s="13"/>
      <c r="M47" s="33"/>
    </row>
    <row r="48" spans="1:13" ht="20.100000000000001" customHeight="1" x14ac:dyDescent="0.2">
      <c r="D48" s="15"/>
      <c r="E48" s="15"/>
      <c r="F48" s="15"/>
      <c r="G48" s="251">
        <f>((E48 * F48 * $E$39) * 10 ^ -3)</f>
        <v>0</v>
      </c>
      <c r="H48" s="15"/>
      <c r="I48" s="74"/>
      <c r="J48" s="251">
        <f>((E48 * H48 * (IF(I48,I48,$E$39))) * 10 ^ -3)</f>
        <v>0</v>
      </c>
      <c r="K48" s="33"/>
      <c r="L48" s="13"/>
      <c r="M48" s="33"/>
    </row>
    <row r="49" spans="1:13" ht="20.100000000000001" customHeight="1" x14ac:dyDescent="0.2">
      <c r="A49" s="80" t="s">
        <v>1</v>
      </c>
      <c r="D49" s="15"/>
      <c r="E49" s="15"/>
      <c r="F49" s="15"/>
      <c r="G49" s="251">
        <f>((E49 * F49 * $E$39) * 10 ^ -3)</f>
        <v>0</v>
      </c>
      <c r="H49" s="15"/>
      <c r="I49" s="74"/>
      <c r="J49" s="251">
        <f>((E49 * H49 * (IF(I49,I49,$E$39))) * 10 ^ -3)</f>
        <v>0</v>
      </c>
      <c r="K49" s="33"/>
      <c r="L49" s="13"/>
      <c r="M49" s="33"/>
    </row>
    <row r="50" spans="1:13" ht="20.100000000000001" customHeight="1" x14ac:dyDescent="0.2">
      <c r="A50" s="5" t="str">
        <f>HYPERLINK("#'Constants - Poultry'!A1", "Constants - Poultry")</f>
        <v>Constants - Poultry</v>
      </c>
      <c r="D50" s="15"/>
      <c r="E50" s="15"/>
      <c r="F50" s="15"/>
      <c r="G50" s="251">
        <f>((E50 * F50 * $E$39) * 10 ^ -3)</f>
        <v>0</v>
      </c>
      <c r="H50" s="15"/>
      <c r="I50" s="74"/>
      <c r="J50" s="251">
        <f>((E50 * H50 * (IF(I50,I50,$E$39))) * 10 ^ -3)</f>
        <v>0</v>
      </c>
      <c r="K50" s="33"/>
      <c r="L50" s="13"/>
      <c r="M50" s="33"/>
    </row>
    <row r="51" spans="1:13" ht="20.100000000000001" customHeight="1" x14ac:dyDescent="0.2">
      <c r="A51" s="5" t="str">
        <f>HYPERLINK("#'Constants - Common livestock'!A1", "Constants - Common Livestock")</f>
        <v>Constants - Common Livestock</v>
      </c>
      <c r="D51" s="15"/>
      <c r="E51" s="15"/>
      <c r="F51" s="15"/>
      <c r="G51" s="251">
        <f>((E51 * F51 * $E$39) * 10 ^ -3)</f>
        <v>0</v>
      </c>
      <c r="H51" s="15"/>
      <c r="I51" s="74"/>
      <c r="J51" s="251">
        <f>((E51 * H51 * (IF(I51,I51,$E$39))) * 10 ^ -3)</f>
        <v>0</v>
      </c>
      <c r="K51" s="33"/>
      <c r="L51" s="13"/>
      <c r="M51" s="33"/>
    </row>
    <row r="52" spans="1:13" ht="20.100000000000001" customHeight="1" x14ac:dyDescent="0.2">
      <c r="A52" s="5" t="str">
        <f>HYPERLINK("#'Constants - Electricity'!A1", "Constants - Electricity")</f>
        <v>Constants - Electricity</v>
      </c>
    </row>
    <row r="53" spans="1:13" ht="20.100000000000001" customHeight="1" x14ac:dyDescent="0.2">
      <c r="A53" s="5" t="str">
        <f>HYPERLINK("#'Constants - Fertiliser'!A1", "Constants - Fertiliser")</f>
        <v>Constants - Fertiliser</v>
      </c>
      <c r="D53" s="88" t="s">
        <v>1054</v>
      </c>
      <c r="E53" s="83">
        <f>SUM(G42:G51)</f>
        <v>0</v>
      </c>
      <c r="F53" s="89" t="str">
        <f>$E$11</f>
        <v>t CO2e</v>
      </c>
    </row>
    <row r="54" spans="1:13" ht="20.100000000000001" customHeight="1" x14ac:dyDescent="0.2">
      <c r="A54" s="5" t="str">
        <f>HYPERLINK("#'Constants - Fuel'!A1", "Constants - Fuel")</f>
        <v>Constants - Fuel</v>
      </c>
      <c r="D54" s="88" t="s">
        <v>1055</v>
      </c>
      <c r="E54" s="83">
        <f>SUM(J42:J51)</f>
        <v>0</v>
      </c>
      <c r="F54" s="89" t="str">
        <f>$E$11</f>
        <v>t CO2e</v>
      </c>
    </row>
    <row r="55" spans="1:13" ht="20.100000000000001" customHeight="1" x14ac:dyDescent="0.2">
      <c r="A55" s="5" t="str">
        <f>HYPERLINK("#'Constants - Scope 3'!A1", "Constants - Scope 3")</f>
        <v>Constants - Scope 3</v>
      </c>
    </row>
    <row r="56" spans="1:13" ht="20.100000000000001" customHeight="1" x14ac:dyDescent="0.2">
      <c r="A56" s="5" t="str">
        <f>HYPERLINK("#'Constants - Solid Waste'!A1", "Constants - Solid Waste")</f>
        <v>Constants - Solid Waste</v>
      </c>
    </row>
    <row r="57" spans="1:13" ht="20.100000000000001" customHeight="1" x14ac:dyDescent="0.2">
      <c r="A57" s="5" t="str">
        <f>HYPERLINK("#'Constants - Common'!A1", "Constants - Common")</f>
        <v>Constants - Common</v>
      </c>
      <c r="D57" s="244" t="s">
        <v>1056</v>
      </c>
    </row>
    <row r="58" spans="1:13" ht="20.100000000000001" customHeight="1" x14ac:dyDescent="0.2">
      <c r="D58" s="113" t="s">
        <v>1053</v>
      </c>
      <c r="E58" s="15" cm="1">
        <f t="array" ref="E58">Common_InputFunctions.Utility_LookupValueInTableNumber("Pigs", Table_SourceData_Scope3_Animals[Product],Table_SourceData_Scope3_Animals[Emissions intensity])</f>
        <v>3.38</v>
      </c>
    </row>
    <row r="60" spans="1:13" ht="20.100000000000001" customHeight="1" x14ac:dyDescent="0.2">
      <c r="D60" s="78" t="s">
        <v>1034</v>
      </c>
      <c r="E60" s="250" t="s">
        <v>1037</v>
      </c>
      <c r="F60" s="250" t="s">
        <v>1038</v>
      </c>
      <c r="G60" s="120" t="s">
        <v>1040</v>
      </c>
      <c r="H60" s="250" t="s">
        <v>1041</v>
      </c>
      <c r="I60" s="78" t="s">
        <v>1042</v>
      </c>
      <c r="J60" s="120" t="s">
        <v>1043</v>
      </c>
      <c r="K60" s="78" t="s">
        <v>1044</v>
      </c>
      <c r="L60" s="78" t="s">
        <v>1045</v>
      </c>
      <c r="M60" s="78" t="s">
        <v>1046</v>
      </c>
    </row>
    <row r="61" spans="1:13" ht="20.100000000000001" customHeight="1" x14ac:dyDescent="0.2">
      <c r="D61" s="15"/>
      <c r="E61" s="15"/>
      <c r="F61" s="15"/>
      <c r="G61" s="251">
        <f>((E61 * F61 * $E$58) * 10 ^ -3)</f>
        <v>0</v>
      </c>
      <c r="H61" s="15"/>
      <c r="I61" s="74">
        <v>3.38</v>
      </c>
      <c r="J61" s="251">
        <f>((E61 * H61 * (IF(I61, I61,$E$58))) * 10 ^ -3)</f>
        <v>0</v>
      </c>
      <c r="K61" s="33"/>
      <c r="L61" s="13"/>
      <c r="M61"/>
    </row>
    <row r="62" spans="1:13" ht="20.100000000000001" customHeight="1" x14ac:dyDescent="0.2">
      <c r="D62" s="15"/>
      <c r="E62" s="15"/>
      <c r="F62" s="15"/>
      <c r="G62" s="251">
        <f>((E62 * F62 * $E$58) * 10 ^ -3)</f>
        <v>0</v>
      </c>
      <c r="H62" s="15"/>
      <c r="I62" s="74">
        <v>3.3</v>
      </c>
      <c r="J62" s="251">
        <f>((E62 * H62 * (IF(I62, I62,$E$58))) * 10 ^ -3)</f>
        <v>0</v>
      </c>
      <c r="K62" s="33"/>
      <c r="L62" s="13"/>
      <c r="M62" s="33"/>
    </row>
    <row r="63" spans="1:13" ht="20.100000000000001" customHeight="1" x14ac:dyDescent="0.2">
      <c r="D63" s="15"/>
      <c r="E63" s="15"/>
      <c r="F63" s="15"/>
      <c r="G63" s="251">
        <f>((E63 * F63 * $E$58) * 10 ^ -3)</f>
        <v>0</v>
      </c>
      <c r="H63" s="15"/>
      <c r="I63" s="74"/>
      <c r="J63" s="251">
        <f>((E63 * H63 * (IF(I63, I63,$E$58))) * 10 ^ -3)</f>
        <v>0</v>
      </c>
      <c r="K63" s="33"/>
      <c r="L63" s="13"/>
      <c r="M63" s="33"/>
    </row>
    <row r="64" spans="1:13" ht="20.100000000000001" customHeight="1" x14ac:dyDescent="0.2">
      <c r="D64" s="15"/>
      <c r="E64" s="15"/>
      <c r="F64" s="15"/>
      <c r="G64" s="251">
        <f>((E64 * F64 * $E$58) * 10 ^ -3)</f>
        <v>0</v>
      </c>
      <c r="H64" s="15"/>
      <c r="I64" s="74"/>
      <c r="J64" s="251">
        <f>((E64 * H64 * (IF(I64, I64,$E$58))) * 10 ^ -3)</f>
        <v>0</v>
      </c>
      <c r="K64" s="33"/>
      <c r="L64" s="13"/>
      <c r="M64" s="33"/>
    </row>
    <row r="65" spans="1:13" ht="20.100000000000001" customHeight="1" x14ac:dyDescent="0.2">
      <c r="D65" s="15"/>
      <c r="E65" s="15"/>
      <c r="F65" s="15"/>
      <c r="G65" s="251">
        <f>((E65 * F65 * $E$58) * 10 ^ -3)</f>
        <v>0</v>
      </c>
      <c r="H65" s="15"/>
      <c r="I65" s="74"/>
      <c r="J65" s="251">
        <f>((E65 * H65 * (IF(I65, I65,$E$58))) * 10 ^ -3)</f>
        <v>0</v>
      </c>
      <c r="K65" s="33"/>
      <c r="L65" s="13"/>
      <c r="M65" s="33"/>
    </row>
    <row r="66" spans="1:13" ht="20.100000000000001" customHeight="1" x14ac:dyDescent="0.2">
      <c r="D66" s="15"/>
      <c r="E66" s="15"/>
      <c r="F66" s="15"/>
      <c r="G66" s="251">
        <f>((E66 * F66 * $E$58) * 10 ^ -3)</f>
        <v>0</v>
      </c>
      <c r="H66" s="15"/>
      <c r="I66" s="74"/>
      <c r="J66" s="251">
        <f>((E66 * H66 * (IF(I66, I66,$E$58))) * 10 ^ -3)</f>
        <v>0</v>
      </c>
      <c r="K66" s="33"/>
      <c r="L66" s="13"/>
      <c r="M66" s="33"/>
    </row>
    <row r="67" spans="1:13" ht="20.100000000000001" customHeight="1" x14ac:dyDescent="0.2">
      <c r="D67" s="15"/>
      <c r="E67" s="15"/>
      <c r="F67" s="15"/>
      <c r="G67" s="251">
        <f>((E67 * F67 * $E$58) * 10 ^ -3)</f>
        <v>0</v>
      </c>
      <c r="H67" s="15"/>
      <c r="I67" s="74"/>
      <c r="J67" s="251">
        <f>((E67 * H67 * (IF(I67, I67,$E$58))) * 10 ^ -3)</f>
        <v>0</v>
      </c>
      <c r="K67" s="33"/>
      <c r="L67" s="13"/>
      <c r="M67" s="33"/>
    </row>
    <row r="68" spans="1:13" ht="20.100000000000001" customHeight="1" x14ac:dyDescent="0.2">
      <c r="A68" s="79" t="str">
        <f>HYPERLINK("#A1", "▲ Back to top")</f>
        <v>▲ Back to top</v>
      </c>
      <c r="D68" s="15"/>
      <c r="E68" s="15"/>
      <c r="F68" s="15"/>
      <c r="G68" s="251">
        <f>((E68 * F68 * $E$58) * 10 ^ -3)</f>
        <v>0</v>
      </c>
      <c r="H68" s="15"/>
      <c r="I68" s="74"/>
      <c r="J68" s="251">
        <f>((E68 * H68 * (IF(I68, I68,$E$58))) * 10 ^ -3)</f>
        <v>0</v>
      </c>
      <c r="K68" s="33"/>
      <c r="L68" s="13"/>
      <c r="M68" s="33"/>
    </row>
    <row r="69" spans="1:13" ht="20.100000000000001" customHeight="1" x14ac:dyDescent="0.2">
      <c r="D69" s="15"/>
      <c r="E69" s="15"/>
      <c r="F69" s="15"/>
      <c r="G69" s="251">
        <f>((E69 * F69 * $E$58) * 10 ^ -3)</f>
        <v>0</v>
      </c>
      <c r="H69" s="15"/>
      <c r="I69" s="74"/>
      <c r="J69" s="251">
        <f>((E69 * H69 * (IF(I69, I69,$E$58))) * 10 ^ -3)</f>
        <v>0</v>
      </c>
      <c r="K69" s="33"/>
      <c r="L69" s="13"/>
      <c r="M69" s="33"/>
    </row>
    <row r="70" spans="1:13" ht="20.100000000000001" customHeight="1" x14ac:dyDescent="0.2">
      <c r="D70" s="15"/>
      <c r="E70" s="15"/>
      <c r="F70" s="15"/>
      <c r="G70" s="251">
        <f>((E70 * F70 * $E$58) * 10 ^ -3)</f>
        <v>0</v>
      </c>
      <c r="H70" s="15"/>
      <c r="I70" s="74"/>
      <c r="J70" s="251">
        <f>((E70 * H70 * (IF(I70, I70,$E$58))) * 10 ^ -3)</f>
        <v>0</v>
      </c>
      <c r="K70" s="33"/>
      <c r="L70" s="13"/>
      <c r="M70" s="33"/>
    </row>
    <row r="72" spans="1:13" ht="20.100000000000001" customHeight="1" x14ac:dyDescent="0.2">
      <c r="D72" s="88" t="s">
        <v>1057</v>
      </c>
      <c r="E72" s="83">
        <f>SUM(G61:G70)</f>
        <v>0</v>
      </c>
      <c r="F72" s="89" t="str">
        <f>$E$11</f>
        <v>t CO2e</v>
      </c>
    </row>
    <row r="73" spans="1:13" ht="20.100000000000001" customHeight="1" x14ac:dyDescent="0.2">
      <c r="D73" s="88" t="s">
        <v>1058</v>
      </c>
      <c r="E73" s="83">
        <f>SUM(J61:J70)</f>
        <v>0</v>
      </c>
      <c r="F73" s="89" t="str">
        <f>$E$11</f>
        <v>t CO2e</v>
      </c>
    </row>
    <row r="75" spans="1:13" ht="20.100000000000001" customHeight="1" x14ac:dyDescent="0.2">
      <c r="D75" s="244" t="s">
        <v>1059</v>
      </c>
    </row>
    <row r="76" spans="1:13" ht="20.100000000000001" customHeight="1" x14ac:dyDescent="0.2">
      <c r="D76" s="113" t="s">
        <v>1053</v>
      </c>
      <c r="E76" s="15" cm="1">
        <f t="array" ref="E76">Common_InputFunctions.Utility_LookupValueInTableNumber("Chickens", Table_SourceData_Scope3_Animals[Product],Table_SourceData_Scope3_Animals[Emissions intensity])</f>
        <v>1.36</v>
      </c>
    </row>
    <row r="78" spans="1:13" ht="20.100000000000001" customHeight="1" x14ac:dyDescent="0.2">
      <c r="D78" s="78" t="s">
        <v>1034</v>
      </c>
      <c r="E78" s="250" t="s">
        <v>1037</v>
      </c>
      <c r="F78" s="250" t="s">
        <v>1038</v>
      </c>
      <c r="G78" s="120" t="s">
        <v>1040</v>
      </c>
      <c r="H78" s="250" t="s">
        <v>1041</v>
      </c>
      <c r="I78" s="78" t="s">
        <v>1042</v>
      </c>
      <c r="J78" s="120" t="s">
        <v>1043</v>
      </c>
      <c r="K78" s="78" t="s">
        <v>1044</v>
      </c>
      <c r="L78" s="78" t="s">
        <v>1045</v>
      </c>
      <c r="M78" s="78" t="s">
        <v>1046</v>
      </c>
    </row>
    <row r="79" spans="1:13" ht="20.100000000000001" customHeight="1" x14ac:dyDescent="0.2">
      <c r="D79" s="15" t="str" cm="1">
        <f t="array" ref="D79:D88">IFERROR(INDEX(Table_Input_LivestockPurchases_Poultry[Transaction name], _xlfn.SEQUENCE(10)), "")</f>
        <v>Chooks from Carolyn</v>
      </c>
      <c r="E79" s="15" cm="1">
        <f t="array" ref="E79:E88">IFERROR(INDEX(Table_Input_LivestockPurchases_Poultry[Quantity (head)], _xlfn.SEQUENCE(10)), "")</f>
        <v>100</v>
      </c>
      <c r="F79" s="15" cm="1">
        <f t="array" ref="F79:F88">IFERROR(INDEX(Table_Input_LivestockPurchases_Poultry[Liveweight (kg/head) Method 1], _xlfn.SEQUENCE(10)), "")</f>
        <v>1.3</v>
      </c>
      <c r="G79" s="251">
        <f>((E79 * F79 * $E$76) * 10 ^ -3)</f>
        <v>0.17680000000000001</v>
      </c>
      <c r="H79" s="15" cm="1">
        <f t="array" ref="H79:H88">IFERROR(INDEX(Table_Input_LivestockPurchases_Poultry[Liveweight (kg/head) Method 2], _xlfn.SEQUENCE(10)), "")</f>
        <v>1.3</v>
      </c>
      <c r="I79" s="74">
        <v>1.3</v>
      </c>
      <c r="J79" s="251">
        <f>((E79 * H79 * (IF(I79, I79,$E$76))) * 10 ^ -3)</f>
        <v>0.16900000000000001</v>
      </c>
      <c r="K79" s="33"/>
      <c r="L79" s="13"/>
      <c r="M79"/>
    </row>
    <row r="80" spans="1:13" ht="20.100000000000001" customHeight="1" x14ac:dyDescent="0.2">
      <c r="D80" s="15" t="str">
        <v>Roosters from Raj</v>
      </c>
      <c r="E80" s="15">
        <v>100</v>
      </c>
      <c r="F80" s="15">
        <v>1.4</v>
      </c>
      <c r="G80" s="251">
        <f>((E80 * F80 * $E$76) * 10 ^ -3)</f>
        <v>0.19040000000000001</v>
      </c>
      <c r="H80" s="15">
        <v>1.4</v>
      </c>
      <c r="I80" s="74"/>
      <c r="J80" s="251">
        <f>((E80 * H80 * (IF(I80, I80,$E$76))) * 10 ^ -3)</f>
        <v>0.19040000000000001</v>
      </c>
      <c r="K80" s="33"/>
      <c r="L80" s="13"/>
      <c r="M80" s="33"/>
    </row>
    <row r="81" spans="4:13" ht="20.100000000000001" customHeight="1" x14ac:dyDescent="0.2">
      <c r="D81" s="15">
        <v>0</v>
      </c>
      <c r="E81" s="15">
        <v>0</v>
      </c>
      <c r="F81" s="15">
        <v>0</v>
      </c>
      <c r="G81" s="251">
        <f>((E81 * F81 * $E$76) * 10 ^ -3)</f>
        <v>0</v>
      </c>
      <c r="H81" s="15">
        <v>0</v>
      </c>
      <c r="I81" s="74"/>
      <c r="J81" s="251">
        <f>((E81 * H81 * (IF(I81, I81,$E$76))) * 10 ^ -3)</f>
        <v>0</v>
      </c>
      <c r="K81" s="33"/>
      <c r="L81" s="13"/>
      <c r="M81" s="33"/>
    </row>
    <row r="82" spans="4:13" ht="20.100000000000001" customHeight="1" x14ac:dyDescent="0.2">
      <c r="D82" s="15">
        <v>0</v>
      </c>
      <c r="E82" s="15">
        <v>0</v>
      </c>
      <c r="F82" s="15">
        <v>0</v>
      </c>
      <c r="G82" s="251">
        <f>((E82 * F82 * $E$76) * 10 ^ -3)</f>
        <v>0</v>
      </c>
      <c r="H82" s="15">
        <v>0</v>
      </c>
      <c r="I82" s="74"/>
      <c r="J82" s="251">
        <f>((E82 * H82 * (IF(I82, I82,$E$76))) * 10 ^ -3)</f>
        <v>0</v>
      </c>
      <c r="K82" s="33"/>
      <c r="L82" s="13"/>
      <c r="M82" s="33"/>
    </row>
    <row r="83" spans="4:13" ht="20.100000000000001" customHeight="1" x14ac:dyDescent="0.2">
      <c r="D83" s="15">
        <v>0</v>
      </c>
      <c r="E83" s="15">
        <v>0</v>
      </c>
      <c r="F83" s="15">
        <v>0</v>
      </c>
      <c r="G83" s="251">
        <f>((E83 * F83 * $E$76) * 10 ^ -3)</f>
        <v>0</v>
      </c>
      <c r="H83" s="15">
        <v>0</v>
      </c>
      <c r="I83" s="74"/>
      <c r="J83" s="251">
        <f>((E83 * H83 * (IF(I83, I83,$E$76))) * 10 ^ -3)</f>
        <v>0</v>
      </c>
      <c r="K83" s="33"/>
      <c r="L83" s="13"/>
      <c r="M83" s="33"/>
    </row>
    <row r="84" spans="4:13" ht="20.100000000000001" customHeight="1" x14ac:dyDescent="0.2">
      <c r="D84" s="15">
        <v>0</v>
      </c>
      <c r="E84" s="15">
        <v>0</v>
      </c>
      <c r="F84" s="15">
        <v>0</v>
      </c>
      <c r="G84" s="251">
        <f>((E84 * F84 * $E$76) * 10 ^ -3)</f>
        <v>0</v>
      </c>
      <c r="H84" s="15">
        <v>0</v>
      </c>
      <c r="I84" s="74"/>
      <c r="J84" s="251">
        <f>((E84 * H84 * (IF(I84, I84,$E$76))) * 10 ^ -3)</f>
        <v>0</v>
      </c>
      <c r="K84" s="33"/>
      <c r="L84" s="13"/>
      <c r="M84" s="33"/>
    </row>
    <row r="85" spans="4:13" ht="20.100000000000001" customHeight="1" x14ac:dyDescent="0.2">
      <c r="D85" s="15">
        <v>0</v>
      </c>
      <c r="E85" s="15">
        <v>0</v>
      </c>
      <c r="F85" s="15">
        <v>0</v>
      </c>
      <c r="G85" s="251">
        <f>((E85 * F85 * $E$76) * 10 ^ -3)</f>
        <v>0</v>
      </c>
      <c r="H85" s="15">
        <v>0</v>
      </c>
      <c r="I85" s="74"/>
      <c r="J85" s="251">
        <f>((E85 * H85 * (IF(I85, I85,$E$76))) * 10 ^ -3)</f>
        <v>0</v>
      </c>
      <c r="K85" s="33"/>
      <c r="L85" s="13"/>
      <c r="M85" s="33"/>
    </row>
    <row r="86" spans="4:13" ht="20.100000000000001" customHeight="1" x14ac:dyDescent="0.2">
      <c r="D86" s="15">
        <v>0</v>
      </c>
      <c r="E86" s="15">
        <v>0</v>
      </c>
      <c r="F86" s="15">
        <v>0</v>
      </c>
      <c r="G86" s="251">
        <f>((E86 * F86 * $E$76) * 10 ^ -3)</f>
        <v>0</v>
      </c>
      <c r="H86" s="15">
        <v>0</v>
      </c>
      <c r="I86" s="74"/>
      <c r="J86" s="251">
        <f>((E86 * H86 * (IF(I86, I86,$E$76))) * 10 ^ -3)</f>
        <v>0</v>
      </c>
      <c r="K86" s="33"/>
      <c r="L86" s="13"/>
      <c r="M86" s="33"/>
    </row>
    <row r="87" spans="4:13" ht="20.100000000000001" customHeight="1" x14ac:dyDescent="0.2">
      <c r="D87" s="15">
        <v>0</v>
      </c>
      <c r="E87" s="15">
        <v>0</v>
      </c>
      <c r="F87" s="15">
        <v>0</v>
      </c>
      <c r="G87" s="251">
        <f>((E87 * F87 * $E$76) * 10 ^ -3)</f>
        <v>0</v>
      </c>
      <c r="H87" s="15">
        <v>0</v>
      </c>
      <c r="I87" s="74"/>
      <c r="J87" s="251">
        <f>((E87 * H87 * (IF(I87, I87,$E$76))) * 10 ^ -3)</f>
        <v>0</v>
      </c>
      <c r="K87" s="33"/>
      <c r="L87" s="13"/>
      <c r="M87" s="33"/>
    </row>
    <row r="88" spans="4:13" ht="20.100000000000001" customHeight="1" x14ac:dyDescent="0.2">
      <c r="D88" s="15">
        <v>0</v>
      </c>
      <c r="E88" s="15">
        <v>0</v>
      </c>
      <c r="F88" s="15">
        <v>0</v>
      </c>
      <c r="G88" s="251">
        <f>((E88 * F88 * $E$76) * 10 ^ -3)</f>
        <v>0</v>
      </c>
      <c r="H88" s="15">
        <v>0</v>
      </c>
      <c r="I88" s="74"/>
      <c r="J88" s="251">
        <f>((E88 * H88 * (IF(I88, I88,$E$76))) * 10 ^ -3)</f>
        <v>0</v>
      </c>
      <c r="K88" s="33"/>
      <c r="L88" s="13"/>
      <c r="M88" s="33"/>
    </row>
    <row r="90" spans="4:13" ht="20.100000000000001" customHeight="1" x14ac:dyDescent="0.2">
      <c r="D90" s="88" t="s">
        <v>1060</v>
      </c>
      <c r="E90" s="83">
        <f>SUM(G79:G88)</f>
        <v>0.36720000000000003</v>
      </c>
      <c r="F90" s="89" t="str">
        <f>$E$11</f>
        <v>t CO2e</v>
      </c>
    </row>
    <row r="91" spans="4:13" ht="20.100000000000001" customHeight="1" x14ac:dyDescent="0.2">
      <c r="D91" s="88" t="s">
        <v>1061</v>
      </c>
      <c r="E91" s="83">
        <f>SUM(J79:J88)</f>
        <v>0.35940000000000005</v>
      </c>
      <c r="F91" s="89" t="str">
        <f>$E$11</f>
        <v>t CO2e</v>
      </c>
    </row>
    <row r="93" spans="4:13" ht="20.100000000000001" customHeight="1" x14ac:dyDescent="0.2">
      <c r="D93" s="85" t="s">
        <v>1040</v>
      </c>
      <c r="E93" s="86">
        <f>VEERG_15_1_1_1__1_EmissionsFromPurchasedLivestock_BeefCattle_Result_Method1+VEERG_15_1_1_1__1_EmissionsFromPurchasedLivestock_DairyCattle_Result_Method1+VEERG_15_1_1_1__1_EmissionsFromPurchasedLivestock_Pigs_Result_Method1+VEERG_15_1_1_1__1_EmissionsFromPurchasedLivestock_Poultry_Result_Method1</f>
        <v>0.36720000000000003</v>
      </c>
      <c r="F93" s="95" t="str">
        <f>$E$11</f>
        <v>t CO2e</v>
      </c>
    </row>
    <row r="94" spans="4:13" ht="20.100000000000001" customHeight="1" x14ac:dyDescent="0.2">
      <c r="D94" s="85" t="s">
        <v>1043</v>
      </c>
      <c r="E94" s="86">
        <f>VEERG_15_1_1_1__1_EmissionsFromPurchasedLivestock_BeefCattle_Result_Method2+VEERG_15_1_1_1__1_EmissionsFromPurchasedLivestock_DairyCattle_Result_Method2+VEERG_15_1_1_1__1_EmissionsFromPurchasedLivestock_Pigs_Result_Method2+VEERG_15_1_1_1__1_EmissionsFromPurchasedLivestock_Poultry_Result_Method2</f>
        <v>0.35940000000000005</v>
      </c>
      <c r="F94" s="95" t="str">
        <f>$E$11</f>
        <v>t CO2e</v>
      </c>
    </row>
    <row r="97" spans="1:41" ht="20.100000000000001" customHeight="1" x14ac:dyDescent="0.2">
      <c r="C97" s="83"/>
      <c r="D97" s="83"/>
      <c r="E97" s="83"/>
      <c r="F97" s="83"/>
      <c r="G97" s="83"/>
      <c r="H97" s="83"/>
      <c r="I97" s="83"/>
      <c r="J97" s="83"/>
      <c r="K97" s="83"/>
      <c r="L97" s="83"/>
      <c r="M97" s="83"/>
      <c r="N97" s="83"/>
      <c r="O97" s="83"/>
      <c r="P97" s="83"/>
      <c r="Q97" s="83"/>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row>
    <row r="98" spans="1:41" ht="20.100000000000001" customHeight="1" x14ac:dyDescent="0.2">
      <c r="A98" s="79" t="str">
        <f>HYPERLINK("#A1", "▲ Back to top")</f>
        <v>▲ Back to top</v>
      </c>
      <c r="D98" s="2" t="s">
        <v>1501</v>
      </c>
    </row>
    <row r="99" spans="1:41" ht="20.100000000000001" customHeight="1" x14ac:dyDescent="0.2">
      <c r="D99" s="17" t="s">
        <v>1502</v>
      </c>
    </row>
    <row r="100" spans="1:41" ht="20.100000000000001" customHeight="1" x14ac:dyDescent="0.2">
      <c r="D100" s="25" t="s">
        <v>1503</v>
      </c>
    </row>
    <row r="101" spans="1:41" ht="20.100000000000001" customHeight="1" x14ac:dyDescent="0.2">
      <c r="D101" s="112"/>
      <c r="E101" s="112"/>
      <c r="H101" s="25"/>
    </row>
    <row r="103" spans="1:41" ht="20.100000000000001" customHeight="1" x14ac:dyDescent="0.2">
      <c r="H103" s="112"/>
    </row>
    <row r="104" spans="1:41" ht="20.100000000000001" customHeight="1" x14ac:dyDescent="0.2">
      <c r="D104" s="75" t="s">
        <v>328</v>
      </c>
      <c r="E104" s="1" t="s">
        <v>1146</v>
      </c>
    </row>
    <row r="105" spans="1:41" ht="20.100000000000001" customHeight="1" x14ac:dyDescent="0.2">
      <c r="D105" s="75" t="s">
        <v>118</v>
      </c>
      <c r="E105" s="9" t="s">
        <v>7</v>
      </c>
    </row>
    <row r="107" spans="1:41" ht="20.100000000000001" customHeight="1" x14ac:dyDescent="0.2">
      <c r="D107" s="113" t="s">
        <v>1504</v>
      </c>
      <c r="E107" s="122" t="s">
        <v>1505</v>
      </c>
      <c r="F107" s="123"/>
      <c r="G107" s="113" t="s">
        <v>757</v>
      </c>
      <c r="H107" s="249" t="s">
        <v>1202</v>
      </c>
    </row>
    <row r="108" spans="1:41" ht="20.100000000000001" customHeight="1" x14ac:dyDescent="0.2">
      <c r="D108" s="113" t="s">
        <v>1506</v>
      </c>
      <c r="E108" s="122" t="s">
        <v>1507</v>
      </c>
      <c r="F108" s="123"/>
      <c r="G108" s="113" t="s">
        <v>1500</v>
      </c>
      <c r="H108" s="115" t="s">
        <v>1203</v>
      </c>
    </row>
    <row r="109" spans="1:41" ht="20.100000000000001" customHeight="1" x14ac:dyDescent="0.2">
      <c r="D109" s="113" t="s">
        <v>1318</v>
      </c>
      <c r="E109" s="122" t="s">
        <v>1508</v>
      </c>
      <c r="F109" s="123"/>
      <c r="G109" s="113"/>
      <c r="H109" s="249" t="s">
        <v>1202</v>
      </c>
    </row>
    <row r="111" spans="1:41" ht="20.100000000000001" customHeight="1" x14ac:dyDescent="0.2">
      <c r="D111" s="244" t="s">
        <v>1062</v>
      </c>
    </row>
    <row r="113" spans="1:28" ht="20.100000000000001" customHeight="1" x14ac:dyDescent="0.2">
      <c r="D113" s="131" t="s">
        <v>1063</v>
      </c>
      <c r="E113" s="44"/>
      <c r="F113" s="131"/>
      <c r="G113" s="43"/>
      <c r="H113" s="44"/>
    </row>
    <row r="114" spans="1:28" ht="20.100000000000001" customHeight="1" x14ac:dyDescent="0.2">
      <c r="D114" s="132" t="s">
        <v>1064</v>
      </c>
      <c r="E114" s="134"/>
      <c r="F114" s="132"/>
      <c r="G114" s="133"/>
      <c r="H114" s="134"/>
    </row>
    <row r="115" spans="1:28" ht="20.100000000000001" customHeight="1" x14ac:dyDescent="0.2">
      <c r="D115" s="45" t="s">
        <v>1065</v>
      </c>
      <c r="E115" s="47"/>
      <c r="F115" s="45"/>
      <c r="G115" s="46"/>
      <c r="H115" s="47"/>
    </row>
    <row r="117" spans="1:28" ht="20.100000000000001" customHeight="1" x14ac:dyDescent="0.2">
      <c r="D117" s="35" t="s">
        <v>1066</v>
      </c>
      <c r="E117" s="37"/>
      <c r="F117" s="38"/>
    </row>
    <row r="119" spans="1:28" ht="20.100000000000001" customHeight="1" x14ac:dyDescent="0.2">
      <c r="D119" s="78" t="s">
        <v>1067</v>
      </c>
      <c r="E119" s="78" t="s">
        <v>1068</v>
      </c>
      <c r="F119" s="120" t="s">
        <v>1069</v>
      </c>
      <c r="G119" s="120" t="s">
        <v>1040</v>
      </c>
      <c r="H119" s="78" t="s">
        <v>1070</v>
      </c>
      <c r="I119" s="120" t="s">
        <v>1043</v>
      </c>
      <c r="J119" s="78" t="s">
        <v>1044</v>
      </c>
      <c r="K119" s="78" t="s">
        <v>1045</v>
      </c>
      <c r="L119" s="78" t="s">
        <v>1046</v>
      </c>
      <c r="M119" s="120" t="s">
        <v>696</v>
      </c>
      <c r="N119" s="120" t="s">
        <v>1071</v>
      </c>
      <c r="O119" s="120" t="s">
        <v>697</v>
      </c>
      <c r="P119" s="120" t="s">
        <v>1072</v>
      </c>
      <c r="Q119" s="120" t="s">
        <v>698</v>
      </c>
      <c r="R119" s="120" t="s">
        <v>1073</v>
      </c>
      <c r="S119" s="120" t="s">
        <v>699</v>
      </c>
      <c r="T119" s="120" t="s">
        <v>1074</v>
      </c>
      <c r="U119" s="120" t="s">
        <v>700</v>
      </c>
      <c r="V119" s="120" t="s">
        <v>1075</v>
      </c>
      <c r="W119" s="120" t="s">
        <v>701</v>
      </c>
      <c r="X119" s="120" t="s">
        <v>1076</v>
      </c>
      <c r="Y119" s="120" t="s">
        <v>702</v>
      </c>
      <c r="Z119" s="120" t="s">
        <v>1077</v>
      </c>
      <c r="AA119" s="120" t="s">
        <v>703</v>
      </c>
      <c r="AB119" s="120" t="s">
        <v>1078</v>
      </c>
    </row>
    <row r="120" spans="1:28" ht="20.100000000000001" customHeight="1" x14ac:dyDescent="0.2">
      <c r="D120" s="15" cm="1">
        <f t="array" ref="D120:D129">IFERROR(INDEX(Table_Input_FeedBlends[Feed blend name], _xlfn.SEQUENCE(10)), "")</f>
        <v>0</v>
      </c>
      <c r="E120" s="15" cm="1">
        <f t="array" ref="E120:E129">IFERROR(INDEX(Table_Input_FeedBlends[Amount fed (kg)], _xlfn.SEQUENCE(10)), "")</f>
        <v>1200</v>
      </c>
      <c r="F120" s="15">
        <f t="shared" ref="F120:F129" si="0">IFERROR((O120*P120)+(S120*T120)+(W120*X120)+(AA120*AB120), 0)</f>
        <v>0.16272999999999999</v>
      </c>
      <c r="G120" s="251">
        <f>((E120 * F120) * 10 ^ -3)</f>
        <v>0.19527599999999998</v>
      </c>
      <c r="H120" s="74">
        <v>0.04</v>
      </c>
      <c r="I120" s="251">
        <f>((E120 * (IF(H120,H120, F120))) * 10 ^ -3)</f>
        <v>4.8000000000000001E-2</v>
      </c>
      <c r="J120" s="33"/>
      <c r="K120" s="13"/>
      <c r="L120"/>
      <c r="M120" s="15" t="str" cm="1">
        <f t="array" ref="M120:M129">IFERROR(INDEX(Table_Input_FeedBlends[Ingredient 1 (select)], _xlfn.SEQUENCE(10)), "")</f>
        <v>Cereal silage</v>
      </c>
      <c r="N120" s="15" t="str" cm="1">
        <f t="array" ref="N120:N129">IFERROR(INDEX(Table_Input_FeedBlends[Ingredient 1 source region], _xlfn.SEQUENCE(10)), "")</f>
        <v>SA</v>
      </c>
      <c r="O120" s="15" cm="1">
        <f t="array" ref="O120:O129">IFERROR(INDEX(Table_Input_FeedBlends[Ingredient 1 percent], _xlfn.SEQUENCE(10)), "")</f>
        <v>0.35</v>
      </c>
      <c r="P120" s="15" cm="1">
        <f t="array" ref="P120">_xlfn.LET(_xlpm.result, Common_InputFunctions.Utility_LookupValueInTableTwoColumns(M120, N120, Table_SourceData_Scope3_Feed[Product], Table_SourceData_Scope3_Feed[Region of origin], Table_SourceData_Scope3_Feed[Emissions intensity]), IF(_xlpm.result="", 0, _xlpm.result))</f>
        <v>7.0599999999999996E-2</v>
      </c>
      <c r="Q120" s="15" t="str" cm="1">
        <f t="array" ref="Q120:Q129">IFERROR(INDEX(Table_Input_FeedBlends[Ingredient 2 (select)], _xlfn.SEQUENCE(10)), "")</f>
        <v>Cereal hay</v>
      </c>
      <c r="R120" s="15" t="str" cm="1">
        <f t="array" ref="R120:R129">IFERROR(INDEX(Table_Input_FeedBlends[Ingredient 2 source region], _xlfn.SEQUENCE(10)), "")</f>
        <v>SA</v>
      </c>
      <c r="S120" s="15" cm="1">
        <f t="array" ref="S120:S129">IFERROR(INDEX(Table_Input_FeedBlends[Ingredient 2 percent], _xlfn.SEQUENCE(10)), "")</f>
        <v>0.22</v>
      </c>
      <c r="T120" s="15" cm="1">
        <f t="array" ref="T120">_xlfn.LET(_xlpm.result, Common_InputFunctions.Utility_LookupValueInTableTwoColumns(Q120, R120, Table_SourceData_Scope3_Feed[Product], Table_SourceData_Scope3_Feed[Region of origin], Table_SourceData_Scope3_Feed[Emissions intensity]), IF(_xlpm.result="", 0, _xlpm.result))</f>
        <v>0.111</v>
      </c>
      <c r="U120" s="15" t="str" cm="1">
        <f t="array" ref="U120:U129">IFERROR(INDEX(Table_Input_FeedBlends[Ingredient 3 (select)], _xlfn.SEQUENCE(10)), "")</f>
        <v>Canola oil</v>
      </c>
      <c r="V120" s="15" t="str" cm="1">
        <f t="array" ref="V120:V129">IFERROR(INDEX(Table_Input_FeedBlends[Ingredient 3 source region], _xlfn.SEQUENCE(10)), "")</f>
        <v>Australia</v>
      </c>
      <c r="W120" s="15" cm="1">
        <f t="array" ref="W120:W129">IFERROR(INDEX(Table_Input_FeedBlends[Ingredient 3 percent], _xlfn.SEQUENCE(10)), "")</f>
        <v>0.12</v>
      </c>
      <c r="X120" s="15" cm="1">
        <f t="array" ref="X120">_xlfn.LET(_xlpm.result, Common_InputFunctions.Utility_LookupValueInTableTwoColumns(U120, V120, Table_SourceData_Scope3_Feed[Product], Table_SourceData_Scope3_Feed[Region of origin], Table_SourceData_Scope3_Feed[Emissions intensity]), IF(_xlpm.result="", 0, _xlpm.result))</f>
        <v>0.87</v>
      </c>
      <c r="Y120" s="15" t="str" cm="1">
        <f t="array" ref="Y120:Y129">IFERROR(INDEX(Table_Input_FeedBlends[Ingredient 4 (select)], _xlfn.SEQUENCE(10)), "")</f>
        <v>Molasses</v>
      </c>
      <c r="Z120" s="15" t="str" cm="1">
        <f t="array" ref="Z120:Z129">IFERROR(INDEX(Table_Input_FeedBlends[Ingredient 4 source region], _xlfn.SEQUENCE(10)), "")</f>
        <v>QLD</v>
      </c>
      <c r="AA120" s="15" cm="1">
        <f t="array" ref="AA120:AA129">IFERROR(INDEX(Table_Input_FeedBlends[Ingredient 4 percent], _xlfn.SEQUENCE(10)), "")</f>
        <v>0.05</v>
      </c>
      <c r="AB120" s="15" cm="1">
        <f t="array" ref="AB120">_xlfn.LET(_xlpm.result, Common_InputFunctions.Utility_LookupValueInTableTwoColumns(Y120, Z120, Table_SourceData_Scope3_Feed[Product], Table_SourceData_Scope3_Feed[Region of origin], Table_SourceData_Scope3_Feed[Emissions intensity]), IF(_xlpm.result="", 0, _xlpm.result))</f>
        <v>0.184</v>
      </c>
    </row>
    <row r="121" spans="1:28" ht="20.100000000000001" customHeight="1" x14ac:dyDescent="0.2">
      <c r="D121" s="15">
        <v>0</v>
      </c>
      <c r="E121" s="15">
        <v>3456</v>
      </c>
      <c r="F121" s="15">
        <f t="shared" si="0"/>
        <v>4.6000000000000006E-2</v>
      </c>
      <c r="G121" s="251">
        <f>((E121 * F121) * 10 ^ -3)</f>
        <v>0.15897600000000003</v>
      </c>
      <c r="H121" s="74">
        <v>0.03</v>
      </c>
      <c r="I121" s="251">
        <f>((E121 * (IF(H121,H121, F121))) * 10 ^ -3)</f>
        <v>0.10367999999999999</v>
      </c>
      <c r="J121" s="33"/>
      <c r="K121" s="13"/>
      <c r="L121" s="33"/>
      <c r="M121" s="15" t="str">
        <v>Lucerne hay</v>
      </c>
      <c r="N121" s="15" t="str">
        <v>Australia</v>
      </c>
      <c r="O121" s="15">
        <v>0.2</v>
      </c>
      <c r="P121" s="15" cm="1">
        <f t="array" ref="P121">_xlfn.LET(_xlpm.result, Common_InputFunctions.Utility_LookupValueInTableTwoColumns(M121, N121, Table_SourceData_Scope3_Feed[Product], Table_SourceData_Scope3_Feed[Region of origin], Table_SourceData_Scope3_Feed[Emissions intensity]), IF(_xlpm.result="", 0, _xlpm.result))</f>
        <v>0.11700000000000001</v>
      </c>
      <c r="Q121" s="15" t="str">
        <v>Lucerne hay</v>
      </c>
      <c r="R121" s="15" t="str">
        <v>NSW</v>
      </c>
      <c r="S121" s="15">
        <v>0.2</v>
      </c>
      <c r="T121" s="15" cm="1">
        <f t="array" ref="T121">_xlfn.LET(_xlpm.result, Common_InputFunctions.Utility_LookupValueInTableTwoColumns(Q121, R121, Table_SourceData_Scope3_Feed[Product], Table_SourceData_Scope3_Feed[Region of origin], Table_SourceData_Scope3_Feed[Emissions intensity]), IF(_xlpm.result="", 0, _xlpm.result))</f>
        <v>0.113</v>
      </c>
      <c r="U121" s="15">
        <v>0</v>
      </c>
      <c r="V121" s="15">
        <v>0</v>
      </c>
      <c r="W121" s="15">
        <v>0</v>
      </c>
      <c r="X121" s="15" cm="1">
        <f t="array" ref="X121">_xlfn.LET(_xlpm.result, Common_InputFunctions.Utility_LookupValueInTableTwoColumns(U121, V121, Table_SourceData_Scope3_Feed[Product], Table_SourceData_Scope3_Feed[Region of origin], Table_SourceData_Scope3_Feed[Emissions intensity]), IF(_xlpm.result="", 0, _xlpm.result))</f>
        <v>0</v>
      </c>
      <c r="Y121" s="15">
        <v>0</v>
      </c>
      <c r="Z121" s="15">
        <v>0</v>
      </c>
      <c r="AA121" s="15">
        <v>0</v>
      </c>
      <c r="AB121" s="15" cm="1">
        <f t="array" ref="AB121">_xlfn.LET(_xlpm.result, Common_InputFunctions.Utility_LookupValueInTableTwoColumns(Y121, Z121, Table_SourceData_Scope3_Feed[Product], Table_SourceData_Scope3_Feed[Region of origin], Table_SourceData_Scope3_Feed[Emissions intensity]), IF(_xlpm.result="", 0, _xlpm.result))</f>
        <v>0</v>
      </c>
    </row>
    <row r="122" spans="1:28" ht="20.100000000000001" customHeight="1" x14ac:dyDescent="0.2">
      <c r="D122" s="15" t="str">
        <v>Hay bales in paddock</v>
      </c>
      <c r="E122" s="15">
        <v>300</v>
      </c>
      <c r="F122" s="15">
        <f t="shared" si="0"/>
        <v>0.27800000000000002</v>
      </c>
      <c r="G122" s="251">
        <f>((E122 * F122) * 10 ^ -3)</f>
        <v>8.3400000000000002E-2</v>
      </c>
      <c r="H122" s="74">
        <v>0.14000000000000001</v>
      </c>
      <c r="I122" s="251">
        <f>((E122 * (IF(H122,H122, F122))) * 10 ^ -3)</f>
        <v>4.200000000000001E-2</v>
      </c>
      <c r="J122" s="33"/>
      <c r="K122" s="13"/>
      <c r="L122" s="33"/>
      <c r="M122" s="15" t="str">
        <v>Wheat grain</v>
      </c>
      <c r="N122" s="15" t="str">
        <v>SA</v>
      </c>
      <c r="O122" s="15">
        <v>0.8</v>
      </c>
      <c r="P122" s="15" cm="1">
        <f t="array" ref="P122">_xlfn.LET(_xlpm.result, Common_InputFunctions.Utility_LookupValueInTableTwoColumns(M122, N122, Table_SourceData_Scope3_Feed[Product], Table_SourceData_Scope3_Feed[Region of origin], Table_SourceData_Scope3_Feed[Emissions intensity]), IF(_xlpm.result="", 0, _xlpm.result))</f>
        <v>0.24099999999999999</v>
      </c>
      <c r="Q122" s="15" t="str">
        <v>Soybean meal</v>
      </c>
      <c r="R122" s="15" t="str">
        <v>Brazil</v>
      </c>
      <c r="S122" s="15">
        <v>0.2</v>
      </c>
      <c r="T122" s="15" cm="1">
        <f t="array" ref="T122">_xlfn.LET(_xlpm.result, Common_InputFunctions.Utility_LookupValueInTableTwoColumns(Q122, R122, Table_SourceData_Scope3_Feed[Product], Table_SourceData_Scope3_Feed[Region of origin], Table_SourceData_Scope3_Feed[Emissions intensity]), IF(_xlpm.result="", 0, _xlpm.result))</f>
        <v>0.42599999999999999</v>
      </c>
      <c r="U122" s="15">
        <v>0</v>
      </c>
      <c r="V122" s="15">
        <v>0</v>
      </c>
      <c r="W122" s="15">
        <v>0</v>
      </c>
      <c r="X122" s="15" cm="1">
        <f t="array" ref="X122">_xlfn.LET(_xlpm.result, Common_InputFunctions.Utility_LookupValueInTableTwoColumns(U122, V122, Table_SourceData_Scope3_Feed[Product], Table_SourceData_Scope3_Feed[Region of origin], Table_SourceData_Scope3_Feed[Emissions intensity]), IF(_xlpm.result="", 0, _xlpm.result))</f>
        <v>0</v>
      </c>
      <c r="Y122" s="15">
        <v>0</v>
      </c>
      <c r="Z122" s="15">
        <v>0</v>
      </c>
      <c r="AA122" s="15">
        <v>0</v>
      </c>
      <c r="AB122" s="15" cm="1">
        <f t="array" ref="AB122">_xlfn.LET(_xlpm.result, Common_InputFunctions.Utility_LookupValueInTableTwoColumns(Y122, Z122, Table_SourceData_Scope3_Feed[Product], Table_SourceData_Scope3_Feed[Region of origin], Table_SourceData_Scope3_Feed[Emissions intensity]), IF(_xlpm.result="", 0, _xlpm.result))</f>
        <v>0</v>
      </c>
    </row>
    <row r="123" spans="1:28" ht="20.100000000000001" customHeight="1" x14ac:dyDescent="0.2">
      <c r="D123" s="15">
        <v>0</v>
      </c>
      <c r="E123" s="15">
        <v>500</v>
      </c>
      <c r="F123" s="15">
        <f t="shared" si="0"/>
        <v>0.34499999999999997</v>
      </c>
      <c r="G123" s="251">
        <f>((E123 * F123) * 10 ^ -3)</f>
        <v>0.17250000000000001</v>
      </c>
      <c r="H123" s="74"/>
      <c r="I123" s="251">
        <f>((E123 * (IF(H123,H123, F123))) * 10 ^ -3)</f>
        <v>0.17250000000000001</v>
      </c>
      <c r="J123" s="33"/>
      <c r="K123" s="13"/>
      <c r="L123" s="33"/>
      <c r="M123" s="15" t="str">
        <v>Pasture hay</v>
      </c>
      <c r="N123" s="15" t="str">
        <v>VIC</v>
      </c>
      <c r="O123" s="15">
        <v>1</v>
      </c>
      <c r="P123" s="15" cm="1">
        <f t="array" ref="P123">_xlfn.LET(_xlpm.result, Common_InputFunctions.Utility_LookupValueInTableTwoColumns(M123, N123, Table_SourceData_Scope3_Feed[Product], Table_SourceData_Scope3_Feed[Region of origin], Table_SourceData_Scope3_Feed[Emissions intensity]), IF(_xlpm.result="", 0, _xlpm.result))</f>
        <v>0.34499999999999997</v>
      </c>
      <c r="Q123" s="15">
        <v>0</v>
      </c>
      <c r="R123" s="15">
        <v>0</v>
      </c>
      <c r="S123" s="15">
        <v>0</v>
      </c>
      <c r="T123" s="15" cm="1">
        <f t="array" ref="T123">_xlfn.LET(_xlpm.result, Common_InputFunctions.Utility_LookupValueInTableTwoColumns(Q123, R123, Table_SourceData_Scope3_Feed[Product], Table_SourceData_Scope3_Feed[Region of origin], Table_SourceData_Scope3_Feed[Emissions intensity]), IF(_xlpm.result="", 0, _xlpm.result))</f>
        <v>0</v>
      </c>
      <c r="U123" s="15">
        <v>0</v>
      </c>
      <c r="V123" s="15">
        <v>0</v>
      </c>
      <c r="W123" s="15">
        <v>0</v>
      </c>
      <c r="X123" s="15" cm="1">
        <f t="array" ref="X123">_xlfn.LET(_xlpm.result, Common_InputFunctions.Utility_LookupValueInTableTwoColumns(U123, V123, Table_SourceData_Scope3_Feed[Product], Table_SourceData_Scope3_Feed[Region of origin], Table_SourceData_Scope3_Feed[Emissions intensity]), IF(_xlpm.result="", 0, _xlpm.result))</f>
        <v>0</v>
      </c>
      <c r="Y123" s="15">
        <v>0</v>
      </c>
      <c r="Z123" s="15">
        <v>0</v>
      </c>
      <c r="AA123" s="15">
        <v>0</v>
      </c>
      <c r="AB123" s="15" cm="1">
        <f t="array" ref="AB123">_xlfn.LET(_xlpm.result, Common_InputFunctions.Utility_LookupValueInTableTwoColumns(Y123, Z123, Table_SourceData_Scope3_Feed[Product], Table_SourceData_Scope3_Feed[Region of origin], Table_SourceData_Scope3_Feed[Emissions intensity]), IF(_xlpm.result="", 0, _xlpm.result))</f>
        <v>0</v>
      </c>
    </row>
    <row r="124" spans="1:28" ht="20.100000000000001" customHeight="1" x14ac:dyDescent="0.2">
      <c r="D124" s="15">
        <v>0</v>
      </c>
      <c r="E124" s="15">
        <v>0</v>
      </c>
      <c r="F124" s="15">
        <f t="shared" si="0"/>
        <v>0</v>
      </c>
      <c r="G124" s="251">
        <f>((E124 * F124) * 10 ^ -3)</f>
        <v>0</v>
      </c>
      <c r="H124" s="74"/>
      <c r="I124" s="251">
        <f>((E124 * (IF(H124,H124, F124))) * 10 ^ -3)</f>
        <v>0</v>
      </c>
      <c r="J124" s="33"/>
      <c r="K124" s="13"/>
      <c r="L124" s="33"/>
      <c r="M124" s="15">
        <v>0</v>
      </c>
      <c r="N124" s="15">
        <v>0</v>
      </c>
      <c r="O124" s="15">
        <v>0</v>
      </c>
      <c r="P124" s="15" cm="1">
        <f t="array" ref="P124">_xlfn.LET(_xlpm.result, Common_InputFunctions.Utility_LookupValueInTableTwoColumns(M124, N124, Table_SourceData_Scope3_Feed[Product], Table_SourceData_Scope3_Feed[Region of origin], Table_SourceData_Scope3_Feed[Emissions intensity]), IF(_xlpm.result="", 0, _xlpm.result))</f>
        <v>0</v>
      </c>
      <c r="Q124" s="15">
        <v>0</v>
      </c>
      <c r="R124" s="15">
        <v>0</v>
      </c>
      <c r="S124" s="15">
        <v>0</v>
      </c>
      <c r="T124" s="15" cm="1">
        <f t="array" ref="T124">_xlfn.LET(_xlpm.result, Common_InputFunctions.Utility_LookupValueInTableTwoColumns(Q124, R124, Table_SourceData_Scope3_Feed[Product], Table_SourceData_Scope3_Feed[Region of origin], Table_SourceData_Scope3_Feed[Emissions intensity]), IF(_xlpm.result="", 0, _xlpm.result))</f>
        <v>0</v>
      </c>
      <c r="U124" s="15">
        <v>0</v>
      </c>
      <c r="V124" s="15">
        <v>0</v>
      </c>
      <c r="W124" s="15">
        <v>0</v>
      </c>
      <c r="X124" s="15" cm="1">
        <f t="array" ref="X124">_xlfn.LET(_xlpm.result, Common_InputFunctions.Utility_LookupValueInTableTwoColumns(U124, V124, Table_SourceData_Scope3_Feed[Product], Table_SourceData_Scope3_Feed[Region of origin], Table_SourceData_Scope3_Feed[Emissions intensity]), IF(_xlpm.result="", 0, _xlpm.result))</f>
        <v>0</v>
      </c>
      <c r="Y124" s="15">
        <v>0</v>
      </c>
      <c r="Z124" s="15">
        <v>0</v>
      </c>
      <c r="AA124" s="15">
        <v>0</v>
      </c>
      <c r="AB124" s="15" cm="1">
        <f t="array" ref="AB124">_xlfn.LET(_xlpm.result, Common_InputFunctions.Utility_LookupValueInTableTwoColumns(Y124, Z124, Table_SourceData_Scope3_Feed[Product], Table_SourceData_Scope3_Feed[Region of origin], Table_SourceData_Scope3_Feed[Emissions intensity]), IF(_xlpm.result="", 0, _xlpm.result))</f>
        <v>0</v>
      </c>
    </row>
    <row r="125" spans="1:28" ht="20.100000000000001" customHeight="1" x14ac:dyDescent="0.2">
      <c r="D125" s="15">
        <v>0</v>
      </c>
      <c r="E125" s="15">
        <v>0</v>
      </c>
      <c r="F125" s="15">
        <f t="shared" si="0"/>
        <v>0</v>
      </c>
      <c r="G125" s="251">
        <f>((E125 * F125) * 10 ^ -3)</f>
        <v>0</v>
      </c>
      <c r="H125" s="74"/>
      <c r="I125" s="251">
        <f>((E125 * (IF(H125,H125, F125))) * 10 ^ -3)</f>
        <v>0</v>
      </c>
      <c r="J125" s="33"/>
      <c r="K125" s="13"/>
      <c r="L125" s="33"/>
      <c r="M125" s="15">
        <v>0</v>
      </c>
      <c r="N125" s="15">
        <v>0</v>
      </c>
      <c r="O125" s="15">
        <v>0</v>
      </c>
      <c r="P125" s="15" cm="1">
        <f t="array" ref="P125">_xlfn.LET(_xlpm.result, Common_InputFunctions.Utility_LookupValueInTableTwoColumns(M125, N125, Table_SourceData_Scope3_Feed[Product], Table_SourceData_Scope3_Feed[Region of origin], Table_SourceData_Scope3_Feed[Emissions intensity]), IF(_xlpm.result="", 0, _xlpm.result))</f>
        <v>0</v>
      </c>
      <c r="Q125" s="15">
        <v>0</v>
      </c>
      <c r="R125" s="15">
        <v>0</v>
      </c>
      <c r="S125" s="15">
        <v>0</v>
      </c>
      <c r="T125" s="15" cm="1">
        <f t="array" ref="T125">_xlfn.LET(_xlpm.result, Common_InputFunctions.Utility_LookupValueInTableTwoColumns(Q125, R125, Table_SourceData_Scope3_Feed[Product], Table_SourceData_Scope3_Feed[Region of origin], Table_SourceData_Scope3_Feed[Emissions intensity]), IF(_xlpm.result="", 0, _xlpm.result))</f>
        <v>0</v>
      </c>
      <c r="U125" s="15">
        <v>0</v>
      </c>
      <c r="V125" s="15">
        <v>0</v>
      </c>
      <c r="W125" s="15">
        <v>0</v>
      </c>
      <c r="X125" s="15" cm="1">
        <f t="array" ref="X125">_xlfn.LET(_xlpm.result, Common_InputFunctions.Utility_LookupValueInTableTwoColumns(U125, V125, Table_SourceData_Scope3_Feed[Product], Table_SourceData_Scope3_Feed[Region of origin], Table_SourceData_Scope3_Feed[Emissions intensity]), IF(_xlpm.result="", 0, _xlpm.result))</f>
        <v>0</v>
      </c>
      <c r="Y125" s="15">
        <v>0</v>
      </c>
      <c r="Z125" s="15">
        <v>0</v>
      </c>
      <c r="AA125" s="15">
        <v>0</v>
      </c>
      <c r="AB125" s="15" cm="1">
        <f t="array" ref="AB125">_xlfn.LET(_xlpm.result, Common_InputFunctions.Utility_LookupValueInTableTwoColumns(Y125, Z125, Table_SourceData_Scope3_Feed[Product], Table_SourceData_Scope3_Feed[Region of origin], Table_SourceData_Scope3_Feed[Emissions intensity]), IF(_xlpm.result="", 0, _xlpm.result))</f>
        <v>0</v>
      </c>
    </row>
    <row r="126" spans="1:28" ht="20.100000000000001" customHeight="1" x14ac:dyDescent="0.2">
      <c r="D126" s="15">
        <v>0</v>
      </c>
      <c r="E126" s="15">
        <v>0</v>
      </c>
      <c r="F126" s="15">
        <f t="shared" si="0"/>
        <v>0</v>
      </c>
      <c r="G126" s="251">
        <f>((E126 * F126) * 10 ^ -3)</f>
        <v>0</v>
      </c>
      <c r="H126" s="74"/>
      <c r="I126" s="251">
        <f>((E126 * (IF(H126,H126, F126))) * 10 ^ -3)</f>
        <v>0</v>
      </c>
      <c r="J126" s="33"/>
      <c r="K126" s="13"/>
      <c r="L126" s="33"/>
      <c r="M126" s="15">
        <v>0</v>
      </c>
      <c r="N126" s="15">
        <v>0</v>
      </c>
      <c r="O126" s="15">
        <v>0</v>
      </c>
      <c r="P126" s="15" cm="1">
        <f t="array" ref="P126">_xlfn.LET(_xlpm.result, Common_InputFunctions.Utility_LookupValueInTableTwoColumns(M126, N126, Table_SourceData_Scope3_Feed[Product], Table_SourceData_Scope3_Feed[Region of origin], Table_SourceData_Scope3_Feed[Emissions intensity]), IF(_xlpm.result="", 0, _xlpm.result))</f>
        <v>0</v>
      </c>
      <c r="Q126" s="15">
        <v>0</v>
      </c>
      <c r="R126" s="15">
        <v>0</v>
      </c>
      <c r="S126" s="15">
        <v>0</v>
      </c>
      <c r="T126" s="15" cm="1">
        <f t="array" ref="T126">_xlfn.LET(_xlpm.result, Common_InputFunctions.Utility_LookupValueInTableTwoColumns(Q126, R126, Table_SourceData_Scope3_Feed[Product], Table_SourceData_Scope3_Feed[Region of origin], Table_SourceData_Scope3_Feed[Emissions intensity]), IF(_xlpm.result="", 0, _xlpm.result))</f>
        <v>0</v>
      </c>
      <c r="U126" s="15">
        <v>0</v>
      </c>
      <c r="V126" s="15">
        <v>0</v>
      </c>
      <c r="W126" s="15">
        <v>0</v>
      </c>
      <c r="X126" s="15" cm="1">
        <f t="array" ref="X126">_xlfn.LET(_xlpm.result, Common_InputFunctions.Utility_LookupValueInTableTwoColumns(U126, V126, Table_SourceData_Scope3_Feed[Product], Table_SourceData_Scope3_Feed[Region of origin], Table_SourceData_Scope3_Feed[Emissions intensity]), IF(_xlpm.result="", 0, _xlpm.result))</f>
        <v>0</v>
      </c>
      <c r="Y126" s="15">
        <v>0</v>
      </c>
      <c r="Z126" s="15">
        <v>0</v>
      </c>
      <c r="AA126" s="15">
        <v>0</v>
      </c>
      <c r="AB126" s="15" cm="1">
        <f t="array" ref="AB126">_xlfn.LET(_xlpm.result, Common_InputFunctions.Utility_LookupValueInTableTwoColumns(Y126, Z126, Table_SourceData_Scope3_Feed[Product], Table_SourceData_Scope3_Feed[Region of origin], Table_SourceData_Scope3_Feed[Emissions intensity]), IF(_xlpm.result="", 0, _xlpm.result))</f>
        <v>0</v>
      </c>
    </row>
    <row r="127" spans="1:28" ht="20.100000000000001" customHeight="1" x14ac:dyDescent="0.2">
      <c r="D127" s="15">
        <v>0</v>
      </c>
      <c r="E127" s="15">
        <v>0</v>
      </c>
      <c r="F127" s="15">
        <f t="shared" si="0"/>
        <v>0</v>
      </c>
      <c r="G127" s="251">
        <f>((E127 * F127) * 10 ^ -3)</f>
        <v>0</v>
      </c>
      <c r="H127" s="74"/>
      <c r="I127" s="251">
        <f>((E127 * (IF(H127,H127, F127))) * 10 ^ -3)</f>
        <v>0</v>
      </c>
      <c r="J127" s="33"/>
      <c r="K127" s="13"/>
      <c r="L127" s="33"/>
      <c r="M127" s="15">
        <v>0</v>
      </c>
      <c r="N127" s="15">
        <v>0</v>
      </c>
      <c r="O127" s="15">
        <v>0</v>
      </c>
      <c r="P127" s="15" cm="1">
        <f t="array" ref="P127">_xlfn.LET(_xlpm.result, Common_InputFunctions.Utility_LookupValueInTableTwoColumns(M127, N127, Table_SourceData_Scope3_Feed[Product], Table_SourceData_Scope3_Feed[Region of origin], Table_SourceData_Scope3_Feed[Emissions intensity]), IF(_xlpm.result="", 0, _xlpm.result))</f>
        <v>0</v>
      </c>
      <c r="Q127" s="15">
        <v>0</v>
      </c>
      <c r="R127" s="15">
        <v>0</v>
      </c>
      <c r="S127" s="15">
        <v>0</v>
      </c>
      <c r="T127" s="15" cm="1">
        <f t="array" ref="T127">_xlfn.LET(_xlpm.result, Common_InputFunctions.Utility_LookupValueInTableTwoColumns(Q127, R127, Table_SourceData_Scope3_Feed[Product], Table_SourceData_Scope3_Feed[Region of origin], Table_SourceData_Scope3_Feed[Emissions intensity]), IF(_xlpm.result="", 0, _xlpm.result))</f>
        <v>0</v>
      </c>
      <c r="U127" s="15">
        <v>0</v>
      </c>
      <c r="V127" s="15">
        <v>0</v>
      </c>
      <c r="W127" s="15">
        <v>0</v>
      </c>
      <c r="X127" s="15" cm="1">
        <f t="array" ref="X127">_xlfn.LET(_xlpm.result, Common_InputFunctions.Utility_LookupValueInTableTwoColumns(U127, V127, Table_SourceData_Scope3_Feed[Product], Table_SourceData_Scope3_Feed[Region of origin], Table_SourceData_Scope3_Feed[Emissions intensity]), IF(_xlpm.result="", 0, _xlpm.result))</f>
        <v>0</v>
      </c>
      <c r="Y127" s="15">
        <v>0</v>
      </c>
      <c r="Z127" s="15">
        <v>0</v>
      </c>
      <c r="AA127" s="15">
        <v>0</v>
      </c>
      <c r="AB127" s="15" cm="1">
        <f t="array" ref="AB127">_xlfn.LET(_xlpm.result, Common_InputFunctions.Utility_LookupValueInTableTwoColumns(Y127, Z127, Table_SourceData_Scope3_Feed[Product], Table_SourceData_Scope3_Feed[Region of origin], Table_SourceData_Scope3_Feed[Emissions intensity]), IF(_xlpm.result="", 0, _xlpm.result))</f>
        <v>0</v>
      </c>
    </row>
    <row r="128" spans="1:28" ht="20.100000000000001" customHeight="1" x14ac:dyDescent="0.2">
      <c r="A128" s="79" t="str">
        <f>HYPERLINK("#A1", "▲ Back to top")</f>
        <v>▲ Back to top</v>
      </c>
      <c r="D128" s="15">
        <v>0</v>
      </c>
      <c r="E128" s="15">
        <v>0</v>
      </c>
      <c r="F128" s="15">
        <f t="shared" si="0"/>
        <v>0</v>
      </c>
      <c r="G128" s="251">
        <f>((E128 * F128) * 10 ^ -3)</f>
        <v>0</v>
      </c>
      <c r="H128" s="74"/>
      <c r="I128" s="251">
        <f>((E128 * (IF(H128,H128, F128))) * 10 ^ -3)</f>
        <v>0</v>
      </c>
      <c r="J128" s="33"/>
      <c r="K128" s="13"/>
      <c r="L128" s="33"/>
      <c r="M128" s="15">
        <v>0</v>
      </c>
      <c r="N128" s="15">
        <v>0</v>
      </c>
      <c r="O128" s="15">
        <v>0</v>
      </c>
      <c r="P128" s="15" cm="1">
        <f t="array" ref="P128">_xlfn.LET(_xlpm.result, Common_InputFunctions.Utility_LookupValueInTableTwoColumns(M128, N128, Table_SourceData_Scope3_Feed[Product], Table_SourceData_Scope3_Feed[Region of origin], Table_SourceData_Scope3_Feed[Emissions intensity]), IF(_xlpm.result="", 0, _xlpm.result))</f>
        <v>0</v>
      </c>
      <c r="Q128" s="15">
        <v>0</v>
      </c>
      <c r="R128" s="15">
        <v>0</v>
      </c>
      <c r="S128" s="15">
        <v>0</v>
      </c>
      <c r="T128" s="15" cm="1">
        <f t="array" ref="T128">_xlfn.LET(_xlpm.result, Common_InputFunctions.Utility_LookupValueInTableTwoColumns(Q128, R128, Table_SourceData_Scope3_Feed[Product], Table_SourceData_Scope3_Feed[Region of origin], Table_SourceData_Scope3_Feed[Emissions intensity]), IF(_xlpm.result="", 0, _xlpm.result))</f>
        <v>0</v>
      </c>
      <c r="U128" s="15">
        <v>0</v>
      </c>
      <c r="V128" s="15">
        <v>0</v>
      </c>
      <c r="W128" s="15">
        <v>0</v>
      </c>
      <c r="X128" s="15" cm="1">
        <f t="array" ref="X128">_xlfn.LET(_xlpm.result, Common_InputFunctions.Utility_LookupValueInTableTwoColumns(U128, V128, Table_SourceData_Scope3_Feed[Product], Table_SourceData_Scope3_Feed[Region of origin], Table_SourceData_Scope3_Feed[Emissions intensity]), IF(_xlpm.result="", 0, _xlpm.result))</f>
        <v>0</v>
      </c>
      <c r="Y128" s="15">
        <v>0</v>
      </c>
      <c r="Z128" s="15">
        <v>0</v>
      </c>
      <c r="AA128" s="15">
        <v>0</v>
      </c>
      <c r="AB128" s="15" cm="1">
        <f t="array" ref="AB128">_xlfn.LET(_xlpm.result, Common_InputFunctions.Utility_LookupValueInTableTwoColumns(Y128, Z128, Table_SourceData_Scope3_Feed[Product], Table_SourceData_Scope3_Feed[Region of origin], Table_SourceData_Scope3_Feed[Emissions intensity]), IF(_xlpm.result="", 0, _xlpm.result))</f>
        <v>0</v>
      </c>
    </row>
    <row r="129" spans="4:28" ht="20.100000000000001" customHeight="1" x14ac:dyDescent="0.2">
      <c r="D129" s="15">
        <v>0</v>
      </c>
      <c r="E129" s="15">
        <v>0</v>
      </c>
      <c r="F129" s="15">
        <f t="shared" si="0"/>
        <v>0</v>
      </c>
      <c r="G129" s="251">
        <f>((E129 * F129) * 10 ^ -3)</f>
        <v>0</v>
      </c>
      <c r="H129" s="74"/>
      <c r="I129" s="251">
        <f>((E129 * (IF(H129,H129, F129))) * 10 ^ -3)</f>
        <v>0</v>
      </c>
      <c r="J129" s="33"/>
      <c r="K129" s="13"/>
      <c r="L129" s="33"/>
      <c r="M129" s="15">
        <v>0</v>
      </c>
      <c r="N129" s="15">
        <v>0</v>
      </c>
      <c r="O129" s="15">
        <v>0</v>
      </c>
      <c r="P129" s="15" cm="1">
        <f t="array" ref="P129">_xlfn.LET(_xlpm.result, Common_InputFunctions.Utility_LookupValueInTableTwoColumns(M129, N129, Table_SourceData_Scope3_Feed[Product], Table_SourceData_Scope3_Feed[Region of origin], Table_SourceData_Scope3_Feed[Emissions intensity]), IF(_xlpm.result="", 0, _xlpm.result))</f>
        <v>0</v>
      </c>
      <c r="Q129" s="15">
        <v>0</v>
      </c>
      <c r="R129" s="15">
        <v>0</v>
      </c>
      <c r="S129" s="15">
        <v>0</v>
      </c>
      <c r="T129" s="15" cm="1">
        <f t="array" ref="T129">_xlfn.LET(_xlpm.result, Common_InputFunctions.Utility_LookupValueInTableTwoColumns(Q129, R129, Table_SourceData_Scope3_Feed[Product], Table_SourceData_Scope3_Feed[Region of origin], Table_SourceData_Scope3_Feed[Emissions intensity]), IF(_xlpm.result="", 0, _xlpm.result))</f>
        <v>0</v>
      </c>
      <c r="U129" s="15">
        <v>0</v>
      </c>
      <c r="V129" s="15">
        <v>0</v>
      </c>
      <c r="W129" s="15">
        <v>0</v>
      </c>
      <c r="X129" s="15" cm="1">
        <f t="array" ref="X129">_xlfn.LET(_xlpm.result, Common_InputFunctions.Utility_LookupValueInTableTwoColumns(U129, V129, Table_SourceData_Scope3_Feed[Product], Table_SourceData_Scope3_Feed[Region of origin], Table_SourceData_Scope3_Feed[Emissions intensity]), IF(_xlpm.result="", 0, _xlpm.result))</f>
        <v>0</v>
      </c>
      <c r="Y129" s="15">
        <v>0</v>
      </c>
      <c r="Z129" s="15">
        <v>0</v>
      </c>
      <c r="AA129" s="15">
        <v>0</v>
      </c>
      <c r="AB129" s="15" cm="1">
        <f t="array" ref="AB129">_xlfn.LET(_xlpm.result, Common_InputFunctions.Utility_LookupValueInTableTwoColumns(Y129, Z129, Table_SourceData_Scope3_Feed[Product], Table_SourceData_Scope3_Feed[Region of origin], Table_SourceData_Scope3_Feed[Emissions intensity]), IF(_xlpm.result="", 0, _xlpm.result))</f>
        <v>0</v>
      </c>
    </row>
    <row r="131" spans="4:28" ht="20.100000000000001" customHeight="1" x14ac:dyDescent="0.2">
      <c r="D131" s="88" t="s">
        <v>1040</v>
      </c>
      <c r="E131" s="83">
        <f>SUM(G120:G129)</f>
        <v>0.61015200000000003</v>
      </c>
      <c r="F131" s="89" t="str">
        <f>$E$105</f>
        <v>t CO2e</v>
      </c>
    </row>
    <row r="132" spans="4:28" ht="20.100000000000001" customHeight="1" x14ac:dyDescent="0.2">
      <c r="D132" s="88" t="s">
        <v>1043</v>
      </c>
      <c r="E132" s="83">
        <f>SUM(I120:I129)</f>
        <v>0.36618000000000001</v>
      </c>
      <c r="F132" s="89" t="str">
        <f>$E$105</f>
        <v>t CO2e</v>
      </c>
    </row>
    <row r="135" spans="4:28" ht="20.100000000000001" customHeight="1" x14ac:dyDescent="0.2">
      <c r="D135" s="244" t="s">
        <v>976</v>
      </c>
    </row>
    <row r="136" spans="4:28" ht="20.100000000000001" customHeight="1" x14ac:dyDescent="0.2">
      <c r="D136" s="78" t="s">
        <v>132</v>
      </c>
      <c r="E136" s="78" t="s">
        <v>1068</v>
      </c>
      <c r="F136" s="120" t="s">
        <v>1069</v>
      </c>
      <c r="G136" s="120" t="s">
        <v>1040</v>
      </c>
      <c r="H136" s="78" t="s">
        <v>1070</v>
      </c>
      <c r="I136" s="120" t="s">
        <v>1043</v>
      </c>
      <c r="J136" s="78" t="s">
        <v>1044</v>
      </c>
      <c r="K136" s="78" t="s">
        <v>1045</v>
      </c>
      <c r="L136" s="78" t="s">
        <v>1046</v>
      </c>
    </row>
    <row r="137" spans="4:28" ht="20.100000000000001" customHeight="1" x14ac:dyDescent="0.2">
      <c r="D137" s="15" t="str">
        <f>'Input - Livestock farm Inputs'!D12</f>
        <v>Feed for chickens</v>
      </c>
      <c r="E137" s="15">
        <f>IFERROR(X_Cell_FarmInputs_FeedRations_Chickens, 0)</f>
        <v>100</v>
      </c>
      <c r="F137" s="15" cm="1">
        <f t="array" ref="F137">Common_InputFunctions.Utility_LookupValueInTableNumber(D137,Table_SourceData_Scope3_MixedRations[Product],Table_SourceData_Scope3_MixedRations[Emissions intensity])</f>
        <v>0.59399999999999997</v>
      </c>
      <c r="G137" s="251">
        <f>((E137 * F137) * 10 ^ -3)</f>
        <v>5.9400000000000001E-2</v>
      </c>
      <c r="H137" s="74">
        <v>0.5</v>
      </c>
      <c r="I137" s="251">
        <f>((E137 * (IF(H137,H137, F137))) * 10 ^ -3)</f>
        <v>0.05</v>
      </c>
      <c r="J137" s="33"/>
      <c r="K137" s="13"/>
      <c r="L137" s="33"/>
    </row>
    <row r="138" spans="4:28" ht="20.100000000000001" customHeight="1" x14ac:dyDescent="0.2">
      <c r="D138" s="15" t="str">
        <f>'Input - Livestock farm Inputs'!D13</f>
        <v>Feed for dairy calves</v>
      </c>
      <c r="E138" s="15">
        <f>IFERROR(X_Cell_FarmInputs_FeedRations_DairyCalves, 0)</f>
        <v>100</v>
      </c>
      <c r="F138" s="15" cm="1">
        <f t="array" ref="F138">Common_InputFunctions.Utility_LookupValueInTableNumber(D138,Table_SourceData_Scope3_MixedRations[Product],Table_SourceData_Scope3_MixedRations[Emissions intensity])</f>
        <v>0.41899999999999998</v>
      </c>
      <c r="G138" s="251">
        <f>((E138 * F138) * 10 ^ -3)</f>
        <v>4.19E-2</v>
      </c>
      <c r="H138" s="74">
        <v>0.4</v>
      </c>
      <c r="I138" s="251">
        <f>((E138 * (IF(H138,H138, F138))) * 10 ^ -3)</f>
        <v>0.04</v>
      </c>
      <c r="J138" s="33"/>
      <c r="K138" s="13"/>
      <c r="L138" s="33"/>
    </row>
    <row r="139" spans="4:28" ht="20.100000000000001" customHeight="1" x14ac:dyDescent="0.2">
      <c r="D139" s="15" t="str">
        <f>'Input - Livestock farm Inputs'!D14</f>
        <v>Feed for dairy cows</v>
      </c>
      <c r="E139" s="15">
        <f>IFERROR(X_Cell_FarmInputs_FeedRations_DairyCows, 0)</f>
        <v>100</v>
      </c>
      <c r="F139" s="15" cm="1">
        <f t="array" ref="F139">Common_InputFunctions.Utility_LookupValueInTableNumber(D139,Table_SourceData_Scope3_MixedRations[Product],Table_SourceData_Scope3_MixedRations[Emissions intensity])</f>
        <v>0.33300000000000002</v>
      </c>
      <c r="G139" s="251">
        <f>((E139 * F139) * 10 ^ -3)</f>
        <v>3.3300000000000003E-2</v>
      </c>
      <c r="H139" s="74">
        <v>0</v>
      </c>
      <c r="I139" s="251">
        <f>((E139 * (IF(H139,H139, F139))) * 10 ^ -3)</f>
        <v>3.3300000000000003E-2</v>
      </c>
      <c r="J139" s="33"/>
      <c r="K139" s="13"/>
      <c r="L139" s="33"/>
    </row>
    <row r="140" spans="4:28" ht="20.100000000000001" customHeight="1" x14ac:dyDescent="0.2">
      <c r="D140" s="15" t="str">
        <f>'Input - Livestock farm Inputs'!D15</f>
        <v>Feed for pigs</v>
      </c>
      <c r="E140" s="15">
        <f>IFERROR(X_Cell_FarmInputs_FeedRations_Pigs, 0)</f>
        <v>100</v>
      </c>
      <c r="F140" s="15" cm="1">
        <f t="array" ref="F140">Common_InputFunctions.Utility_LookupValueInTableNumber(D140,Table_SourceData_Scope3_MixedRations[Product],Table_SourceData_Scope3_MixedRations[Emissions intensity])</f>
        <v>0.40300000000000002</v>
      </c>
      <c r="G140" s="251">
        <f>((E140 * F140) * 10 ^ -3)</f>
        <v>4.0300000000000002E-2</v>
      </c>
      <c r="H140" s="74">
        <v>0</v>
      </c>
      <c r="I140" s="251">
        <f>((E140 * (IF(H140,H140, F140))) * 10 ^ -3)</f>
        <v>4.0300000000000002E-2</v>
      </c>
      <c r="J140" s="33"/>
      <c r="K140" s="13"/>
      <c r="L140" s="33"/>
    </row>
    <row r="142" spans="4:28" ht="20.100000000000001" customHeight="1" x14ac:dyDescent="0.2">
      <c r="D142" s="88" t="s">
        <v>1040</v>
      </c>
      <c r="E142" s="83">
        <f>SUM(G137:G140)</f>
        <v>0.1749</v>
      </c>
      <c r="F142" s="89" t="str">
        <f>$E$105</f>
        <v>t CO2e</v>
      </c>
    </row>
    <row r="143" spans="4:28" ht="20.100000000000001" customHeight="1" x14ac:dyDescent="0.2">
      <c r="D143" s="88" t="s">
        <v>1043</v>
      </c>
      <c r="E143" s="83">
        <f>SUM(I137:I140)</f>
        <v>0.1636</v>
      </c>
      <c r="F143" s="89" t="str">
        <f>$E$105</f>
        <v>t CO2e</v>
      </c>
    </row>
    <row r="146" spans="1:12" ht="20.100000000000001" customHeight="1" x14ac:dyDescent="0.2">
      <c r="D146" s="244" t="s">
        <v>1079</v>
      </c>
    </row>
    <row r="147" spans="1:12" ht="20.100000000000001" customHeight="1" x14ac:dyDescent="0.2">
      <c r="D147" s="78" t="s">
        <v>132</v>
      </c>
      <c r="E147" s="78" t="s">
        <v>1068</v>
      </c>
      <c r="F147" s="120" t="s">
        <v>1069</v>
      </c>
      <c r="G147" s="120" t="s">
        <v>1040</v>
      </c>
      <c r="H147" s="78" t="s">
        <v>1070</v>
      </c>
      <c r="I147" s="120" t="s">
        <v>1043</v>
      </c>
      <c r="J147" s="78" t="s">
        <v>1044</v>
      </c>
      <c r="K147" s="78" t="s">
        <v>1045</v>
      </c>
      <c r="L147" s="78" t="s">
        <v>1046</v>
      </c>
    </row>
    <row r="148" spans="1:12" ht="20.100000000000001" customHeight="1" x14ac:dyDescent="0.2">
      <c r="D148" s="15"/>
      <c r="E148" s="15">
        <f>IFERROR(X_Cell_Input_AquacultureInput_SardinesSouthAustralia, 0)</f>
        <v>0</v>
      </c>
      <c r="F148" s="15" cm="1">
        <f t="array" ref="F148">Common_InputFunctions.Utility_LookupValueInTableNumber("Sardines (whole)" &amp;"SA", Table_SourceData_Scope3_FishFeedAndBait[Product]&amp;Table_SourceData_Scope3_FishFeedAndBait[Region of origin], Table_SourceData_Scope3_FishFeedAndBait[Emissions intensity])</f>
        <v>0.376</v>
      </c>
      <c r="G148" s="251">
        <f>((E148 * F148) * 10 ^ -3)</f>
        <v>0</v>
      </c>
      <c r="H148" s="74">
        <v>0.2</v>
      </c>
      <c r="I148" s="251">
        <f>((E148 * (IF(H148,H148, F148))) * 10 ^ -3)</f>
        <v>0</v>
      </c>
      <c r="J148" s="33"/>
      <c r="K148" s="33"/>
      <c r="L148" s="33"/>
    </row>
    <row r="149" spans="1:12" ht="20.100000000000001" customHeight="1" x14ac:dyDescent="0.2">
      <c r="D149" s="15"/>
      <c r="E149" s="15">
        <f>IFERROR(X_Cell_Input_AquacultureInput_SardinesAustralia, 0)</f>
        <v>0</v>
      </c>
      <c r="F149" s="15" cm="1">
        <f t="array" ref="F149">Common_InputFunctions.Utility_LookupValueInTableNumber("Sardines (whole)" &amp;"Australia", Table_SourceData_Scope3_FishFeedAndBait[Product]&amp;Table_SourceData_Scope3_FishFeedAndBait[Region of origin], Table_SourceData_Scope3_FishFeedAndBait[Emissions intensity])</f>
        <v>0.3</v>
      </c>
      <c r="G149" s="251">
        <f>((E149 * F149) * 10 ^ -3)</f>
        <v>0</v>
      </c>
      <c r="H149" s="74">
        <v>0</v>
      </c>
      <c r="I149" s="251">
        <f>((E149 * (IF(H149,H149, F149))) * 10 ^ -3)</f>
        <v>0</v>
      </c>
      <c r="J149" s="33"/>
      <c r="K149" s="33"/>
      <c r="L149" s="33"/>
    </row>
    <row r="150" spans="1:12" ht="20.100000000000001" customHeight="1" x14ac:dyDescent="0.2">
      <c r="D150" s="15"/>
      <c r="E150" s="15">
        <f>IFERROR(X_Cell_Input_AquacultureInput_LowAnimalProteinFormulatedFeed, 0)</f>
        <v>0</v>
      </c>
      <c r="F150" s="15" cm="1">
        <f t="array" ref="F150">Common_InputFunctions.Utility_LookupValueInTableNumber(D150&amp;"Australia", Table_SourceData_Scope3_FishFeedAndBait[Product]&amp;Table_SourceData_Scope3_FishFeedAndBait[Region of origin], Table_SourceData_Scope3_FishFeedAndBait[Emissions intensity])</f>
        <v>0</v>
      </c>
      <c r="G150" s="251">
        <f>((E150 * F150) * 10 ^ -3)</f>
        <v>0</v>
      </c>
      <c r="H150" s="74">
        <v>0</v>
      </c>
      <c r="I150" s="251">
        <f>((E150 * (IF(H150,H150, F150))) * 10 ^ -3)</f>
        <v>0</v>
      </c>
      <c r="J150" s="33"/>
      <c r="K150" s="33"/>
      <c r="L150" s="33"/>
    </row>
    <row r="151" spans="1:12" ht="20.100000000000001" customHeight="1" x14ac:dyDescent="0.2">
      <c r="D151" s="15"/>
      <c r="E151" s="15">
        <f>IFERROR(X_Cell_Input_AquacultureInput_Squid, 0)</f>
        <v>0</v>
      </c>
      <c r="F151" s="15" cm="1">
        <f t="array" ref="F151">Common_InputFunctions.Utility_LookupValueInTableNumber(D151&amp;"Australia", Table_SourceData_Scope3_FishFeedAndBait[Product]&amp;Table_SourceData_Scope3_FishFeedAndBait[Region of origin], Table_SourceData_Scope3_FishFeedAndBait[Emissions intensity])</f>
        <v>0</v>
      </c>
      <c r="G151" s="251">
        <f>((E151 * F151) * 10 ^ -3)</f>
        <v>0</v>
      </c>
      <c r="H151" s="74">
        <v>0</v>
      </c>
      <c r="I151" s="251">
        <f>((E151 * (IF(H151,H151, F151))) * 10 ^ -3)</f>
        <v>0</v>
      </c>
      <c r="J151" s="33"/>
      <c r="K151" s="33"/>
      <c r="L151" s="33"/>
    </row>
    <row r="152" spans="1:12" ht="20.100000000000001" customHeight="1" x14ac:dyDescent="0.2">
      <c r="D152" s="15"/>
      <c r="E152" s="15">
        <f>IFERROR(X_Cell_Input_AquacultureInput_WholeFish, 0)</f>
        <v>0</v>
      </c>
      <c r="F152" s="15" cm="1">
        <f t="array" ref="F152">Common_InputFunctions.Utility_LookupValueInTableNumber(D152&amp;"Australia", Table_SourceData_Scope3_FishFeedAndBait[Product]&amp;Table_SourceData_Scope3_FishFeedAndBait[Region of origin], Table_SourceData_Scope3_FishFeedAndBait[Emissions intensity])</f>
        <v>0</v>
      </c>
      <c r="G152" s="251">
        <f>((E152 * F152) * 10 ^ -3)</f>
        <v>0</v>
      </c>
      <c r="H152" s="74">
        <v>0</v>
      </c>
      <c r="I152" s="251">
        <f>((E152 * (IF(H152,H152, F152))) * 10 ^ -3)</f>
        <v>0</v>
      </c>
      <c r="J152" s="33"/>
      <c r="K152" s="33"/>
      <c r="L152" s="33"/>
    </row>
    <row r="153" spans="1:12" ht="20.100000000000001" customHeight="1" x14ac:dyDescent="0.2">
      <c r="D153" s="15"/>
      <c r="E153" s="15">
        <f>IFERROR(X_Cell_Input_AquacultureInput_CustomBait, 0)</f>
        <v>0</v>
      </c>
      <c r="F153" s="15" cm="1">
        <f t="array" ref="F153">Common_InputFunctions.Utility_LookupValueInTableNumber(D153&amp;"Australia", Table_SourceData_Scope3_FishFeedAndBait[Product]&amp;Table_SourceData_Scope3_FishFeedAndBait[Region of origin], Table_SourceData_Scope3_FishFeedAndBait[Emissions intensity])</f>
        <v>0</v>
      </c>
      <c r="G153" s="251">
        <f>((E153 * F153) * 10 ^ -3)</f>
        <v>0</v>
      </c>
      <c r="H153" s="74">
        <v>0</v>
      </c>
      <c r="I153" s="251">
        <f>((E153 * (IF(H153,H153, F153))) * 10 ^ -3)</f>
        <v>0</v>
      </c>
      <c r="J153" s="33"/>
      <c r="K153" s="33"/>
      <c r="L153" s="33"/>
    </row>
    <row r="155" spans="1:12" ht="20.100000000000001" customHeight="1" x14ac:dyDescent="0.2">
      <c r="D155" s="88" t="s">
        <v>1040</v>
      </c>
      <c r="E155" s="83">
        <f>SUM(G148:G153)</f>
        <v>0</v>
      </c>
      <c r="F155" s="89" t="str">
        <f>$E$105</f>
        <v>t CO2e</v>
      </c>
    </row>
    <row r="156" spans="1:12" ht="20.100000000000001" customHeight="1" x14ac:dyDescent="0.2">
      <c r="D156" s="88" t="s">
        <v>1043</v>
      </c>
      <c r="E156" s="83">
        <f>SUM(I148:I153)</f>
        <v>0</v>
      </c>
      <c r="F156" s="89" t="str">
        <f>$E$105</f>
        <v>t CO2e</v>
      </c>
    </row>
    <row r="158" spans="1:12" ht="20.100000000000001" customHeight="1" x14ac:dyDescent="0.2">
      <c r="A158" s="79" t="str">
        <f>HYPERLINK("#A1", "▲ Back to top")</f>
        <v>▲ Back to top</v>
      </c>
    </row>
    <row r="159" spans="1:12" ht="20.100000000000001" customHeight="1" x14ac:dyDescent="0.2">
      <c r="D159" s="85" t="s">
        <v>1040</v>
      </c>
      <c r="E159" s="86">
        <f>E131+E142+E155</f>
        <v>0.78505200000000008</v>
      </c>
      <c r="F159" s="95" t="str">
        <f>$E$105</f>
        <v>t CO2e</v>
      </c>
    </row>
    <row r="160" spans="1:12" ht="20.100000000000001" customHeight="1" x14ac:dyDescent="0.2">
      <c r="D160" s="85" t="s">
        <v>1043</v>
      </c>
      <c r="E160" s="86">
        <f>E132+E143+E156</f>
        <v>0.52978000000000003</v>
      </c>
      <c r="F160" s="95" t="str">
        <f>$E$105</f>
        <v>t CO2e</v>
      </c>
    </row>
    <row r="163" spans="3:41" ht="20.100000000000001" customHeight="1" x14ac:dyDescent="0.2">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row>
    <row r="164" spans="3:41" ht="20.100000000000001" customHeight="1" x14ac:dyDescent="0.2">
      <c r="D164" s="2" t="s">
        <v>1509</v>
      </c>
    </row>
    <row r="165" spans="3:41" ht="20.100000000000001" customHeight="1" x14ac:dyDescent="0.2">
      <c r="D165" s="17" t="s">
        <v>1510</v>
      </c>
    </row>
    <row r="166" spans="3:41" ht="20.100000000000001" customHeight="1" x14ac:dyDescent="0.2">
      <c r="D166" s="112"/>
      <c r="E166" s="112"/>
    </row>
    <row r="168" spans="3:41" ht="20.100000000000001" customHeight="1" x14ac:dyDescent="0.2">
      <c r="F168" s="25" t="s">
        <v>1503</v>
      </c>
      <c r="H168" s="112"/>
    </row>
    <row r="169" spans="3:41" ht="20.100000000000001" customHeight="1" x14ac:dyDescent="0.2">
      <c r="D169" s="75" t="s">
        <v>328</v>
      </c>
      <c r="E169" s="1" t="s">
        <v>1146</v>
      </c>
    </row>
    <row r="170" spans="3:41" ht="20.100000000000001" customHeight="1" x14ac:dyDescent="0.2">
      <c r="D170" s="75" t="s">
        <v>118</v>
      </c>
      <c r="E170" s="9" t="s">
        <v>7</v>
      </c>
    </row>
    <row r="172" spans="3:41" ht="20.100000000000001" customHeight="1" x14ac:dyDescent="0.2">
      <c r="D172" s="113" t="s">
        <v>1511</v>
      </c>
      <c r="E172" s="122" t="s">
        <v>1512</v>
      </c>
      <c r="F172" s="123"/>
      <c r="G172" s="113" t="s">
        <v>757</v>
      </c>
      <c r="H172" s="249" t="s">
        <v>1202</v>
      </c>
    </row>
    <row r="173" spans="3:41" ht="20.100000000000001" customHeight="1" x14ac:dyDescent="0.2">
      <c r="D173" s="113" t="s">
        <v>1513</v>
      </c>
      <c r="E173" s="122" t="s">
        <v>1514</v>
      </c>
      <c r="F173" s="123"/>
      <c r="G173" s="113" t="s">
        <v>1500</v>
      </c>
      <c r="H173" s="249" t="s">
        <v>1203</v>
      </c>
    </row>
    <row r="174" spans="3:41" ht="20.100000000000001" customHeight="1" x14ac:dyDescent="0.2">
      <c r="D174" s="113" t="s">
        <v>1432</v>
      </c>
      <c r="E174" s="122" t="s">
        <v>1515</v>
      </c>
      <c r="F174" s="123"/>
      <c r="G174" s="113"/>
      <c r="H174" s="115" t="s">
        <v>1202</v>
      </c>
    </row>
    <row r="176" spans="3:41" ht="20.100000000000001" customHeight="1" x14ac:dyDescent="0.2">
      <c r="D176" s="78" t="s">
        <v>132</v>
      </c>
      <c r="E176" s="78" t="s">
        <v>1080</v>
      </c>
      <c r="F176" s="120" t="s">
        <v>1081</v>
      </c>
      <c r="G176" s="120" t="s">
        <v>1040</v>
      </c>
      <c r="H176" s="78" t="s">
        <v>1082</v>
      </c>
      <c r="I176" s="120" t="s">
        <v>1043</v>
      </c>
      <c r="J176" s="78" t="s">
        <v>1044</v>
      </c>
      <c r="K176" s="78" t="s">
        <v>1045</v>
      </c>
      <c r="L176" s="78" t="s">
        <v>1046</v>
      </c>
    </row>
    <row r="177" spans="1:41" ht="20.100000000000001" customHeight="1" x14ac:dyDescent="0.2">
      <c r="D177" s="15" t="str">
        <f>'Input - Livestock farm Inputs'!D7</f>
        <v>Lick block, dry season mix</v>
      </c>
      <c r="E177" s="15">
        <f>IFERROR(X_Cell_FarmInputs_LickBlocks_DrySeasonMix, 0)</f>
        <v>100</v>
      </c>
      <c r="F177" s="15" cm="1">
        <f t="array" ref="F177">Common_InputFunctions.Utility_LookupValueInTableNumber(D177,Table_SourceData_Scope3_LickBlocks[Product],Table_SourceData_Scope3_LickBlocks[Emissions intensity])</f>
        <v>0.88100000000000001</v>
      </c>
      <c r="G177" s="251">
        <f>((E177 * F177) * 10 ^ -3)</f>
        <v>8.8099999999999998E-2</v>
      </c>
      <c r="H177" s="74">
        <v>0.8</v>
      </c>
      <c r="I177" s="251">
        <f>((E177 * (IF(H177, H177, F177))) * 10 ^ -3)</f>
        <v>0.08</v>
      </c>
      <c r="J177" s="33"/>
      <c r="K177" s="13"/>
      <c r="L177" s="33"/>
    </row>
    <row r="178" spans="1:41" ht="20.100000000000001" customHeight="1" x14ac:dyDescent="0.2">
      <c r="D178" s="15" t="str">
        <f>'Input - Livestock farm Inputs'!D8</f>
        <v>Lick block, mineral</v>
      </c>
      <c r="E178" s="15">
        <f>IFERROR(X_Cell_FarmInputs_LickBlocks_Mineral, 0)</f>
        <v>100</v>
      </c>
      <c r="F178" s="15" cm="1">
        <f t="array" ref="F178">Common_InputFunctions.Utility_LookupValueInTableNumber(D178,Table_SourceData_Scope3_LickBlocks[Product],Table_SourceData_Scope3_LickBlocks[Emissions intensity])</f>
        <v>0.67700000000000005</v>
      </c>
      <c r="G178" s="251">
        <f>((E178 * F178) * 10 ^ -3)</f>
        <v>6.770000000000001E-2</v>
      </c>
      <c r="H178" s="74">
        <v>0.6</v>
      </c>
      <c r="I178" s="251">
        <f>((E178 * (IF(H178, H178, F178))) * 10 ^ -3)</f>
        <v>0.06</v>
      </c>
      <c r="J178" s="33"/>
      <c r="K178" s="13"/>
      <c r="L178" s="33"/>
    </row>
    <row r="179" spans="1:41" ht="20.100000000000001" customHeight="1" x14ac:dyDescent="0.2">
      <c r="D179" s="15" t="str">
        <f>'Input - Livestock farm Inputs'!D9</f>
        <v>Lick block, weaner</v>
      </c>
      <c r="E179" s="15">
        <f>IFERROR(X_Cell_FarmInputs_LickBlocks_Weaner, 0)</f>
        <v>100</v>
      </c>
      <c r="F179" s="15" cm="1">
        <f t="array" ref="F179">Common_InputFunctions.Utility_LookupValueInTableNumber(D179,Table_SourceData_Scope3_LickBlocks[Product],Table_SourceData_Scope3_LickBlocks[Emissions intensity])</f>
        <v>0.23100000000000001</v>
      </c>
      <c r="G179" s="251">
        <f>((E179 * F179) * 10 ^ -3)</f>
        <v>2.3100000000000002E-2</v>
      </c>
      <c r="H179" s="74">
        <v>0.2</v>
      </c>
      <c r="I179" s="251">
        <f>((E179 * (IF(H179, H179, F179))) * 10 ^ -3)</f>
        <v>0.02</v>
      </c>
      <c r="J179" s="33"/>
      <c r="K179" s="13"/>
      <c r="L179" s="33"/>
    </row>
    <row r="181" spans="1:41" ht="20.100000000000001" customHeight="1" x14ac:dyDescent="0.2">
      <c r="D181" s="85" t="s">
        <v>1040</v>
      </c>
      <c r="E181" s="86">
        <f>SUM(G177:G179)</f>
        <v>0.1789</v>
      </c>
      <c r="F181" s="95" t="str">
        <f>$E$170</f>
        <v>t CO2e</v>
      </c>
    </row>
    <row r="182" spans="1:41" ht="20.100000000000001" customHeight="1" x14ac:dyDescent="0.2">
      <c r="D182" s="85" t="s">
        <v>1043</v>
      </c>
      <c r="E182" s="86">
        <f>SUM(I177:I179)</f>
        <v>0.16</v>
      </c>
      <c r="F182" s="95" t="str">
        <f>$E$170</f>
        <v>t CO2e</v>
      </c>
    </row>
    <row r="185" spans="1:41" ht="20.100000000000001" customHeight="1" x14ac:dyDescent="0.2">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row>
    <row r="186" spans="1:41" ht="20.100000000000001" customHeight="1" x14ac:dyDescent="0.2">
      <c r="D186" s="2" t="s">
        <v>1516</v>
      </c>
    </row>
    <row r="187" spans="1:41" ht="20.100000000000001" customHeight="1" x14ac:dyDescent="0.2">
      <c r="D187" s="17" t="s">
        <v>1517</v>
      </c>
    </row>
    <row r="188" spans="1:41" ht="20.100000000000001" customHeight="1" x14ac:dyDescent="0.2">
      <c r="A188" s="79" t="str">
        <f>HYPERLINK("#A1", "▲ Back to top")</f>
        <v>▲ Back to top</v>
      </c>
      <c r="D188" s="25" t="s">
        <v>1518</v>
      </c>
    </row>
    <row r="189" spans="1:41" ht="20.100000000000001" customHeight="1" x14ac:dyDescent="0.2">
      <c r="D189" s="112"/>
      <c r="E189" s="112"/>
    </row>
    <row r="192" spans="1:41" ht="20.100000000000001" customHeight="1" x14ac:dyDescent="0.2">
      <c r="D192" s="75" t="s">
        <v>328</v>
      </c>
      <c r="E192" s="1" t="s">
        <v>1519</v>
      </c>
    </row>
    <row r="193" spans="4:8" ht="20.100000000000001" customHeight="1" x14ac:dyDescent="0.2">
      <c r="D193" s="75" t="s">
        <v>118</v>
      </c>
      <c r="E193" s="9" t="s">
        <v>1520</v>
      </c>
    </row>
    <row r="195" spans="4:8" ht="20.100000000000001" customHeight="1" x14ac:dyDescent="0.2">
      <c r="D195" s="113" t="s">
        <v>1521</v>
      </c>
      <c r="E195" s="122" t="s">
        <v>1522</v>
      </c>
      <c r="F195" s="123"/>
      <c r="G195" s="113" t="s">
        <v>1528</v>
      </c>
      <c r="H195" s="249" t="s">
        <v>1202</v>
      </c>
    </row>
    <row r="196" spans="4:8" ht="20.100000000000001" customHeight="1" x14ac:dyDescent="0.2">
      <c r="D196" s="113" t="s">
        <v>1523</v>
      </c>
      <c r="E196" s="122" t="s">
        <v>1524</v>
      </c>
      <c r="F196" s="123"/>
      <c r="G196" s="113" t="s">
        <v>1529</v>
      </c>
      <c r="H196" s="115" t="s">
        <v>1203</v>
      </c>
    </row>
    <row r="197" spans="4:8" ht="20.100000000000001" customHeight="1" x14ac:dyDescent="0.2">
      <c r="D197" s="113" t="s">
        <v>1494</v>
      </c>
      <c r="E197" s="122" t="s">
        <v>1525</v>
      </c>
      <c r="F197" s="123"/>
      <c r="G197" s="113"/>
      <c r="H197" s="249" t="s">
        <v>1202</v>
      </c>
    </row>
    <row r="198" spans="4:8" ht="20.100000000000001" customHeight="1" x14ac:dyDescent="0.2">
      <c r="D198" s="113" t="s">
        <v>1526</v>
      </c>
      <c r="E198" s="122" t="s">
        <v>1527</v>
      </c>
      <c r="F198" s="123"/>
      <c r="G198" s="113"/>
      <c r="H198" s="249" t="s">
        <v>1202</v>
      </c>
    </row>
    <row r="201" spans="4:8" ht="20.100000000000001" customHeight="1" x14ac:dyDescent="0.2">
      <c r="D201" s="2" t="s">
        <v>1530</v>
      </c>
    </row>
    <row r="202" spans="4:8" ht="20.100000000000001" customHeight="1" x14ac:dyDescent="0.2">
      <c r="D202" s="17" t="s">
        <v>1531</v>
      </c>
    </row>
    <row r="203" spans="4:8" ht="20.100000000000001" customHeight="1" x14ac:dyDescent="0.2">
      <c r="D203" s="112"/>
      <c r="E203" s="112"/>
    </row>
    <row r="206" spans="4:8" ht="20.100000000000001" customHeight="1" x14ac:dyDescent="0.2">
      <c r="D206" s="75" t="s">
        <v>328</v>
      </c>
      <c r="E206" s="1" t="s">
        <v>1146</v>
      </c>
    </row>
    <row r="207" spans="4:8" ht="20.100000000000001" customHeight="1" x14ac:dyDescent="0.2">
      <c r="D207" s="75" t="s">
        <v>118</v>
      </c>
      <c r="E207" s="9" t="s">
        <v>7</v>
      </c>
    </row>
    <row r="209" spans="1:8" ht="20.100000000000001" customHeight="1" x14ac:dyDescent="0.2">
      <c r="D209" s="113" t="s">
        <v>1532</v>
      </c>
      <c r="E209" s="113" t="s">
        <v>1533</v>
      </c>
      <c r="F209" s="113"/>
      <c r="G209" s="113" t="s">
        <v>757</v>
      </c>
      <c r="H209" s="249" t="s">
        <v>1202</v>
      </c>
    </row>
    <row r="210" spans="1:8" ht="20.100000000000001" customHeight="1" x14ac:dyDescent="0.2">
      <c r="D210" s="113" t="s">
        <v>1519</v>
      </c>
      <c r="E210" s="113" t="s">
        <v>1534</v>
      </c>
      <c r="F210" s="113"/>
      <c r="G210" s="113" t="s">
        <v>1500</v>
      </c>
      <c r="H210" s="115" t="s">
        <v>1203</v>
      </c>
    </row>
    <row r="211" spans="1:8" ht="20.100000000000001" customHeight="1" x14ac:dyDescent="0.2">
      <c r="D211" s="113" t="s">
        <v>1318</v>
      </c>
      <c r="E211" s="122" t="s">
        <v>1319</v>
      </c>
      <c r="F211" s="123"/>
      <c r="G211" s="113"/>
      <c r="H211" s="249" t="s">
        <v>1202</v>
      </c>
    </row>
    <row r="212" spans="1:8" ht="20.100000000000001" customHeight="1" x14ac:dyDescent="0.2">
      <c r="D212" s="113" t="s">
        <v>1526</v>
      </c>
      <c r="E212" s="122" t="s">
        <v>1527</v>
      </c>
      <c r="F212" s="123"/>
      <c r="G212" s="113"/>
      <c r="H212" s="249" t="s">
        <v>1202</v>
      </c>
    </row>
    <row r="215" spans="1:8" ht="20.100000000000001" customHeight="1" x14ac:dyDescent="0.2">
      <c r="D215" s="2" t="s">
        <v>1535</v>
      </c>
    </row>
    <row r="216" spans="1:8" ht="20.100000000000001" customHeight="1" x14ac:dyDescent="0.2">
      <c r="D216" s="17" t="s">
        <v>1536</v>
      </c>
    </row>
    <row r="217" spans="1:8" ht="20.100000000000001" customHeight="1" x14ac:dyDescent="0.2">
      <c r="D217" s="25" t="s">
        <v>1537</v>
      </c>
    </row>
    <row r="218" spans="1:8" ht="20.100000000000001" customHeight="1" x14ac:dyDescent="0.2">
      <c r="A218" s="79" t="str">
        <f>HYPERLINK("#A1", "▲ Back to top")</f>
        <v>▲ Back to top</v>
      </c>
      <c r="D218" s="112"/>
      <c r="E218" s="112"/>
    </row>
    <row r="221" spans="1:8" ht="20.100000000000001" customHeight="1" x14ac:dyDescent="0.2">
      <c r="D221" s="75" t="s">
        <v>328</v>
      </c>
      <c r="E221" s="1" t="s">
        <v>1146</v>
      </c>
    </row>
    <row r="222" spans="1:8" ht="20.100000000000001" customHeight="1" x14ac:dyDescent="0.2">
      <c r="D222" s="75" t="s">
        <v>118</v>
      </c>
      <c r="E222" s="9" t="s">
        <v>7</v>
      </c>
    </row>
    <row r="224" spans="1:8" ht="20.100000000000001" customHeight="1" x14ac:dyDescent="0.2">
      <c r="D224" s="113" t="s">
        <v>1521</v>
      </c>
      <c r="E224" s="122" t="s">
        <v>1522</v>
      </c>
      <c r="F224" s="123"/>
      <c r="G224" s="113" t="s">
        <v>1528</v>
      </c>
      <c r="H224" s="249" t="s">
        <v>1202</v>
      </c>
    </row>
    <row r="225" spans="4:40" ht="20.100000000000001" customHeight="1" x14ac:dyDescent="0.2">
      <c r="D225" s="113" t="s">
        <v>1532</v>
      </c>
      <c r="E225" s="122" t="s">
        <v>1533</v>
      </c>
      <c r="F225" s="123"/>
      <c r="G225" s="113" t="s">
        <v>757</v>
      </c>
      <c r="H225" s="115" t="s">
        <v>1202</v>
      </c>
    </row>
    <row r="226" spans="4:40" ht="20.100000000000001" customHeight="1" x14ac:dyDescent="0.2">
      <c r="D226" s="113" t="s">
        <v>1523</v>
      </c>
      <c r="E226" s="122" t="s">
        <v>1524</v>
      </c>
      <c r="F226" s="123"/>
      <c r="G226" s="113" t="s">
        <v>1529</v>
      </c>
      <c r="H226" s="115" t="s">
        <v>1203</v>
      </c>
    </row>
    <row r="227" spans="4:40" ht="20.100000000000001" customHeight="1" x14ac:dyDescent="0.2">
      <c r="D227" s="113" t="s">
        <v>1494</v>
      </c>
      <c r="E227" s="122" t="s">
        <v>1525</v>
      </c>
      <c r="F227" s="123"/>
      <c r="G227" s="113"/>
      <c r="H227" s="249" t="s">
        <v>1202</v>
      </c>
    </row>
    <row r="228" spans="4:40" ht="20.100000000000001" customHeight="1" x14ac:dyDescent="0.2">
      <c r="D228" s="113" t="s">
        <v>1526</v>
      </c>
      <c r="E228" s="122" t="s">
        <v>1527</v>
      </c>
      <c r="F228" s="123"/>
      <c r="G228" s="113"/>
      <c r="H228" s="249" t="s">
        <v>1202</v>
      </c>
    </row>
    <row r="229" spans="4:40" ht="20.100000000000001" customHeight="1" x14ac:dyDescent="0.2">
      <c r="D229" s="113" t="s">
        <v>1318</v>
      </c>
      <c r="E229" s="122" t="s">
        <v>1319</v>
      </c>
      <c r="F229" s="123"/>
      <c r="G229" s="113"/>
      <c r="H229" s="249" t="s">
        <v>1202</v>
      </c>
    </row>
    <row r="231" spans="4:40" ht="20.100000000000001" customHeight="1" x14ac:dyDescent="0.2">
      <c r="D231" s="244" t="s">
        <v>1083</v>
      </c>
    </row>
    <row r="233" spans="4:40" ht="20.100000000000001" customHeight="1" x14ac:dyDescent="0.2">
      <c r="D233" s="35" t="s">
        <v>1084</v>
      </c>
      <c r="E233" s="37"/>
      <c r="F233" s="38"/>
    </row>
    <row r="235" spans="4:40" ht="20.100000000000001" customHeight="1" x14ac:dyDescent="0.2">
      <c r="D235" s="78" t="s">
        <v>132</v>
      </c>
      <c r="E235" s="78" t="s">
        <v>1085</v>
      </c>
      <c r="F235" s="120" t="s">
        <v>1086</v>
      </c>
      <c r="G235" s="120" t="s">
        <v>1087</v>
      </c>
      <c r="H235" s="120" t="s">
        <v>1088</v>
      </c>
      <c r="I235" s="78" t="s">
        <v>1089</v>
      </c>
      <c r="J235" s="120" t="s">
        <v>1090</v>
      </c>
      <c r="K235" s="120" t="s">
        <v>1091</v>
      </c>
      <c r="L235" s="78" t="s">
        <v>1044</v>
      </c>
      <c r="M235" s="78" t="s">
        <v>1045</v>
      </c>
      <c r="N235" s="78" t="s">
        <v>1046</v>
      </c>
      <c r="O235" s="120" t="s">
        <v>711</v>
      </c>
      <c r="P235" s="120" t="s">
        <v>712</v>
      </c>
      <c r="Q235" s="120" t="s">
        <v>696</v>
      </c>
      <c r="R235" s="120" t="s">
        <v>697</v>
      </c>
      <c r="S235" s="120" t="s">
        <v>1092</v>
      </c>
      <c r="T235" s="78" t="s">
        <v>1093</v>
      </c>
      <c r="U235" s="120" t="s">
        <v>698</v>
      </c>
      <c r="V235" s="120" t="s">
        <v>699</v>
      </c>
      <c r="W235" s="120" t="s">
        <v>1094</v>
      </c>
      <c r="X235" s="78" t="s">
        <v>1095</v>
      </c>
      <c r="Y235" s="120" t="s">
        <v>700</v>
      </c>
      <c r="Z235" s="120" t="s">
        <v>701</v>
      </c>
      <c r="AA235" s="120" t="s">
        <v>1096</v>
      </c>
      <c r="AB235" s="78" t="s">
        <v>1097</v>
      </c>
      <c r="AC235" s="120" t="s">
        <v>702</v>
      </c>
      <c r="AD235" s="120" t="s">
        <v>703</v>
      </c>
      <c r="AE235" s="120" t="s">
        <v>1098</v>
      </c>
      <c r="AF235" s="78" t="s">
        <v>1099</v>
      </c>
      <c r="AG235" s="120" t="s">
        <v>704</v>
      </c>
      <c r="AH235" s="120" t="s">
        <v>705</v>
      </c>
      <c r="AI235" s="120" t="s">
        <v>1100</v>
      </c>
      <c r="AJ235" s="78" t="s">
        <v>1101</v>
      </c>
      <c r="AK235" s="120" t="s">
        <v>706</v>
      </c>
      <c r="AL235" s="120" t="s">
        <v>707</v>
      </c>
      <c r="AM235" s="120" t="s">
        <v>1102</v>
      </c>
      <c r="AN235" s="78" t="s">
        <v>1103</v>
      </c>
    </row>
    <row r="236" spans="4:40" ht="20.100000000000001" customHeight="1" x14ac:dyDescent="0.2">
      <c r="D236" s="15" t="str" cm="1">
        <f t="array" ref="D236:D245">IFERROR(INDEX(Table_Input_InorganicFertiliser_Brands[Product (select)], _xlfn.SEQUENCE(10)), "")</f>
        <v>Urea</v>
      </c>
      <c r="E236" s="15" cm="1">
        <f t="array" ref="E236:E245">IFERROR(INDEX(Table_Input_InorganicFertiliser_Brands[Total applied (kg)], _xlfn.SEQUENCE(10)), 0)</f>
        <v>10000</v>
      </c>
      <c r="F236" s="15">
        <f>(R236 * S236)+
(V236 * W236)+
(Z236 * AA236)+
(AD236 * AE236)+
(AH236 * AI236)+
(AL236 * AM236)</f>
        <v>0</v>
      </c>
      <c r="G236" s="251">
        <f>((E236 * F236) * 10 ^ -3)</f>
        <v>0</v>
      </c>
      <c r="H236" s="15">
        <f>((R236 * $E236) * S236 * 10 ^ -3)+
((V236 * $E236) * W236 * 10 ^ -3)+
((Z236 * $E236) * AA236 * 10 ^ -3)+
((AD236 * $E236) * AE236 * 10 ^ -3)+
((AH236 * $E236) * AI236 * 10 ^ -3)+
((AL236 * $E236) * AM236 * 10 ^ -3)</f>
        <v>0</v>
      </c>
      <c r="I236" s="74">
        <v>0.4</v>
      </c>
      <c r="J236" s="251">
        <f>((E236 * I236) * 10 ^ -3)</f>
        <v>4</v>
      </c>
      <c r="K236" s="251">
        <f>((R236 * $E236) * (IF(T236,T236,S236)) * 10 ^ -3)+
((V236 * $E236) * (IF(X236,X236,W236)) * 10 ^ -3)+
((Z236 * $E236) * (IF(AB236,AB236,AA236)) * 10 ^ -3)+
((AD236 * $E236) * (IF(AF236,AF236,AE236)) * 10 ^ -3)+
((AH236 * $E236) * (IF(AJ236,AJ236,AI236)) * 10 ^ -3)+
((AL236 * $E236) * (IF(AN236,AN236,AM236)) * 10 ^ -3)</f>
        <v>9</v>
      </c>
      <c r="L236" s="33"/>
      <c r="M236" s="13"/>
      <c r="N236"/>
      <c r="O236" s="15" cm="1">
        <f t="array" ref="O236:O245">IFERROR(INDEX(Table_Input_InorganicFertiliser_Brands[Urea source], _xlfn.SEQUENCE(10)), "")</f>
        <v>0</v>
      </c>
      <c r="P236" s="15" cm="1">
        <f t="array" ref="P236:P245">IFERROR(INDEX(Table_Input_InorganicFertiliser_Brands[Ammonia source], _xlfn.SEQUENCE(10)), "")</f>
        <v>0</v>
      </c>
      <c r="Q236" s="15" t="str" cm="1">
        <f t="array" ref="Q236:Q245">IFERROR(INDEX(Table_Input_InorganicFertiliser_Brands[Ingredient 1], _xlfn.SEQUENCE(10)), "")</f>
        <v>Urea</v>
      </c>
      <c r="R236" s="15" cm="1">
        <f t="array" ref="R236:R245">IFERROR(INDEX(_xlfn.LET(_xlpm.result, Table_Input_InorganicFertiliser_Brands[Ingredient 1 percent], IF(_xlpm.result="", 0, _xlpm.result)), _xlfn.SEQUENCE(10)), 0)</f>
        <v>1</v>
      </c>
      <c r="S236" s="15" cm="1">
        <f t="array" ref="S236">_xlfn.LET(_xlpm.result, Common_InputFunctions.Utility_LookupValueInTableTwoColumns(Q236, _xlfn.IFS(Q236="Urea",IF($O236="", "Global", $O236), Q236="Ammonia", IF($P236="", "Global", $P236), TRUE, "Global"), Table_SourceData_Scope3_InorganicFertiliser[Chemical compound],Table_SourceData_Scope3_InorganicFertiliser[Region of origin],Table_SourceData_Scope3_InorganicFertiliser[Emissions intensity]), IF(_xlpm.result="", 0, _xlpm.result))</f>
        <v>0</v>
      </c>
      <c r="T236" s="74">
        <v>0.9</v>
      </c>
      <c r="U236" s="15" cm="1">
        <f t="array" ref="U236:U245">IFERROR(INDEX(Table_Input_InorganicFertiliser_Brands[Ingredient 2], _xlfn.SEQUENCE(10)), "")</f>
        <v>0</v>
      </c>
      <c r="V236" s="15" cm="1">
        <f t="array" ref="V236:V245">IFERROR(INDEX(_xlfn.LET(_xlpm.result, Table_Input_InorganicFertiliser_Brands[Ingredient 2 percent], IF(_xlpm.result="", 0, _xlpm.result)), _xlfn.SEQUENCE(10)), 0)</f>
        <v>0</v>
      </c>
      <c r="W236" s="15" cm="1">
        <f t="array" ref="W236">_xlfn.LET(_xlpm.result, Common_InputFunctions.Utility_LookupValueInTableTwoColumns(U236, _xlfn.IFS(U236="Urea",IF($O236="", "Global", $O236), U236="Ammonia", IF($P236="", "Global", $P236), TRUE, "Global"), Table_SourceData_Scope3_InorganicFertiliser[Chemical compound],Table_SourceData_Scope3_InorganicFertiliser[Region of origin],Table_SourceData_Scope3_InorganicFertiliser[Emissions intensity]), IF(_xlpm.result="", 0, _xlpm.result))</f>
        <v>0</v>
      </c>
      <c r="X236" s="74">
        <v>0.9</v>
      </c>
      <c r="Y236" s="15" cm="1">
        <f t="array" ref="Y236:Y245">IFERROR(INDEX(Table_Input_InorganicFertiliser_Brands[Ingredient 3], _xlfn.SEQUENCE(10)), "")</f>
        <v>0</v>
      </c>
      <c r="Z236" s="15" cm="1">
        <f t="array" ref="Z236:Z245">IFERROR(INDEX(_xlfn.LET(_xlpm.result, Table_Input_InorganicFertiliser_Brands[Ingredient 3 percent], IF(_xlpm.result="", 0, _xlpm.result)), _xlfn.SEQUENCE(10)), 0)</f>
        <v>0</v>
      </c>
      <c r="AA236" s="15" cm="1">
        <f t="array" ref="AA236">_xlfn.LET(_xlpm.result, Common_InputFunctions.Utility_LookupValueInTableTwoColumns(Y236, _xlfn.IFS(Y236="Urea",IF($O236="", "Global", $O236), Y236="Ammonia", IF($P236="", "Global", $P236), TRUE, "Global"), Table_SourceData_Scope3_InorganicFertiliser[Chemical compound],Table_SourceData_Scope3_InorganicFertiliser[Region of origin],Table_SourceData_Scope3_InorganicFertiliser[Emissions intensity]), IF(_xlpm.result="", 0, _xlpm.result))</f>
        <v>0</v>
      </c>
      <c r="AB236" s="74">
        <v>4</v>
      </c>
      <c r="AC236" s="15" cm="1">
        <f t="array" ref="AC236:AC245">IFERROR(INDEX(Table_Input_InorganicFertiliser_Brands[Ingredient 4], _xlfn.SEQUENCE(10)), "")</f>
        <v>0</v>
      </c>
      <c r="AD236" s="15" cm="1">
        <f t="array" ref="AD236:AD245">IFERROR(INDEX(_xlfn.LET(_xlpm.result, Table_Input_InorganicFertiliser_Brands[Ingredient 4 percent], IF(_xlpm.result="", 0, _xlpm.result)), _xlfn.SEQUENCE(10)), 0)</f>
        <v>0</v>
      </c>
      <c r="AE236" s="15" cm="1">
        <f t="array" ref="AE236">_xlfn.LET(_xlpm.result, Common_InputFunctions.Utility_LookupValueInTableTwoColumns(AC236, _xlfn.IFS(AC236="Urea",IF($O236="", "Global", $O236), AC236="Ammonia", IF($P236="", "Global", $P236), TRUE, "Global"), Table_SourceData_Scope3_InorganicFertiliser[Chemical compound],Table_SourceData_Scope3_InorganicFertiliser[Region of origin],Table_SourceData_Scope3_InorganicFertiliser[Emissions intensity]), IF(_xlpm.result="", 0, _xlpm.result))</f>
        <v>0</v>
      </c>
      <c r="AF236" s="74">
        <v>0</v>
      </c>
      <c r="AG236" s="15" cm="1">
        <f t="array" ref="AG236:AG245">IFERROR(INDEX(Table_Input_InorganicFertiliser_Brands[Ingredient 5], _xlfn.SEQUENCE(10)), "")</f>
        <v>0</v>
      </c>
      <c r="AH236" s="15" cm="1">
        <f t="array" ref="AH236:AH245">IFERROR(INDEX(_xlfn.LET(_xlpm.result, Table_Input_InorganicFertiliser_Brands[Ingredient 5 percent], IF(_xlpm.result="", 0, _xlpm.result)), _xlfn.SEQUENCE(10)), 0)</f>
        <v>0</v>
      </c>
      <c r="AI236" s="15" cm="1">
        <f t="array" ref="AI236">_xlfn.LET(_xlpm.result, Common_InputFunctions.Utility_LookupValueInTableTwoColumns(AG236, _xlfn.IFS(AG236="Urea",IF($O236="", "Global", $O236), AG236="Ammonia", IF($P236="", "Global", $P236), TRUE, "Global"), Table_SourceData_Scope3_InorganicFertiliser[Chemical compound],Table_SourceData_Scope3_InorganicFertiliser[Region of origin],Table_SourceData_Scope3_InorganicFertiliser[Emissions intensity]), IF(_xlpm.result="", 0, _xlpm.result))</f>
        <v>0</v>
      </c>
      <c r="AJ236" s="74">
        <v>0</v>
      </c>
      <c r="AK236" s="15" cm="1">
        <f t="array" ref="AK236:AK245">IFERROR(INDEX(Table_Input_InorganicFertiliser_Brands[Ingredient 6], _xlfn.SEQUENCE(10)), "")</f>
        <v>0</v>
      </c>
      <c r="AL236" s="15" cm="1">
        <f t="array" ref="AL236:AL245">IFERROR(INDEX(_xlfn.LET(_xlpm.result, Table_Input_InorganicFertiliser_Brands[Ingredient 6 percent], IF(_xlpm.result="", 0, _xlpm.result)), _xlfn.SEQUENCE(10)), 0)</f>
        <v>0</v>
      </c>
      <c r="AM236" s="15" cm="1">
        <f t="array" ref="AM236">_xlfn.LET(_xlpm.result, Common_InputFunctions.Utility_LookupValueInTableTwoColumns(AK236, _xlfn.IFS(AK236="Urea",IF($O236="", "Global", $O236), AK236="Ammonia", IF($P236="", "Global", $P236), TRUE, "Global"), Table_SourceData_Scope3_InorganicFertiliser[Chemical compound],Table_SourceData_Scope3_InorganicFertiliser[Region of origin],Table_SourceData_Scope3_InorganicFertiliser[Emissions intensity]), IF(_xlpm.result="", 0, _xlpm.result))</f>
        <v>0</v>
      </c>
      <c r="AN236" s="74"/>
    </row>
    <row r="237" spans="4:40" ht="20.100000000000001" customHeight="1" x14ac:dyDescent="0.2">
      <c r="D237" s="15" t="str">
        <v>Boost-It</v>
      </c>
      <c r="E237" s="15">
        <v>10000</v>
      </c>
      <c r="F237" s="15">
        <f>(R237 * S237)+
(V237 * W237)+
(Z237 * AA237)+
(AD237 * AE237)+
(AH237 * AI237)+
(AL237 * AM237)</f>
        <v>0.41114000000000001</v>
      </c>
      <c r="G237" s="251">
        <f>((E237 * F237) * 10 ^ -3)</f>
        <v>4.1113999999999997</v>
      </c>
      <c r="H237" s="15">
        <f>((R237 * $E237) * S237 * 10 ^ -3)+
((V237 * $E237) * W237 * 10 ^ -3)+
((Z237 * $E237) * AA237 * 10 ^ -3)+
((AD237 * $E237) * AE237 * 10 ^ -3)+
((AH237 * $E237) * AI237 * 10 ^ -3)+
((AL237 * $E237) * AM237 * 10 ^ -3)</f>
        <v>4.1113999999999997</v>
      </c>
      <c r="I237" s="74">
        <v>0.9</v>
      </c>
      <c r="J237" s="251">
        <f>((E237 * I237) * 10 ^ -3)</f>
        <v>9</v>
      </c>
      <c r="K237" s="251">
        <f>((R237 * $E237) * (IF(T237,T237,S237)) * 10 ^ -3)+
((V237 * $E237) * (IF(X237,X237,W237)) * 10 ^ -3)+
((Z237 * $E237) * (IF(AB237,AB237,AA237)) * 10 ^ -3)+
((AD237 * $E237) * (IF(AF237,AF237,AE237)) * 10 ^ -3)+
((AH237 * $E237) * (IF(AJ237,AJ237,AI237)) * 10 ^ -3)+
((AL237 * $E237) * (IF(AN237,AN237,AM237)) * 10 ^ -3)</f>
        <v>4.1113999999999997</v>
      </c>
      <c r="L237" s="33"/>
      <c r="M237" s="13"/>
      <c r="N237" s="33"/>
      <c r="O237" s="15">
        <v>0</v>
      </c>
      <c r="P237" s="15">
        <v>0</v>
      </c>
      <c r="Q237" s="15" t="str">
        <v>Urea</v>
      </c>
      <c r="R237" s="15">
        <v>0.52173899999999995</v>
      </c>
      <c r="S237" s="15"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origin],Table_SourceData_Scope3_InorganicFertiliser[Emissions intensity]), IF(_xlpm.result="", 0, _xlpm.result))</f>
        <v>0</v>
      </c>
      <c r="T237" s="74"/>
      <c r="U237" s="15" t="str">
        <v>Potassium - Generic</v>
      </c>
      <c r="V237" s="15">
        <v>0.08</v>
      </c>
      <c r="W237" s="15"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origin],Table_SourceData_Scope3_InorganicFertiliser[Emissions intensity]), IF(_xlpm.result="", 0, _xlpm.result))</f>
        <v>0.90900000000000003</v>
      </c>
      <c r="X237" s="74"/>
      <c r="Y237" s="15" t="str">
        <v>Sulfur - Generic</v>
      </c>
      <c r="Z237" s="15">
        <v>5.2999999999999999E-2</v>
      </c>
      <c r="AA237" s="15"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origin],Table_SourceData_Scope3_InorganicFertiliser[Emissions intensity]), IF(_xlpm.result="", 0, _xlpm.result))</f>
        <v>2.5</v>
      </c>
      <c r="AB237" s="74"/>
      <c r="AC237" s="15" t="str">
        <v>Phosphorus - Generic</v>
      </c>
      <c r="AD237" s="15">
        <v>5.1999999999999998E-2</v>
      </c>
      <c r="AE237" s="15"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origin],Table_SourceData_Scope3_InorganicFertiliser[Emissions intensity]), IF(_xlpm.result="", 0, _xlpm.result))</f>
        <v>3.96</v>
      </c>
      <c r="AF237" s="74"/>
      <c r="AG237" s="15" t="str">
        <v>Magnesium</v>
      </c>
      <c r="AH237" s="15">
        <v>1.2999999999999999E-2</v>
      </c>
      <c r="AI237" s="15" cm="1">
        <f t="array" ref="AI237">_xlfn.LET(_xlpm.result, Common_InputFunctions.Utility_LookupValueInTableTwoColumns(AG237, _xlfn.IFS(AG237="Urea",IF($O237="", "Global", $O237), AG237="Ammonia", IF($P237="", "Global", $P237), TRUE, "Global"), Table_SourceData_Scope3_InorganicFertiliser[Chemical compound],Table_SourceData_Scope3_InorganicFertiliser[Region of origin],Table_SourceData_Scope3_InorganicFertiliser[Emissions intensity]), IF(_xlpm.result="", 0, _xlpm.result))</f>
        <v>0</v>
      </c>
      <c r="AJ237" s="74"/>
      <c r="AK237" s="15" t="str">
        <v>Zinc</v>
      </c>
      <c r="AL237" s="15">
        <v>2E-3</v>
      </c>
      <c r="AM237" s="15" cm="1">
        <f t="array" ref="AM237">_xlfn.LET(_xlpm.result, Common_InputFunctions.Utility_LookupValueInTableTwoColumns(AK237, _xlfn.IFS(AK237="Urea",IF($O237="", "Global", $O237), AK237="Ammonia", IF($P237="", "Global", $P237), TRUE, "Global"), Table_SourceData_Scope3_InorganicFertiliser[Chemical compound],Table_SourceData_Scope3_InorganicFertiliser[Region of origin],Table_SourceData_Scope3_InorganicFertiliser[Emissions intensity]), IF(_xlpm.result="", 0, _xlpm.result))</f>
        <v>0</v>
      </c>
      <c r="AN237" s="74"/>
    </row>
    <row r="238" spans="4:40" ht="20.100000000000001" customHeight="1" x14ac:dyDescent="0.2">
      <c r="D238" s="15" t="str">
        <v>Cal-Gran 50/50</v>
      </c>
      <c r="E238" s="15">
        <v>10000</v>
      </c>
      <c r="F238" s="15">
        <f>(R238 * S238)+
(V238 * W238)+
(Z238 * AA238)+
(AD238 * AE238)+
(AH238 * AI238)+
(AL238 * AM238)</f>
        <v>0.8781199999999999</v>
      </c>
      <c r="G238" s="251">
        <f>((E238 * F238) * 10 ^ -3)</f>
        <v>8.7811999999999983</v>
      </c>
      <c r="H238" s="15">
        <f>((R238 * $E238) * S238 * 10 ^ -3)+
((V238 * $E238) * W238 * 10 ^ -3)+
((Z238 * $E238) * AA238 * 10 ^ -3)+
((AD238 * $E238) * AE238 * 10 ^ -3)+
((AH238 * $E238) * AI238 * 10 ^ -3)+
((AL238 * $E238) * AM238 * 10 ^ -3)</f>
        <v>8.7812000000000001</v>
      </c>
      <c r="I238" s="74">
        <v>0.4</v>
      </c>
      <c r="J238" s="251">
        <f>((E238 * I238) * 10 ^ -3)</f>
        <v>4</v>
      </c>
      <c r="K238" s="251">
        <f>((R238 * $E238) * (IF(T238,T238,S238)) * 10 ^ -3)+
((V238 * $E238) * (IF(X238,X238,W238)) * 10 ^ -3)+
((Z238 * $E238) * (IF(AB238,AB238,AA238)) * 10 ^ -3)+
((AD238 * $E238) * (IF(AF238,AF238,AE238)) * 10 ^ -3)+
((AH238 * $E238) * (IF(AJ238,AJ238,AI238)) * 10 ^ -3)+
((AL238 * $E238) * (IF(AN238,AN238,AM238)) * 10 ^ -3)</f>
        <v>8.7812000000000001</v>
      </c>
      <c r="L238" s="33"/>
      <c r="M238" s="13"/>
      <c r="N238" s="33"/>
      <c r="O238" s="15">
        <v>0</v>
      </c>
      <c r="P238" s="15">
        <v>0</v>
      </c>
      <c r="Q238" s="15" t="str">
        <v>Nitrogen - Nitrate</v>
      </c>
      <c r="R238" s="15">
        <v>5.5E-2</v>
      </c>
      <c r="S238" s="15"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origin],Table_SourceData_Scope3_InorganicFertiliser[Emissions intensity]), IF(_xlpm.result="", 0, _xlpm.result))</f>
        <v>5.47</v>
      </c>
      <c r="T238" s="74"/>
      <c r="U238" s="15" t="str">
        <v>Nitrogen - Ammoniacal</v>
      </c>
      <c r="V238" s="15">
        <v>0.124</v>
      </c>
      <c r="W238" s="15"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origin],Table_SourceData_Scope3_InorganicFertiliser[Emissions intensity]), IF(_xlpm.result="", 0, _xlpm.result))</f>
        <v>2.83</v>
      </c>
      <c r="X238" s="74"/>
      <c r="Y238" s="15" t="str">
        <v>Potassium - Generic</v>
      </c>
      <c r="Z238" s="15">
        <v>0.15</v>
      </c>
      <c r="AA238" s="15"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origin],Table_SourceData_Scope3_InorganicFertiliser[Emissions intensity]), IF(_xlpm.result="", 0, _xlpm.result))</f>
        <v>0.90900000000000003</v>
      </c>
      <c r="AB238" s="74"/>
      <c r="AC238" s="15" t="str">
        <v>Sulfur - Generic</v>
      </c>
      <c r="AD238" s="15">
        <v>3.5999999999999997E-2</v>
      </c>
      <c r="AE238" s="15"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origin],Table_SourceData_Scope3_InorganicFertiliser[Emissions intensity]), IF(_xlpm.result="", 0, _xlpm.result))</f>
        <v>2.5</v>
      </c>
      <c r="AF238" s="74"/>
      <c r="AG238" s="15" t="str">
        <v>Calcium</v>
      </c>
      <c r="AH238" s="15">
        <v>4.3999999999999997E-2</v>
      </c>
      <c r="AI238" s="15" cm="1">
        <f t="array" ref="AI238">_xlfn.LET(_xlpm.result, Common_InputFunctions.Utility_LookupValueInTableTwoColumns(AG238, _xlfn.IFS(AG238="Urea",IF($O238="", "Global", $O238), AG238="Ammonia", IF($P238="", "Global", $P238), TRUE, "Global"), Table_SourceData_Scope3_InorganicFertiliser[Chemical compound],Table_SourceData_Scope3_InorganicFertiliser[Region of origin],Table_SourceData_Scope3_InorganicFertiliser[Emissions intensity]), IF(_xlpm.result="", 0, _xlpm.result))</f>
        <v>0</v>
      </c>
      <c r="AJ238" s="74"/>
      <c r="AK238" s="15">
        <v>0</v>
      </c>
      <c r="AL238" s="15">
        <v>0</v>
      </c>
      <c r="AM238" s="15" cm="1">
        <f t="array" ref="AM238">_xlfn.LET(_xlpm.result, Common_InputFunctions.Utility_LookupValueInTableTwoColumns(AK238, _xlfn.IFS(AK238="Urea",IF($O238="", "Global", $O238), AK238="Ammonia", IF($P238="", "Global", $P238), TRUE, "Global"), Table_SourceData_Scope3_InorganicFertiliser[Chemical compound],Table_SourceData_Scope3_InorganicFertiliser[Region of origin],Table_SourceData_Scope3_InorganicFertiliser[Emissions intensity]), IF(_xlpm.result="", 0, _xlpm.result))</f>
        <v>0</v>
      </c>
      <c r="AN238" s="74"/>
    </row>
    <row r="239" spans="4:40" ht="20.100000000000001" customHeight="1" x14ac:dyDescent="0.2">
      <c r="D239" s="15">
        <v>0</v>
      </c>
      <c r="E239" s="15">
        <v>0</v>
      </c>
      <c r="F239" s="15">
        <f>(R239 * S239)+
(V239 * W239)+
(Z239 * AA239)+
(AD239 * AE239)+
(AH239 * AI239)+
(AL239 * AM239)</f>
        <v>0</v>
      </c>
      <c r="G239" s="251">
        <f>((E239 * F239) * 10 ^ -3)</f>
        <v>0</v>
      </c>
      <c r="H239" s="15">
        <f>((R239 * $E239) * S239 * 10 ^ -3)+
((V239 * $E239) * W239 * 10 ^ -3)+
((Z239 * $E239) * AA239 * 10 ^ -3)+
((AD239 * $E239) * AE239 * 10 ^ -3)+
((AH239 * $E239) * AI239 * 10 ^ -3)+
((AL239 * $E239) * AM239 * 10 ^ -3)</f>
        <v>0</v>
      </c>
      <c r="I239" s="74"/>
      <c r="J239" s="251">
        <f>((E239 * I239) * 10 ^ -3)</f>
        <v>0</v>
      </c>
      <c r="K239" s="251">
        <f>((R239 * $E239) * (IF(T239,T239,S239)) * 10 ^ -3)+
((V239 * $E239) * (IF(X239,X239,W239)) * 10 ^ -3)+
((Z239 * $E239) * (IF(AB239,AB239,AA239)) * 10 ^ -3)+
((AD239 * $E239) * (IF(AF239,AF239,AE239)) * 10 ^ -3)+
((AH239 * $E239) * (IF(AJ239,AJ239,AI239)) * 10 ^ -3)+
((AL239 * $E239) * (IF(AN239,AN239,AM239)) * 10 ^ -3)</f>
        <v>0</v>
      </c>
      <c r="L239" s="33"/>
      <c r="M239" s="13"/>
      <c r="N239" s="33"/>
      <c r="O239" s="15" t="str">
        <v/>
      </c>
      <c r="P239" s="15" t="str">
        <v/>
      </c>
      <c r="Q239" s="15" t="str">
        <v/>
      </c>
      <c r="R239" s="15">
        <v>0</v>
      </c>
      <c r="S239" s="15"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origin],Table_SourceData_Scope3_InorganicFertiliser[Emissions intensity]), IF(_xlpm.result="", 0, _xlpm.result))</f>
        <v>0</v>
      </c>
      <c r="T239" s="74"/>
      <c r="U239" s="15" t="str">
        <v/>
      </c>
      <c r="V239" s="15">
        <v>0</v>
      </c>
      <c r="W239" s="15"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origin],Table_SourceData_Scope3_InorganicFertiliser[Emissions intensity]), IF(_xlpm.result="", 0, _xlpm.result))</f>
        <v>0</v>
      </c>
      <c r="X239" s="74"/>
      <c r="Y239" s="15" t="str">
        <v/>
      </c>
      <c r="Z239" s="15">
        <v>0</v>
      </c>
      <c r="AA239" s="15"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origin],Table_SourceData_Scope3_InorganicFertiliser[Emissions intensity]), IF(_xlpm.result="", 0, _xlpm.result))</f>
        <v>0</v>
      </c>
      <c r="AB239" s="74"/>
      <c r="AC239" s="15" t="str">
        <v/>
      </c>
      <c r="AD239" s="15">
        <v>0</v>
      </c>
      <c r="AE239" s="15"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origin],Table_SourceData_Scope3_InorganicFertiliser[Emissions intensity]), IF(_xlpm.result="", 0, _xlpm.result))</f>
        <v>0</v>
      </c>
      <c r="AF239" s="74"/>
      <c r="AG239" s="15" t="str">
        <v/>
      </c>
      <c r="AH239" s="15">
        <v>0</v>
      </c>
      <c r="AI239" s="15" cm="1">
        <f t="array" ref="AI239">_xlfn.LET(_xlpm.result, Common_InputFunctions.Utility_LookupValueInTableTwoColumns(AG239, _xlfn.IFS(AG239="Urea",IF($O239="", "Global", $O239), AG239="Ammonia", IF($P239="", "Global", $P239), TRUE, "Global"), Table_SourceData_Scope3_InorganicFertiliser[Chemical compound],Table_SourceData_Scope3_InorganicFertiliser[Region of origin],Table_SourceData_Scope3_InorganicFertiliser[Emissions intensity]), IF(_xlpm.result="", 0, _xlpm.result))</f>
        <v>0</v>
      </c>
      <c r="AJ239" s="74"/>
      <c r="AK239" s="15" t="str">
        <v/>
      </c>
      <c r="AL239" s="15">
        <v>0</v>
      </c>
      <c r="AM239" s="15" cm="1">
        <f t="array" ref="AM239">_xlfn.LET(_xlpm.result, Common_InputFunctions.Utility_LookupValueInTableTwoColumns(AK239, _xlfn.IFS(AK239="Urea",IF($O239="", "Global", $O239), AK239="Ammonia", IF($P239="", "Global", $P239), TRUE, "Global"), Table_SourceData_Scope3_InorganicFertiliser[Chemical compound],Table_SourceData_Scope3_InorganicFertiliser[Region of origin],Table_SourceData_Scope3_InorganicFertiliser[Emissions intensity]), IF(_xlpm.result="", 0, _xlpm.result))</f>
        <v>0</v>
      </c>
      <c r="AN239" s="74"/>
    </row>
    <row r="240" spans="4:40" ht="20.100000000000001" customHeight="1" x14ac:dyDescent="0.2">
      <c r="D240" s="15">
        <v>0</v>
      </c>
      <c r="E240" s="15">
        <v>0</v>
      </c>
      <c r="F240" s="15">
        <f>(R240 * S240)+
(V240 * W240)+
(Z240 * AA240)+
(AD240 * AE240)+
(AH240 * AI240)+
(AL240 * AM240)</f>
        <v>0</v>
      </c>
      <c r="G240" s="251">
        <f>((E240 * F240) * 10 ^ -3)</f>
        <v>0</v>
      </c>
      <c r="H240" s="15">
        <f>((R240 * $E240) * S240 * 10 ^ -3)+
((V240 * $E240) * W240 * 10 ^ -3)+
((Z240 * $E240) * AA240 * 10 ^ -3)+
((AD240 * $E240) * AE240 * 10 ^ -3)+
((AH240 * $E240) * AI240 * 10 ^ -3)+
((AL240 * $E240) * AM240 * 10 ^ -3)</f>
        <v>0</v>
      </c>
      <c r="I240" s="74"/>
      <c r="J240" s="251">
        <f>((E240 * I240) * 10 ^ -3)</f>
        <v>0</v>
      </c>
      <c r="K240" s="251">
        <f>((R240 * $E240) * (IF(T240,T240,S240)) * 10 ^ -3)+
((V240 * $E240) * (IF(X240,X240,W240)) * 10 ^ -3)+
((Z240 * $E240) * (IF(AB240,AB240,AA240)) * 10 ^ -3)+
((AD240 * $E240) * (IF(AF240,AF240,AE240)) * 10 ^ -3)+
((AH240 * $E240) * (IF(AJ240,AJ240,AI240)) * 10 ^ -3)+
((AL240 * $E240) * (IF(AN240,AN240,AM240)) * 10 ^ -3)</f>
        <v>0</v>
      </c>
      <c r="L240" s="33"/>
      <c r="M240" s="13"/>
      <c r="N240" s="33"/>
      <c r="O240" s="15" t="str">
        <v/>
      </c>
      <c r="P240" s="15" t="str">
        <v/>
      </c>
      <c r="Q240" s="15" t="str">
        <v/>
      </c>
      <c r="R240" s="15">
        <v>0</v>
      </c>
      <c r="S240" s="15"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origin],Table_SourceData_Scope3_InorganicFertiliser[Emissions intensity]), IF(_xlpm.result="", 0, _xlpm.result))</f>
        <v>0</v>
      </c>
      <c r="T240" s="74"/>
      <c r="U240" s="15" t="str">
        <v/>
      </c>
      <c r="V240" s="15">
        <v>0</v>
      </c>
      <c r="W240" s="15"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origin],Table_SourceData_Scope3_InorganicFertiliser[Emissions intensity]), IF(_xlpm.result="", 0, _xlpm.result))</f>
        <v>0</v>
      </c>
      <c r="X240" s="74"/>
      <c r="Y240" s="15" t="str">
        <v/>
      </c>
      <c r="Z240" s="15">
        <v>0</v>
      </c>
      <c r="AA240" s="15"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origin],Table_SourceData_Scope3_InorganicFertiliser[Emissions intensity]), IF(_xlpm.result="", 0, _xlpm.result))</f>
        <v>0</v>
      </c>
      <c r="AB240" s="74"/>
      <c r="AC240" s="15" t="str">
        <v/>
      </c>
      <c r="AD240" s="15">
        <v>0</v>
      </c>
      <c r="AE240" s="15"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origin],Table_SourceData_Scope3_InorganicFertiliser[Emissions intensity]), IF(_xlpm.result="", 0, _xlpm.result))</f>
        <v>0</v>
      </c>
      <c r="AF240" s="74"/>
      <c r="AG240" s="15" t="str">
        <v/>
      </c>
      <c r="AH240" s="15">
        <v>0</v>
      </c>
      <c r="AI240" s="15" cm="1">
        <f t="array" ref="AI240">_xlfn.LET(_xlpm.result, Common_InputFunctions.Utility_LookupValueInTableTwoColumns(AG240, _xlfn.IFS(AG240="Urea",IF($O240="", "Global", $O240), AG240="Ammonia", IF($P240="", "Global", $P240), TRUE, "Global"), Table_SourceData_Scope3_InorganicFertiliser[Chemical compound],Table_SourceData_Scope3_InorganicFertiliser[Region of origin],Table_SourceData_Scope3_InorganicFertiliser[Emissions intensity]), IF(_xlpm.result="", 0, _xlpm.result))</f>
        <v>0</v>
      </c>
      <c r="AJ240" s="74"/>
      <c r="AK240" s="15" t="str">
        <v/>
      </c>
      <c r="AL240" s="15">
        <v>0</v>
      </c>
      <c r="AM240" s="15" cm="1">
        <f t="array" ref="AM240">_xlfn.LET(_xlpm.result, Common_InputFunctions.Utility_LookupValueInTableTwoColumns(AK240, _xlfn.IFS(AK240="Urea",IF($O240="", "Global", $O240), AK240="Ammonia", IF($P240="", "Global", $P240), TRUE, "Global"), Table_SourceData_Scope3_InorganicFertiliser[Chemical compound],Table_SourceData_Scope3_InorganicFertiliser[Region of origin],Table_SourceData_Scope3_InorganicFertiliser[Emissions intensity]), IF(_xlpm.result="", 0, _xlpm.result))</f>
        <v>0</v>
      </c>
      <c r="AN240" s="74"/>
    </row>
    <row r="241" spans="1:40" ht="20.100000000000001" customHeight="1" x14ac:dyDescent="0.2">
      <c r="D241" s="15">
        <v>0</v>
      </c>
      <c r="E241" s="15">
        <v>0</v>
      </c>
      <c r="F241" s="15">
        <f>(R241 * S241)+
(V241 * W241)+
(Z241 * AA241)+
(AD241 * AE241)+
(AH241 * AI241)+
(AL241 * AM241)</f>
        <v>0</v>
      </c>
      <c r="G241" s="251">
        <f>((E241 * F241) * 10 ^ -3)</f>
        <v>0</v>
      </c>
      <c r="H241" s="15">
        <f>((R241 * $E241) * S241 * 10 ^ -3)+
((V241 * $E241) * W241 * 10 ^ -3)+
((Z241 * $E241) * AA241 * 10 ^ -3)+
((AD241 * $E241) * AE241 * 10 ^ -3)+
((AH241 * $E241) * AI241 * 10 ^ -3)+
((AL241 * $E241) * AM241 * 10 ^ -3)</f>
        <v>0</v>
      </c>
      <c r="I241" s="74"/>
      <c r="J241" s="251">
        <f>((E241 * I241) * 10 ^ -3)</f>
        <v>0</v>
      </c>
      <c r="K241" s="251">
        <f>((R241 * $E241) * (IF(T241,T241,S241)) * 10 ^ -3)+
((V241 * $E241) * (IF(X241,X241,W241)) * 10 ^ -3)+
((Z241 * $E241) * (IF(AB241,AB241,AA241)) * 10 ^ -3)+
((AD241 * $E241) * (IF(AF241,AF241,AE241)) * 10 ^ -3)+
((AH241 * $E241) * (IF(AJ241,AJ241,AI241)) * 10 ^ -3)+
((AL241 * $E241) * (IF(AN241,AN241,AM241)) * 10 ^ -3)</f>
        <v>0</v>
      </c>
      <c r="L241" s="33"/>
      <c r="M241" s="13"/>
      <c r="N241" s="33"/>
      <c r="O241" s="15" t="str">
        <v/>
      </c>
      <c r="P241" s="15" t="str">
        <v/>
      </c>
      <c r="Q241" s="15" t="str">
        <v/>
      </c>
      <c r="R241" s="15">
        <v>0</v>
      </c>
      <c r="S241" s="15"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origin],Table_SourceData_Scope3_InorganicFertiliser[Emissions intensity]), IF(_xlpm.result="", 0, _xlpm.result))</f>
        <v>0</v>
      </c>
      <c r="T241" s="74"/>
      <c r="U241" s="15" t="str">
        <v/>
      </c>
      <c r="V241" s="15">
        <v>0</v>
      </c>
      <c r="W241" s="15"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origin],Table_SourceData_Scope3_InorganicFertiliser[Emissions intensity]), IF(_xlpm.result="", 0, _xlpm.result))</f>
        <v>0</v>
      </c>
      <c r="X241" s="74"/>
      <c r="Y241" s="15" t="str">
        <v/>
      </c>
      <c r="Z241" s="15">
        <v>0</v>
      </c>
      <c r="AA241" s="15"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origin],Table_SourceData_Scope3_InorganicFertiliser[Emissions intensity]), IF(_xlpm.result="", 0, _xlpm.result))</f>
        <v>0</v>
      </c>
      <c r="AB241" s="74"/>
      <c r="AC241" s="15" t="str">
        <v/>
      </c>
      <c r="AD241" s="15">
        <v>0</v>
      </c>
      <c r="AE241" s="15"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origin],Table_SourceData_Scope3_InorganicFertiliser[Emissions intensity]), IF(_xlpm.result="", 0, _xlpm.result))</f>
        <v>0</v>
      </c>
      <c r="AF241" s="74"/>
      <c r="AG241" s="15" t="str">
        <v/>
      </c>
      <c r="AH241" s="15">
        <v>0</v>
      </c>
      <c r="AI241" s="15" cm="1">
        <f t="array" ref="AI241">_xlfn.LET(_xlpm.result, Common_InputFunctions.Utility_LookupValueInTableTwoColumns(AG241, _xlfn.IFS(AG241="Urea",IF($O241="", "Global", $O241), AG241="Ammonia", IF($P241="", "Global", $P241), TRUE, "Global"), Table_SourceData_Scope3_InorganicFertiliser[Chemical compound],Table_SourceData_Scope3_InorganicFertiliser[Region of origin],Table_SourceData_Scope3_InorganicFertiliser[Emissions intensity]), IF(_xlpm.result="", 0, _xlpm.result))</f>
        <v>0</v>
      </c>
      <c r="AJ241" s="74"/>
      <c r="AK241" s="15" t="str">
        <v/>
      </c>
      <c r="AL241" s="15">
        <v>0</v>
      </c>
      <c r="AM241" s="15" cm="1">
        <f t="array" ref="AM241">_xlfn.LET(_xlpm.result, Common_InputFunctions.Utility_LookupValueInTableTwoColumns(AK241, _xlfn.IFS(AK241="Urea",IF($O241="", "Global", $O241), AK241="Ammonia", IF($P241="", "Global", $P241), TRUE, "Global"), Table_SourceData_Scope3_InorganicFertiliser[Chemical compound],Table_SourceData_Scope3_InorganicFertiliser[Region of origin],Table_SourceData_Scope3_InorganicFertiliser[Emissions intensity]), IF(_xlpm.result="", 0, _xlpm.result))</f>
        <v>0</v>
      </c>
      <c r="AN241" s="74"/>
    </row>
    <row r="242" spans="1:40" ht="20.100000000000001" customHeight="1" x14ac:dyDescent="0.2">
      <c r="D242" s="15">
        <v>0</v>
      </c>
      <c r="E242" s="15">
        <v>0</v>
      </c>
      <c r="F242" s="15">
        <f>(R242 * S242)+
(V242 * W242)+
(Z242 * AA242)+
(AD242 * AE242)+
(AH242 * AI242)+
(AL242 * AM242)</f>
        <v>0</v>
      </c>
      <c r="G242" s="251">
        <f>((E242 * F242) * 10 ^ -3)</f>
        <v>0</v>
      </c>
      <c r="H242" s="15">
        <f>((R242 * $E242) * S242 * 10 ^ -3)+
((V242 * $E242) * W242 * 10 ^ -3)+
((Z242 * $E242) * AA242 * 10 ^ -3)+
((AD242 * $E242) * AE242 * 10 ^ -3)+
((AH242 * $E242) * AI242 * 10 ^ -3)+
((AL242 * $E242) * AM242 * 10 ^ -3)</f>
        <v>0</v>
      </c>
      <c r="I242" s="74"/>
      <c r="J242" s="251">
        <f>((E242 * I242) * 10 ^ -3)</f>
        <v>0</v>
      </c>
      <c r="K242" s="251">
        <f>((R242 * $E242) * (IF(T242,T242,S242)) * 10 ^ -3)+
((V242 * $E242) * (IF(X242,X242,W242)) * 10 ^ -3)+
((Z242 * $E242) * (IF(AB242,AB242,AA242)) * 10 ^ -3)+
((AD242 * $E242) * (IF(AF242,AF242,AE242)) * 10 ^ -3)+
((AH242 * $E242) * (IF(AJ242,AJ242,AI242)) * 10 ^ -3)+
((AL242 * $E242) * (IF(AN242,AN242,AM242)) * 10 ^ -3)</f>
        <v>0</v>
      </c>
      <c r="L242" s="33"/>
      <c r="M242" s="13"/>
      <c r="N242" s="33"/>
      <c r="O242" s="15" t="str">
        <v/>
      </c>
      <c r="P242" s="15" t="str">
        <v/>
      </c>
      <c r="Q242" s="15" t="str">
        <v/>
      </c>
      <c r="R242" s="15">
        <v>0</v>
      </c>
      <c r="S242" s="15"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origin],Table_SourceData_Scope3_InorganicFertiliser[Emissions intensity]), IF(_xlpm.result="", 0, _xlpm.result))</f>
        <v>0</v>
      </c>
      <c r="T242" s="74"/>
      <c r="U242" s="15" t="str">
        <v/>
      </c>
      <c r="V242" s="15">
        <v>0</v>
      </c>
      <c r="W242" s="15"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origin],Table_SourceData_Scope3_InorganicFertiliser[Emissions intensity]), IF(_xlpm.result="", 0, _xlpm.result))</f>
        <v>0</v>
      </c>
      <c r="X242" s="74"/>
      <c r="Y242" s="15" t="str">
        <v/>
      </c>
      <c r="Z242" s="15">
        <v>0</v>
      </c>
      <c r="AA242" s="15"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origin],Table_SourceData_Scope3_InorganicFertiliser[Emissions intensity]), IF(_xlpm.result="", 0, _xlpm.result))</f>
        <v>0</v>
      </c>
      <c r="AB242" s="74"/>
      <c r="AC242" s="15" t="str">
        <v/>
      </c>
      <c r="AD242" s="15">
        <v>0</v>
      </c>
      <c r="AE242" s="15"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origin],Table_SourceData_Scope3_InorganicFertiliser[Emissions intensity]), IF(_xlpm.result="", 0, _xlpm.result))</f>
        <v>0</v>
      </c>
      <c r="AF242" s="74"/>
      <c r="AG242" s="15" t="str">
        <v/>
      </c>
      <c r="AH242" s="15">
        <v>0</v>
      </c>
      <c r="AI242" s="15" cm="1">
        <f t="array" ref="AI242">_xlfn.LET(_xlpm.result, Common_InputFunctions.Utility_LookupValueInTableTwoColumns(AG242, _xlfn.IFS(AG242="Urea",IF($O242="", "Global", $O242), AG242="Ammonia", IF($P242="", "Global", $P242), TRUE, "Global"), Table_SourceData_Scope3_InorganicFertiliser[Chemical compound],Table_SourceData_Scope3_InorganicFertiliser[Region of origin],Table_SourceData_Scope3_InorganicFertiliser[Emissions intensity]), IF(_xlpm.result="", 0, _xlpm.result))</f>
        <v>0</v>
      </c>
      <c r="AJ242" s="74"/>
      <c r="AK242" s="15" t="str">
        <v/>
      </c>
      <c r="AL242" s="15">
        <v>0</v>
      </c>
      <c r="AM242" s="15" cm="1">
        <f t="array" ref="AM242">_xlfn.LET(_xlpm.result, Common_InputFunctions.Utility_LookupValueInTableTwoColumns(AK242, _xlfn.IFS(AK242="Urea",IF($O242="", "Global", $O242), AK242="Ammonia", IF($P242="", "Global", $P242), TRUE, "Global"), Table_SourceData_Scope3_InorganicFertiliser[Chemical compound],Table_SourceData_Scope3_InorganicFertiliser[Region of origin],Table_SourceData_Scope3_InorganicFertiliser[Emissions intensity]), IF(_xlpm.result="", 0, _xlpm.result))</f>
        <v>0</v>
      </c>
      <c r="AN242" s="74"/>
    </row>
    <row r="243" spans="1:40" ht="20.100000000000001" customHeight="1" x14ac:dyDescent="0.2">
      <c r="D243" s="15">
        <v>0</v>
      </c>
      <c r="E243" s="15">
        <v>0</v>
      </c>
      <c r="F243" s="15">
        <f>(R243 * S243)+
(V243 * W243)+
(Z243 * AA243)+
(AD243 * AE243)+
(AH243 * AI243)+
(AL243 * AM243)</f>
        <v>0</v>
      </c>
      <c r="G243" s="251">
        <f>((E243 * F243) * 10 ^ -3)</f>
        <v>0</v>
      </c>
      <c r="H243" s="15">
        <f>((R243 * $E243) * S243 * 10 ^ -3)+
((V243 * $E243) * W243 * 10 ^ -3)+
((Z243 * $E243) * AA243 * 10 ^ -3)+
((AD243 * $E243) * AE243 * 10 ^ -3)+
((AH243 * $E243) * AI243 * 10 ^ -3)+
((AL243 * $E243) * AM243 * 10 ^ -3)</f>
        <v>0</v>
      </c>
      <c r="I243" s="74"/>
      <c r="J243" s="251">
        <f>((E243 * I243) * 10 ^ -3)</f>
        <v>0</v>
      </c>
      <c r="K243" s="251">
        <f>((R243 * $E243) * (IF(T243,T243,S243)) * 10 ^ -3)+
((V243 * $E243) * (IF(X243,X243,W243)) * 10 ^ -3)+
((Z243 * $E243) * (IF(AB243,AB243,AA243)) * 10 ^ -3)+
((AD243 * $E243) * (IF(AF243,AF243,AE243)) * 10 ^ -3)+
((AH243 * $E243) * (IF(AJ243,AJ243,AI243)) * 10 ^ -3)+
((AL243 * $E243) * (IF(AN243,AN243,AM243)) * 10 ^ -3)</f>
        <v>0</v>
      </c>
      <c r="L243" s="33"/>
      <c r="M243" s="13"/>
      <c r="N243" s="33"/>
      <c r="O243" s="15" t="str">
        <v/>
      </c>
      <c r="P243" s="15" t="str">
        <v/>
      </c>
      <c r="Q243" s="15" t="str">
        <v/>
      </c>
      <c r="R243" s="15">
        <v>0</v>
      </c>
      <c r="S243" s="15"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origin],Table_SourceData_Scope3_InorganicFertiliser[Emissions intensity]), IF(_xlpm.result="", 0, _xlpm.result))</f>
        <v>0</v>
      </c>
      <c r="T243" s="74"/>
      <c r="U243" s="15" t="str">
        <v/>
      </c>
      <c r="V243" s="15">
        <v>0</v>
      </c>
      <c r="W243" s="15"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origin],Table_SourceData_Scope3_InorganicFertiliser[Emissions intensity]), IF(_xlpm.result="", 0, _xlpm.result))</f>
        <v>0</v>
      </c>
      <c r="X243" s="74"/>
      <c r="Y243" s="15" t="str">
        <v/>
      </c>
      <c r="Z243" s="15">
        <v>0</v>
      </c>
      <c r="AA243" s="15"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origin],Table_SourceData_Scope3_InorganicFertiliser[Emissions intensity]), IF(_xlpm.result="", 0, _xlpm.result))</f>
        <v>0</v>
      </c>
      <c r="AB243" s="74"/>
      <c r="AC243" s="15" t="str">
        <v/>
      </c>
      <c r="AD243" s="15">
        <v>0</v>
      </c>
      <c r="AE243" s="15"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origin],Table_SourceData_Scope3_InorganicFertiliser[Emissions intensity]), IF(_xlpm.result="", 0, _xlpm.result))</f>
        <v>0</v>
      </c>
      <c r="AF243" s="74"/>
      <c r="AG243" s="15" t="str">
        <v/>
      </c>
      <c r="AH243" s="15">
        <v>0</v>
      </c>
      <c r="AI243" s="15" cm="1">
        <f t="array" ref="AI243">_xlfn.LET(_xlpm.result, Common_InputFunctions.Utility_LookupValueInTableTwoColumns(AG243, _xlfn.IFS(AG243="Urea",IF($O243="", "Global", $O243), AG243="Ammonia", IF($P243="", "Global", $P243), TRUE, "Global"), Table_SourceData_Scope3_InorganicFertiliser[Chemical compound],Table_SourceData_Scope3_InorganicFertiliser[Region of origin],Table_SourceData_Scope3_InorganicFertiliser[Emissions intensity]), IF(_xlpm.result="", 0, _xlpm.result))</f>
        <v>0</v>
      </c>
      <c r="AJ243" s="74"/>
      <c r="AK243" s="15" t="str">
        <v/>
      </c>
      <c r="AL243" s="15">
        <v>0</v>
      </c>
      <c r="AM243" s="15" cm="1">
        <f t="array" ref="AM243">_xlfn.LET(_xlpm.result, Common_InputFunctions.Utility_LookupValueInTableTwoColumns(AK243, _xlfn.IFS(AK243="Urea",IF($O243="", "Global", $O243), AK243="Ammonia", IF($P243="", "Global", $P243), TRUE, "Global"), Table_SourceData_Scope3_InorganicFertiliser[Chemical compound],Table_SourceData_Scope3_InorganicFertiliser[Region of origin],Table_SourceData_Scope3_InorganicFertiliser[Emissions intensity]), IF(_xlpm.result="", 0, _xlpm.result))</f>
        <v>0</v>
      </c>
      <c r="AN243" s="74"/>
    </row>
    <row r="244" spans="1:40" ht="20.100000000000001" customHeight="1" x14ac:dyDescent="0.2">
      <c r="D244" s="15">
        <v>0</v>
      </c>
      <c r="E244" s="15">
        <v>0</v>
      </c>
      <c r="F244" s="15">
        <f>(R244 * S244)+
(V244 * W244)+
(Z244 * AA244)+
(AD244 * AE244)+
(AH244 * AI244)+
(AL244 * AM244)</f>
        <v>0</v>
      </c>
      <c r="G244" s="251">
        <f>((E244 * F244) * 10 ^ -3)</f>
        <v>0</v>
      </c>
      <c r="H244" s="15">
        <f>((R244 * $E244) * S244 * 10 ^ -3)+
((V244 * $E244) * W244 * 10 ^ -3)+
((Z244 * $E244) * AA244 * 10 ^ -3)+
((AD244 * $E244) * AE244 * 10 ^ -3)+
((AH244 * $E244) * AI244 * 10 ^ -3)+
((AL244 * $E244) * AM244 * 10 ^ -3)</f>
        <v>0</v>
      </c>
      <c r="I244" s="74"/>
      <c r="J244" s="251">
        <f>((E244 * I244) * 10 ^ -3)</f>
        <v>0</v>
      </c>
      <c r="K244" s="251">
        <f>((R244 * $E244) * (IF(T244,T244,S244)) * 10 ^ -3)+
((V244 * $E244) * (IF(X244,X244,W244)) * 10 ^ -3)+
((Z244 * $E244) * (IF(AB244,AB244,AA244)) * 10 ^ -3)+
((AD244 * $E244) * (IF(AF244,AF244,AE244)) * 10 ^ -3)+
((AH244 * $E244) * (IF(AJ244,AJ244,AI244)) * 10 ^ -3)+
((AL244 * $E244) * (IF(AN244,AN244,AM244)) * 10 ^ -3)</f>
        <v>0</v>
      </c>
      <c r="L244" s="33"/>
      <c r="M244" s="13"/>
      <c r="N244" s="33"/>
      <c r="O244" s="15" t="str">
        <v/>
      </c>
      <c r="P244" s="15" t="str">
        <v/>
      </c>
      <c r="Q244" s="15" t="str">
        <v/>
      </c>
      <c r="R244" s="15">
        <v>0</v>
      </c>
      <c r="S244" s="15"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origin],Table_SourceData_Scope3_InorganicFertiliser[Emissions intensity]), IF(_xlpm.result="", 0, _xlpm.result))</f>
        <v>0</v>
      </c>
      <c r="T244" s="74"/>
      <c r="U244" s="15" t="str">
        <v/>
      </c>
      <c r="V244" s="15">
        <v>0</v>
      </c>
      <c r="W244" s="15"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origin],Table_SourceData_Scope3_InorganicFertiliser[Emissions intensity]), IF(_xlpm.result="", 0, _xlpm.result))</f>
        <v>0</v>
      </c>
      <c r="X244" s="74"/>
      <c r="Y244" s="15" t="str">
        <v/>
      </c>
      <c r="Z244" s="15">
        <v>0</v>
      </c>
      <c r="AA244" s="15"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origin],Table_SourceData_Scope3_InorganicFertiliser[Emissions intensity]), IF(_xlpm.result="", 0, _xlpm.result))</f>
        <v>0</v>
      </c>
      <c r="AB244" s="74"/>
      <c r="AC244" s="15" t="str">
        <v/>
      </c>
      <c r="AD244" s="15">
        <v>0</v>
      </c>
      <c r="AE244" s="15"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origin],Table_SourceData_Scope3_InorganicFertiliser[Emissions intensity]), IF(_xlpm.result="", 0, _xlpm.result))</f>
        <v>0</v>
      </c>
      <c r="AF244" s="74"/>
      <c r="AG244" s="15" t="str">
        <v/>
      </c>
      <c r="AH244" s="15">
        <v>0</v>
      </c>
      <c r="AI244" s="15" cm="1">
        <f t="array" ref="AI244">_xlfn.LET(_xlpm.result, Common_InputFunctions.Utility_LookupValueInTableTwoColumns(AG244, _xlfn.IFS(AG244="Urea",IF($O244="", "Global", $O244), AG244="Ammonia", IF($P244="", "Global", $P244), TRUE, "Global"), Table_SourceData_Scope3_InorganicFertiliser[Chemical compound],Table_SourceData_Scope3_InorganicFertiliser[Region of origin],Table_SourceData_Scope3_InorganicFertiliser[Emissions intensity]), IF(_xlpm.result="", 0, _xlpm.result))</f>
        <v>0</v>
      </c>
      <c r="AJ244" s="74"/>
      <c r="AK244" s="15" t="str">
        <v/>
      </c>
      <c r="AL244" s="15">
        <v>0</v>
      </c>
      <c r="AM244" s="15" cm="1">
        <f t="array" ref="AM244">_xlfn.LET(_xlpm.result, Common_InputFunctions.Utility_LookupValueInTableTwoColumns(AK244, _xlfn.IFS(AK244="Urea",IF($O244="", "Global", $O244), AK244="Ammonia", IF($P244="", "Global", $P244), TRUE, "Global"), Table_SourceData_Scope3_InorganicFertiliser[Chemical compound],Table_SourceData_Scope3_InorganicFertiliser[Region of origin],Table_SourceData_Scope3_InorganicFertiliser[Emissions intensity]), IF(_xlpm.result="", 0, _xlpm.result))</f>
        <v>0</v>
      </c>
      <c r="AN244" s="74"/>
    </row>
    <row r="245" spans="1:40" ht="20.100000000000001" customHeight="1" x14ac:dyDescent="0.2">
      <c r="D245" s="15">
        <v>0</v>
      </c>
      <c r="E245" s="15">
        <v>0</v>
      </c>
      <c r="F245" s="15">
        <f>(R245 * S245)+
(V245 * W245)+
(Z245 * AA245)+
(AD245 * AE245)+
(AH245 * AI245)+
(AL245 * AM245)</f>
        <v>0</v>
      </c>
      <c r="G245" s="251">
        <f>((E245 * F245) * 10 ^ -3)</f>
        <v>0</v>
      </c>
      <c r="H245" s="15">
        <f>((R245 * $E245) * S245 * 10 ^ -3)+
((V245 * $E245) * W245 * 10 ^ -3)+
((Z245 * $E245) * AA245 * 10 ^ -3)+
((AD245 * $E245) * AE245 * 10 ^ -3)+
((AH245 * $E245) * AI245 * 10 ^ -3)+
((AL245 * $E245) * AM245 * 10 ^ -3)</f>
        <v>0</v>
      </c>
      <c r="I245" s="74"/>
      <c r="J245" s="251">
        <f>((E245 * I245) * 10 ^ -3)</f>
        <v>0</v>
      </c>
      <c r="K245" s="251">
        <f>((R245 * $E245) * (IF(T245,T245,S245)) * 10 ^ -3)+
((V245 * $E245) * (IF(X245,X245,W245)) * 10 ^ -3)+
((Z245 * $E245) * (IF(AB245,AB245,AA245)) * 10 ^ -3)+
((AD245 * $E245) * (IF(AF245,AF245,AE245)) * 10 ^ -3)+
((AH245 * $E245) * (IF(AJ245,AJ245,AI245)) * 10 ^ -3)+
((AL245 * $E245) * (IF(AN245,AN245,AM245)) * 10 ^ -3)</f>
        <v>0</v>
      </c>
      <c r="L245" s="33"/>
      <c r="M245" s="13"/>
      <c r="N245" s="33"/>
      <c r="O245" s="15" t="str">
        <v/>
      </c>
      <c r="P245" s="15" t="str">
        <v/>
      </c>
      <c r="Q245" s="15" t="str">
        <v/>
      </c>
      <c r="R245" s="15">
        <v>0</v>
      </c>
      <c r="S245" s="15"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origin],Table_SourceData_Scope3_InorganicFertiliser[Emissions intensity]), IF(_xlpm.result="", 0, _xlpm.result))</f>
        <v>0</v>
      </c>
      <c r="T245" s="74"/>
      <c r="U245" s="15" t="str">
        <v/>
      </c>
      <c r="V245" s="15">
        <v>0</v>
      </c>
      <c r="W245" s="15"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origin],Table_SourceData_Scope3_InorganicFertiliser[Emissions intensity]), IF(_xlpm.result="", 0, _xlpm.result))</f>
        <v>0</v>
      </c>
      <c r="X245" s="74"/>
      <c r="Y245" s="15" t="str">
        <v/>
      </c>
      <c r="Z245" s="15">
        <v>0</v>
      </c>
      <c r="AA245" s="15"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origin],Table_SourceData_Scope3_InorganicFertiliser[Emissions intensity]), IF(_xlpm.result="", 0, _xlpm.result))</f>
        <v>0</v>
      </c>
      <c r="AB245" s="74"/>
      <c r="AC245" s="15" t="str">
        <v/>
      </c>
      <c r="AD245" s="15">
        <v>0</v>
      </c>
      <c r="AE245" s="15"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origin],Table_SourceData_Scope3_InorganicFertiliser[Emissions intensity]), IF(_xlpm.result="", 0, _xlpm.result))</f>
        <v>0</v>
      </c>
      <c r="AF245" s="74"/>
      <c r="AG245" s="15" t="str">
        <v/>
      </c>
      <c r="AH245" s="15">
        <v>0</v>
      </c>
      <c r="AI245" s="15" cm="1">
        <f t="array" ref="AI245">_xlfn.LET(_xlpm.result, Common_InputFunctions.Utility_LookupValueInTableTwoColumns(AG245, _xlfn.IFS(AG245="Urea",IF($O245="", "Global", $O245), AG245="Ammonia", IF($P245="", "Global", $P245), TRUE, "Global"), Table_SourceData_Scope3_InorganicFertiliser[Chemical compound],Table_SourceData_Scope3_InorganicFertiliser[Region of origin],Table_SourceData_Scope3_InorganicFertiliser[Emissions intensity]), IF(_xlpm.result="", 0, _xlpm.result))</f>
        <v>0</v>
      </c>
      <c r="AJ245" s="74"/>
      <c r="AK245" s="15" t="str">
        <v/>
      </c>
      <c r="AL245" s="15">
        <v>0</v>
      </c>
      <c r="AM245" s="15" cm="1">
        <f t="array" ref="AM245">_xlfn.LET(_xlpm.result, Common_InputFunctions.Utility_LookupValueInTableTwoColumns(AK245, _xlfn.IFS(AK245="Urea",IF($O245="", "Global", $O245), AK245="Ammonia", IF($P245="", "Global", $P245), TRUE, "Global"), Table_SourceData_Scope3_InorganicFertiliser[Chemical compound],Table_SourceData_Scope3_InorganicFertiliser[Region of origin],Table_SourceData_Scope3_InorganicFertiliser[Emissions intensity]), IF(_xlpm.result="", 0, _xlpm.result))</f>
        <v>0</v>
      </c>
      <c r="AN245" s="74"/>
    </row>
    <row r="247" spans="1:40" ht="20.100000000000001" customHeight="1" x14ac:dyDescent="0.2">
      <c r="D247" s="244" t="s">
        <v>1104</v>
      </c>
    </row>
    <row r="248" spans="1:40" ht="20.100000000000001" customHeight="1" x14ac:dyDescent="0.2">
      <c r="A248" s="79" t="str">
        <f>HYPERLINK("#A1", "▲ Back to top")</f>
        <v>▲ Back to top</v>
      </c>
    </row>
    <row r="249" spans="1:40" ht="20.100000000000001" customHeight="1" x14ac:dyDescent="0.2">
      <c r="D249" s="35" t="s">
        <v>1105</v>
      </c>
      <c r="E249" s="37"/>
      <c r="F249" s="38"/>
    </row>
    <row r="251" spans="1:40" ht="20.100000000000001" customHeight="1" x14ac:dyDescent="0.2">
      <c r="D251" s="78" t="s">
        <v>1067</v>
      </c>
      <c r="E251" s="78" t="s">
        <v>1085</v>
      </c>
      <c r="F251" s="120" t="s">
        <v>1086</v>
      </c>
      <c r="G251" s="120" t="s">
        <v>1087</v>
      </c>
      <c r="H251" s="120" t="s">
        <v>1088</v>
      </c>
      <c r="I251" s="78" t="s">
        <v>1089</v>
      </c>
      <c r="J251" s="120" t="s">
        <v>1090</v>
      </c>
      <c r="K251" s="120" t="s">
        <v>1091</v>
      </c>
      <c r="L251" s="78" t="s">
        <v>1044</v>
      </c>
      <c r="M251" s="78" t="s">
        <v>1045</v>
      </c>
      <c r="N251" s="78" t="s">
        <v>1046</v>
      </c>
      <c r="O251" s="120" t="s">
        <v>711</v>
      </c>
      <c r="P251" s="120" t="s">
        <v>712</v>
      </c>
      <c r="Q251" s="120" t="s">
        <v>696</v>
      </c>
      <c r="R251" s="120" t="s">
        <v>697</v>
      </c>
      <c r="S251" s="120" t="s">
        <v>1092</v>
      </c>
      <c r="T251" s="78" t="s">
        <v>1093</v>
      </c>
      <c r="U251" s="120" t="s">
        <v>698</v>
      </c>
      <c r="V251" s="120" t="s">
        <v>699</v>
      </c>
      <c r="W251" s="120" t="s">
        <v>1094</v>
      </c>
      <c r="X251" s="78" t="s">
        <v>1095</v>
      </c>
      <c r="Y251" s="120" t="s">
        <v>700</v>
      </c>
      <c r="Z251" s="120" t="s">
        <v>701</v>
      </c>
      <c r="AA251" s="120" t="s">
        <v>1096</v>
      </c>
      <c r="AB251" s="78" t="s">
        <v>1097</v>
      </c>
      <c r="AC251" s="120" t="s">
        <v>702</v>
      </c>
      <c r="AD251" s="120" t="s">
        <v>703</v>
      </c>
      <c r="AE251" s="120" t="s">
        <v>1098</v>
      </c>
      <c r="AF251" s="78" t="s">
        <v>1099</v>
      </c>
    </row>
    <row r="252" spans="1:40" ht="20.100000000000001" customHeight="1" x14ac:dyDescent="0.2">
      <c r="D252" s="15" t="str" cm="1">
        <f t="array" ref="D252:D261">IFERROR(INDEX(Table_Input_InorganicFertiliser_Custom[Custom blend name], _xlfn.SEQUENCE(10)), "")</f>
        <v>My first custom blend</v>
      </c>
      <c r="E252" s="15" cm="1">
        <f t="array" ref="E252:E261">IFERROR(INDEX(Table_Input_InorganicFertiliser_Custom[Total applied (kg)], _xlfn.SEQUENCE(10)), 0)</f>
        <v>10000</v>
      </c>
      <c r="F252" s="15">
        <f>(R252 * S252)+
(V252 * W252)+
(Z252 * AA252)+
(AD252 * AE252)</f>
        <v>1.7707999999999999</v>
      </c>
      <c r="G252" s="251">
        <f>((E252 * F252) * 10 ^ -3)</f>
        <v>17.708000000000002</v>
      </c>
      <c r="H252" s="15">
        <f>((R252 * $E252) * S252 * 10 ^ -3)+
((V252 * $E252) * W252 * 10 ^ -3)+
((Z252 * $E252) * AA252 * 10 ^ -3)+
((AD252 * $E252) * AE252 * 10 ^ -3)</f>
        <v>17.707999999999998</v>
      </c>
      <c r="I252" s="74">
        <v>0.4</v>
      </c>
      <c r="J252" s="251">
        <f>((E252 * I252) * 10 ^ -3)</f>
        <v>4</v>
      </c>
      <c r="K252" s="251">
        <f>((R252 * $E252) * (IF(T252,T252,S252)) * 10 ^ -3)+
((V252 * $E252) * (IF(X252,X252,W252)) * 10 ^ -3)+
((Z252 * $E252) * (IF(AB252,AB252,AA252)) * 10 ^ -3)+
((AD252 * $E252) * (IF(AF252,AF252,AE252)) * 10 ^ -3)</f>
        <v>16.8</v>
      </c>
      <c r="L252" s="33"/>
      <c r="M252" s="13"/>
      <c r="N252"/>
      <c r="O252" s="15" t="str" cm="1">
        <f t="array" ref="O252:O261">_xlfn.LET(_xlpm.v, INDEX(Table_Input_InorganicFertiliser_Custom[Urea source (Select)], _xlfn.SEQUENCE(10)), IFERROR(IF(_xlpm.v=0, "", _xlpm.v), ""))</f>
        <v/>
      </c>
      <c r="P252" s="15" t="str" cm="1">
        <f t="array" ref="P252:P261">_xlfn.LET(_xlpm.v, INDEX(Table_Input_InorganicFertiliser_Custom[Ammonia source (select)], _xlfn.SEQUENCE(10)), IFERROR(IF(_xlpm.v=0, "", _xlpm.v), ""))</f>
        <v/>
      </c>
      <c r="Q252" s="15" t="str" cm="1">
        <f t="array" ref="Q252:Q261">IFERROR(INDEX(Table_Input_InorganicFertiliser_Custom[Ingredient 1 (select)], _xlfn.SEQUENCE(10)), "")</f>
        <v>Calcium nitrate</v>
      </c>
      <c r="R252" s="15" cm="1">
        <f t="array" ref="R252:R261">IFERROR(INDEX(_xlfn.LET(_xlpm.result, Table_Input_InorganicFertiliser_Custom[Ingredient 1 percent], IF(_xlpm.result="", 0, _xlpm.result)), _xlfn.SEQUENCE(10)), 0)</f>
        <v>0.5</v>
      </c>
      <c r="S252" s="15" cm="1">
        <f t="array" ref="S252">_xlfn.LET(_xlpm.result, Common_InputFunctions.Utility_LookupValueInTableTwoColumns(Q252, _xlfn.IFS(Q252="Urea",IF($O252="", "Global", $O252), Q252="Ammonia", IF($P252="", "Global", $P252), TRUE, "Global"), Table_SourceData_Scope3_InorganicFertiliser[Chemical compound],Table_SourceData_Scope3_InorganicFertiliser[Region of origin],Table_SourceData_Scope3_InorganicFertiliser[Emissions intensity]), IF(_xlpm.result="", 0, _xlpm.result))</f>
        <v>0.75</v>
      </c>
      <c r="T252" s="74">
        <v>0.9</v>
      </c>
      <c r="U252" s="15" t="str" cm="1">
        <f t="array" ref="U252:U261">IFERROR(INDEX(Table_Input_InorganicFertiliser_Custom[Ingredient 2], _xlfn.SEQUENCE(10)), "")</f>
        <v>Zinc - Generic</v>
      </c>
      <c r="V252" s="15" cm="1">
        <f t="array" ref="V252:V261">IFERROR(INDEX(_xlfn.LET(_xlpm.result, Table_Input_InorganicFertiliser_Custom[Ingredient 2 percent], IF(_xlpm.result="", 0, _xlpm.result)), _xlfn.SEQUENCE(10)), 0)</f>
        <v>0.2</v>
      </c>
      <c r="W252" s="15" cm="1">
        <f t="array" ref="W252">_xlfn.LET(_xlpm.result, Common_InputFunctions.Utility_LookupValueInTableTwoColumns(U252, _xlfn.IFS(U252="Urea",IF($O252="", "Global", $O252), U252="Ammonia", IF($P252="", "Global", $P252), TRUE, "Global"), Table_SourceData_Scope3_InorganicFertiliser[Chemical compound],Table_SourceData_Scope3_InorganicFertiliser[Region of origin],Table_SourceData_Scope3_InorganicFertiliser[Emissions intensity]), IF(_xlpm.result="", 0, _xlpm.result))</f>
        <v>4.82</v>
      </c>
      <c r="X252" s="74">
        <v>0.9</v>
      </c>
      <c r="Y252" s="15" t="str" cm="1">
        <f t="array" ref="Y252:Y261">IFERROR(INDEX(Table_Input_InorganicFertiliser_Custom[Ingredient 3], _xlfn.SEQUENCE(10)), "")</f>
        <v>Potassium - Generic</v>
      </c>
      <c r="Z252" s="15" cm="1">
        <f t="array" ref="Z252:Z261">IFERROR(INDEX(_xlfn.LET(_xlpm.result, Table_Input_InorganicFertiliser_Custom[Ingredient 3 percent], IF(_xlpm.result="", 0, _xlpm.result)), _xlfn.SEQUENCE(10)), 0)</f>
        <v>0.2</v>
      </c>
      <c r="AA252" s="15" cm="1">
        <f t="array" ref="AA252">_xlfn.LET(_xlpm.result, Common_InputFunctions.Utility_LookupValueInTableTwoColumns(Y252, _xlfn.IFS(Y252="Urea",IF($O252="", "Global", $O252), Y252="Ammonia", IF($P252="", "Global", $P252), TRUE, "Global"), Table_SourceData_Scope3_InorganicFertiliser[Chemical compound],Table_SourceData_Scope3_InorganicFertiliser[Region of origin],Table_SourceData_Scope3_InorganicFertiliser[Emissions intensity]), IF(_xlpm.result="", 0, _xlpm.result))</f>
        <v>0.90900000000000003</v>
      </c>
      <c r="AB252" s="74">
        <v>4</v>
      </c>
      <c r="AC252" s="15" t="str" cm="1">
        <f t="array" ref="AC252:AC261">IFERROR(INDEX(Table_Input_InorganicFertiliser_Custom[Ingredient 4], _xlfn.SEQUENCE(10)), "")</f>
        <v>Sulfur - Generic</v>
      </c>
      <c r="AD252" s="15" cm="1">
        <f t="array" ref="AD252:AD261">IFERROR(INDEX(_xlfn.LET(_xlpm.result, Table_Input_InorganicFertiliser_Custom[Ingredient 4 percent], IF(_xlpm.result="", 0, _xlpm.result)), _xlfn.SEQUENCE(10)), 0)</f>
        <v>0.1</v>
      </c>
      <c r="AE252" s="15" cm="1">
        <f t="array" ref="AE252">_xlfn.LET(_xlpm.result, Common_InputFunctions.Utility_LookupValueInTableTwoColumns(AC252, _xlfn.IFS(AC252="Urea",IF($O252="", "Global", $O252), AC252="Ammonia", IF($P252="", "Global", $P252), TRUE, "Global"), Table_SourceData_Scope3_InorganicFertiliser[Chemical compound],Table_SourceData_Scope3_InorganicFertiliser[Region of origin],Table_SourceData_Scope3_InorganicFertiliser[Emissions intensity]), IF(_xlpm.result="", 0, _xlpm.result))</f>
        <v>2.5</v>
      </c>
      <c r="AF252" s="74">
        <v>0</v>
      </c>
    </row>
    <row r="253" spans="1:40" ht="20.100000000000001" customHeight="1" x14ac:dyDescent="0.2">
      <c r="D253" s="15" t="str">
        <v>My second custom blend</v>
      </c>
      <c r="E253" s="15">
        <v>10000</v>
      </c>
      <c r="F253" s="15">
        <f>(R253 * S253)+
(V253 * W253)+
(Z253 * AA253)+
(AD253 * AE253)</f>
        <v>0.96799999999999997</v>
      </c>
      <c r="G253" s="251">
        <f>((E253 * F253) * 10 ^ -3)</f>
        <v>9.68</v>
      </c>
      <c r="H253" s="15">
        <f>((R253 * $E253) * S253 * 10 ^ -3)+
((V253 * $E253) * W253 * 10 ^ -3)+
((Z253 * $E253) * AA253 * 10 ^ -3)+
((AD253 * $E253) * AE253 * 10 ^ -3)</f>
        <v>9.68</v>
      </c>
      <c r="I253" s="74">
        <v>0.9</v>
      </c>
      <c r="J253" s="251">
        <f>((E253 * I253) * 10 ^ -3)</f>
        <v>9</v>
      </c>
      <c r="K253" s="251">
        <f>((R253 * $E253) * (IF(T253,T253,S253)) * 10 ^ -3)+
((V253 * $E253) * (IF(X253,X253,W253)) * 10 ^ -3)+
((Z253 * $E253) * (IF(AB253,AB253,AA253)) * 10 ^ -3)+
((AD253 * $E253) * (IF(AF253,AF253,AE253)) * 10 ^ -3)</f>
        <v>9.68</v>
      </c>
      <c r="L253" s="33"/>
      <c r="M253" s="13"/>
      <c r="N253" s="33"/>
      <c r="O253" s="252" t="str">
        <v/>
      </c>
      <c r="P253" s="252" t="str">
        <v/>
      </c>
      <c r="Q253" s="15" t="str">
        <v>Urea</v>
      </c>
      <c r="R253" s="15">
        <v>1</v>
      </c>
      <c r="S253" s="15" cm="1">
        <f t="array" ref="S253">_xlfn.LET(_xlpm.result, Common_InputFunctions.Utility_LookupValueInTableTwoColumns(Q253, _xlfn.IFS(Q253="Urea",IF($O253="", "Global", $O253), Q253="Ammonia", IF($P253="", "Global", $P253), TRUE, "Global"), Table_SourceData_Scope3_InorganicFertiliser[Chemical compound],Table_SourceData_Scope3_InorganicFertiliser[Region of origin],Table_SourceData_Scope3_InorganicFertiliser[Emissions intensity]), IF(_xlpm.result="", 0, _xlpm.result))</f>
        <v>0.96799999999999997</v>
      </c>
      <c r="T253" s="74"/>
      <c r="U253" s="15">
        <v>0</v>
      </c>
      <c r="V253" s="15">
        <v>0</v>
      </c>
      <c r="W253" s="15" cm="1">
        <f t="array" ref="W253">_xlfn.LET(_xlpm.result, Common_InputFunctions.Utility_LookupValueInTableTwoColumns(U253, _xlfn.IFS(U253="Urea",IF($O253="", "Global", $O253), U253="Ammonia", IF($P253="", "Global", $P253), TRUE, "Global"), Table_SourceData_Scope3_InorganicFertiliser[Chemical compound],Table_SourceData_Scope3_InorganicFertiliser[Region of origin],Table_SourceData_Scope3_InorganicFertiliser[Emissions intensity]), IF(_xlpm.result="", 0, _xlpm.result))</f>
        <v>0</v>
      </c>
      <c r="X253" s="74"/>
      <c r="Y253" s="15">
        <v>0</v>
      </c>
      <c r="Z253" s="15">
        <v>0</v>
      </c>
      <c r="AA253" s="15" cm="1">
        <f t="array" ref="AA253">_xlfn.LET(_xlpm.result, Common_InputFunctions.Utility_LookupValueInTableTwoColumns(Y253, _xlfn.IFS(Y253="Urea",IF($O253="", "Global", $O253), Y253="Ammonia", IF($P253="", "Global", $P253), TRUE, "Global"), Table_SourceData_Scope3_InorganicFertiliser[Chemical compound],Table_SourceData_Scope3_InorganicFertiliser[Region of origin],Table_SourceData_Scope3_InorganicFertiliser[Emissions intensity]), IF(_xlpm.result="", 0, _xlpm.result))</f>
        <v>0</v>
      </c>
      <c r="AB253" s="74"/>
      <c r="AC253" s="15">
        <v>0</v>
      </c>
      <c r="AD253" s="15">
        <v>0</v>
      </c>
      <c r="AE253" s="15" cm="1">
        <f t="array" ref="AE253">_xlfn.LET(_xlpm.result, Common_InputFunctions.Utility_LookupValueInTableTwoColumns(AC253, _xlfn.IFS(AC253="Urea",IF($O253="", "Global", $O253), AC253="Ammonia", IF($P253="", "Global", $P253), TRUE, "Global"), Table_SourceData_Scope3_InorganicFertiliser[Chemical compound],Table_SourceData_Scope3_InorganicFertiliser[Region of origin],Table_SourceData_Scope3_InorganicFertiliser[Emissions intensity]), IF(_xlpm.result="", 0, _xlpm.result))</f>
        <v>0</v>
      </c>
      <c r="AF253" s="74"/>
    </row>
    <row r="254" spans="1:40" ht="20.100000000000001" customHeight="1" x14ac:dyDescent="0.2">
      <c r="D254" s="15" t="str">
        <v>My third custom blend</v>
      </c>
      <c r="E254" s="15">
        <v>10000</v>
      </c>
      <c r="F254" s="15">
        <f>(R254 * S254)+
(V254 * W254)+
(Z254 * AA254)+
(AD254 * AE254)</f>
        <v>1.1599999999999999</v>
      </c>
      <c r="G254" s="251">
        <f>((E254 * F254) * 10 ^ -3)</f>
        <v>11.6</v>
      </c>
      <c r="H254" s="15">
        <f>((R254 * $E254) * S254 * 10 ^ -3)+
((V254 * $E254) * W254 * 10 ^ -3)+
((Z254 * $E254) * AA254 * 10 ^ -3)+
((AD254 * $E254) * AE254 * 10 ^ -3)</f>
        <v>11.6</v>
      </c>
      <c r="I254" s="74">
        <v>0.4</v>
      </c>
      <c r="J254" s="251">
        <f>((E254 * I254) * 10 ^ -3)</f>
        <v>4</v>
      </c>
      <c r="K254" s="251">
        <f>((R254 * $E254) * (IF(T254,T254,S254)) * 10 ^ -3)+
((V254 * $E254) * (IF(X254,X254,W254)) * 10 ^ -3)+
((Z254 * $E254) * (IF(AB254,AB254,AA254)) * 10 ^ -3)+
((AD254 * $E254) * (IF(AF254,AF254,AE254)) * 10 ^ -3)</f>
        <v>11.6</v>
      </c>
      <c r="L254" s="33"/>
      <c r="M254" s="13"/>
      <c r="N254" s="33"/>
      <c r="O254" s="252" t="str">
        <v/>
      </c>
      <c r="P254" s="252" t="str">
        <v/>
      </c>
      <c r="Q254" s="15" t="str">
        <v>Ammonia</v>
      </c>
      <c r="R254" s="15">
        <v>0.5</v>
      </c>
      <c r="S254" s="15" cm="1">
        <f t="array" ref="S254">_xlfn.LET(_xlpm.result, Common_InputFunctions.Utility_LookupValueInTableTwoColumns(Q254, _xlfn.IFS(Q254="Urea",IF($O254="", "Global", $O254), Q254="Ammonia", IF($P254="", "Global", $P254), TRUE, "Global"), Table_SourceData_Scope3_InorganicFertiliser[Chemical compound],Table_SourceData_Scope3_InorganicFertiliser[Region of origin],Table_SourceData_Scope3_InorganicFertiliser[Emissions intensity]), IF(_xlpm.result="", 0, _xlpm.result))</f>
        <v>2.3199999999999998</v>
      </c>
      <c r="T254" s="74"/>
      <c r="U254" s="15">
        <v>0</v>
      </c>
      <c r="V254" s="15">
        <v>0</v>
      </c>
      <c r="W254" s="15" cm="1">
        <f t="array" ref="W254">_xlfn.LET(_xlpm.result, Common_InputFunctions.Utility_LookupValueInTableTwoColumns(U254, _xlfn.IFS(U254="Urea",IF($O254="", "Global", $O254), U254="Ammonia", IF($P254="", "Global", $P254), TRUE, "Global"), Table_SourceData_Scope3_InorganicFertiliser[Chemical compound],Table_SourceData_Scope3_InorganicFertiliser[Region of origin],Table_SourceData_Scope3_InorganicFertiliser[Emissions intensity]), IF(_xlpm.result="", 0, _xlpm.result))</f>
        <v>0</v>
      </c>
      <c r="X254" s="74"/>
      <c r="Y254" s="15">
        <v>0</v>
      </c>
      <c r="Z254" s="15">
        <v>0</v>
      </c>
      <c r="AA254" s="15" cm="1">
        <f t="array" ref="AA254">_xlfn.LET(_xlpm.result, Common_InputFunctions.Utility_LookupValueInTableTwoColumns(Y254, _xlfn.IFS(Y254="Urea",IF($O254="", "Global", $O254), Y254="Ammonia", IF($P254="", "Global", $P254), TRUE, "Global"), Table_SourceData_Scope3_InorganicFertiliser[Chemical compound],Table_SourceData_Scope3_InorganicFertiliser[Region of origin],Table_SourceData_Scope3_InorganicFertiliser[Emissions intensity]), IF(_xlpm.result="", 0, _xlpm.result))</f>
        <v>0</v>
      </c>
      <c r="AB254" s="74"/>
      <c r="AC254" s="15">
        <v>0</v>
      </c>
      <c r="AD254" s="15">
        <v>0</v>
      </c>
      <c r="AE254" s="15" cm="1">
        <f t="array" ref="AE254">_xlfn.LET(_xlpm.result, Common_InputFunctions.Utility_LookupValueInTableTwoColumns(AC254, _xlfn.IFS(AC254="Urea",IF($O254="", "Global", $O254), AC254="Ammonia", IF($P254="", "Global", $P254), TRUE, "Global"), Table_SourceData_Scope3_InorganicFertiliser[Chemical compound],Table_SourceData_Scope3_InorganicFertiliser[Region of origin],Table_SourceData_Scope3_InorganicFertiliser[Emissions intensity]), IF(_xlpm.result="", 0, _xlpm.result))</f>
        <v>0</v>
      </c>
      <c r="AF254" s="74"/>
    </row>
    <row r="255" spans="1:40" ht="20.100000000000001" customHeight="1" x14ac:dyDescent="0.2">
      <c r="D255" s="15">
        <v>0</v>
      </c>
      <c r="E255" s="15">
        <v>0</v>
      </c>
      <c r="F255" s="15">
        <f>(R255 * S255)+
(V255 * W255)+
(Z255 * AA255)+
(AD255 * AE255)</f>
        <v>0</v>
      </c>
      <c r="G255" s="251">
        <f>((E255 * F255) * 10 ^ -3)</f>
        <v>0</v>
      </c>
      <c r="H255" s="15">
        <f>((R255 * $E255) * S255 * 10 ^ -3)+
((V255 * $E255) * W255 * 10 ^ -3)+
((Z255 * $E255) * AA255 * 10 ^ -3)+
((AD255 * $E255) * AE255 * 10 ^ -3)</f>
        <v>0</v>
      </c>
      <c r="I255" s="74"/>
      <c r="J255" s="251">
        <f>((E255 * I255) * 10 ^ -3)</f>
        <v>0</v>
      </c>
      <c r="K255" s="251">
        <f>((R255 * $E255) * (IF(T255,T255,S255)) * 10 ^ -3)+
((V255 * $E255) * (IF(X255,X255,W255)) * 10 ^ -3)+
((Z255 * $E255) * (IF(AB255,AB255,AA255)) * 10 ^ -3)+
((AD255 * $E255) * (IF(AF255,AF255,AE255)) * 10 ^ -3)</f>
        <v>0</v>
      </c>
      <c r="L255" s="33"/>
      <c r="M255" s="13"/>
      <c r="N255" s="33"/>
      <c r="O255" s="252" t="str">
        <v/>
      </c>
      <c r="P255" s="252" t="str">
        <v/>
      </c>
      <c r="Q255" s="15">
        <v>0</v>
      </c>
      <c r="R255" s="15">
        <v>0</v>
      </c>
      <c r="S255" s="15" cm="1">
        <f t="array" ref="S255">_xlfn.LET(_xlpm.result, Common_InputFunctions.Utility_LookupValueInTableTwoColumns(Q255, _xlfn.IFS(Q255="Urea",IF($O255="", "Global", $O255), Q255="Ammonia", IF($P255="", "Global", $P255), TRUE, "Global"), Table_SourceData_Scope3_InorganicFertiliser[Chemical compound],Table_SourceData_Scope3_InorganicFertiliser[Region of origin],Table_SourceData_Scope3_InorganicFertiliser[Emissions intensity]), IF(_xlpm.result="", 0, _xlpm.result))</f>
        <v>0</v>
      </c>
      <c r="T255" s="74"/>
      <c r="U255" s="15">
        <v>0</v>
      </c>
      <c r="V255" s="15">
        <v>0</v>
      </c>
      <c r="W255" s="15" cm="1">
        <f t="array" ref="W255">_xlfn.LET(_xlpm.result, Common_InputFunctions.Utility_LookupValueInTableTwoColumns(U255, _xlfn.IFS(U255="Urea",IF($O255="", "Global", $O255), U255="Ammonia", IF($P255="", "Global", $P255), TRUE, "Global"), Table_SourceData_Scope3_InorganicFertiliser[Chemical compound],Table_SourceData_Scope3_InorganicFertiliser[Region of origin],Table_SourceData_Scope3_InorganicFertiliser[Emissions intensity]), IF(_xlpm.result="", 0, _xlpm.result))</f>
        <v>0</v>
      </c>
      <c r="X255" s="74"/>
      <c r="Y255" s="15">
        <v>0</v>
      </c>
      <c r="Z255" s="15">
        <v>0</v>
      </c>
      <c r="AA255" s="15" cm="1">
        <f t="array" ref="AA255">_xlfn.LET(_xlpm.result, Common_InputFunctions.Utility_LookupValueInTableTwoColumns(Y255, _xlfn.IFS(Y255="Urea",IF($O255="", "Global", $O255), Y255="Ammonia", IF($P255="", "Global", $P255), TRUE, "Global"), Table_SourceData_Scope3_InorganicFertiliser[Chemical compound],Table_SourceData_Scope3_InorganicFertiliser[Region of origin],Table_SourceData_Scope3_InorganicFertiliser[Emissions intensity]), IF(_xlpm.result="", 0, _xlpm.result))</f>
        <v>0</v>
      </c>
      <c r="AB255" s="74"/>
      <c r="AC255" s="15">
        <v>0</v>
      </c>
      <c r="AD255" s="15">
        <v>0</v>
      </c>
      <c r="AE255" s="15" cm="1">
        <f t="array" ref="AE255">_xlfn.LET(_xlpm.result, Common_InputFunctions.Utility_LookupValueInTableTwoColumns(AC255, _xlfn.IFS(AC255="Urea",IF($O255="", "Global", $O255), AC255="Ammonia", IF($P255="", "Global", $P255), TRUE, "Global"), Table_SourceData_Scope3_InorganicFertiliser[Chemical compound],Table_SourceData_Scope3_InorganicFertiliser[Region of origin],Table_SourceData_Scope3_InorganicFertiliser[Emissions intensity]), IF(_xlpm.result="", 0, _xlpm.result))</f>
        <v>0</v>
      </c>
      <c r="AF255" s="74"/>
    </row>
    <row r="256" spans="1:40" ht="20.100000000000001" customHeight="1" x14ac:dyDescent="0.2">
      <c r="D256" s="15">
        <v>0</v>
      </c>
      <c r="E256" s="15">
        <v>0</v>
      </c>
      <c r="F256" s="15">
        <f>(R256 * S256)+
(V256 * W256)+
(Z256 * AA256)+
(AD256 * AE256)</f>
        <v>0</v>
      </c>
      <c r="G256" s="251">
        <f>((E256 * F256) * 10 ^ -3)</f>
        <v>0</v>
      </c>
      <c r="H256" s="15">
        <f>((R256 * $E256) * S256 * 10 ^ -3)+
((V256 * $E256) * W256 * 10 ^ -3)+
((Z256 * $E256) * AA256 * 10 ^ -3)+
((AD256 * $E256) * AE256 * 10 ^ -3)</f>
        <v>0</v>
      </c>
      <c r="I256" s="74"/>
      <c r="J256" s="251">
        <f>((E256 * I256) * 10 ^ -3)</f>
        <v>0</v>
      </c>
      <c r="K256" s="251">
        <f>((R256 * $E256) * (IF(T256,T256,S256)) * 10 ^ -3)+
((V256 * $E256) * (IF(X256,X256,W256)) * 10 ^ -3)+
((Z256 * $E256) * (IF(AB256,AB256,AA256)) * 10 ^ -3)+
((AD256 * $E256) * (IF(AF256,AF256,AE256)) * 10 ^ -3)</f>
        <v>0</v>
      </c>
      <c r="L256" s="33"/>
      <c r="M256" s="13"/>
      <c r="N256" s="33"/>
      <c r="O256" s="252" t="str">
        <v/>
      </c>
      <c r="P256" s="252" t="str">
        <v/>
      </c>
      <c r="Q256" s="15">
        <v>0</v>
      </c>
      <c r="R256" s="15">
        <v>0</v>
      </c>
      <c r="S256" s="15" cm="1">
        <f t="array" ref="S256">_xlfn.LET(_xlpm.result, Common_InputFunctions.Utility_LookupValueInTableTwoColumns(Q256, _xlfn.IFS(Q256="Urea",IF($O256="", "Global", $O256), Q256="Ammonia", IF($P256="", "Global", $P256), TRUE, "Global"), Table_SourceData_Scope3_InorganicFertiliser[Chemical compound],Table_SourceData_Scope3_InorganicFertiliser[Region of origin],Table_SourceData_Scope3_InorganicFertiliser[Emissions intensity]), IF(_xlpm.result="", 0, _xlpm.result))</f>
        <v>0</v>
      </c>
      <c r="T256" s="74"/>
      <c r="U256" s="15">
        <v>0</v>
      </c>
      <c r="V256" s="15">
        <v>0</v>
      </c>
      <c r="W256" s="15" cm="1">
        <f t="array" ref="W256">_xlfn.LET(_xlpm.result, Common_InputFunctions.Utility_LookupValueInTableTwoColumns(U256, _xlfn.IFS(U256="Urea",IF($O256="", "Global", $O256), U256="Ammonia", IF($P256="", "Global", $P256), TRUE, "Global"), Table_SourceData_Scope3_InorganicFertiliser[Chemical compound],Table_SourceData_Scope3_InorganicFertiliser[Region of origin],Table_SourceData_Scope3_InorganicFertiliser[Emissions intensity]), IF(_xlpm.result="", 0, _xlpm.result))</f>
        <v>0</v>
      </c>
      <c r="X256" s="74"/>
      <c r="Y256" s="15">
        <v>0</v>
      </c>
      <c r="Z256" s="15">
        <v>0</v>
      </c>
      <c r="AA256" s="15" cm="1">
        <f t="array" ref="AA256">_xlfn.LET(_xlpm.result, Common_InputFunctions.Utility_LookupValueInTableTwoColumns(Y256, _xlfn.IFS(Y256="Urea",IF($O256="", "Global", $O256), Y256="Ammonia", IF($P256="", "Global", $P256), TRUE, "Global"), Table_SourceData_Scope3_InorganicFertiliser[Chemical compound],Table_SourceData_Scope3_InorganicFertiliser[Region of origin],Table_SourceData_Scope3_InorganicFertiliser[Emissions intensity]), IF(_xlpm.result="", 0, _xlpm.result))</f>
        <v>0</v>
      </c>
      <c r="AB256" s="74"/>
      <c r="AC256" s="15">
        <v>0</v>
      </c>
      <c r="AD256" s="15">
        <v>0</v>
      </c>
      <c r="AE256" s="15" cm="1">
        <f t="array" ref="AE256">_xlfn.LET(_xlpm.result, Common_InputFunctions.Utility_LookupValueInTableTwoColumns(AC256, _xlfn.IFS(AC256="Urea",IF($O256="", "Global", $O256), AC256="Ammonia", IF($P256="", "Global", $P256), TRUE, "Global"), Table_SourceData_Scope3_InorganicFertiliser[Chemical compound],Table_SourceData_Scope3_InorganicFertiliser[Region of origin],Table_SourceData_Scope3_InorganicFertiliser[Emissions intensity]), IF(_xlpm.result="", 0, _xlpm.result))</f>
        <v>0</v>
      </c>
      <c r="AF256" s="74"/>
    </row>
    <row r="257" spans="3:41" ht="20.100000000000001" customHeight="1" x14ac:dyDescent="0.2">
      <c r="D257" s="15">
        <v>0</v>
      </c>
      <c r="E257" s="15">
        <v>0</v>
      </c>
      <c r="F257" s="15">
        <f>(R257 * S257)+
(V257 * W257)+
(Z257 * AA257)+
(AD257 * AE257)</f>
        <v>0</v>
      </c>
      <c r="G257" s="251">
        <f>((E257 * F257) * 10 ^ -3)</f>
        <v>0</v>
      </c>
      <c r="H257" s="15">
        <f>((R257 * $E257) * S257 * 10 ^ -3)+
((V257 * $E257) * W257 * 10 ^ -3)+
((Z257 * $E257) * AA257 * 10 ^ -3)+
((AD257 * $E257) * AE257 * 10 ^ -3)</f>
        <v>0</v>
      </c>
      <c r="I257" s="74"/>
      <c r="J257" s="251">
        <f>((E257 * I257) * 10 ^ -3)</f>
        <v>0</v>
      </c>
      <c r="K257" s="251">
        <f>((R257 * $E257) * (IF(T257,T257,S257)) * 10 ^ -3)+
((V257 * $E257) * (IF(X257,X257,W257)) * 10 ^ -3)+
((Z257 * $E257) * (IF(AB257,AB257,AA257)) * 10 ^ -3)+
((AD257 * $E257) * (IF(AF257,AF257,AE257)) * 10 ^ -3)</f>
        <v>0</v>
      </c>
      <c r="L257" s="33"/>
      <c r="M257" s="13"/>
      <c r="N257" s="33"/>
      <c r="O257" s="252" t="str">
        <v/>
      </c>
      <c r="P257" s="252" t="str">
        <v/>
      </c>
      <c r="Q257" s="15">
        <v>0</v>
      </c>
      <c r="R257" s="15">
        <v>0</v>
      </c>
      <c r="S257" s="15" cm="1">
        <f t="array" ref="S257">_xlfn.LET(_xlpm.result, Common_InputFunctions.Utility_LookupValueInTableTwoColumns(Q257, _xlfn.IFS(Q257="Urea",IF($O257="", "Global", $O257), Q257="Ammonia", IF($P257="", "Global", $P257), TRUE, "Global"), Table_SourceData_Scope3_InorganicFertiliser[Chemical compound],Table_SourceData_Scope3_InorganicFertiliser[Region of origin],Table_SourceData_Scope3_InorganicFertiliser[Emissions intensity]), IF(_xlpm.result="", 0, _xlpm.result))</f>
        <v>0</v>
      </c>
      <c r="T257" s="74"/>
      <c r="U257" s="15">
        <v>0</v>
      </c>
      <c r="V257" s="15">
        <v>0</v>
      </c>
      <c r="W257" s="15" cm="1">
        <f t="array" ref="W257">_xlfn.LET(_xlpm.result, Common_InputFunctions.Utility_LookupValueInTableTwoColumns(U257, _xlfn.IFS(U257="Urea",IF($O257="", "Global", $O257), U257="Ammonia", IF($P257="", "Global", $P257), TRUE, "Global"), Table_SourceData_Scope3_InorganicFertiliser[Chemical compound],Table_SourceData_Scope3_InorganicFertiliser[Region of origin],Table_SourceData_Scope3_InorganicFertiliser[Emissions intensity]), IF(_xlpm.result="", 0, _xlpm.result))</f>
        <v>0</v>
      </c>
      <c r="X257" s="74"/>
      <c r="Y257" s="15">
        <v>0</v>
      </c>
      <c r="Z257" s="15">
        <v>0</v>
      </c>
      <c r="AA257" s="15" cm="1">
        <f t="array" ref="AA257">_xlfn.LET(_xlpm.result, Common_InputFunctions.Utility_LookupValueInTableTwoColumns(Y257, _xlfn.IFS(Y257="Urea",IF($O257="", "Global", $O257), Y257="Ammonia", IF($P257="", "Global", $P257), TRUE, "Global"), Table_SourceData_Scope3_InorganicFertiliser[Chemical compound],Table_SourceData_Scope3_InorganicFertiliser[Region of origin],Table_SourceData_Scope3_InorganicFertiliser[Emissions intensity]), IF(_xlpm.result="", 0, _xlpm.result))</f>
        <v>0</v>
      </c>
      <c r="AB257" s="74"/>
      <c r="AC257" s="15">
        <v>0</v>
      </c>
      <c r="AD257" s="15">
        <v>0</v>
      </c>
      <c r="AE257" s="15" cm="1">
        <f t="array" ref="AE257">_xlfn.LET(_xlpm.result, Common_InputFunctions.Utility_LookupValueInTableTwoColumns(AC257, _xlfn.IFS(AC257="Urea",IF($O257="", "Global", $O257), AC257="Ammonia", IF($P257="", "Global", $P257), TRUE, "Global"), Table_SourceData_Scope3_InorganicFertiliser[Chemical compound],Table_SourceData_Scope3_InorganicFertiliser[Region of origin],Table_SourceData_Scope3_InorganicFertiliser[Emissions intensity]), IF(_xlpm.result="", 0, _xlpm.result))</f>
        <v>0</v>
      </c>
      <c r="AF257" s="74"/>
    </row>
    <row r="258" spans="3:41" ht="20.100000000000001" customHeight="1" x14ac:dyDescent="0.2">
      <c r="D258" s="15">
        <v>0</v>
      </c>
      <c r="E258" s="15">
        <v>0</v>
      </c>
      <c r="F258" s="15">
        <f>(R258 * S258)+
(V258 * W258)+
(Z258 * AA258)+
(AD258 * AE258)</f>
        <v>0</v>
      </c>
      <c r="G258" s="251">
        <f>((E258 * F258) * 10 ^ -3)</f>
        <v>0</v>
      </c>
      <c r="H258" s="15">
        <f>((R258 * $E258) * S258 * 10 ^ -3)+
((V258 * $E258) * W258 * 10 ^ -3)+
((Z258 * $E258) * AA258 * 10 ^ -3)+
((AD258 * $E258) * AE258 * 10 ^ -3)</f>
        <v>0</v>
      </c>
      <c r="I258" s="74"/>
      <c r="J258" s="251">
        <f>((E258 * I258) * 10 ^ -3)</f>
        <v>0</v>
      </c>
      <c r="K258" s="251">
        <f>((R258 * $E258) * (IF(T258,T258,S258)) * 10 ^ -3)+
((V258 * $E258) * (IF(X258,X258,W258)) * 10 ^ -3)+
((Z258 * $E258) * (IF(AB258,AB258,AA258)) * 10 ^ -3)+
((AD258 * $E258) * (IF(AF258,AF258,AE258)) * 10 ^ -3)</f>
        <v>0</v>
      </c>
      <c r="L258" s="33"/>
      <c r="M258" s="13"/>
      <c r="N258" s="33"/>
      <c r="O258" s="252" t="str">
        <v/>
      </c>
      <c r="P258" s="252" t="str">
        <v/>
      </c>
      <c r="Q258" s="15">
        <v>0</v>
      </c>
      <c r="R258" s="15">
        <v>0</v>
      </c>
      <c r="S258" s="15" cm="1">
        <f t="array" ref="S258">_xlfn.LET(_xlpm.result, Common_InputFunctions.Utility_LookupValueInTableTwoColumns(Q258, _xlfn.IFS(Q258="Urea",IF($O258="", "Global", $O258), Q258="Ammonia", IF($P258="", "Global", $P258), TRUE, "Global"), Table_SourceData_Scope3_InorganicFertiliser[Chemical compound],Table_SourceData_Scope3_InorganicFertiliser[Region of origin],Table_SourceData_Scope3_InorganicFertiliser[Emissions intensity]), IF(_xlpm.result="", 0, _xlpm.result))</f>
        <v>0</v>
      </c>
      <c r="T258" s="74"/>
      <c r="U258" s="15">
        <v>0</v>
      </c>
      <c r="V258" s="15">
        <v>0</v>
      </c>
      <c r="W258" s="15" cm="1">
        <f t="array" ref="W258">_xlfn.LET(_xlpm.result, Common_InputFunctions.Utility_LookupValueInTableTwoColumns(U258, _xlfn.IFS(U258="Urea",IF($O258="", "Global", $O258), U258="Ammonia", IF($P258="", "Global", $P258), TRUE, "Global"), Table_SourceData_Scope3_InorganicFertiliser[Chemical compound],Table_SourceData_Scope3_InorganicFertiliser[Region of origin],Table_SourceData_Scope3_InorganicFertiliser[Emissions intensity]), IF(_xlpm.result="", 0, _xlpm.result))</f>
        <v>0</v>
      </c>
      <c r="X258" s="74"/>
      <c r="Y258" s="15">
        <v>0</v>
      </c>
      <c r="Z258" s="15">
        <v>0</v>
      </c>
      <c r="AA258" s="15" cm="1">
        <f t="array" ref="AA258">_xlfn.LET(_xlpm.result, Common_InputFunctions.Utility_LookupValueInTableTwoColumns(Y258, _xlfn.IFS(Y258="Urea",IF($O258="", "Global", $O258), Y258="Ammonia", IF($P258="", "Global", $P258), TRUE, "Global"), Table_SourceData_Scope3_InorganicFertiliser[Chemical compound],Table_SourceData_Scope3_InorganicFertiliser[Region of origin],Table_SourceData_Scope3_InorganicFertiliser[Emissions intensity]), IF(_xlpm.result="", 0, _xlpm.result))</f>
        <v>0</v>
      </c>
      <c r="AB258" s="74"/>
      <c r="AC258" s="15">
        <v>0</v>
      </c>
      <c r="AD258" s="15">
        <v>0</v>
      </c>
      <c r="AE258" s="15" cm="1">
        <f t="array" ref="AE258">_xlfn.LET(_xlpm.result, Common_InputFunctions.Utility_LookupValueInTableTwoColumns(AC258, _xlfn.IFS(AC258="Urea",IF($O258="", "Global", $O258), AC258="Ammonia", IF($P258="", "Global", $P258), TRUE, "Global"), Table_SourceData_Scope3_InorganicFertiliser[Chemical compound],Table_SourceData_Scope3_InorganicFertiliser[Region of origin],Table_SourceData_Scope3_InorganicFertiliser[Emissions intensity]), IF(_xlpm.result="", 0, _xlpm.result))</f>
        <v>0</v>
      </c>
      <c r="AF258" s="74"/>
    </row>
    <row r="259" spans="3:41" ht="20.100000000000001" customHeight="1" x14ac:dyDescent="0.2">
      <c r="D259" s="15">
        <v>0</v>
      </c>
      <c r="E259" s="15">
        <v>0</v>
      </c>
      <c r="F259" s="15">
        <f>(R259 * S259)+
(V259 * W259)+
(Z259 * AA259)+
(AD259 * AE259)</f>
        <v>0</v>
      </c>
      <c r="G259" s="251">
        <f>((E259 * F259) * 10 ^ -3)</f>
        <v>0</v>
      </c>
      <c r="H259" s="15">
        <f>((R259 * $E259) * S259 * 10 ^ -3)+
((V259 * $E259) * W259 * 10 ^ -3)+
((Z259 * $E259) * AA259 * 10 ^ -3)+
((AD259 * $E259) * AE259 * 10 ^ -3)</f>
        <v>0</v>
      </c>
      <c r="I259" s="74"/>
      <c r="J259" s="251">
        <f>((E259 * I259) * 10 ^ -3)</f>
        <v>0</v>
      </c>
      <c r="K259" s="251">
        <f>((R259 * $E259) * (IF(T259,T259,S259)) * 10 ^ -3)+
((V259 * $E259) * (IF(X259,X259,W259)) * 10 ^ -3)+
((Z259 * $E259) * (IF(AB259,AB259,AA259)) * 10 ^ -3)+
((AD259 * $E259) * (IF(AF259,AF259,AE259)) * 10 ^ -3)</f>
        <v>0</v>
      </c>
      <c r="L259" s="33"/>
      <c r="M259" s="13"/>
      <c r="N259" s="33"/>
      <c r="O259" s="252" t="str">
        <v/>
      </c>
      <c r="P259" s="252" t="str">
        <v/>
      </c>
      <c r="Q259" s="15">
        <v>0</v>
      </c>
      <c r="R259" s="15">
        <v>0</v>
      </c>
      <c r="S259" s="15" cm="1">
        <f t="array" ref="S259">_xlfn.LET(_xlpm.result, Common_InputFunctions.Utility_LookupValueInTableTwoColumns(Q259, _xlfn.IFS(Q259="Urea",IF($O259="", "Global", $O259), Q259="Ammonia", IF($P259="", "Global", $P259), TRUE, "Global"), Table_SourceData_Scope3_InorganicFertiliser[Chemical compound],Table_SourceData_Scope3_InorganicFertiliser[Region of origin],Table_SourceData_Scope3_InorganicFertiliser[Emissions intensity]), IF(_xlpm.result="", 0, _xlpm.result))</f>
        <v>0</v>
      </c>
      <c r="T259" s="74"/>
      <c r="U259" s="15">
        <v>0</v>
      </c>
      <c r="V259" s="15">
        <v>0</v>
      </c>
      <c r="W259" s="15" cm="1">
        <f t="array" ref="W259">_xlfn.LET(_xlpm.result, Common_InputFunctions.Utility_LookupValueInTableTwoColumns(U259, _xlfn.IFS(U259="Urea",IF($O259="", "Global", $O259), U259="Ammonia", IF($P259="", "Global", $P259), TRUE, "Global"), Table_SourceData_Scope3_InorganicFertiliser[Chemical compound],Table_SourceData_Scope3_InorganicFertiliser[Region of origin],Table_SourceData_Scope3_InorganicFertiliser[Emissions intensity]), IF(_xlpm.result="", 0, _xlpm.result))</f>
        <v>0</v>
      </c>
      <c r="X259" s="74"/>
      <c r="Y259" s="15">
        <v>0</v>
      </c>
      <c r="Z259" s="15">
        <v>0</v>
      </c>
      <c r="AA259" s="15" cm="1">
        <f t="array" ref="AA259">_xlfn.LET(_xlpm.result, Common_InputFunctions.Utility_LookupValueInTableTwoColumns(Y259, _xlfn.IFS(Y259="Urea",IF($O259="", "Global", $O259), Y259="Ammonia", IF($P259="", "Global", $P259), TRUE, "Global"), Table_SourceData_Scope3_InorganicFertiliser[Chemical compound],Table_SourceData_Scope3_InorganicFertiliser[Region of origin],Table_SourceData_Scope3_InorganicFertiliser[Emissions intensity]), IF(_xlpm.result="", 0, _xlpm.result))</f>
        <v>0</v>
      </c>
      <c r="AB259" s="74"/>
      <c r="AC259" s="15">
        <v>0</v>
      </c>
      <c r="AD259" s="15">
        <v>0</v>
      </c>
      <c r="AE259" s="15" cm="1">
        <f t="array" ref="AE259">_xlfn.LET(_xlpm.result, Common_InputFunctions.Utility_LookupValueInTableTwoColumns(AC259, _xlfn.IFS(AC259="Urea",IF($O259="", "Global", $O259), AC259="Ammonia", IF($P259="", "Global", $P259), TRUE, "Global"), Table_SourceData_Scope3_InorganicFertiliser[Chemical compound],Table_SourceData_Scope3_InorganicFertiliser[Region of origin],Table_SourceData_Scope3_InorganicFertiliser[Emissions intensity]), IF(_xlpm.result="", 0, _xlpm.result))</f>
        <v>0</v>
      </c>
      <c r="AF259" s="74"/>
    </row>
    <row r="260" spans="3:41" ht="20.100000000000001" customHeight="1" x14ac:dyDescent="0.2">
      <c r="D260" s="15">
        <v>0</v>
      </c>
      <c r="E260" s="15">
        <v>0</v>
      </c>
      <c r="F260" s="15">
        <f>(R260 * S260)+
(V260 * W260)+
(Z260 * AA260)+
(AD260 * AE260)</f>
        <v>0</v>
      </c>
      <c r="G260" s="251">
        <f>((E260 * F260) * 10 ^ -3)</f>
        <v>0</v>
      </c>
      <c r="H260" s="15">
        <f>((R260 * $E260) * S260 * 10 ^ -3)+
((V260 * $E260) * W260 * 10 ^ -3)+
((Z260 * $E260) * AA260 * 10 ^ -3)+
((AD260 * $E260) * AE260 * 10 ^ -3)</f>
        <v>0</v>
      </c>
      <c r="I260" s="74"/>
      <c r="J260" s="251">
        <f>((E260 * I260) * 10 ^ -3)</f>
        <v>0</v>
      </c>
      <c r="K260" s="251">
        <f>((R260 * $E260) * (IF(T260,T260,S260)) * 10 ^ -3)+
((V260 * $E260) * (IF(X260,X260,W260)) * 10 ^ -3)+
((Z260 * $E260) * (IF(AB260,AB260,AA260)) * 10 ^ -3)+
((AD260 * $E260) * (IF(AF260,AF260,AE260)) * 10 ^ -3)</f>
        <v>0</v>
      </c>
      <c r="L260" s="33"/>
      <c r="M260" s="13"/>
      <c r="N260" s="33"/>
      <c r="O260" s="252" t="str">
        <v/>
      </c>
      <c r="P260" s="252" t="str">
        <v/>
      </c>
      <c r="Q260" s="15">
        <v>0</v>
      </c>
      <c r="R260" s="15">
        <v>0</v>
      </c>
      <c r="S260" s="15" cm="1">
        <f t="array" ref="S260">_xlfn.LET(_xlpm.result, Common_InputFunctions.Utility_LookupValueInTableTwoColumns(Q260, _xlfn.IFS(Q260="Urea",IF($O260="", "Global", $O260), Q260="Ammonia", IF($P260="", "Global", $P260), TRUE, "Global"), Table_SourceData_Scope3_InorganicFertiliser[Chemical compound],Table_SourceData_Scope3_InorganicFertiliser[Region of origin],Table_SourceData_Scope3_InorganicFertiliser[Emissions intensity]), IF(_xlpm.result="", 0, _xlpm.result))</f>
        <v>0</v>
      </c>
      <c r="T260" s="74"/>
      <c r="U260" s="15">
        <v>0</v>
      </c>
      <c r="V260" s="15">
        <v>0</v>
      </c>
      <c r="W260" s="15" cm="1">
        <f t="array" ref="W260">_xlfn.LET(_xlpm.result, Common_InputFunctions.Utility_LookupValueInTableTwoColumns(U260, _xlfn.IFS(U260="Urea",IF($O260="", "Global", $O260), U260="Ammonia", IF($P260="", "Global", $P260), TRUE, "Global"), Table_SourceData_Scope3_InorganicFertiliser[Chemical compound],Table_SourceData_Scope3_InorganicFertiliser[Region of origin],Table_SourceData_Scope3_InorganicFertiliser[Emissions intensity]), IF(_xlpm.result="", 0, _xlpm.result))</f>
        <v>0</v>
      </c>
      <c r="X260" s="74"/>
      <c r="Y260" s="15">
        <v>0</v>
      </c>
      <c r="Z260" s="15">
        <v>0</v>
      </c>
      <c r="AA260" s="15" cm="1">
        <f t="array" ref="AA260">_xlfn.LET(_xlpm.result, Common_InputFunctions.Utility_LookupValueInTableTwoColumns(Y260, _xlfn.IFS(Y260="Urea",IF($O260="", "Global", $O260), Y260="Ammonia", IF($P260="", "Global", $P260), TRUE, "Global"), Table_SourceData_Scope3_InorganicFertiliser[Chemical compound],Table_SourceData_Scope3_InorganicFertiliser[Region of origin],Table_SourceData_Scope3_InorganicFertiliser[Emissions intensity]), IF(_xlpm.result="", 0, _xlpm.result))</f>
        <v>0</v>
      </c>
      <c r="AB260" s="74"/>
      <c r="AC260" s="15">
        <v>0</v>
      </c>
      <c r="AD260" s="15">
        <v>0</v>
      </c>
      <c r="AE260" s="15" cm="1">
        <f t="array" ref="AE260">_xlfn.LET(_xlpm.result, Common_InputFunctions.Utility_LookupValueInTableTwoColumns(AC260, _xlfn.IFS(AC260="Urea",IF($O260="", "Global", $O260), AC260="Ammonia", IF($P260="", "Global", $P260), TRUE, "Global"), Table_SourceData_Scope3_InorganicFertiliser[Chemical compound],Table_SourceData_Scope3_InorganicFertiliser[Region of origin],Table_SourceData_Scope3_InorganicFertiliser[Emissions intensity]), IF(_xlpm.result="", 0, _xlpm.result))</f>
        <v>0</v>
      </c>
      <c r="AF260" s="74"/>
    </row>
    <row r="261" spans="3:41" ht="20.100000000000001" customHeight="1" x14ac:dyDescent="0.2">
      <c r="D261" s="15">
        <v>0</v>
      </c>
      <c r="E261" s="15">
        <v>0</v>
      </c>
      <c r="F261" s="15">
        <f>(R261 * S261)+
(V261 * W261)+
(Z261 * AA261)+
(AD261 * AE261)</f>
        <v>0</v>
      </c>
      <c r="G261" s="251">
        <f>((E261 * F261) * 10 ^ -3)</f>
        <v>0</v>
      </c>
      <c r="H261" s="15">
        <f>((R261 * $E261) * S261 * 10 ^ -3)+
((V261 * $E261) * W261 * 10 ^ -3)+
((Z261 * $E261) * AA261 * 10 ^ -3)+
((AD261 * $E261) * AE261 * 10 ^ -3)</f>
        <v>0</v>
      </c>
      <c r="I261" s="74"/>
      <c r="J261" s="251">
        <f>((E261 * I261) * 10 ^ -3)</f>
        <v>0</v>
      </c>
      <c r="K261" s="251">
        <f>((R261 * $E261) * (IF(T261,T261,S261)) * 10 ^ -3)+
((V261 * $E261) * (IF(X261,X261,W261)) * 10 ^ -3)+
((Z261 * $E261) * (IF(AB261,AB261,AA261)) * 10 ^ -3)+
((AD261 * $E261) * (IF(AF261,AF261,AE261)) * 10 ^ -3)</f>
        <v>0</v>
      </c>
      <c r="L261" s="33"/>
      <c r="M261" s="13"/>
      <c r="N261" s="33"/>
      <c r="O261" s="252" t="str">
        <v/>
      </c>
      <c r="P261" s="252" t="str">
        <v/>
      </c>
      <c r="Q261" s="15">
        <v>0</v>
      </c>
      <c r="R261" s="15">
        <v>0</v>
      </c>
      <c r="S261" s="15" cm="1">
        <f t="array" ref="S261">_xlfn.LET(_xlpm.result, Common_InputFunctions.Utility_LookupValueInTableTwoColumns(Q261, _xlfn.IFS(Q261="Urea",IF($O261="", "Global", $O261), Q261="Ammonia", IF($P261="", "Global", $P261), TRUE, "Global"), Table_SourceData_Scope3_InorganicFertiliser[Chemical compound],Table_SourceData_Scope3_InorganicFertiliser[Region of origin],Table_SourceData_Scope3_InorganicFertiliser[Emissions intensity]), IF(_xlpm.result="", 0, _xlpm.result))</f>
        <v>0</v>
      </c>
      <c r="T261" s="74"/>
      <c r="U261" s="15">
        <v>0</v>
      </c>
      <c r="V261" s="15">
        <v>0</v>
      </c>
      <c r="W261" s="15" cm="1">
        <f t="array" ref="W261">_xlfn.LET(_xlpm.result, Common_InputFunctions.Utility_LookupValueInTableTwoColumns(U261, _xlfn.IFS(U261="Urea",IF($O261="", "Global", $O261), U261="Ammonia", IF($P261="", "Global", $P261), TRUE, "Global"), Table_SourceData_Scope3_InorganicFertiliser[Chemical compound],Table_SourceData_Scope3_InorganicFertiliser[Region of origin],Table_SourceData_Scope3_InorganicFertiliser[Emissions intensity]), IF(_xlpm.result="", 0, _xlpm.result))</f>
        <v>0</v>
      </c>
      <c r="X261" s="74"/>
      <c r="Y261" s="15">
        <v>0</v>
      </c>
      <c r="Z261" s="15">
        <v>0</v>
      </c>
      <c r="AA261" s="15" cm="1">
        <f t="array" ref="AA261">_xlfn.LET(_xlpm.result, Common_InputFunctions.Utility_LookupValueInTableTwoColumns(Y261, _xlfn.IFS(Y261="Urea",IF($O261="", "Global", $O261), Y261="Ammonia", IF($P261="", "Global", $P261), TRUE, "Global"), Table_SourceData_Scope3_InorganicFertiliser[Chemical compound],Table_SourceData_Scope3_InorganicFertiliser[Region of origin],Table_SourceData_Scope3_InorganicFertiliser[Emissions intensity]), IF(_xlpm.result="", 0, _xlpm.result))</f>
        <v>0</v>
      </c>
      <c r="AB261" s="74"/>
      <c r="AC261" s="15">
        <v>0</v>
      </c>
      <c r="AD261" s="15">
        <v>0</v>
      </c>
      <c r="AE261" s="15" cm="1">
        <f t="array" ref="AE261">_xlfn.LET(_xlpm.result, Common_InputFunctions.Utility_LookupValueInTableTwoColumns(AC261, _xlfn.IFS(AC261="Urea",IF($O261="", "Global", $O261), AC261="Ammonia", IF($P261="", "Global", $P261), TRUE, "Global"), Table_SourceData_Scope3_InorganicFertiliser[Chemical compound],Table_SourceData_Scope3_InorganicFertiliser[Region of origin],Table_SourceData_Scope3_InorganicFertiliser[Emissions intensity]), IF(_xlpm.result="", 0, _xlpm.result))</f>
        <v>0</v>
      </c>
      <c r="AF261" s="74"/>
    </row>
    <row r="263" spans="3:41" ht="20.100000000000001" customHeight="1" x14ac:dyDescent="0.2">
      <c r="D263" s="253" t="s">
        <v>1106</v>
      </c>
      <c r="E263" s="86">
        <f>SUM(G236:G245)+SUM(G252:G261)</f>
        <v>51.880600000000001</v>
      </c>
      <c r="F263" s="95" t="str">
        <f>$E$170</f>
        <v>t CO2e</v>
      </c>
    </row>
    <row r="264" spans="3:41" ht="20.100000000000001" customHeight="1" x14ac:dyDescent="0.2">
      <c r="D264" s="253" t="s">
        <v>1107</v>
      </c>
      <c r="E264" s="86">
        <f>SUM(J236:J245)+SUM(J252:J261)</f>
        <v>34</v>
      </c>
      <c r="F264" s="95" t="str">
        <f>$E$170</f>
        <v>t CO2e</v>
      </c>
    </row>
    <row r="266" spans="3:41" ht="20.100000000000001" customHeight="1" x14ac:dyDescent="0.2">
      <c r="D266" s="253" t="s">
        <v>1108</v>
      </c>
      <c r="E266" s="86">
        <f>SUM(H236:H245)+SUM(H252:H261)</f>
        <v>51.880600000000001</v>
      </c>
      <c r="F266" s="95" t="str">
        <f>$E$170</f>
        <v>t CO2e</v>
      </c>
    </row>
    <row r="267" spans="3:41" ht="20.100000000000001" customHeight="1" x14ac:dyDescent="0.2">
      <c r="D267" s="253" t="s">
        <v>1109</v>
      </c>
      <c r="E267" s="86">
        <f>SUM(K236:K245)+SUM(K252:K261)</f>
        <v>59.9726</v>
      </c>
      <c r="F267" s="95" t="str">
        <f>$E$170</f>
        <v>t CO2e</v>
      </c>
    </row>
    <row r="270" spans="3:41" ht="20.100000000000001" customHeight="1" x14ac:dyDescent="0.2">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row>
    <row r="271" spans="3:41" ht="20.100000000000001" customHeight="1" x14ac:dyDescent="0.2">
      <c r="D271" s="2" t="s">
        <v>1538</v>
      </c>
    </row>
    <row r="272" spans="3:41" ht="20.100000000000001" customHeight="1" x14ac:dyDescent="0.2">
      <c r="D272" s="17" t="s">
        <v>1539</v>
      </c>
    </row>
    <row r="273" spans="1:9" ht="20.100000000000001" customHeight="1" x14ac:dyDescent="0.2">
      <c r="D273" s="112"/>
      <c r="E273" s="112"/>
    </row>
    <row r="277" spans="1:9" ht="20.100000000000001" customHeight="1" x14ac:dyDescent="0.2">
      <c r="D277" s="75" t="s">
        <v>328</v>
      </c>
      <c r="E277" s="1" t="s">
        <v>1146</v>
      </c>
    </row>
    <row r="278" spans="1:9" ht="20.100000000000001" customHeight="1" x14ac:dyDescent="0.2">
      <c r="A278" s="79" t="str">
        <f>HYPERLINK("#A1", "▲ Back to top")</f>
        <v>▲ Back to top</v>
      </c>
      <c r="D278" s="75" t="s">
        <v>118</v>
      </c>
      <c r="E278" s="9" t="s">
        <v>7</v>
      </c>
    </row>
    <row r="280" spans="1:9" ht="20.100000000000001" customHeight="1" x14ac:dyDescent="0.2">
      <c r="D280" s="113" t="s">
        <v>1540</v>
      </c>
      <c r="E280" s="122" t="s">
        <v>1541</v>
      </c>
      <c r="F280" s="123"/>
      <c r="G280" s="113" t="s">
        <v>1546</v>
      </c>
      <c r="H280" s="249" t="s">
        <v>1202</v>
      </c>
    </row>
    <row r="281" spans="1:9" ht="20.100000000000001" customHeight="1" x14ac:dyDescent="0.2">
      <c r="D281" s="113" t="s">
        <v>1542</v>
      </c>
      <c r="E281" s="122" t="s">
        <v>1543</v>
      </c>
      <c r="F281" s="123"/>
      <c r="G281" s="113" t="s">
        <v>1547</v>
      </c>
      <c r="H281" s="115" t="s">
        <v>1203</v>
      </c>
    </row>
    <row r="282" spans="1:9" ht="20.100000000000001" customHeight="1" x14ac:dyDescent="0.2">
      <c r="D282" s="113" t="s">
        <v>1544</v>
      </c>
      <c r="E282" s="122" t="s">
        <v>1545</v>
      </c>
      <c r="F282" s="123"/>
      <c r="G282" s="113"/>
      <c r="H282" s="249" t="s">
        <v>1202</v>
      </c>
    </row>
    <row r="284" spans="1:9" ht="20.100000000000001" customHeight="1" x14ac:dyDescent="0.2">
      <c r="D284" s="78" t="s">
        <v>1110</v>
      </c>
      <c r="E284" s="78" t="s">
        <v>695</v>
      </c>
      <c r="F284" s="120" t="s">
        <v>1111</v>
      </c>
      <c r="G284" s="120" t="s">
        <v>1040</v>
      </c>
      <c r="H284" s="78" t="s">
        <v>1112</v>
      </c>
      <c r="I284" s="120" t="s">
        <v>1043</v>
      </c>
    </row>
    <row r="285" spans="1:9" ht="20.100000000000001" customHeight="1" x14ac:dyDescent="0.2">
      <c r="D285" s="15" t="str" cm="1">
        <f t="array" ref="D285:D296">Table_SourceData_Scope3_Pesticides[Product]</f>
        <v>2,4-D</v>
      </c>
      <c r="E285" s="15"/>
      <c r="F285" s="15" cm="1">
        <f t="array" ref="F285">Common_InputFunctions.Utility_LookupValueInTableNumber(D285,Table_SourceData_Scope3_Pesticides[Product],Table_SourceData_Scope3_Pesticides[Emissions intensity])</f>
        <v>5.2</v>
      </c>
      <c r="G285" s="15">
        <f>(($E285 * F285) * 10 ^ -3)</f>
        <v>0</v>
      </c>
      <c r="H285" s="74">
        <v>5</v>
      </c>
      <c r="I285" s="15">
        <f>(($E285 * (IF(H285,H285,F285))) * 10 ^ -3)</f>
        <v>0</v>
      </c>
    </row>
    <row r="286" spans="1:9" ht="20.100000000000001" customHeight="1" x14ac:dyDescent="0.2">
      <c r="D286" s="15" t="str">
        <v>Atrazine</v>
      </c>
      <c r="E286" s="15"/>
      <c r="F286" s="15" cm="1">
        <f t="array" ref="F286">Common_InputFunctions.Utility_LookupValueInTableNumber(D286,Table_SourceData_Scope3_Pesticides[Product],Table_SourceData_Scope3_Pesticides[Emissions intensity])</f>
        <v>8.3800000000000008</v>
      </c>
      <c r="G286" s="15">
        <f>(($E286 * F286) * 10 ^ -3)</f>
        <v>0</v>
      </c>
      <c r="H286" s="74">
        <v>8</v>
      </c>
      <c r="I286" s="15">
        <f>(($E286 * (IF(H286,H286,F286))) * 10 ^ -3)</f>
        <v>0</v>
      </c>
    </row>
    <row r="287" spans="1:9" ht="20.100000000000001" customHeight="1" x14ac:dyDescent="0.2">
      <c r="D287" s="15" t="str">
        <v>Diuron</v>
      </c>
      <c r="E287" s="15"/>
      <c r="F287" s="15" cm="1">
        <f t="array" ref="F287">Common_InputFunctions.Utility_LookupValueInTableNumber(D287,Table_SourceData_Scope3_Pesticides[Product],Table_SourceData_Scope3_Pesticides[Emissions intensity])</f>
        <v>8.8000000000000007</v>
      </c>
      <c r="G287" s="15">
        <f>(($E287 * F287) * 10 ^ -3)</f>
        <v>0</v>
      </c>
      <c r="H287" s="74"/>
      <c r="I287" s="15">
        <f>(($E287 * (IF(H287,H287,F287))) * 10 ^ -3)</f>
        <v>0</v>
      </c>
    </row>
    <row r="288" spans="1:9" ht="20.100000000000001" customHeight="1" x14ac:dyDescent="0.2">
      <c r="D288" s="15" t="str">
        <v>Glyphosate</v>
      </c>
      <c r="E288" s="15"/>
      <c r="F288" s="15" cm="1">
        <f t="array" ref="F288">Common_InputFunctions.Utility_LookupValueInTableNumber(D288,Table_SourceData_Scope3_Pesticides[Product],Table_SourceData_Scope3_Pesticides[Emissions intensity])</f>
        <v>10.3</v>
      </c>
      <c r="G288" s="15">
        <f>(($E288 * F288) * 10 ^ -3)</f>
        <v>0</v>
      </c>
      <c r="H288" s="74"/>
      <c r="I288" s="15">
        <f>(($E288 * (IF(H288,H288,F288))) * 10 ^ -3)</f>
        <v>0</v>
      </c>
    </row>
    <row r="289" spans="3:41" ht="20.100000000000001" customHeight="1" x14ac:dyDescent="0.2">
      <c r="D289" s="15" t="str">
        <v>Mancozeb</v>
      </c>
      <c r="E289" s="15"/>
      <c r="F289" s="15" cm="1">
        <f t="array" ref="F289">Common_InputFunctions.Utility_LookupValueInTableNumber(D289,Table_SourceData_Scope3_Pesticides[Product],Table_SourceData_Scope3_Pesticides[Emissions intensity])</f>
        <v>4.55</v>
      </c>
      <c r="G289" s="15">
        <f>(($E289 * F289) * 10 ^ -3)</f>
        <v>0</v>
      </c>
      <c r="H289" s="74"/>
      <c r="I289" s="15">
        <f>(($E289 * (IF(H289,H289,F289))) * 10 ^ -3)</f>
        <v>0</v>
      </c>
    </row>
    <row r="290" spans="3:41" ht="20.100000000000001" customHeight="1" x14ac:dyDescent="0.2">
      <c r="D290" s="15" t="str">
        <v>MCPA</v>
      </c>
      <c r="E290" s="15"/>
      <c r="F290" s="15" cm="1">
        <f t="array" ref="F290">Common_InputFunctions.Utility_LookupValueInTableNumber(D290,Table_SourceData_Scope3_Pesticides[Product],Table_SourceData_Scope3_Pesticides[Emissions intensity])</f>
        <v>5.6</v>
      </c>
      <c r="G290" s="15">
        <f>(($E290 * F290) * 10 ^ -3)</f>
        <v>0</v>
      </c>
      <c r="H290" s="74"/>
      <c r="I290" s="15">
        <f>(($E290 * (IF(H290,H290,F290))) * 10 ^ -3)</f>
        <v>0</v>
      </c>
    </row>
    <row r="291" spans="3:41" ht="20.100000000000001" customHeight="1" x14ac:dyDescent="0.2">
      <c r="D291" s="15" t="str">
        <v>Metolachlor</v>
      </c>
      <c r="E291" s="15"/>
      <c r="F291" s="15" cm="1">
        <f t="array" ref="F291">Common_InputFunctions.Utility_LookupValueInTableNumber(D291,Table_SourceData_Scope3_Pesticides[Product],Table_SourceData_Scope3_Pesticides[Emissions intensity])</f>
        <v>8.06</v>
      </c>
      <c r="G291" s="15">
        <f>(($E291 * F291) * 10 ^ -3)</f>
        <v>0</v>
      </c>
      <c r="H291" s="74"/>
      <c r="I291" s="15">
        <f>(($E291 * (IF(H291,H291,F291))) * 10 ^ -3)</f>
        <v>0</v>
      </c>
    </row>
    <row r="292" spans="3:41" ht="20.100000000000001" customHeight="1" x14ac:dyDescent="0.2">
      <c r="D292" s="15" t="str">
        <v>Metsulfuron-methyl</v>
      </c>
      <c r="E292" s="15"/>
      <c r="F292" s="15" cm="1">
        <f t="array" ref="F292">Common_InputFunctions.Utility_LookupValueInTableNumber(D292,Table_SourceData_Scope3_Pesticides[Product],Table_SourceData_Scope3_Pesticides[Emissions intensity])</f>
        <v>8.8000000000000007</v>
      </c>
      <c r="G292" s="15">
        <f>(($E292 * F292) * 10 ^ -3)</f>
        <v>0</v>
      </c>
      <c r="H292" s="74"/>
      <c r="I292" s="15">
        <f>(($E292 * (IF(H292,H292,F292))) * 10 ^ -3)</f>
        <v>0</v>
      </c>
    </row>
    <row r="293" spans="3:41" ht="20.100000000000001" customHeight="1" x14ac:dyDescent="0.2">
      <c r="D293" s="15" t="str">
        <v>Pesticides (generic)</v>
      </c>
      <c r="E293" s="15"/>
      <c r="F293" s="15" cm="1">
        <f t="array" ref="F293">Common_InputFunctions.Utility_LookupValueInTableNumber(D293,Table_SourceData_Scope3_Pesticides[Product],Table_SourceData_Scope3_Pesticides[Emissions intensity])</f>
        <v>9.16</v>
      </c>
      <c r="G293" s="15">
        <f>(($E293 * F293) * 10 ^ -3)</f>
        <v>0</v>
      </c>
      <c r="H293" s="74"/>
      <c r="I293" s="15">
        <f>(($E293 * (IF(H293,H293,F293))) * 10 ^ -3)</f>
        <v>0</v>
      </c>
    </row>
    <row r="294" spans="3:41" ht="20.100000000000001" customHeight="1" x14ac:dyDescent="0.2">
      <c r="D294" s="15" t="str">
        <v>Tri-allate</v>
      </c>
      <c r="E294" s="15"/>
      <c r="F294" s="15" cm="1">
        <f t="array" ref="F294">Common_InputFunctions.Utility_LookupValueInTableNumber(D294,Table_SourceData_Scope3_Pesticides[Product],Table_SourceData_Scope3_Pesticides[Emissions intensity])</f>
        <v>8.57</v>
      </c>
      <c r="G294" s="15">
        <f>(($E294 * F294) * 10 ^ -3)</f>
        <v>0</v>
      </c>
      <c r="H294" s="74"/>
      <c r="I294" s="15">
        <f>(($E294 * (IF(H294,H294,F294))) * 10 ^ -3)</f>
        <v>0</v>
      </c>
    </row>
    <row r="295" spans="3:41" ht="20.100000000000001" customHeight="1" x14ac:dyDescent="0.2">
      <c r="D295" s="15" t="str">
        <v>Tribenuron methyl</v>
      </c>
      <c r="E295" s="15"/>
      <c r="F295" s="15" cm="1">
        <f t="array" ref="F295">Common_InputFunctions.Utility_LookupValueInTableNumber(D295,Table_SourceData_Scope3_Pesticides[Product],Table_SourceData_Scope3_Pesticides[Emissions intensity])</f>
        <v>8.8000000000000007</v>
      </c>
      <c r="G295" s="15">
        <f>(($E295 * F295) * 10 ^ -3)</f>
        <v>0</v>
      </c>
      <c r="H295" s="74"/>
      <c r="I295" s="15">
        <f>(($E295 * (IF(H295,H295,F295))) * 10 ^ -3)</f>
        <v>0</v>
      </c>
    </row>
    <row r="296" spans="3:41" ht="20.100000000000001" customHeight="1" x14ac:dyDescent="0.2">
      <c r="D296" s="15" t="str">
        <v>Trifluralin</v>
      </c>
      <c r="E296" s="15"/>
      <c r="F296" s="15" cm="1">
        <f t="array" ref="F296">Common_InputFunctions.Utility_LookupValueInTableNumber(D296,Table_SourceData_Scope3_Pesticides[Product],Table_SourceData_Scope3_Pesticides[Emissions intensity])</f>
        <v>6.16</v>
      </c>
      <c r="G296" s="15">
        <f>(($E296 * F296) * 10 ^ -3)</f>
        <v>0</v>
      </c>
      <c r="H296" s="74"/>
      <c r="I296" s="15">
        <f>(($E296 * (IF(H296,H296,F296))) * 10 ^ -3)</f>
        <v>0</v>
      </c>
    </row>
    <row r="298" spans="3:41" ht="20.100000000000001" customHeight="1" x14ac:dyDescent="0.2">
      <c r="D298" s="253" t="s">
        <v>1040</v>
      </c>
      <c r="E298" s="86">
        <f>SUM(G285:G296)</f>
        <v>0</v>
      </c>
      <c r="F298" s="95" t="str">
        <f>$E$170</f>
        <v>t CO2e</v>
      </c>
    </row>
    <row r="299" spans="3:41" ht="20.100000000000001" customHeight="1" x14ac:dyDescent="0.2">
      <c r="D299" s="253" t="s">
        <v>1043</v>
      </c>
      <c r="E299" s="86">
        <f>SUM(I285:I296)</f>
        <v>0</v>
      </c>
      <c r="F299" s="95" t="str">
        <f>$E$170</f>
        <v>t CO2e</v>
      </c>
    </row>
    <row r="302" spans="3:41" ht="20.100000000000001" customHeight="1" x14ac:dyDescent="0.2">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row>
    <row r="303" spans="3:41" ht="20.100000000000001" customHeight="1" x14ac:dyDescent="0.2">
      <c r="D303" s="2" t="s">
        <v>1548</v>
      </c>
    </row>
    <row r="304" spans="3:41" ht="20.100000000000001" customHeight="1" x14ac:dyDescent="0.2">
      <c r="D304" s="17" t="s">
        <v>1549</v>
      </c>
    </row>
    <row r="305" spans="1:13" ht="20.100000000000001" customHeight="1" x14ac:dyDescent="0.2">
      <c r="D305" s="112"/>
      <c r="E305" s="112"/>
    </row>
    <row r="308" spans="1:13" ht="20.100000000000001" customHeight="1" x14ac:dyDescent="0.2">
      <c r="A308" s="79" t="str">
        <f>HYPERLINK("#A1", "▲ Back to top")</f>
        <v>▲ Back to top</v>
      </c>
      <c r="D308" s="75" t="s">
        <v>328</v>
      </c>
      <c r="E308" s="1" t="s">
        <v>1146</v>
      </c>
    </row>
    <row r="309" spans="1:13" ht="20.100000000000001" customHeight="1" x14ac:dyDescent="0.2">
      <c r="D309" s="75" t="s">
        <v>118</v>
      </c>
      <c r="E309" s="1" t="s">
        <v>7</v>
      </c>
    </row>
    <row r="311" spans="1:13" ht="20.100000000000001" customHeight="1" x14ac:dyDescent="0.2">
      <c r="D311" s="113" t="s">
        <v>1550</v>
      </c>
      <c r="E311" s="113" t="s">
        <v>1551</v>
      </c>
      <c r="F311" s="113" t="s">
        <v>1438</v>
      </c>
      <c r="G311" s="249" t="s">
        <v>1202</v>
      </c>
    </row>
    <row r="312" spans="1:13" ht="20.100000000000001" customHeight="1" x14ac:dyDescent="0.2">
      <c r="D312" s="113" t="s">
        <v>1552</v>
      </c>
      <c r="E312" s="113" t="s">
        <v>1553</v>
      </c>
      <c r="F312" s="113" t="s">
        <v>1460</v>
      </c>
      <c r="G312" s="115" t="s">
        <v>1203</v>
      </c>
    </row>
    <row r="314" spans="1:13" ht="20.100000000000001" customHeight="1" x14ac:dyDescent="0.2">
      <c r="E314" s="120" t="s">
        <v>130</v>
      </c>
      <c r="F314" s="78" t="s">
        <v>131</v>
      </c>
    </row>
    <row r="315" spans="1:13" ht="20.100000000000001" customHeight="1" x14ac:dyDescent="0.2">
      <c r="D315" s="1" t="s">
        <v>1113</v>
      </c>
      <c r="E315" s="15" cm="1">
        <f t="array" ref="E315">Common_InputFunctions.Utility_LookupValueInTableNumber("Limestone (crushed)", Table_SourceData_Scope3_SoilAmeliorants[Product],Table_SourceData_Scope3_SoilAmeliorants[Emissions intensity])*10^-3</f>
        <v>4.85E-5</v>
      </c>
      <c r="F315" s="74">
        <v>4.0000000000000003E-5</v>
      </c>
      <c r="G315" s="16" t="str">
        <f>$F$312</f>
        <v>t CO2e/t</v>
      </c>
    </row>
    <row r="316" spans="1:13" ht="20.100000000000001" customHeight="1" x14ac:dyDescent="0.2">
      <c r="D316" s="1" t="s">
        <v>1114</v>
      </c>
      <c r="E316" s="15" cm="1">
        <f t="array" ref="E316">Common_InputFunctions.Utility_LookupValueInTableNumber("Dolomite", Table_SourceData_Scope3_SoilAmeliorants[Product],Table_SourceData_Scope3_SoilAmeliorants[Emissions intensity])*10^-3</f>
        <v>6.5199999999999999E-5</v>
      </c>
      <c r="F316" s="74">
        <v>6.0000000000000002E-5</v>
      </c>
      <c r="G316" s="16"/>
    </row>
    <row r="317" spans="1:13" ht="20.100000000000001" customHeight="1" x14ac:dyDescent="0.2">
      <c r="D317" s="1" t="s">
        <v>1115</v>
      </c>
      <c r="E317" s="15" cm="1">
        <f t="array" ref="E317">Common_InputFunctions.Utility_LookupValueInTableNumber("Gypsum", Table_SourceData_Scope3_SoilAmeliorants[Product],Table_SourceData_Scope3_SoilAmeliorants[Emissions intensity])*10^-3</f>
        <v>6.5199999999999999E-5</v>
      </c>
      <c r="F317" s="74">
        <v>6.0000000000000002E-5</v>
      </c>
      <c r="G317" s="16"/>
    </row>
    <row r="319" spans="1:13" ht="20.100000000000001" customHeight="1" x14ac:dyDescent="0.2">
      <c r="D319" s="78" t="s">
        <v>951</v>
      </c>
      <c r="E319" s="250" t="s">
        <v>1116</v>
      </c>
      <c r="F319" s="78" t="s">
        <v>1117</v>
      </c>
      <c r="G319" s="78" t="s">
        <v>1118</v>
      </c>
      <c r="H319" s="78" t="s">
        <v>1119</v>
      </c>
      <c r="I319" s="120" t="s">
        <v>1040</v>
      </c>
      <c r="J319" s="120" t="s">
        <v>1120</v>
      </c>
      <c r="K319" s="78" t="s">
        <v>1044</v>
      </c>
      <c r="L319" s="78" t="s">
        <v>1045</v>
      </c>
      <c r="M319" s="78" t="s">
        <v>1046</v>
      </c>
    </row>
    <row r="320" spans="1:13" ht="20.100000000000001" customHeight="1" x14ac:dyDescent="0.2">
      <c r="D320" s="15" t="str" cm="1">
        <f t="array" ref="D320:D329">IFERROR(INDEX(Table_Input_Lime[Product], _xlfn.SEQUENCE(10)), "")</f>
        <v>Lime product 1</v>
      </c>
      <c r="E320" s="15" cm="1">
        <f t="array" ref="E320:E329">IFERROR(INDEX(Table_Input_Lime[Total amount applied (t)], _xlfn.SEQUENCE(10)), 0)</f>
        <v>100</v>
      </c>
      <c r="F320" s="15" cm="1">
        <f t="array" ref="F320:F329">IFERROR(INDEX(Table_Input_Lime[Percent Lime CaCO3], _xlfn.SEQUENCE(10)), 0)*E320</f>
        <v>80</v>
      </c>
      <c r="G320" s="15" cm="1">
        <f t="array" ref="G320:G329">IFERROR(INDEX(Table_Input_Lime[Percent Dolomite CaMg(CO3)2], _xlfn.SEQUENCE(10)), 0)*E320</f>
        <v>10</v>
      </c>
      <c r="H320" s="15" cm="1">
        <f t="array" ref="H320:H329">IFERROR(INDEX(Table_Input_Lime[Percent Gypsum], _xlfn.SEQUENCE(10)), 0)*E320</f>
        <v>10</v>
      </c>
      <c r="I320" s="251">
        <f>(F320 * $E$315)+
(G320 * $E$316)+
(H320 * $E$317)</f>
        <v>5.1839999999999994E-3</v>
      </c>
      <c r="J320" s="251">
        <f>(F320 * (IF($F$315,$F$315,$E$315)))+
(G320 * (IF($F$316,$F$316,$E$316)))+
(H320 * (IF($F$317,$F$317,$E$317)))</f>
        <v>4.4000000000000003E-3</v>
      </c>
      <c r="K320" s="33"/>
      <c r="L320" s="13"/>
      <c r="M320" s="33"/>
    </row>
    <row r="321" spans="3:41" ht="20.100000000000001" customHeight="1" x14ac:dyDescent="0.2">
      <c r="D321" s="15" t="str">
        <v>Lime product 2</v>
      </c>
      <c r="E321" s="15">
        <v>100</v>
      </c>
      <c r="F321" s="15">
        <v>100</v>
      </c>
      <c r="G321" s="15">
        <v>0</v>
      </c>
      <c r="H321" s="15">
        <v>0</v>
      </c>
      <c r="I321" s="251">
        <f>(F321 * $E$315)+
(G321 * $E$316)+
(H321 * $E$317)</f>
        <v>4.8500000000000001E-3</v>
      </c>
      <c r="J321" s="251">
        <f>(F321 * (IF($F$315,$F$315,$E$315)))+
(G321 * (IF($F$316,$F$316,$E$316)))+
(H321 * (IF($F$317,$F$317,$E$317)))</f>
        <v>4.0000000000000001E-3</v>
      </c>
      <c r="K321" s="33"/>
      <c r="L321" s="13"/>
      <c r="M321" s="33"/>
    </row>
    <row r="322" spans="3:41" ht="20.100000000000001" customHeight="1" x14ac:dyDescent="0.2">
      <c r="D322" s="15" t="str">
        <v>Lime product 3</v>
      </c>
      <c r="E322" s="15">
        <v>100</v>
      </c>
      <c r="F322" s="15">
        <v>0</v>
      </c>
      <c r="G322" s="15">
        <v>0</v>
      </c>
      <c r="H322" s="15">
        <v>100</v>
      </c>
      <c r="I322" s="251">
        <f>(F322 * $E$315)+
(G322 * $E$316)+
(H322 * $E$317)</f>
        <v>6.5199999999999998E-3</v>
      </c>
      <c r="J322" s="251">
        <f>(F322 * (IF($F$315,$F$315,$E$315)))+
(G322 * (IF($F$316,$F$316,$E$316)))+
(H322 * (IF($F$317,$F$317,$E$317)))</f>
        <v>6.0000000000000001E-3</v>
      </c>
      <c r="K322" s="33"/>
      <c r="L322" s="13"/>
      <c r="M322" s="33"/>
    </row>
    <row r="323" spans="3:41" ht="20.100000000000001" customHeight="1" x14ac:dyDescent="0.2">
      <c r="D323" s="15" t="str">
        <v/>
      </c>
      <c r="E323" s="15">
        <v>0</v>
      </c>
      <c r="F323" s="15">
        <v>0</v>
      </c>
      <c r="G323" s="15">
        <v>0</v>
      </c>
      <c r="H323" s="15">
        <v>0</v>
      </c>
      <c r="I323" s="251">
        <f>(F323 * $E$315)+
(G323 * $E$316)+
(H323 * $E$317)</f>
        <v>0</v>
      </c>
      <c r="J323" s="251">
        <f>(F323 * (IF($F$315,$F$315,$E$315)))+
(G323 * (IF($F$316,$F$316,$E$316)))+
(H323 * (IF($F$317,$F$317,$E$317)))</f>
        <v>0</v>
      </c>
      <c r="K323" s="33"/>
      <c r="L323" s="13"/>
      <c r="M323" s="33"/>
    </row>
    <row r="324" spans="3:41" ht="20.100000000000001" customHeight="1" x14ac:dyDescent="0.2">
      <c r="D324" s="15" t="str">
        <v/>
      </c>
      <c r="E324" s="15">
        <v>0</v>
      </c>
      <c r="F324" s="15">
        <v>0</v>
      </c>
      <c r="G324" s="15">
        <v>0</v>
      </c>
      <c r="H324" s="15">
        <v>0</v>
      </c>
      <c r="I324" s="251">
        <f>(F324 * $E$315)+
(G324 * $E$316)+
(H324 * $E$317)</f>
        <v>0</v>
      </c>
      <c r="J324" s="251">
        <f>(F324 * (IF($F$315,$F$315,$E$315)))+
(G324 * (IF($F$316,$F$316,$E$316)))+
(H324 * (IF($F$317,$F$317,$E$317)))</f>
        <v>0</v>
      </c>
      <c r="K324" s="33"/>
      <c r="L324" s="13"/>
      <c r="M324" s="33"/>
    </row>
    <row r="325" spans="3:41" ht="20.100000000000001" customHeight="1" x14ac:dyDescent="0.2">
      <c r="D325" s="15" t="str">
        <v/>
      </c>
      <c r="E325" s="15">
        <v>0</v>
      </c>
      <c r="F325" s="15">
        <v>0</v>
      </c>
      <c r="G325" s="15">
        <v>0</v>
      </c>
      <c r="H325" s="15">
        <v>0</v>
      </c>
      <c r="I325" s="251">
        <f>(F325 * $E$315)+
(G325 * $E$316)+
(H325 * $E$317)</f>
        <v>0</v>
      </c>
      <c r="J325" s="251">
        <f>(F325 * (IF($F$315,$F$315,$E$315)))+
(G325 * (IF($F$316,$F$316,$E$316)))+
(H325 * (IF($F$317,$F$317,$E$317)))</f>
        <v>0</v>
      </c>
      <c r="K325" s="33"/>
      <c r="L325" s="13"/>
      <c r="M325" s="33"/>
    </row>
    <row r="326" spans="3:41" ht="20.100000000000001" customHeight="1" x14ac:dyDescent="0.2">
      <c r="D326" s="15" t="str">
        <v/>
      </c>
      <c r="E326" s="15">
        <v>0</v>
      </c>
      <c r="F326" s="15">
        <v>0</v>
      </c>
      <c r="G326" s="15">
        <v>0</v>
      </c>
      <c r="H326" s="15">
        <v>0</v>
      </c>
      <c r="I326" s="251">
        <f>(F326 * $E$315)+
(G326 * $E$316)+
(H326 * $E$317)</f>
        <v>0</v>
      </c>
      <c r="J326" s="251">
        <f>(F326 * (IF($F$315,$F$315,$E$315)))+
(G326 * (IF($F$316,$F$316,$E$316)))+
(H326 * (IF($F$317,$F$317,$E$317)))</f>
        <v>0</v>
      </c>
      <c r="K326" s="33"/>
      <c r="L326" s="13"/>
      <c r="M326" s="33"/>
    </row>
    <row r="327" spans="3:41" ht="20.100000000000001" customHeight="1" x14ac:dyDescent="0.2">
      <c r="D327" s="15" t="str">
        <v/>
      </c>
      <c r="E327" s="15">
        <v>0</v>
      </c>
      <c r="F327" s="15">
        <v>0</v>
      </c>
      <c r="G327" s="15">
        <v>0</v>
      </c>
      <c r="H327" s="15">
        <v>0</v>
      </c>
      <c r="I327" s="251">
        <f>(F327 * $E$315)+
(G327 * $E$316)+
(H327 * $E$317)</f>
        <v>0</v>
      </c>
      <c r="J327" s="251">
        <f>(F327 * (IF($F$315,$F$315,$E$315)))+
(G327 * (IF($F$316,$F$316,$E$316)))+
(H327 * (IF($F$317,$F$317,$E$317)))</f>
        <v>0</v>
      </c>
      <c r="K327" s="33"/>
      <c r="L327" s="13"/>
      <c r="M327" s="33"/>
    </row>
    <row r="328" spans="3:41" ht="20.100000000000001" customHeight="1" x14ac:dyDescent="0.2">
      <c r="D328" s="15" t="str">
        <v/>
      </c>
      <c r="E328" s="15">
        <v>0</v>
      </c>
      <c r="F328" s="15">
        <v>0</v>
      </c>
      <c r="G328" s="15">
        <v>0</v>
      </c>
      <c r="H328" s="15">
        <v>0</v>
      </c>
      <c r="I328" s="251">
        <f>(F328 * $E$315)+
(G328 * $E$316)+
(H328 * $E$317)</f>
        <v>0</v>
      </c>
      <c r="J328" s="251">
        <f>(F328 * (IF($F$315,$F$315,$E$315)))+
(G328 * (IF($F$316,$F$316,$E$316)))+
(H328 * (IF($F$317,$F$317,$E$317)))</f>
        <v>0</v>
      </c>
      <c r="K328" s="33"/>
      <c r="L328" s="13"/>
      <c r="M328" s="33"/>
    </row>
    <row r="329" spans="3:41" ht="20.100000000000001" customHeight="1" x14ac:dyDescent="0.2">
      <c r="D329" s="15" t="str">
        <v/>
      </c>
      <c r="E329" s="15">
        <v>0</v>
      </c>
      <c r="F329" s="15">
        <v>0</v>
      </c>
      <c r="G329" s="15">
        <v>0</v>
      </c>
      <c r="H329" s="15">
        <v>0</v>
      </c>
      <c r="I329" s="251">
        <f>(F329 * $E$315)+
(G329 * $E$316)+
(H329 * $E$317)</f>
        <v>0</v>
      </c>
      <c r="J329" s="251">
        <f>(F329 * (IF($F$315,$F$315,$E$315)))+
(G329 * (IF($F$316,$F$316,$E$316)))+
(H329 * (IF($F$317,$F$317,$E$317)))</f>
        <v>0</v>
      </c>
      <c r="K329" s="33"/>
      <c r="L329" s="13"/>
      <c r="M329" s="33"/>
    </row>
    <row r="331" spans="3:41" ht="20.100000000000001" customHeight="1" x14ac:dyDescent="0.2">
      <c r="D331" s="253" t="s">
        <v>1040</v>
      </c>
      <c r="E331" s="86">
        <f>SUM(I320:I329)</f>
        <v>1.6553999999999999E-2</v>
      </c>
      <c r="F331" s="95" t="str">
        <f>$E$170</f>
        <v>t CO2e</v>
      </c>
    </row>
    <row r="332" spans="3:41" ht="20.100000000000001" customHeight="1" x14ac:dyDescent="0.2">
      <c r="D332" s="253" t="s">
        <v>1043</v>
      </c>
      <c r="E332" s="86">
        <f>SUM(J320:J329)</f>
        <v>1.4400000000000001E-2</v>
      </c>
      <c r="F332" s="95" t="str">
        <f>$E$170</f>
        <v>t CO2e</v>
      </c>
    </row>
    <row r="335" spans="3:41" ht="20.100000000000001" customHeight="1" x14ac:dyDescent="0.2">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row>
    <row r="336" spans="3:41" ht="20.100000000000001" customHeight="1" x14ac:dyDescent="0.2">
      <c r="D336" s="2" t="s">
        <v>1554</v>
      </c>
    </row>
    <row r="337" spans="1:15" ht="20.100000000000001" customHeight="1" x14ac:dyDescent="0.2">
      <c r="D337" s="17" t="s">
        <v>1555</v>
      </c>
    </row>
    <row r="338" spans="1:15" ht="20.100000000000001" customHeight="1" x14ac:dyDescent="0.2">
      <c r="A338" s="79" t="str">
        <f>HYPERLINK("#A1", "▲ Back to top")</f>
        <v>▲ Back to top</v>
      </c>
      <c r="D338" s="112"/>
      <c r="E338" s="112"/>
    </row>
    <row r="340" spans="1:15" ht="20.100000000000001" customHeight="1" x14ac:dyDescent="0.2">
      <c r="H340" s="1" t="s">
        <v>1121</v>
      </c>
    </row>
    <row r="341" spans="1:15" ht="20.100000000000001" customHeight="1" x14ac:dyDescent="0.2">
      <c r="D341" s="75" t="s">
        <v>328</v>
      </c>
      <c r="E341" s="1" t="s">
        <v>1146</v>
      </c>
    </row>
    <row r="342" spans="1:15" ht="20.100000000000001" customHeight="1" x14ac:dyDescent="0.2">
      <c r="D342" s="75" t="s">
        <v>118</v>
      </c>
      <c r="E342" s="1" t="s">
        <v>7</v>
      </c>
    </row>
    <row r="344" spans="1:15" ht="20.100000000000001" customHeight="1" x14ac:dyDescent="0.2">
      <c r="D344" s="113" t="s">
        <v>1556</v>
      </c>
      <c r="E344" s="122" t="s">
        <v>1557</v>
      </c>
      <c r="F344" s="123"/>
      <c r="G344" s="113" t="s">
        <v>1562</v>
      </c>
      <c r="H344" s="249" t="s">
        <v>1202</v>
      </c>
    </row>
    <row r="345" spans="1:15" ht="20.100000000000001" customHeight="1" x14ac:dyDescent="0.2">
      <c r="D345" s="113" t="s">
        <v>1558</v>
      </c>
      <c r="E345" s="122" t="s">
        <v>1559</v>
      </c>
      <c r="F345" s="123"/>
      <c r="G345" s="113" t="s">
        <v>1563</v>
      </c>
      <c r="H345" s="115" t="s">
        <v>1203</v>
      </c>
    </row>
    <row r="346" spans="1:15" ht="20.100000000000001" customHeight="1" x14ac:dyDescent="0.2">
      <c r="D346" s="113" t="s">
        <v>1560</v>
      </c>
      <c r="E346" s="122" t="s">
        <v>1561</v>
      </c>
      <c r="F346" s="123"/>
      <c r="G346" s="113"/>
      <c r="H346" s="249" t="s">
        <v>1202</v>
      </c>
    </row>
    <row r="348" spans="1:15" ht="20.100000000000001" customHeight="1" x14ac:dyDescent="0.2">
      <c r="D348" s="25" t="s">
        <v>1122</v>
      </c>
    </row>
    <row r="350" spans="1:15" ht="20.100000000000001" customHeight="1" x14ac:dyDescent="0.2">
      <c r="D350" s="78" t="s">
        <v>961</v>
      </c>
      <c r="E350" s="78" t="s">
        <v>962</v>
      </c>
      <c r="F350" s="78" t="s">
        <v>963</v>
      </c>
      <c r="G350" s="78" t="s">
        <v>594</v>
      </c>
      <c r="H350" s="120" t="s">
        <v>1123</v>
      </c>
      <c r="I350" s="120" t="s">
        <v>1124</v>
      </c>
      <c r="J350" s="78" t="s">
        <v>1125</v>
      </c>
      <c r="K350" s="120" t="s">
        <v>1126</v>
      </c>
      <c r="L350" s="120" t="s">
        <v>1127</v>
      </c>
      <c r="M350" s="78" t="s">
        <v>1044</v>
      </c>
      <c r="N350" s="78" t="s">
        <v>1045</v>
      </c>
      <c r="O350" s="78" t="s">
        <v>1046</v>
      </c>
    </row>
    <row r="351" spans="1:15" ht="20.100000000000001" customHeight="1" x14ac:dyDescent="0.2">
      <c r="D351" s="15" t="str" cm="1">
        <f t="array" ref="D351:D360">IFERROR(INDEX(Table_Input_ServicesAndContractors[Service provider / contractor], _xlfn.SEQUENCE(10)), "")</f>
        <v>Pete's Pickers</v>
      </c>
      <c r="E351" s="15" t="str" cm="1">
        <f t="array" ref="E351:E360">IFERROR(INDEX(Table_Input_ServicesAndContractors[Activity], _xlfn.SEQUENCE(10)), "")</f>
        <v>Fruit picking</v>
      </c>
      <c r="F351" s="15" cm="1">
        <f t="array" ref="F351:F360">IFERROR(INDEX(Table_Input_ServicesAndContractors[Total amount], _xlfn.SEQUENCE(10)), "")</f>
        <v>10000</v>
      </c>
      <c r="G351" s="15" t="str" cm="1">
        <f t="array" ref="G351:G360">IFERROR(INDEX(Table_Input_ServicesAndContractors[Amount unit], _xlfn.SEQUENCE(10)), "")</f>
        <v>Hour</v>
      </c>
      <c r="H351" s="15" t="s">
        <v>351</v>
      </c>
      <c r="I351" s="15" t="s">
        <v>351</v>
      </c>
      <c r="J351" s="74">
        <v>4</v>
      </c>
      <c r="K351" s="251">
        <f>((F351 * J351) * 10 ^ -3)</f>
        <v>40</v>
      </c>
      <c r="L351" s="15" t="str">
        <f>"t CO2e / " &amp; G351</f>
        <v>t CO2e / Hour</v>
      </c>
      <c r="M351" s="33"/>
      <c r="N351" s="13"/>
      <c r="O351" s="33"/>
    </row>
    <row r="352" spans="1:15" ht="20.100000000000001" customHeight="1" x14ac:dyDescent="0.2">
      <c r="D352" s="15" t="str">
        <v>Harini's Harvesting Services Pty Ltd</v>
      </c>
      <c r="E352" s="15" t="str">
        <v>Wheat harvesting</v>
      </c>
      <c r="F352" s="15">
        <v>1000</v>
      </c>
      <c r="G352" s="15" t="str">
        <v>Hectare</v>
      </c>
      <c r="H352" s="15" t="s">
        <v>351</v>
      </c>
      <c r="I352" s="15" t="s">
        <v>351</v>
      </c>
      <c r="J352" s="74">
        <v>2</v>
      </c>
      <c r="K352" s="251">
        <f>((F352 * J352) * 10 ^ -3)</f>
        <v>2</v>
      </c>
      <c r="L352" s="15" t="str">
        <f t="shared" ref="L352:L360" si="1">"t CO2e / " &amp; G352</f>
        <v>t CO2e / Hectare</v>
      </c>
      <c r="M352" s="33"/>
      <c r="N352" s="13"/>
      <c r="O352" s="33"/>
    </row>
    <row r="353" spans="1:41" ht="20.100000000000001" customHeight="1" x14ac:dyDescent="0.2">
      <c r="D353" s="15">
        <v>0</v>
      </c>
      <c r="E353" s="15">
        <v>0</v>
      </c>
      <c r="F353" s="15">
        <v>0</v>
      </c>
      <c r="G353" s="15">
        <v>0</v>
      </c>
      <c r="H353" s="15" t="s">
        <v>351</v>
      </c>
      <c r="I353" s="15" t="s">
        <v>351</v>
      </c>
      <c r="J353" s="74"/>
      <c r="K353" s="251">
        <f>((F353 * J353) * 10 ^ -3)</f>
        <v>0</v>
      </c>
      <c r="L353" s="15" t="str">
        <f t="shared" si="1"/>
        <v>t CO2e / 0</v>
      </c>
      <c r="M353" s="33"/>
      <c r="N353" s="13"/>
      <c r="O353" s="33"/>
    </row>
    <row r="354" spans="1:41" ht="20.100000000000001" customHeight="1" x14ac:dyDescent="0.2">
      <c r="D354" s="15">
        <v>0</v>
      </c>
      <c r="E354" s="15">
        <v>0</v>
      </c>
      <c r="F354" s="15">
        <v>0</v>
      </c>
      <c r="G354" s="15">
        <v>0</v>
      </c>
      <c r="H354" s="15" t="s">
        <v>351</v>
      </c>
      <c r="I354" s="15" t="s">
        <v>351</v>
      </c>
      <c r="J354" s="74"/>
      <c r="K354" s="251">
        <f>((F354 * J354) * 10 ^ -3)</f>
        <v>0</v>
      </c>
      <c r="L354" s="15" t="str">
        <f t="shared" si="1"/>
        <v>t CO2e / 0</v>
      </c>
      <c r="M354" s="33"/>
      <c r="N354" s="13"/>
      <c r="O354" s="33"/>
    </row>
    <row r="355" spans="1:41" ht="20.100000000000001" customHeight="1" x14ac:dyDescent="0.2">
      <c r="D355" s="15">
        <v>0</v>
      </c>
      <c r="E355" s="15">
        <v>0</v>
      </c>
      <c r="F355" s="15">
        <v>0</v>
      </c>
      <c r="G355" s="15">
        <v>0</v>
      </c>
      <c r="H355" s="15" t="s">
        <v>351</v>
      </c>
      <c r="I355" s="15" t="s">
        <v>351</v>
      </c>
      <c r="J355" s="74"/>
      <c r="K355" s="251">
        <f>((F355 * J355) * 10 ^ -3)</f>
        <v>0</v>
      </c>
      <c r="L355" s="15" t="str">
        <f t="shared" si="1"/>
        <v>t CO2e / 0</v>
      </c>
      <c r="M355" s="33"/>
      <c r="N355" s="13"/>
      <c r="O355" s="33"/>
    </row>
    <row r="356" spans="1:41" ht="20.100000000000001" customHeight="1" x14ac:dyDescent="0.2">
      <c r="D356" s="15">
        <v>0</v>
      </c>
      <c r="E356" s="15">
        <v>0</v>
      </c>
      <c r="F356" s="15">
        <v>0</v>
      </c>
      <c r="G356" s="15">
        <v>0</v>
      </c>
      <c r="H356" s="15" t="s">
        <v>351</v>
      </c>
      <c r="I356" s="15" t="s">
        <v>351</v>
      </c>
      <c r="J356" s="74"/>
      <c r="K356" s="251">
        <f>((F356 * J356) * 10 ^ -3)</f>
        <v>0</v>
      </c>
      <c r="L356" s="15" t="str">
        <f t="shared" si="1"/>
        <v>t CO2e / 0</v>
      </c>
      <c r="M356" s="33"/>
      <c r="N356" s="13"/>
      <c r="O356" s="33"/>
    </row>
    <row r="357" spans="1:41" ht="20.100000000000001" customHeight="1" x14ac:dyDescent="0.2">
      <c r="D357" s="15">
        <v>0</v>
      </c>
      <c r="E357" s="15">
        <v>0</v>
      </c>
      <c r="F357" s="15">
        <v>0</v>
      </c>
      <c r="G357" s="15">
        <v>0</v>
      </c>
      <c r="H357" s="15" t="s">
        <v>351</v>
      </c>
      <c r="I357" s="15" t="s">
        <v>351</v>
      </c>
      <c r="J357" s="74"/>
      <c r="K357" s="251">
        <f>((F357 * J357) * 10 ^ -3)</f>
        <v>0</v>
      </c>
      <c r="L357" s="15" t="str">
        <f t="shared" si="1"/>
        <v>t CO2e / 0</v>
      </c>
      <c r="M357" s="33"/>
      <c r="N357" s="13"/>
      <c r="O357" s="33"/>
    </row>
    <row r="358" spans="1:41" ht="20.100000000000001" customHeight="1" x14ac:dyDescent="0.2">
      <c r="D358" s="15">
        <v>0</v>
      </c>
      <c r="E358" s="15">
        <v>0</v>
      </c>
      <c r="F358" s="15">
        <v>0</v>
      </c>
      <c r="G358" s="15">
        <v>0</v>
      </c>
      <c r="H358" s="15" t="s">
        <v>351</v>
      </c>
      <c r="I358" s="15" t="s">
        <v>351</v>
      </c>
      <c r="J358" s="74"/>
      <c r="K358" s="251">
        <f>((F358 * J358) * 10 ^ -3)</f>
        <v>0</v>
      </c>
      <c r="L358" s="15" t="str">
        <f t="shared" si="1"/>
        <v>t CO2e / 0</v>
      </c>
      <c r="M358" s="33"/>
      <c r="N358" s="13"/>
      <c r="O358" s="33"/>
    </row>
    <row r="359" spans="1:41" ht="20.100000000000001" customHeight="1" x14ac:dyDescent="0.2">
      <c r="D359" s="15">
        <v>0</v>
      </c>
      <c r="E359" s="15">
        <v>0</v>
      </c>
      <c r="F359" s="15">
        <v>0</v>
      </c>
      <c r="G359" s="15">
        <v>0</v>
      </c>
      <c r="H359" s="15" t="s">
        <v>351</v>
      </c>
      <c r="I359" s="15" t="s">
        <v>351</v>
      </c>
      <c r="J359" s="74"/>
      <c r="K359" s="251">
        <f>((F359 * J359) * 10 ^ -3)</f>
        <v>0</v>
      </c>
      <c r="L359" s="15" t="str">
        <f t="shared" si="1"/>
        <v>t CO2e / 0</v>
      </c>
      <c r="M359" s="33"/>
      <c r="N359" s="13"/>
      <c r="O359" s="33"/>
    </row>
    <row r="360" spans="1:41" ht="20.100000000000001" customHeight="1" x14ac:dyDescent="0.2">
      <c r="D360" s="15">
        <v>0</v>
      </c>
      <c r="E360" s="15">
        <v>0</v>
      </c>
      <c r="F360" s="15">
        <v>0</v>
      </c>
      <c r="G360" s="15">
        <v>0</v>
      </c>
      <c r="H360" s="15" t="s">
        <v>351</v>
      </c>
      <c r="I360" s="15" t="s">
        <v>351</v>
      </c>
      <c r="J360" s="74"/>
      <c r="K360" s="251">
        <f>((F360 * J360) * 10 ^ -3)</f>
        <v>0</v>
      </c>
      <c r="L360" s="15" t="str">
        <f t="shared" si="1"/>
        <v>t CO2e / 0</v>
      </c>
      <c r="M360" s="33"/>
      <c r="N360" s="13"/>
      <c r="O360" s="33"/>
    </row>
    <row r="362" spans="1:41" ht="20.100000000000001" customHeight="1" x14ac:dyDescent="0.2">
      <c r="D362" s="253" t="s">
        <v>1040</v>
      </c>
      <c r="E362" s="86" t="s">
        <v>351</v>
      </c>
      <c r="F362" s="95" t="str">
        <f>$E$170</f>
        <v>t CO2e</v>
      </c>
    </row>
    <row r="363" spans="1:41" ht="20.100000000000001" customHeight="1" x14ac:dyDescent="0.2">
      <c r="D363" s="253" t="s">
        <v>1043</v>
      </c>
      <c r="E363" s="86">
        <f>SUM(K351:K360)</f>
        <v>42</v>
      </c>
      <c r="F363" s="95" t="str">
        <f>$E$170</f>
        <v>t CO2e</v>
      </c>
    </row>
    <row r="366" spans="1:41" ht="20.100000000000001" customHeight="1" x14ac:dyDescent="0.2">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row>
    <row r="367" spans="1:41" ht="20.100000000000001" customHeight="1" x14ac:dyDescent="0.2">
      <c r="D367" s="2" t="s">
        <v>1564</v>
      </c>
    </row>
    <row r="368" spans="1:41" ht="20.100000000000001" customHeight="1" x14ac:dyDescent="0.2">
      <c r="A368" s="79" t="str">
        <f>HYPERLINK("#A1", "▲ Back to top")</f>
        <v>▲ Back to top</v>
      </c>
      <c r="D368" s="17" t="s">
        <v>1565</v>
      </c>
    </row>
    <row r="369" spans="4:13" ht="20.100000000000001" customHeight="1" x14ac:dyDescent="0.2">
      <c r="D369" s="25" t="s">
        <v>1566</v>
      </c>
    </row>
    <row r="370" spans="4:13" ht="20.100000000000001" customHeight="1" x14ac:dyDescent="0.2">
      <c r="D370" s="112"/>
      <c r="E370" s="112"/>
    </row>
    <row r="374" spans="4:13" ht="20.100000000000001" customHeight="1" x14ac:dyDescent="0.2">
      <c r="D374" s="75" t="s">
        <v>328</v>
      </c>
      <c r="E374" s="1" t="s">
        <v>1146</v>
      </c>
    </row>
    <row r="375" spans="4:13" ht="20.100000000000001" customHeight="1" x14ac:dyDescent="0.2">
      <c r="D375" s="75" t="s">
        <v>118</v>
      </c>
      <c r="E375" s="9" t="s">
        <v>7</v>
      </c>
    </row>
    <row r="377" spans="4:13" ht="20.100000000000001" customHeight="1" x14ac:dyDescent="0.2">
      <c r="D377" s="113" t="s">
        <v>1567</v>
      </c>
      <c r="E377" s="113" t="s">
        <v>1568</v>
      </c>
      <c r="F377" s="113" t="s">
        <v>1571</v>
      </c>
      <c r="G377" s="249" t="s">
        <v>1202</v>
      </c>
    </row>
    <row r="378" spans="4:13" ht="20.100000000000001" customHeight="1" x14ac:dyDescent="0.2">
      <c r="D378" s="113" t="s">
        <v>1558</v>
      </c>
      <c r="E378" s="113" t="s">
        <v>1569</v>
      </c>
      <c r="F378" s="113" t="s">
        <v>1572</v>
      </c>
      <c r="G378" s="115" t="s">
        <v>1203</v>
      </c>
    </row>
    <row r="379" spans="4:13" ht="20.100000000000001" customHeight="1" x14ac:dyDescent="0.2">
      <c r="D379" s="113" t="s">
        <v>1560</v>
      </c>
      <c r="E379" s="113" t="s">
        <v>1570</v>
      </c>
      <c r="F379" s="113"/>
      <c r="G379" s="249" t="s">
        <v>1202</v>
      </c>
    </row>
    <row r="381" spans="4:13" ht="20.100000000000001" customHeight="1" x14ac:dyDescent="0.2">
      <c r="D381" s="78" t="s">
        <v>1034</v>
      </c>
      <c r="E381" s="250" t="s">
        <v>1128</v>
      </c>
      <c r="F381" s="250" t="s">
        <v>1129</v>
      </c>
      <c r="G381" s="120" t="s">
        <v>1130</v>
      </c>
      <c r="H381" s="120" t="s">
        <v>1040</v>
      </c>
      <c r="I381" s="78" t="s">
        <v>1131</v>
      </c>
      <c r="J381" s="120" t="s">
        <v>1043</v>
      </c>
      <c r="K381" s="78" t="s">
        <v>1044</v>
      </c>
      <c r="L381" s="78" t="s">
        <v>1045</v>
      </c>
      <c r="M381" s="78" t="s">
        <v>1046</v>
      </c>
    </row>
    <row r="382" spans="4:13" ht="20.100000000000001" customHeight="1" x14ac:dyDescent="0.2">
      <c r="D382" s="15"/>
      <c r="E382" s="15"/>
      <c r="F382" s="15"/>
      <c r="G382" s="15" cm="1">
        <f t="array" ref="G382">Common_InputFunctions.Utility_LookupValueInTableNumber(E382,Table_SourceData_Scope3_Packaging[Product],Table_SourceData_Scope3_Packaging[Emissions intensity])</f>
        <v>0</v>
      </c>
      <c r="H382" s="251">
        <f>((F382 * G382) * 10 ^ -3)</f>
        <v>0</v>
      </c>
      <c r="I382" s="74">
        <v>3</v>
      </c>
      <c r="J382" s="251">
        <f>((F382 * (IF(I382,I382,G382))) * 10 ^ -3)</f>
        <v>0</v>
      </c>
      <c r="K382" s="33"/>
      <c r="L382" s="13"/>
      <c r="M382" s="33"/>
    </row>
    <row r="383" spans="4:13" ht="20.100000000000001" customHeight="1" x14ac:dyDescent="0.2">
      <c r="D383" s="15"/>
      <c r="E383" s="15"/>
      <c r="F383" s="15"/>
      <c r="G383" s="15" cm="1">
        <f t="array" ref="G383">Common_InputFunctions.Utility_LookupValueInTableNumber(E383,Table_SourceData_Scope3_Packaging[Product],Table_SourceData_Scope3_Packaging[Emissions intensity])</f>
        <v>0</v>
      </c>
      <c r="H383" s="251">
        <f>((F383 * G383) * 10 ^ -3)</f>
        <v>0</v>
      </c>
      <c r="I383" s="74"/>
      <c r="J383" s="251">
        <f>((F383 * (IF(I383,I383,G383))) * 10 ^ -3)</f>
        <v>0</v>
      </c>
      <c r="K383" s="33"/>
      <c r="L383" s="13"/>
      <c r="M383" s="33"/>
    </row>
    <row r="384" spans="4:13" ht="20.100000000000001" customHeight="1" x14ac:dyDescent="0.2">
      <c r="D384" s="15"/>
      <c r="E384" s="15"/>
      <c r="F384" s="15"/>
      <c r="G384" s="15" cm="1">
        <f t="array" ref="G384">Common_InputFunctions.Utility_LookupValueInTableNumber(E384,Table_SourceData_Scope3_Packaging[Product],Table_SourceData_Scope3_Packaging[Emissions intensity])</f>
        <v>0</v>
      </c>
      <c r="H384" s="251">
        <f>((F384 * G384) * 10 ^ -3)</f>
        <v>0</v>
      </c>
      <c r="I384" s="74"/>
      <c r="J384" s="251">
        <f>((F384 * (IF(I384,I384,G384))) * 10 ^ -3)</f>
        <v>0</v>
      </c>
      <c r="K384" s="33"/>
      <c r="L384" s="13"/>
      <c r="M384" s="33"/>
    </row>
    <row r="385" spans="1:41" ht="20.100000000000001" customHeight="1" x14ac:dyDescent="0.2">
      <c r="D385" s="15"/>
      <c r="E385" s="15"/>
      <c r="F385" s="15"/>
      <c r="G385" s="15" cm="1">
        <f t="array" ref="G385">Common_InputFunctions.Utility_LookupValueInTableNumber(E385,Table_SourceData_Scope3_Packaging[Product],Table_SourceData_Scope3_Packaging[Emissions intensity])</f>
        <v>0</v>
      </c>
      <c r="H385" s="251">
        <f>((F385 * G385) * 10 ^ -3)</f>
        <v>0</v>
      </c>
      <c r="I385" s="74"/>
      <c r="J385" s="251">
        <f>((F385 * (IF(I385,I385,G385))) * 10 ^ -3)</f>
        <v>0</v>
      </c>
      <c r="K385" s="33"/>
      <c r="L385" s="13"/>
      <c r="M385" s="33"/>
    </row>
    <row r="386" spans="1:41" ht="20.100000000000001" customHeight="1" x14ac:dyDescent="0.2">
      <c r="D386" s="15"/>
      <c r="E386" s="15"/>
      <c r="F386" s="15"/>
      <c r="G386" s="15" cm="1">
        <f t="array" ref="G386">Common_InputFunctions.Utility_LookupValueInTableNumber(E386,Table_SourceData_Scope3_Packaging[Product],Table_SourceData_Scope3_Packaging[Emissions intensity])</f>
        <v>0</v>
      </c>
      <c r="H386" s="251">
        <f>((F386 * G386) * 10 ^ -3)</f>
        <v>0</v>
      </c>
      <c r="I386" s="74"/>
      <c r="J386" s="251">
        <f>((F386 * (IF(I386,I386,G386))) * 10 ^ -3)</f>
        <v>0</v>
      </c>
      <c r="K386" s="33"/>
      <c r="L386" s="13"/>
      <c r="M386" s="33"/>
    </row>
    <row r="387" spans="1:41" ht="20.100000000000001" customHeight="1" x14ac:dyDescent="0.2">
      <c r="D387" s="15"/>
      <c r="E387" s="15"/>
      <c r="F387" s="15"/>
      <c r="G387" s="15" cm="1">
        <f t="array" ref="G387">Common_InputFunctions.Utility_LookupValueInTableNumber(E387,Table_SourceData_Scope3_Packaging[Product],Table_SourceData_Scope3_Packaging[Emissions intensity])</f>
        <v>0</v>
      </c>
      <c r="H387" s="251">
        <f>((F387 * G387) * 10 ^ -3)</f>
        <v>0</v>
      </c>
      <c r="I387" s="74"/>
      <c r="J387" s="251">
        <f>((F387 * (IF(I387,I387,G387))) * 10 ^ -3)</f>
        <v>0</v>
      </c>
      <c r="K387" s="33"/>
      <c r="L387" s="13"/>
      <c r="M387" s="33"/>
    </row>
    <row r="388" spans="1:41" ht="20.100000000000001" customHeight="1" x14ac:dyDescent="0.2">
      <c r="D388" s="15"/>
      <c r="E388" s="15"/>
      <c r="F388" s="15"/>
      <c r="G388" s="15" cm="1">
        <f t="array" ref="G388">Common_InputFunctions.Utility_LookupValueInTableNumber(E388,Table_SourceData_Scope3_Packaging[Product],Table_SourceData_Scope3_Packaging[Emissions intensity])</f>
        <v>0</v>
      </c>
      <c r="H388" s="251">
        <f>((F388 * G388) * 10 ^ -3)</f>
        <v>0</v>
      </c>
      <c r="I388" s="74"/>
      <c r="J388" s="251">
        <f>((F388 * (IF(I388,I388,G388))) * 10 ^ -3)</f>
        <v>0</v>
      </c>
      <c r="K388" s="33"/>
      <c r="L388" s="13"/>
      <c r="M388" s="33"/>
    </row>
    <row r="389" spans="1:41" ht="20.100000000000001" customHeight="1" x14ac:dyDescent="0.2">
      <c r="D389" s="15"/>
      <c r="E389" s="15"/>
      <c r="F389" s="15"/>
      <c r="G389" s="15" cm="1">
        <f t="array" ref="G389">Common_InputFunctions.Utility_LookupValueInTableNumber(E389,Table_SourceData_Scope3_Packaging[Product],Table_SourceData_Scope3_Packaging[Emissions intensity])</f>
        <v>0</v>
      </c>
      <c r="H389" s="251">
        <f>((F389 * G389) * 10 ^ -3)</f>
        <v>0</v>
      </c>
      <c r="I389" s="74"/>
      <c r="J389" s="251">
        <f>((F389 * (IF(I389,I389,G389))) * 10 ^ -3)</f>
        <v>0</v>
      </c>
      <c r="K389" s="33"/>
      <c r="L389" s="13"/>
      <c r="M389" s="33"/>
    </row>
    <row r="390" spans="1:41" ht="20.100000000000001" customHeight="1" x14ac:dyDescent="0.2">
      <c r="D390" s="15"/>
      <c r="E390" s="15"/>
      <c r="F390" s="15"/>
      <c r="G390" s="15" cm="1">
        <f t="array" ref="G390">Common_InputFunctions.Utility_LookupValueInTableNumber(E390,Table_SourceData_Scope3_Packaging[Product],Table_SourceData_Scope3_Packaging[Emissions intensity])</f>
        <v>0</v>
      </c>
      <c r="H390" s="251">
        <f>((F390 * G390) * 10 ^ -3)</f>
        <v>0</v>
      </c>
      <c r="I390" s="74"/>
      <c r="J390" s="251">
        <f>((F390 * (IF(I390,I390,G390))) * 10 ^ -3)</f>
        <v>0</v>
      </c>
      <c r="K390" s="33"/>
      <c r="L390" s="13"/>
      <c r="M390" s="33"/>
    </row>
    <row r="391" spans="1:41" ht="20.100000000000001" customHeight="1" x14ac:dyDescent="0.2">
      <c r="D391" s="15"/>
      <c r="E391" s="15"/>
      <c r="F391" s="15"/>
      <c r="G391" s="15" cm="1">
        <f t="array" ref="G391">Common_InputFunctions.Utility_LookupValueInTableNumber(E391,Table_SourceData_Scope3_Packaging[Product],Table_SourceData_Scope3_Packaging[Emissions intensity])</f>
        <v>0</v>
      </c>
      <c r="H391" s="251">
        <f>((F391 * G391) * 10 ^ -3)</f>
        <v>0</v>
      </c>
      <c r="I391" s="74"/>
      <c r="J391" s="251">
        <f>((F391 * (IF(I391,I391,G391))) * 10 ^ -3)</f>
        <v>0</v>
      </c>
      <c r="K391" s="33"/>
      <c r="L391" s="13"/>
      <c r="M391" s="33"/>
    </row>
    <row r="393" spans="1:41" ht="20.100000000000001" customHeight="1" x14ac:dyDescent="0.2">
      <c r="D393" s="253" t="s">
        <v>1040</v>
      </c>
      <c r="E393" s="86">
        <f>SUM(H382:H391)</f>
        <v>0</v>
      </c>
      <c r="F393" s="95" t="str">
        <f>$E$170</f>
        <v>t CO2e</v>
      </c>
    </row>
    <row r="394" spans="1:41" ht="20.100000000000001" customHeight="1" x14ac:dyDescent="0.2">
      <c r="D394" s="253" t="s">
        <v>1043</v>
      </c>
      <c r="E394" s="86">
        <f>SUM(J382:J391)</f>
        <v>0</v>
      </c>
      <c r="F394" s="95" t="str">
        <f>$E$170</f>
        <v>t CO2e</v>
      </c>
    </row>
    <row r="397" spans="1:41" ht="20.100000000000001" customHeight="1" x14ac:dyDescent="0.2">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row>
    <row r="398" spans="1:41" ht="20.100000000000001" customHeight="1" x14ac:dyDescent="0.2">
      <c r="A398" s="79" t="str">
        <f>HYPERLINK("#A1", "▲ Back to top")</f>
        <v>▲ Back to top</v>
      </c>
      <c r="D398" s="2" t="s">
        <v>1573</v>
      </c>
    </row>
    <row r="399" spans="1:41" ht="20.100000000000001" customHeight="1" x14ac:dyDescent="0.2">
      <c r="D399" s="17" t="s">
        <v>1574</v>
      </c>
    </row>
    <row r="400" spans="1:41" ht="20.100000000000001" customHeight="1" x14ac:dyDescent="0.2">
      <c r="D400" s="112"/>
      <c r="E400" s="112"/>
    </row>
    <row r="403" spans="4:14" ht="20.100000000000001" customHeight="1" x14ac:dyDescent="0.2">
      <c r="G403" s="112"/>
    </row>
    <row r="404" spans="4:14" ht="20.100000000000001" customHeight="1" x14ac:dyDescent="0.2">
      <c r="D404" s="75" t="s">
        <v>328</v>
      </c>
      <c r="E404" s="1" t="s">
        <v>1146</v>
      </c>
    </row>
    <row r="405" spans="4:14" ht="20.100000000000001" customHeight="1" x14ac:dyDescent="0.2">
      <c r="D405" s="75" t="s">
        <v>118</v>
      </c>
      <c r="E405" s="1" t="s">
        <v>7</v>
      </c>
    </row>
    <row r="407" spans="4:14" ht="20.100000000000001" customHeight="1" x14ac:dyDescent="0.2">
      <c r="D407" s="113" t="s">
        <v>1575</v>
      </c>
      <c r="E407" s="113" t="s">
        <v>1576</v>
      </c>
      <c r="F407" s="113" t="s">
        <v>1580</v>
      </c>
      <c r="G407" s="249" t="s">
        <v>1202</v>
      </c>
    </row>
    <row r="408" spans="4:14" ht="20.100000000000001" customHeight="1" x14ac:dyDescent="0.2">
      <c r="D408" s="113" t="s">
        <v>1577</v>
      </c>
      <c r="E408" s="113" t="s">
        <v>1578</v>
      </c>
      <c r="F408" s="113" t="s">
        <v>1581</v>
      </c>
      <c r="G408" s="115" t="s">
        <v>1203</v>
      </c>
    </row>
    <row r="409" spans="4:14" ht="20.100000000000001" customHeight="1" x14ac:dyDescent="0.2">
      <c r="D409" s="113" t="s">
        <v>1402</v>
      </c>
      <c r="E409" s="113" t="s">
        <v>1579</v>
      </c>
      <c r="F409" s="113"/>
      <c r="G409" s="249" t="s">
        <v>1202</v>
      </c>
    </row>
    <row r="411" spans="4:14" ht="20.100000000000001" customHeight="1" x14ac:dyDescent="0.2">
      <c r="D411" s="25" t="s">
        <v>1122</v>
      </c>
    </row>
    <row r="413" spans="4:14" ht="20.100000000000001" customHeight="1" x14ac:dyDescent="0.2">
      <c r="D413" s="78" t="s">
        <v>1132</v>
      </c>
      <c r="E413" s="78" t="s">
        <v>963</v>
      </c>
      <c r="F413" s="78" t="s">
        <v>594</v>
      </c>
      <c r="G413" s="120" t="s">
        <v>1123</v>
      </c>
      <c r="H413" s="120" t="s">
        <v>1124</v>
      </c>
      <c r="I413" s="78" t="s">
        <v>1125</v>
      </c>
      <c r="J413" s="120" t="s">
        <v>1126</v>
      </c>
      <c r="K413" s="120" t="s">
        <v>1127</v>
      </c>
      <c r="L413" s="78" t="s">
        <v>1044</v>
      </c>
      <c r="M413" s="78" t="s">
        <v>1045</v>
      </c>
      <c r="N413" s="78" t="s">
        <v>1046</v>
      </c>
    </row>
    <row r="414" spans="4:14" ht="20.100000000000001" customHeight="1" x14ac:dyDescent="0.2">
      <c r="D414" s="15"/>
      <c r="E414" s="15"/>
      <c r="F414" s="15"/>
      <c r="G414" s="15" t="s">
        <v>351</v>
      </c>
      <c r="H414" s="15" t="s">
        <v>351</v>
      </c>
      <c r="I414" s="74">
        <v>4</v>
      </c>
      <c r="J414" s="251">
        <f>((E414 * I414) * 10 ^ -3)</f>
        <v>0</v>
      </c>
      <c r="K414" s="15" t="str">
        <f>"t CO2e / " &amp; F414</f>
        <v xml:space="preserve">t CO2e / </v>
      </c>
      <c r="L414" s="33"/>
      <c r="M414" s="13"/>
      <c r="N414" s="33"/>
    </row>
    <row r="415" spans="4:14" ht="20.100000000000001" customHeight="1" x14ac:dyDescent="0.2">
      <c r="D415" s="15"/>
      <c r="E415" s="15"/>
      <c r="F415" s="15"/>
      <c r="G415" s="15" t="s">
        <v>351</v>
      </c>
      <c r="H415" s="15" t="s">
        <v>351</v>
      </c>
      <c r="I415" s="74">
        <v>2</v>
      </c>
      <c r="J415" s="251">
        <f>((E415 * I415) * 10 ^ -3)</f>
        <v>0</v>
      </c>
      <c r="K415" s="15" t="str">
        <f t="shared" ref="K415:K423" si="2">"t CO2e / " &amp; F415</f>
        <v xml:space="preserve">t CO2e / </v>
      </c>
      <c r="L415" s="33"/>
      <c r="M415" s="13"/>
      <c r="N415" s="33"/>
    </row>
    <row r="416" spans="4:14" ht="20.100000000000001" customHeight="1" x14ac:dyDescent="0.2">
      <c r="D416" s="15"/>
      <c r="E416" s="15"/>
      <c r="F416" s="15"/>
      <c r="G416" s="15" t="s">
        <v>351</v>
      </c>
      <c r="H416" s="15" t="s">
        <v>351</v>
      </c>
      <c r="I416" s="74"/>
      <c r="J416" s="251">
        <f>((E416 * I416) * 10 ^ -3)</f>
        <v>0</v>
      </c>
      <c r="K416" s="15" t="str">
        <f t="shared" si="2"/>
        <v xml:space="preserve">t CO2e / </v>
      </c>
      <c r="L416" s="33"/>
      <c r="M416" s="13"/>
      <c r="N416" s="33"/>
    </row>
    <row r="417" spans="1:41" ht="20.100000000000001" customHeight="1" x14ac:dyDescent="0.2">
      <c r="D417" s="15"/>
      <c r="E417" s="15"/>
      <c r="F417" s="15"/>
      <c r="G417" s="15" t="s">
        <v>351</v>
      </c>
      <c r="H417" s="15" t="s">
        <v>351</v>
      </c>
      <c r="I417" s="74"/>
      <c r="J417" s="251">
        <f>((E417 * I417) * 10 ^ -3)</f>
        <v>0</v>
      </c>
      <c r="K417" s="15" t="str">
        <f t="shared" si="2"/>
        <v xml:space="preserve">t CO2e / </v>
      </c>
      <c r="L417" s="33"/>
      <c r="M417" s="13"/>
      <c r="N417" s="33"/>
    </row>
    <row r="418" spans="1:41" ht="20.100000000000001" customHeight="1" x14ac:dyDescent="0.2">
      <c r="D418" s="15"/>
      <c r="E418" s="15"/>
      <c r="F418" s="15"/>
      <c r="G418" s="15" t="s">
        <v>351</v>
      </c>
      <c r="H418" s="15" t="s">
        <v>351</v>
      </c>
      <c r="I418" s="74"/>
      <c r="J418" s="251">
        <f>((E418 * I418) * 10 ^ -3)</f>
        <v>0</v>
      </c>
      <c r="K418" s="15" t="str">
        <f t="shared" si="2"/>
        <v xml:space="preserve">t CO2e / </v>
      </c>
      <c r="L418" s="33"/>
      <c r="M418" s="13"/>
      <c r="N418" s="33"/>
    </row>
    <row r="419" spans="1:41" ht="20.100000000000001" customHeight="1" x14ac:dyDescent="0.2">
      <c r="D419" s="15"/>
      <c r="E419" s="15"/>
      <c r="F419" s="15"/>
      <c r="G419" s="15" t="s">
        <v>351</v>
      </c>
      <c r="H419" s="15" t="s">
        <v>351</v>
      </c>
      <c r="I419" s="74"/>
      <c r="J419" s="251">
        <f>((E419 * I419) * 10 ^ -3)</f>
        <v>0</v>
      </c>
      <c r="K419" s="15" t="str">
        <f t="shared" si="2"/>
        <v xml:space="preserve">t CO2e / </v>
      </c>
      <c r="L419" s="33"/>
      <c r="M419" s="13"/>
      <c r="N419" s="33"/>
    </row>
    <row r="420" spans="1:41" ht="20.100000000000001" customHeight="1" x14ac:dyDescent="0.2">
      <c r="D420" s="15"/>
      <c r="E420" s="15"/>
      <c r="F420" s="15"/>
      <c r="G420" s="15" t="s">
        <v>351</v>
      </c>
      <c r="H420" s="15" t="s">
        <v>351</v>
      </c>
      <c r="I420" s="74"/>
      <c r="J420" s="251">
        <f>((E420 * I420) * 10 ^ -3)</f>
        <v>0</v>
      </c>
      <c r="K420" s="15" t="str">
        <f t="shared" si="2"/>
        <v xml:space="preserve">t CO2e / </v>
      </c>
      <c r="L420" s="33"/>
      <c r="M420" s="13"/>
      <c r="N420" s="33"/>
    </row>
    <row r="421" spans="1:41" ht="20.100000000000001" customHeight="1" x14ac:dyDescent="0.2">
      <c r="D421" s="15"/>
      <c r="E421" s="15"/>
      <c r="F421" s="15"/>
      <c r="G421" s="15" t="s">
        <v>351</v>
      </c>
      <c r="H421" s="15" t="s">
        <v>351</v>
      </c>
      <c r="I421" s="74"/>
      <c r="J421" s="251">
        <f>((E421 * I421) * 10 ^ -3)</f>
        <v>0</v>
      </c>
      <c r="K421" s="15" t="str">
        <f t="shared" si="2"/>
        <v xml:space="preserve">t CO2e / </v>
      </c>
      <c r="L421" s="33"/>
      <c r="M421" s="13"/>
      <c r="N421" s="33"/>
    </row>
    <row r="422" spans="1:41" ht="20.100000000000001" customHeight="1" x14ac:dyDescent="0.2">
      <c r="D422" s="15"/>
      <c r="E422" s="15"/>
      <c r="F422" s="15"/>
      <c r="G422" s="15" t="s">
        <v>351</v>
      </c>
      <c r="H422" s="15" t="s">
        <v>351</v>
      </c>
      <c r="I422" s="74"/>
      <c r="J422" s="251">
        <f>((E422 * I422) * 10 ^ -3)</f>
        <v>0</v>
      </c>
      <c r="K422" s="15" t="str">
        <f t="shared" si="2"/>
        <v xml:space="preserve">t CO2e / </v>
      </c>
      <c r="L422" s="33"/>
      <c r="M422" s="13"/>
      <c r="N422" s="33"/>
    </row>
    <row r="423" spans="1:41" ht="20.100000000000001" customHeight="1" x14ac:dyDescent="0.2">
      <c r="D423" s="15"/>
      <c r="E423" s="15"/>
      <c r="F423" s="15"/>
      <c r="G423" s="15" t="s">
        <v>351</v>
      </c>
      <c r="H423" s="15" t="s">
        <v>351</v>
      </c>
      <c r="I423" s="74"/>
      <c r="J423" s="251">
        <f>((E423 * I423) * 10 ^ -3)</f>
        <v>0</v>
      </c>
      <c r="K423" s="15" t="str">
        <f t="shared" si="2"/>
        <v xml:space="preserve">t CO2e / </v>
      </c>
      <c r="L423" s="33"/>
      <c r="M423" s="13"/>
      <c r="N423" s="33"/>
    </row>
    <row r="425" spans="1:41" ht="20.100000000000001" customHeight="1" x14ac:dyDescent="0.2">
      <c r="D425" s="253" t="s">
        <v>1040</v>
      </c>
      <c r="E425" s="86" t="s">
        <v>351</v>
      </c>
      <c r="F425" s="95" t="str">
        <f>$E$170</f>
        <v>t CO2e</v>
      </c>
    </row>
    <row r="426" spans="1:41" ht="20.100000000000001" customHeight="1" x14ac:dyDescent="0.2">
      <c r="D426" s="253" t="s">
        <v>1043</v>
      </c>
      <c r="E426" s="86">
        <f>SUM(J414:J423)</f>
        <v>0</v>
      </c>
      <c r="F426" s="95" t="str">
        <f>$E$170</f>
        <v>t CO2e</v>
      </c>
    </row>
    <row r="428" spans="1:41" ht="20.100000000000001" customHeight="1" x14ac:dyDescent="0.2">
      <c r="A428" s="79" t="str">
        <f>HYPERLINK("#A1", "▲ Back to top")</f>
        <v>▲ Back to top</v>
      </c>
    </row>
    <row r="429" spans="1:41" ht="20.100000000000001" customHeight="1" x14ac:dyDescent="0.2">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row>
    <row r="430" spans="1:41" ht="20.100000000000001" customHeight="1" x14ac:dyDescent="0.2">
      <c r="D430" s="2" t="s">
        <v>1582</v>
      </c>
    </row>
    <row r="431" spans="1:41" ht="20.100000000000001" customHeight="1" x14ac:dyDescent="0.2">
      <c r="D431" s="17" t="s">
        <v>1583</v>
      </c>
    </row>
    <row r="432" spans="1:41" ht="20.100000000000001" customHeight="1" x14ac:dyDescent="0.2">
      <c r="D432" s="25" t="s">
        <v>1133</v>
      </c>
    </row>
    <row r="433" spans="4:13" ht="20.100000000000001" customHeight="1" x14ac:dyDescent="0.2">
      <c r="D433" s="112"/>
      <c r="E433" s="112"/>
    </row>
    <row r="436" spans="4:13" ht="20.100000000000001" customHeight="1" x14ac:dyDescent="0.2">
      <c r="D436" s="75" t="s">
        <v>328</v>
      </c>
      <c r="E436" s="1" t="s">
        <v>1584</v>
      </c>
    </row>
    <row r="437" spans="4:13" ht="20.100000000000001" customHeight="1" x14ac:dyDescent="0.2">
      <c r="D437" s="75" t="s">
        <v>118</v>
      </c>
      <c r="E437" s="9" t="s">
        <v>7</v>
      </c>
    </row>
    <row r="439" spans="4:13" ht="20.100000000000001" customHeight="1" x14ac:dyDescent="0.2">
      <c r="D439" s="113" t="s">
        <v>1585</v>
      </c>
      <c r="E439" s="122" t="s">
        <v>1586</v>
      </c>
      <c r="F439" s="123"/>
      <c r="G439" s="113" t="s">
        <v>1589</v>
      </c>
      <c r="H439" s="249" t="s">
        <v>1202</v>
      </c>
    </row>
    <row r="440" spans="4:13" ht="20.100000000000001" customHeight="1" x14ac:dyDescent="0.2">
      <c r="D440" s="113" t="s">
        <v>1587</v>
      </c>
      <c r="E440" s="122" t="s">
        <v>1588</v>
      </c>
      <c r="F440" s="123"/>
      <c r="G440" s="113" t="s">
        <v>1589</v>
      </c>
      <c r="H440" s="115" t="s">
        <v>1203</v>
      </c>
    </row>
    <row r="442" spans="4:13" ht="20.100000000000001" customHeight="1" x14ac:dyDescent="0.2">
      <c r="D442" s="244" t="s">
        <v>1134</v>
      </c>
    </row>
    <row r="444" spans="4:13" ht="20.100000000000001" customHeight="1" x14ac:dyDescent="0.2">
      <c r="D444" s="78" t="s">
        <v>1034</v>
      </c>
      <c r="E444" s="250" t="s">
        <v>1135</v>
      </c>
      <c r="F444" s="250" t="s">
        <v>1136</v>
      </c>
      <c r="G444" s="120" t="s">
        <v>119</v>
      </c>
      <c r="H444" s="120" t="s">
        <v>1040</v>
      </c>
      <c r="I444" s="78" t="s">
        <v>120</v>
      </c>
      <c r="J444" s="120" t="s">
        <v>1043</v>
      </c>
      <c r="K444" s="78" t="s">
        <v>1044</v>
      </c>
      <c r="L444" s="78" t="s">
        <v>1045</v>
      </c>
      <c r="M444" s="78" t="s">
        <v>1046</v>
      </c>
    </row>
    <row r="445" spans="4:13" ht="20.100000000000001" customHeight="1" x14ac:dyDescent="0.2">
      <c r="D445" s="15" t="str" cm="1">
        <f t="array" ref="D445:D454">IFERROR(INDEX(Table_Input_ChemicalsCleaning[Product name], _xlfn.SEQUENCE(10)), "")</f>
        <v>Acid kleen</v>
      </c>
      <c r="E445" s="15" t="str" cm="1">
        <f t="array" ref="E445:E454">IFERROR(INDEX(Table_Input_ChemicalsCleaning[Type (select)], _xlfn.SEQUENCE(10)), "")</f>
        <v>Phosphoric acid</v>
      </c>
      <c r="F445" s="15" cm="1">
        <f t="array" ref="F445:F454">IFERROR(INDEX(Table_Input_ChemicalsCleaning[Quantity purchased (kg)], _xlfn.SEQUENCE(10)), "")</f>
        <v>100</v>
      </c>
      <c r="G445" s="15" cm="1">
        <f t="array" ref="G445">Common_InputFunctions.Utility_LookupValueInTableNumber(E445,Table_SourceData_Scope3_ChemicalsCleaning[Product],Table_SourceData_Scope3_ChemicalsCleaning[Emissions intensity])</f>
        <v>0.90700000000000003</v>
      </c>
      <c r="H445" s="251">
        <f>(F445 * (G445*10^-3))</f>
        <v>9.0700000000000003E-2</v>
      </c>
      <c r="I445" s="74">
        <v>1.3</v>
      </c>
      <c r="J445" s="251">
        <f>(F445 * (IF(I445,I445,G445)*10^-3))</f>
        <v>0.13</v>
      </c>
      <c r="K445" s="33"/>
      <c r="L445" s="13"/>
      <c r="M445" s="33"/>
    </row>
    <row r="446" spans="4:13" ht="20.100000000000001" customHeight="1" x14ac:dyDescent="0.2">
      <c r="D446" s="15" t="str">
        <v>Kleen alk</v>
      </c>
      <c r="E446" s="15" t="str">
        <v>Alkaline cleaner</v>
      </c>
      <c r="F446" s="15">
        <v>100</v>
      </c>
      <c r="G446" s="15" cm="1">
        <f t="array" ref="G446">Common_InputFunctions.Utility_LookupValueInTableNumber(E446,Table_SourceData_Scope3_ChemicalsCleaning[Product],Table_SourceData_Scope3_ChemicalsCleaning[Emissions intensity])</f>
        <v>0.72199999999999998</v>
      </c>
      <c r="H446" s="251">
        <f>(F446 * (G446*10^-3))</f>
        <v>7.22E-2</v>
      </c>
      <c r="I446" s="74">
        <v>8</v>
      </c>
      <c r="J446" s="251">
        <f>(F446 * (IF(I446,I446,G446)*10^-3))</f>
        <v>0.8</v>
      </c>
      <c r="K446" s="33"/>
      <c r="L446" s="13"/>
      <c r="M446" s="33"/>
    </row>
    <row r="447" spans="4:13" ht="20.100000000000001" customHeight="1" x14ac:dyDescent="0.2">
      <c r="D447" s="15" t="str">
        <v>White king</v>
      </c>
      <c r="E447" s="15" t="str">
        <v>Bleach</v>
      </c>
      <c r="F447" s="15">
        <v>100</v>
      </c>
      <c r="G447" s="15" cm="1">
        <f t="array" ref="G447">Common_InputFunctions.Utility_LookupValueInTableNumber(E447,Table_SourceData_Scope3_ChemicalsCleaning[Product],Table_SourceData_Scope3_ChemicalsCleaning[Emissions intensity])</f>
        <v>0.80400000000000005</v>
      </c>
      <c r="H447" s="251">
        <f>(F447 * (G447*10^-3))</f>
        <v>8.0399999999999999E-2</v>
      </c>
      <c r="I447" s="74">
        <v>4</v>
      </c>
      <c r="J447" s="251">
        <f>(F447 * (IF(I447,I447,G447)*10^-3))</f>
        <v>0.4</v>
      </c>
      <c r="K447" s="33"/>
      <c r="L447" s="13"/>
      <c r="M447" s="33"/>
    </row>
    <row r="448" spans="4:13" ht="20.100000000000001" customHeight="1" x14ac:dyDescent="0.2">
      <c r="D448" s="15" t="str">
        <v>White king</v>
      </c>
      <c r="E448" s="15" t="str">
        <v>Bleach</v>
      </c>
      <c r="F448" s="15">
        <v>100</v>
      </c>
      <c r="G448" s="15" cm="1">
        <f t="array" ref="G448">Common_InputFunctions.Utility_LookupValueInTableNumber(E448,Table_SourceData_Scope3_ChemicalsCleaning[Product],Table_SourceData_Scope3_ChemicalsCleaning[Emissions intensity])</f>
        <v>0.80400000000000005</v>
      </c>
      <c r="H448" s="251">
        <f>(F448 * (G448*10^-3))</f>
        <v>8.0399999999999999E-2</v>
      </c>
      <c r="I448" s="74">
        <v>3</v>
      </c>
      <c r="J448" s="251">
        <f>(F448 * (IF(I448,I448,G448)*10^-3))</f>
        <v>0.3</v>
      </c>
      <c r="K448" s="33"/>
      <c r="L448" s="13"/>
      <c r="M448" s="33"/>
    </row>
    <row r="449" spans="1:13" ht="20.100000000000001" customHeight="1" x14ac:dyDescent="0.2">
      <c r="D449" s="15" t="str">
        <v>Acid kleen</v>
      </c>
      <c r="E449" s="15" t="str">
        <v>Phosphoric acid</v>
      </c>
      <c r="F449" s="15">
        <v>100</v>
      </c>
      <c r="G449" s="15" cm="1">
        <f t="array" ref="G449">Common_InputFunctions.Utility_LookupValueInTableNumber(E449,Table_SourceData_Scope3_ChemicalsCleaning[Product],Table_SourceData_Scope3_ChemicalsCleaning[Emissions intensity])</f>
        <v>0.90700000000000003</v>
      </c>
      <c r="H449" s="251">
        <f>(F449 * (G449*10^-3))</f>
        <v>9.0700000000000003E-2</v>
      </c>
      <c r="I449" s="74">
        <v>6</v>
      </c>
      <c r="J449" s="251">
        <f>(F449 * (IF(I449,I449,G449)*10^-3))</f>
        <v>0.6</v>
      </c>
      <c r="K449" s="33"/>
      <c r="L449" s="13"/>
      <c r="M449" s="33"/>
    </row>
    <row r="450" spans="1:13" ht="20.100000000000001" customHeight="1" x14ac:dyDescent="0.2">
      <c r="D450" s="15" t="str">
        <v>Acid kleen</v>
      </c>
      <c r="E450" s="15" t="str">
        <v>Phosphoric acid</v>
      </c>
      <c r="F450" s="15">
        <v>100</v>
      </c>
      <c r="G450" s="15" cm="1">
        <f t="array" ref="G450">Common_InputFunctions.Utility_LookupValueInTableNumber(E450,Table_SourceData_Scope3_ChemicalsCleaning[Product],Table_SourceData_Scope3_ChemicalsCleaning[Emissions intensity])</f>
        <v>0.90700000000000003</v>
      </c>
      <c r="H450" s="251">
        <f>(F450 * (G450*10^-3))</f>
        <v>9.0700000000000003E-2</v>
      </c>
      <c r="I450" s="74">
        <v>5</v>
      </c>
      <c r="J450" s="251">
        <f>(F450 * (IF(I450,I450,G450)*10^-3))</f>
        <v>0.5</v>
      </c>
      <c r="K450" s="33"/>
      <c r="L450" s="13"/>
      <c r="M450" s="33"/>
    </row>
    <row r="451" spans="1:13" ht="20.100000000000001" customHeight="1" x14ac:dyDescent="0.2">
      <c r="D451" s="15">
        <v>0</v>
      </c>
      <c r="E451" s="15">
        <v>0</v>
      </c>
      <c r="F451" s="15">
        <v>0</v>
      </c>
      <c r="G451" s="15" cm="1">
        <f t="array" ref="G451">Common_InputFunctions.Utility_LookupValueInTableNumber(E451,Table_SourceData_Scope3_ChemicalsCleaning[Product],Table_SourceData_Scope3_ChemicalsCleaning[Emissions intensity])</f>
        <v>0</v>
      </c>
      <c r="H451" s="251">
        <f>(F451 * (G451*10^-3))</f>
        <v>0</v>
      </c>
      <c r="I451" s="74"/>
      <c r="J451" s="251">
        <f>(F451 * (IF(I451,I451,G451)*10^-3))</f>
        <v>0</v>
      </c>
      <c r="K451" s="33"/>
      <c r="L451" s="13"/>
      <c r="M451" s="33"/>
    </row>
    <row r="452" spans="1:13" ht="20.100000000000001" customHeight="1" x14ac:dyDescent="0.2">
      <c r="D452" s="15">
        <v>0</v>
      </c>
      <c r="E452" s="15">
        <v>0</v>
      </c>
      <c r="F452" s="15">
        <v>0</v>
      </c>
      <c r="G452" s="15" cm="1">
        <f t="array" ref="G452">Common_InputFunctions.Utility_LookupValueInTableNumber(E452,Table_SourceData_Scope3_ChemicalsCleaning[Product],Table_SourceData_Scope3_ChemicalsCleaning[Emissions intensity])</f>
        <v>0</v>
      </c>
      <c r="H452" s="251">
        <f>(F452 * (G452*10^-3))</f>
        <v>0</v>
      </c>
      <c r="I452" s="74"/>
      <c r="J452" s="251">
        <f>(F452 * (IF(I452,I452,G452)*10^-3))</f>
        <v>0</v>
      </c>
      <c r="K452" s="33"/>
      <c r="L452" s="13"/>
      <c r="M452" s="33"/>
    </row>
    <row r="453" spans="1:13" ht="20.100000000000001" customHeight="1" x14ac:dyDescent="0.2">
      <c r="D453" s="15">
        <v>0</v>
      </c>
      <c r="E453" s="15">
        <v>0</v>
      </c>
      <c r="F453" s="15">
        <v>0</v>
      </c>
      <c r="G453" s="15" cm="1">
        <f t="array" ref="G453">Common_InputFunctions.Utility_LookupValueInTableNumber(E453,Table_SourceData_Scope3_ChemicalsCleaning[Product],Table_SourceData_Scope3_ChemicalsCleaning[Emissions intensity])</f>
        <v>0</v>
      </c>
      <c r="H453" s="251">
        <f>(F453 * (G453*10^-3))</f>
        <v>0</v>
      </c>
      <c r="I453" s="74"/>
      <c r="J453" s="251">
        <f>(F453 * (IF(I453,I453,G453)*10^-3))</f>
        <v>0</v>
      </c>
      <c r="K453" s="33"/>
      <c r="L453" s="13"/>
      <c r="M453" s="33"/>
    </row>
    <row r="454" spans="1:13" ht="20.100000000000001" customHeight="1" x14ac:dyDescent="0.2">
      <c r="D454" s="15">
        <v>0</v>
      </c>
      <c r="E454" s="15">
        <v>0</v>
      </c>
      <c r="F454" s="15">
        <v>0</v>
      </c>
      <c r="G454" s="15" cm="1">
        <f t="array" ref="G454">Common_InputFunctions.Utility_LookupValueInTableNumber(E454,Table_SourceData_Scope3_ChemicalsCleaning[Product],Table_SourceData_Scope3_ChemicalsCleaning[Emissions intensity])</f>
        <v>0</v>
      </c>
      <c r="H454" s="251">
        <f>(F454 * (G454*10^-3))</f>
        <v>0</v>
      </c>
      <c r="I454" s="74"/>
      <c r="J454" s="251">
        <f>(F454 * (IF(I454,I454,G454)*10^-3))</f>
        <v>0</v>
      </c>
      <c r="K454" s="33"/>
      <c r="L454" s="13"/>
      <c r="M454" s="33"/>
    </row>
    <row r="456" spans="1:13" ht="20.100000000000001" customHeight="1" x14ac:dyDescent="0.2">
      <c r="D456" s="253" t="s">
        <v>1040</v>
      </c>
      <c r="E456" s="86">
        <f>SUM(H445:H454)</f>
        <v>0.50509999999999999</v>
      </c>
      <c r="F456" s="95" t="str">
        <f>$E$170</f>
        <v>t CO2e</v>
      </c>
    </row>
    <row r="457" spans="1:13" ht="20.100000000000001" customHeight="1" x14ac:dyDescent="0.2">
      <c r="D457" s="253" t="s">
        <v>1043</v>
      </c>
      <c r="E457" s="86">
        <f>SUM(J445:J454)</f>
        <v>2.73</v>
      </c>
      <c r="F457" s="95" t="str">
        <f>$E$170</f>
        <v>t CO2e</v>
      </c>
    </row>
    <row r="458" spans="1:13" ht="20.100000000000001" customHeight="1" x14ac:dyDescent="0.2">
      <c r="A458" s="79" t="str">
        <f>HYPERLINK("#A1", "▲ Back to top")</f>
        <v>▲ Back to top</v>
      </c>
    </row>
    <row r="460" spans="1:13" ht="20.100000000000001" customHeight="1" x14ac:dyDescent="0.2">
      <c r="D460" s="244" t="s">
        <v>1137</v>
      </c>
    </row>
    <row r="462" spans="1:13" ht="20.100000000000001" customHeight="1" x14ac:dyDescent="0.2">
      <c r="D462" s="78" t="s">
        <v>1034</v>
      </c>
      <c r="E462" s="250" t="s">
        <v>1135</v>
      </c>
      <c r="F462" s="250" t="s">
        <v>999</v>
      </c>
      <c r="G462" s="120" t="s">
        <v>1138</v>
      </c>
      <c r="H462" s="120" t="s">
        <v>1040</v>
      </c>
      <c r="I462" s="78" t="s">
        <v>1139</v>
      </c>
      <c r="J462" s="120" t="s">
        <v>1043</v>
      </c>
      <c r="K462" s="78" t="s">
        <v>1044</v>
      </c>
      <c r="L462" s="78" t="s">
        <v>1045</v>
      </c>
      <c r="M462" s="78" t="s">
        <v>1046</v>
      </c>
    </row>
    <row r="463" spans="1:13" ht="20.100000000000001" customHeight="1" x14ac:dyDescent="0.2">
      <c r="D463" s="15" t="str" cm="1">
        <f t="array" ref="D463:D472">IFERROR(INDEX(Table_Input_ChemicalsPharmacy[Product name], _xlfn.SEQUENCE(10)), "")</f>
        <v>Cow bug off</v>
      </c>
      <c r="E463" s="15" t="str" cm="1">
        <f t="array" ref="E463:E472">IFERROR(INDEX(Table_Input_ChemicalsPharmacy[Type (select)], _xlfn.SEQUENCE(10)), "")</f>
        <v>Parasite control for cattle (external), dipping</v>
      </c>
      <c r="F463" s="15" cm="1">
        <f t="array" ref="F463:F472">IFERROR(INDEX(Table_Input_ChemicalsCleaning[Quantity purchased (kg)], _xlfn.SEQUENCE(10)), "")</f>
        <v>100</v>
      </c>
      <c r="G463" s="15" cm="1">
        <f t="array" ref="G463">Common_InputFunctions.Utility_LookupValueInTableNumber(E463,Table_SourceData_Scope3_ChemicalsPharmacy[Product],Table_SourceData_Scope3_ChemicalsPharmacy[Emissions intensity])</f>
        <v>5.4699999999999999E-2</v>
      </c>
      <c r="H463" s="251">
        <f>(F463 * (G463*10^-3))</f>
        <v>5.47E-3</v>
      </c>
      <c r="I463" s="74">
        <v>0.05</v>
      </c>
      <c r="J463" s="251">
        <f>(F463 * (IF(I463,I463,G463)*10^-3))</f>
        <v>5.0000000000000001E-3</v>
      </c>
      <c r="K463" s="33"/>
      <c r="L463" s="13"/>
      <c r="M463" s="33"/>
    </row>
    <row r="464" spans="1:13" ht="20.100000000000001" customHeight="1" x14ac:dyDescent="0.2">
      <c r="D464" s="15" t="str">
        <v>Cow worm-away</v>
      </c>
      <c r="E464" s="15" t="str">
        <v>Parasite control for cattle (internal)</v>
      </c>
      <c r="F464" s="15">
        <v>100</v>
      </c>
      <c r="G464" s="15" cm="1">
        <f t="array" ref="G464">Common_InputFunctions.Utility_LookupValueInTableNumber(E464,Table_SourceData_Scope3_ChemicalsPharmacy[Product],Table_SourceData_Scope3_ChemicalsPharmacy[Emissions intensity])</f>
        <v>1.4200000000000001E-2</v>
      </c>
      <c r="H464" s="251">
        <f>(F464 * (G464*10^-3))</f>
        <v>1.42E-3</v>
      </c>
      <c r="I464" s="74">
        <v>0.01</v>
      </c>
      <c r="J464" s="251">
        <f>(F464 * (IF(I464,I464,G464)*10^-3))</f>
        <v>1E-3</v>
      </c>
      <c r="K464" s="33"/>
      <c r="L464" s="13"/>
      <c r="M464" s="33"/>
    </row>
    <row r="465" spans="4:13" ht="20.100000000000001" customHeight="1" x14ac:dyDescent="0.2">
      <c r="D465" s="15" t="str">
        <v>Sheep bug off</v>
      </c>
      <c r="E465" s="15" t="str">
        <v>Parasite control for sheep (external)</v>
      </c>
      <c r="F465" s="15">
        <v>100</v>
      </c>
      <c r="G465" s="15" cm="1">
        <f t="array" ref="G465">Common_InputFunctions.Utility_LookupValueInTableNumber(E465,Table_SourceData_Scope3_ChemicalsPharmacy[Product],Table_SourceData_Scope3_ChemicalsPharmacy[Emissions intensity])</f>
        <v>1.43E-2</v>
      </c>
      <c r="H465" s="251">
        <f>(F465 * (G465*10^-3))</f>
        <v>1.4300000000000001E-3</v>
      </c>
      <c r="I465" s="74">
        <v>0.01</v>
      </c>
      <c r="J465" s="251">
        <f>(F465 * (IF(I465,I465,G465)*10^-3))</f>
        <v>1E-3</v>
      </c>
      <c r="K465" s="33"/>
      <c r="L465" s="13"/>
      <c r="M465" s="33"/>
    </row>
    <row r="466" spans="4:13" ht="20.100000000000001" customHeight="1" x14ac:dyDescent="0.2">
      <c r="D466" s="15" t="str">
        <v>Sheep worm-away</v>
      </c>
      <c r="E466" s="15" t="str">
        <v>Parasite control for sheep (internal)</v>
      </c>
      <c r="F466" s="15">
        <v>100</v>
      </c>
      <c r="G466" s="15" cm="1">
        <f t="array" ref="G466">Common_InputFunctions.Utility_LookupValueInTableNumber(E466,Table_SourceData_Scope3_ChemicalsPharmacy[Product],Table_SourceData_Scope3_ChemicalsPharmacy[Emissions intensity])</f>
        <v>4.2599999999999999E-3</v>
      </c>
      <c r="H466" s="251">
        <f>(F466 * (G466*10^-3))</f>
        <v>4.26E-4</v>
      </c>
      <c r="I466" s="74">
        <v>4.0000000000000001E-3</v>
      </c>
      <c r="J466" s="251">
        <f>(F466 * (IF(I466,I466,G466)*10^-3))</f>
        <v>3.9999999999999996E-4</v>
      </c>
      <c r="K466" s="33"/>
      <c r="L466" s="13"/>
      <c r="M466" s="33"/>
    </row>
    <row r="467" spans="4:13" ht="20.100000000000001" customHeight="1" x14ac:dyDescent="0.2">
      <c r="D467" s="15" t="str">
        <v>Cow bug off</v>
      </c>
      <c r="E467" s="15" t="str">
        <v>Parasite control for cattle (external), dipping</v>
      </c>
      <c r="F467" s="15">
        <v>100</v>
      </c>
      <c r="G467" s="15" cm="1">
        <f t="array" ref="G467">Common_InputFunctions.Utility_LookupValueInTableNumber(E467,Table_SourceData_Scope3_ChemicalsPharmacy[Product],Table_SourceData_Scope3_ChemicalsPharmacy[Emissions intensity])</f>
        <v>5.4699999999999999E-2</v>
      </c>
      <c r="H467" s="251">
        <f>(F467 * (G467*10^-3))</f>
        <v>5.47E-3</v>
      </c>
      <c r="I467" s="74">
        <v>0.05</v>
      </c>
      <c r="J467" s="251">
        <f>(F467 * (IF(I467,I467,G467)*10^-3))</f>
        <v>5.0000000000000001E-3</v>
      </c>
      <c r="K467" s="33"/>
      <c r="L467" s="13"/>
      <c r="M467" s="33"/>
    </row>
    <row r="468" spans="4:13" ht="20.100000000000001" customHeight="1" x14ac:dyDescent="0.2">
      <c r="D468" s="15" t="str">
        <v>Cow worm-away</v>
      </c>
      <c r="E468" s="15" t="str">
        <v>Parasite control for cattle (internal)</v>
      </c>
      <c r="F468" s="15">
        <v>100</v>
      </c>
      <c r="G468" s="15" cm="1">
        <f t="array" ref="G468">Common_InputFunctions.Utility_LookupValueInTableNumber(E468,Table_SourceData_Scope3_ChemicalsPharmacy[Product],Table_SourceData_Scope3_ChemicalsPharmacy[Emissions intensity])</f>
        <v>1.4200000000000001E-2</v>
      </c>
      <c r="H468" s="251">
        <f>(F468 * (G468*10^-3))</f>
        <v>1.42E-3</v>
      </c>
      <c r="I468" s="74">
        <v>0.01</v>
      </c>
      <c r="J468" s="251">
        <f>(F468 * (IF(I468,I468,G468)*10^-3))</f>
        <v>1E-3</v>
      </c>
      <c r="K468" s="33"/>
      <c r="L468" s="13"/>
      <c r="M468" s="33"/>
    </row>
    <row r="469" spans="4:13" ht="20.100000000000001" customHeight="1" x14ac:dyDescent="0.2">
      <c r="D469" s="15">
        <v>0</v>
      </c>
      <c r="E469" s="15">
        <v>0</v>
      </c>
      <c r="F469" s="15">
        <v>0</v>
      </c>
      <c r="G469" s="15" cm="1">
        <f t="array" ref="G469">Common_InputFunctions.Utility_LookupValueInTableNumber(E469,Table_SourceData_Scope3_ChemicalsPharmacy[Product],Table_SourceData_Scope3_ChemicalsPharmacy[Emissions intensity])</f>
        <v>0</v>
      </c>
      <c r="H469" s="251">
        <f>(F469 * (G469*10^-3))</f>
        <v>0</v>
      </c>
      <c r="I469" s="74"/>
      <c r="J469" s="251">
        <f>(F469 * (IF(I469,I469,G469)*10^-3))</f>
        <v>0</v>
      </c>
      <c r="K469" s="33"/>
      <c r="L469" s="13"/>
      <c r="M469" s="33"/>
    </row>
    <row r="470" spans="4:13" ht="20.100000000000001" customHeight="1" x14ac:dyDescent="0.2">
      <c r="D470" s="15">
        <v>0</v>
      </c>
      <c r="E470" s="15">
        <v>0</v>
      </c>
      <c r="F470" s="15">
        <v>0</v>
      </c>
      <c r="G470" s="15" cm="1">
        <f t="array" ref="G470">Common_InputFunctions.Utility_LookupValueInTableNumber(E470,Table_SourceData_Scope3_ChemicalsPharmacy[Product],Table_SourceData_Scope3_ChemicalsPharmacy[Emissions intensity])</f>
        <v>0</v>
      </c>
      <c r="H470" s="251">
        <f>(F470 * (G470*10^-3))</f>
        <v>0</v>
      </c>
      <c r="I470" s="74"/>
      <c r="J470" s="251">
        <f>(F470 * (IF(I470,I470,G470)*10^-3))</f>
        <v>0</v>
      </c>
      <c r="K470" s="33"/>
      <c r="L470" s="13"/>
      <c r="M470" s="33"/>
    </row>
    <row r="471" spans="4:13" ht="20.100000000000001" customHeight="1" x14ac:dyDescent="0.2">
      <c r="D471" s="15">
        <v>0</v>
      </c>
      <c r="E471" s="15">
        <v>0</v>
      </c>
      <c r="F471" s="15">
        <v>0</v>
      </c>
      <c r="G471" s="15" cm="1">
        <f t="array" ref="G471">Common_InputFunctions.Utility_LookupValueInTableNumber(E471,Table_SourceData_Scope3_ChemicalsPharmacy[Product],Table_SourceData_Scope3_ChemicalsPharmacy[Emissions intensity])</f>
        <v>0</v>
      </c>
      <c r="H471" s="251">
        <f>(F471 * (G471*10^-3))</f>
        <v>0</v>
      </c>
      <c r="I471" s="74"/>
      <c r="J471" s="251">
        <f>(F471 * (IF(I471,I471,G471)*10^-3))</f>
        <v>0</v>
      </c>
      <c r="K471" s="33"/>
      <c r="L471" s="13"/>
      <c r="M471" s="33"/>
    </row>
    <row r="472" spans="4:13" ht="20.100000000000001" customHeight="1" x14ac:dyDescent="0.2">
      <c r="D472" s="15">
        <v>0</v>
      </c>
      <c r="E472" s="15">
        <v>0</v>
      </c>
      <c r="F472" s="15">
        <v>0</v>
      </c>
      <c r="G472" s="15" cm="1">
        <f t="array" ref="G472">Common_InputFunctions.Utility_LookupValueInTableNumber(E472,Table_SourceData_Scope3_ChemicalsPharmacy[Product],Table_SourceData_Scope3_ChemicalsPharmacy[Emissions intensity])</f>
        <v>0</v>
      </c>
      <c r="H472" s="251">
        <f>(F472 * (G472*10^-3))</f>
        <v>0</v>
      </c>
      <c r="I472" s="74"/>
      <c r="J472" s="251">
        <f>(F472 * (IF(I472,I472,G472)*10^-3))</f>
        <v>0</v>
      </c>
      <c r="K472" s="33"/>
      <c r="L472" s="13"/>
      <c r="M472" s="33"/>
    </row>
    <row r="474" spans="4:13" ht="20.100000000000001" customHeight="1" x14ac:dyDescent="0.2">
      <c r="D474" s="253" t="s">
        <v>1040</v>
      </c>
      <c r="E474" s="86">
        <f>SUM(H463:H472)</f>
        <v>1.5636000000000001E-2</v>
      </c>
      <c r="F474" s="95" t="str">
        <f>$E$170</f>
        <v>t CO2e</v>
      </c>
    </row>
    <row r="475" spans="4:13" ht="20.100000000000001" customHeight="1" x14ac:dyDescent="0.2">
      <c r="D475" s="253" t="s">
        <v>1043</v>
      </c>
      <c r="E475" s="86">
        <f>SUM(J463:J472)</f>
        <v>1.3400000000000002E-2</v>
      </c>
      <c r="F475" s="95" t="str">
        <f>$E$170</f>
        <v>t CO2e</v>
      </c>
    </row>
    <row r="478" spans="4:13" ht="20.100000000000001" customHeight="1" x14ac:dyDescent="0.2">
      <c r="D478" s="244" t="s">
        <v>1140</v>
      </c>
    </row>
    <row r="480" spans="4:13" ht="20.100000000000001" customHeight="1" x14ac:dyDescent="0.2">
      <c r="D480" s="78" t="s">
        <v>951</v>
      </c>
      <c r="E480" s="78" t="s">
        <v>1141</v>
      </c>
      <c r="F480" s="120" t="s">
        <v>1138</v>
      </c>
      <c r="G480" s="120" t="s">
        <v>1040</v>
      </c>
      <c r="H480" s="78" t="s">
        <v>1139</v>
      </c>
      <c r="I480" s="120" t="s">
        <v>1043</v>
      </c>
      <c r="J480" s="78" t="s">
        <v>1044</v>
      </c>
      <c r="K480" s="78" t="s">
        <v>1045</v>
      </c>
      <c r="L480" s="78" t="s">
        <v>1046</v>
      </c>
    </row>
    <row r="481" spans="1:12" ht="20.100000000000001" customHeight="1" x14ac:dyDescent="0.2">
      <c r="D481" s="15"/>
      <c r="E481" s="15">
        <f>IFERROR(X_Cell_FarmInputs_Seed_BarleyGrain, 0)</f>
        <v>0</v>
      </c>
      <c r="F481" s="15" cm="1">
        <f t="array" ref="F481">Common_InputFunctions.Utility_LookupValueInTableNumber(D481,Table_SourceData_Scope3_Other[Product],Table_SourceData_Scope3_Other[Emissions intensity])</f>
        <v>0</v>
      </c>
      <c r="G481" s="251">
        <f>(E481 * (F481*10^-3))</f>
        <v>0</v>
      </c>
      <c r="H481" s="74">
        <v>0.2</v>
      </c>
      <c r="I481" s="251">
        <f>(E481 * (IF(H481,H481,F481)*10^-3))</f>
        <v>0</v>
      </c>
      <c r="J481" s="33"/>
      <c r="K481" s="13"/>
      <c r="L481" s="33"/>
    </row>
    <row r="482" spans="1:12" ht="20.100000000000001" customHeight="1" x14ac:dyDescent="0.2">
      <c r="D482" s="15"/>
      <c r="E482" s="15">
        <f>IFERROR(X_Cell_FarmInputs_Seed_MaizeGrain, 0)</f>
        <v>0</v>
      </c>
      <c r="F482" s="15" cm="1">
        <f t="array" ref="F482">Common_InputFunctions.Utility_LookupValueInTableNumber(D482,Table_SourceData_Scope3_Other[Product],Table_SourceData_Scope3_Other[Emissions intensity])</f>
        <v>0</v>
      </c>
      <c r="G482" s="251">
        <f>(E482 * (F482*10^-3))</f>
        <v>0</v>
      </c>
      <c r="H482" s="74"/>
      <c r="I482" s="251">
        <f>(E482 * (IF(H482,H482,F482)*10^-3))</f>
        <v>0</v>
      </c>
      <c r="J482" s="33"/>
      <c r="K482" s="13"/>
      <c r="L482" s="33"/>
    </row>
    <row r="483" spans="1:12" ht="20.100000000000001" customHeight="1" x14ac:dyDescent="0.2">
      <c r="D483" s="15"/>
      <c r="E483" s="15">
        <f>IFERROR(X_Cell_FarmInputs_Seed_OatGrain, 0)</f>
        <v>0</v>
      </c>
      <c r="F483" s="15" cm="1">
        <f t="array" ref="F483">Common_InputFunctions.Utility_LookupValueInTableNumber(D483,Table_SourceData_Scope3_Other[Product],Table_SourceData_Scope3_Other[Emissions intensity])</f>
        <v>0</v>
      </c>
      <c r="G483" s="251">
        <f>(E483 * (F483*10^-3))</f>
        <v>0</v>
      </c>
      <c r="H483" s="74">
        <v>0.2</v>
      </c>
      <c r="I483" s="251">
        <f>(E483 * (IF(H483,H483,F483)*10^-3))</f>
        <v>0</v>
      </c>
      <c r="J483" s="33"/>
      <c r="K483" s="13"/>
      <c r="L483" s="33"/>
    </row>
    <row r="484" spans="1:12" ht="20.100000000000001" customHeight="1" x14ac:dyDescent="0.2">
      <c r="D484" s="15"/>
      <c r="E484" s="15">
        <f>IFERROR(X_Cell_FarmInputs_Seed_SorghumGrain, 0)</f>
        <v>0</v>
      </c>
      <c r="F484" s="15" cm="1">
        <f t="array" ref="F484">Common_InputFunctions.Utility_LookupValueInTableNumber(D484,Table_SourceData_Scope3_Other[Product],Table_SourceData_Scope3_Other[Emissions intensity])</f>
        <v>0</v>
      </c>
      <c r="G484" s="251">
        <f>(E484 * (F484*10^-3))</f>
        <v>0</v>
      </c>
      <c r="H484" s="74"/>
      <c r="I484" s="251">
        <f>(E484 * (IF(H484,H484,F484)*10^-3))</f>
        <v>0</v>
      </c>
      <c r="J484" s="33"/>
      <c r="K484" s="13"/>
      <c r="L484" s="33"/>
    </row>
    <row r="485" spans="1:12" ht="20.100000000000001" customHeight="1" x14ac:dyDescent="0.2">
      <c r="D485" s="15"/>
      <c r="E485" s="15">
        <f>IFERROR(X_Cell_FarmInputs_Seed_WheatGrain, 0)</f>
        <v>0</v>
      </c>
      <c r="F485" s="15" cm="1">
        <f t="array" ref="F485">Common_InputFunctions.Utility_LookupValueInTableNumber(D485,Table_SourceData_Scope3_Other[Product],Table_SourceData_Scope3_Other[Emissions intensity])</f>
        <v>0</v>
      </c>
      <c r="G485" s="251">
        <f>(E485 * (F485*10^-3))</f>
        <v>0</v>
      </c>
      <c r="H485" s="74">
        <v>0.2</v>
      </c>
      <c r="I485" s="251">
        <f>(E485 * (IF(H485,H485,F485)*10^-3))</f>
        <v>0</v>
      </c>
      <c r="J485" s="33"/>
      <c r="K485" s="13"/>
      <c r="L485" s="33"/>
    </row>
    <row r="487" spans="1:12" ht="20.100000000000001" customHeight="1" x14ac:dyDescent="0.2">
      <c r="D487" s="253" t="s">
        <v>1040</v>
      </c>
      <c r="E487" s="86">
        <f>SUM(G481:G485)</f>
        <v>0</v>
      </c>
      <c r="F487" s="95" t="str">
        <f>$E$170</f>
        <v>t CO2e</v>
      </c>
    </row>
    <row r="488" spans="1:12" ht="20.100000000000001" customHeight="1" x14ac:dyDescent="0.2">
      <c r="A488" s="79" t="str">
        <f>HYPERLINK("#A1", "▲ Back to top")</f>
        <v>▲ Back to top</v>
      </c>
      <c r="D488" s="253" t="s">
        <v>1043</v>
      </c>
      <c r="E488" s="86">
        <f>SUM(I481:I485)</f>
        <v>0</v>
      </c>
      <c r="F488" s="95" t="str">
        <f>$E$170</f>
        <v>t CO2e</v>
      </c>
    </row>
    <row r="491" spans="1:12" ht="20.100000000000001" customHeight="1" x14ac:dyDescent="0.2">
      <c r="D491" s="244" t="s">
        <v>1142</v>
      </c>
    </row>
    <row r="493" spans="1:12" ht="20.100000000000001" customHeight="1" x14ac:dyDescent="0.2">
      <c r="D493" s="78" t="s">
        <v>951</v>
      </c>
      <c r="E493" s="78" t="s">
        <v>1141</v>
      </c>
      <c r="F493" s="120" t="s">
        <v>1138</v>
      </c>
      <c r="G493" s="120" t="s">
        <v>1040</v>
      </c>
      <c r="H493" s="78" t="s">
        <v>1139</v>
      </c>
      <c r="I493" s="120" t="s">
        <v>1043</v>
      </c>
      <c r="J493" s="78" t="s">
        <v>1044</v>
      </c>
      <c r="K493" s="78" t="s">
        <v>1045</v>
      </c>
      <c r="L493" s="78" t="s">
        <v>1046</v>
      </c>
    </row>
    <row r="494" spans="1:12" ht="20.100000000000001" customHeight="1" x14ac:dyDescent="0.2">
      <c r="D494" s="15" t="str">
        <f>'Input - Livestock farm Inputs'!D47</f>
        <v>Animal ear tags (large)</v>
      </c>
      <c r="E494" s="15">
        <f>IFERROR(X_Cell_FarmInputs_Misc_AnimalEarTagsLarge, 0)</f>
        <v>100</v>
      </c>
      <c r="F494" s="15" cm="1">
        <f t="array" ref="F494">Common_InputFunctions.Utility_LookupValueInTableNumber(D494,Table_SourceData_Scope3_Other[Product],Table_SourceData_Scope3_Other[Emissions intensity])</f>
        <v>4.24E-2</v>
      </c>
      <c r="G494" s="251">
        <f>(E494 * (F494*10^-3))</f>
        <v>4.2399999999999998E-3</v>
      </c>
      <c r="H494" s="74">
        <v>0.2</v>
      </c>
      <c r="I494" s="251">
        <f>(E494 * (IF(H494,H494,F494)*10^-3))</f>
        <v>0.02</v>
      </c>
      <c r="J494" s="33"/>
      <c r="K494" s="13"/>
      <c r="L494" s="33"/>
    </row>
    <row r="495" spans="1:12" ht="20.100000000000001" customHeight="1" x14ac:dyDescent="0.2">
      <c r="D495" s="15" t="str">
        <f>'Input - Livestock farm Inputs'!D48</f>
        <v>Animal ear tags (small)</v>
      </c>
      <c r="E495" s="15">
        <f>IFERROR(X_Cell_FarmInputs_Misc_AnimalEarTagsSmall, 0)</f>
        <v>200</v>
      </c>
      <c r="F495" s="15" cm="1">
        <f t="array" ref="F495">Common_InputFunctions.Utility_LookupValueInTableNumber(D495,Table_SourceData_Scope3_Other[Product],Table_SourceData_Scope3_Other[Emissions intensity])</f>
        <v>2.93E-2</v>
      </c>
      <c r="G495" s="251">
        <f>(E495 * (F495*10^-3))</f>
        <v>5.8599999999999998E-3</v>
      </c>
      <c r="H495" s="74"/>
      <c r="I495" s="251">
        <f>(E495 * (IF(H495,H495,F495)*10^-3))</f>
        <v>5.8599999999999998E-3</v>
      </c>
      <c r="J495" s="33"/>
      <c r="K495" s="13"/>
      <c r="L495" s="33"/>
    </row>
    <row r="496" spans="1:12" ht="20.100000000000001" customHeight="1" x14ac:dyDescent="0.2">
      <c r="D496" s="15"/>
      <c r="E496" s="15">
        <f>IFERROR(X_Cell_FarmInputs_Misc_NylonNetting, 0)</f>
        <v>0</v>
      </c>
      <c r="F496" s="15" cm="1">
        <f t="array" ref="F496">Common_InputFunctions.Utility_LookupValueInTableNumber(D496,Table_SourceData_Scope3_Other[Product],Table_SourceData_Scope3_Other[Emissions intensity])</f>
        <v>0</v>
      </c>
      <c r="G496" s="251">
        <f>(E496 * (F496*10^-3))</f>
        <v>0</v>
      </c>
      <c r="H496" s="74">
        <v>0.2</v>
      </c>
      <c r="I496" s="251">
        <f>(E496 * (IF(H496,H496,F496)*10^-3))</f>
        <v>0</v>
      </c>
      <c r="J496" s="33"/>
      <c r="K496" s="13"/>
      <c r="L496" s="33"/>
    </row>
    <row r="498" spans="4:14" ht="20.100000000000001" customHeight="1" x14ac:dyDescent="0.2">
      <c r="D498" s="253" t="s">
        <v>1040</v>
      </c>
      <c r="E498" s="86">
        <f>SUM(G494:G496)</f>
        <v>1.01E-2</v>
      </c>
      <c r="F498" s="95" t="str">
        <f>$E$170</f>
        <v>t CO2e</v>
      </c>
    </row>
    <row r="499" spans="4:14" ht="20.100000000000001" customHeight="1" x14ac:dyDescent="0.2">
      <c r="D499" s="253" t="s">
        <v>1043</v>
      </c>
      <c r="E499" s="86">
        <f>SUM(I494:I496)</f>
        <v>2.5860000000000001E-2</v>
      </c>
      <c r="F499" s="95" t="str">
        <f>$E$170</f>
        <v>t CO2e</v>
      </c>
    </row>
    <row r="502" spans="4:14" ht="20.100000000000001" customHeight="1" x14ac:dyDescent="0.2">
      <c r="D502" s="244" t="s">
        <v>1143</v>
      </c>
    </row>
    <row r="504" spans="4:14" ht="20.100000000000001" customHeight="1" x14ac:dyDescent="0.2">
      <c r="D504" s="78" t="s">
        <v>951</v>
      </c>
      <c r="E504" s="78" t="s">
        <v>878</v>
      </c>
      <c r="F504" s="78" t="s">
        <v>594</v>
      </c>
      <c r="G504" s="120" t="s">
        <v>1123</v>
      </c>
      <c r="H504" s="120" t="s">
        <v>1124</v>
      </c>
      <c r="I504" s="78" t="s">
        <v>1125</v>
      </c>
      <c r="J504" s="78" t="s">
        <v>1144</v>
      </c>
      <c r="K504" s="120" t="s">
        <v>1126</v>
      </c>
      <c r="L504" s="78" t="s">
        <v>1044</v>
      </c>
      <c r="M504" s="78" t="s">
        <v>1045</v>
      </c>
      <c r="N504" s="78" t="s">
        <v>1046</v>
      </c>
    </row>
    <row r="505" spans="4:14" ht="20.100000000000001" customHeight="1" x14ac:dyDescent="0.2">
      <c r="D505" s="15" t="str" cm="1">
        <f t="array" ref="D505:D514">IFERROR(INDEX(Table_Input_UncategorisedProductsServices[Product / service name], _xlfn.SEQUENCE(10)), "")</f>
        <v>Something</v>
      </c>
      <c r="E505" s="15" cm="1">
        <f t="array" ref="E505:E514">IFERROR(INDEX(Table_Input_UncategorisedProductsServices[Amount], _xlfn.SEQUENCE(10)), "")</f>
        <v>1000</v>
      </c>
      <c r="F505" s="15" t="str" cm="1">
        <f t="array" ref="F505:F514">IFERROR(INDEX(Table_Input_UncategorisedProductsServices[Amount unit], _xlfn.SEQUENCE(10)), "")</f>
        <v>kg</v>
      </c>
      <c r="G505" s="15" t="s">
        <v>351</v>
      </c>
      <c r="H505" s="15" t="s">
        <v>351</v>
      </c>
      <c r="I505" s="74">
        <v>4</v>
      </c>
      <c r="J505" s="13" t="s">
        <v>1145</v>
      </c>
      <c r="K505" s="251">
        <f>(E505 * (IF(J505="kg / amount unit", I505*10^-3, I505)))</f>
        <v>4000</v>
      </c>
      <c r="L505" s="33"/>
      <c r="M505" s="13"/>
      <c r="N505" s="33"/>
    </row>
    <row r="506" spans="4:14" ht="20.100000000000001" customHeight="1" x14ac:dyDescent="0.2">
      <c r="D506" s="15">
        <v>0</v>
      </c>
      <c r="E506" s="15">
        <v>0</v>
      </c>
      <c r="F506" s="15">
        <v>0</v>
      </c>
      <c r="G506" s="15" t="s">
        <v>351</v>
      </c>
      <c r="H506" s="15" t="s">
        <v>351</v>
      </c>
      <c r="I506" s="74">
        <v>2</v>
      </c>
      <c r="J506" s="13" t="s">
        <v>1145</v>
      </c>
      <c r="K506" s="251">
        <f>(E506 * (IF(J506="kg / amount unit", I506*10^-3, I506)))</f>
        <v>0</v>
      </c>
      <c r="L506" s="33"/>
      <c r="M506" s="13"/>
      <c r="N506" s="33"/>
    </row>
    <row r="507" spans="4:14" ht="20.100000000000001" customHeight="1" x14ac:dyDescent="0.2">
      <c r="D507" s="15">
        <v>0</v>
      </c>
      <c r="E507" s="15">
        <v>0</v>
      </c>
      <c r="F507" s="15">
        <v>0</v>
      </c>
      <c r="G507" s="15" t="s">
        <v>351</v>
      </c>
      <c r="H507" s="15" t="s">
        <v>351</v>
      </c>
      <c r="I507" s="74"/>
      <c r="J507" s="13"/>
      <c r="K507" s="251">
        <f>(E507 * (IF(J507="kg / amount unit", I507*10^-3, I507)))</f>
        <v>0</v>
      </c>
      <c r="L507" s="33"/>
      <c r="M507" s="13"/>
      <c r="N507" s="33"/>
    </row>
    <row r="508" spans="4:14" ht="20.100000000000001" customHeight="1" x14ac:dyDescent="0.2">
      <c r="D508" s="15">
        <v>0</v>
      </c>
      <c r="E508" s="15">
        <v>0</v>
      </c>
      <c r="F508" s="15">
        <v>0</v>
      </c>
      <c r="G508" s="15" t="s">
        <v>351</v>
      </c>
      <c r="H508" s="15" t="s">
        <v>351</v>
      </c>
      <c r="I508" s="74"/>
      <c r="J508" s="13"/>
      <c r="K508" s="251">
        <f>(E508 * (IF(J508="kg / amount unit", I508*10^-3, I508)))</f>
        <v>0</v>
      </c>
      <c r="L508" s="33"/>
      <c r="M508" s="13"/>
      <c r="N508" s="33"/>
    </row>
    <row r="509" spans="4:14" ht="20.100000000000001" customHeight="1" x14ac:dyDescent="0.2">
      <c r="D509" s="15">
        <v>0</v>
      </c>
      <c r="E509" s="15">
        <v>0</v>
      </c>
      <c r="F509" s="15">
        <v>0</v>
      </c>
      <c r="G509" s="15" t="s">
        <v>351</v>
      </c>
      <c r="H509" s="15" t="s">
        <v>351</v>
      </c>
      <c r="I509" s="74"/>
      <c r="J509" s="13"/>
      <c r="K509" s="251">
        <f>(E509 * (IF(J509="kg / amount unit", I509*10^-3, I509)))</f>
        <v>0</v>
      </c>
      <c r="L509" s="33"/>
      <c r="M509" s="13"/>
      <c r="N509" s="33"/>
    </row>
    <row r="510" spans="4:14" ht="20.100000000000001" customHeight="1" x14ac:dyDescent="0.2">
      <c r="D510" s="15">
        <v>0</v>
      </c>
      <c r="E510" s="15">
        <v>0</v>
      </c>
      <c r="F510" s="15">
        <v>0</v>
      </c>
      <c r="G510" s="15" t="s">
        <v>351</v>
      </c>
      <c r="H510" s="15" t="s">
        <v>351</v>
      </c>
      <c r="I510" s="74"/>
      <c r="J510" s="13"/>
      <c r="K510" s="251">
        <f>(E510 * (IF(J510="kg / amount unit", I510*10^-3, I510)))</f>
        <v>0</v>
      </c>
      <c r="L510" s="33"/>
      <c r="M510" s="13"/>
      <c r="N510" s="33"/>
    </row>
    <row r="511" spans="4:14" ht="20.100000000000001" customHeight="1" x14ac:dyDescent="0.2">
      <c r="D511" s="15">
        <v>0</v>
      </c>
      <c r="E511" s="15">
        <v>0</v>
      </c>
      <c r="F511" s="15">
        <v>0</v>
      </c>
      <c r="G511" s="15" t="s">
        <v>351</v>
      </c>
      <c r="H511" s="15" t="s">
        <v>351</v>
      </c>
      <c r="I511" s="74"/>
      <c r="J511" s="13"/>
      <c r="K511" s="251">
        <f>(E511 * (IF(J511="kg / amount unit", I511*10^-3, I511)))</f>
        <v>0</v>
      </c>
      <c r="L511" s="33"/>
      <c r="M511" s="13"/>
      <c r="N511" s="33"/>
    </row>
    <row r="512" spans="4:14" ht="20.100000000000001" customHeight="1" x14ac:dyDescent="0.2">
      <c r="D512" s="15">
        <v>0</v>
      </c>
      <c r="E512" s="15">
        <v>0</v>
      </c>
      <c r="F512" s="15">
        <v>0</v>
      </c>
      <c r="G512" s="15" t="s">
        <v>351</v>
      </c>
      <c r="H512" s="15" t="s">
        <v>351</v>
      </c>
      <c r="I512" s="74"/>
      <c r="J512" s="13"/>
      <c r="K512" s="251">
        <f>(E512 * (IF(J512="kg / amount unit", I512*10^-3, I512)))</f>
        <v>0</v>
      </c>
      <c r="L512" s="33"/>
      <c r="M512" s="13"/>
      <c r="N512" s="33"/>
    </row>
    <row r="513" spans="1:41" ht="20.100000000000001" customHeight="1" x14ac:dyDescent="0.2">
      <c r="D513" s="15">
        <v>0</v>
      </c>
      <c r="E513" s="15">
        <v>0</v>
      </c>
      <c r="F513" s="15">
        <v>0</v>
      </c>
      <c r="G513" s="15" t="s">
        <v>351</v>
      </c>
      <c r="H513" s="15" t="s">
        <v>351</v>
      </c>
      <c r="I513" s="74"/>
      <c r="J513" s="13"/>
      <c r="K513" s="251">
        <f>(E513 * (IF(J513="kg / amount unit", I513*10^-3, I513)))</f>
        <v>0</v>
      </c>
      <c r="L513" s="33"/>
      <c r="M513" s="13"/>
      <c r="N513" s="33"/>
    </row>
    <row r="514" spans="1:41" ht="20.100000000000001" customHeight="1" x14ac:dyDescent="0.2">
      <c r="D514" s="15">
        <v>0</v>
      </c>
      <c r="E514" s="15">
        <v>0</v>
      </c>
      <c r="F514" s="15">
        <v>0</v>
      </c>
      <c r="G514" s="15" t="s">
        <v>351</v>
      </c>
      <c r="H514" s="15" t="s">
        <v>351</v>
      </c>
      <c r="I514" s="74"/>
      <c r="J514" s="13"/>
      <c r="K514" s="251">
        <f>(E514 * (IF(J514="kg / amount unit", I514*10^-3, I514)))</f>
        <v>0</v>
      </c>
      <c r="L514" s="33"/>
      <c r="M514" s="13"/>
      <c r="N514" s="33"/>
    </row>
    <row r="516" spans="1:41" ht="20.100000000000001" customHeight="1" x14ac:dyDescent="0.2">
      <c r="D516" s="253" t="s">
        <v>1040</v>
      </c>
      <c r="E516" s="86" t="s">
        <v>351</v>
      </c>
      <c r="F516" s="95" t="str">
        <f>$E$170</f>
        <v>t CO2e</v>
      </c>
    </row>
    <row r="517" spans="1:41" ht="20.100000000000001" customHeight="1" x14ac:dyDescent="0.2">
      <c r="D517" s="253" t="s">
        <v>1043</v>
      </c>
      <c r="E517" s="86">
        <f>SUM(K505:K514)</f>
        <v>4000</v>
      </c>
      <c r="F517" s="95" t="str">
        <f>$E$170</f>
        <v>t CO2e</v>
      </c>
    </row>
    <row r="518" spans="1:41" ht="20.100000000000001" customHeight="1" x14ac:dyDescent="0.2">
      <c r="A518" s="79" t="str">
        <f>HYPERLINK("#A1", "▲ Back to top")</f>
        <v>▲ Back to top</v>
      </c>
    </row>
    <row r="520" spans="1:41" ht="20.100000000000001" customHeight="1" x14ac:dyDescent="0.2">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row>
    <row r="521" spans="1:41" ht="20.100000000000001" customHeight="1" x14ac:dyDescent="0.2">
      <c r="D521" s="2" t="s">
        <v>1590</v>
      </c>
    </row>
    <row r="522" spans="1:41" ht="20.100000000000001" customHeight="1" x14ac:dyDescent="0.2">
      <c r="D522" s="17" t="s">
        <v>1591</v>
      </c>
    </row>
    <row r="523" spans="1:41" ht="20.100000000000001" customHeight="1" x14ac:dyDescent="0.2">
      <c r="D523" s="112"/>
      <c r="E523" s="112"/>
    </row>
    <row r="527" spans="1:41" ht="20.100000000000001" customHeight="1" x14ac:dyDescent="0.2">
      <c r="D527" s="75" t="s">
        <v>328</v>
      </c>
      <c r="E527" s="1" t="s">
        <v>1146</v>
      </c>
    </row>
    <row r="528" spans="1:41" ht="20.100000000000001" customHeight="1" x14ac:dyDescent="0.2">
      <c r="D528" s="75" t="s">
        <v>118</v>
      </c>
      <c r="E528" s="9" t="s">
        <v>7</v>
      </c>
    </row>
    <row r="530" spans="3:41" ht="20.100000000000001" customHeight="1" x14ac:dyDescent="0.2">
      <c r="D530" s="113" t="s">
        <v>1392</v>
      </c>
      <c r="E530" s="122" t="s">
        <v>1592</v>
      </c>
      <c r="F530" s="123"/>
      <c r="G530" s="113" t="s">
        <v>7</v>
      </c>
      <c r="H530" s="115" t="s">
        <v>1594</v>
      </c>
      <c r="I530" s="113">
        <f>VEERG_8_1_1_1__1_FuelCombustionTransport_Result</f>
        <v>20.5016</v>
      </c>
    </row>
    <row r="531" spans="3:41" ht="20.100000000000001" customHeight="1" x14ac:dyDescent="0.2">
      <c r="D531" s="113" t="s">
        <v>1419</v>
      </c>
      <c r="E531" s="122" t="s">
        <v>1593</v>
      </c>
      <c r="F531" s="123"/>
      <c r="G531" s="113" t="s">
        <v>7</v>
      </c>
      <c r="H531" s="115" t="s">
        <v>1595</v>
      </c>
      <c r="I531" s="113">
        <f>VEERG_8_2_1_1__1_FuelCombustionStationary_Result</f>
        <v>6.2923999999999998</v>
      </c>
    </row>
    <row r="533" spans="3:41" ht="20.100000000000001" customHeight="1" x14ac:dyDescent="0.2">
      <c r="D533" s="253" t="s">
        <v>1146</v>
      </c>
      <c r="E533" s="86">
        <f>(I530 + I531)</f>
        <v>26.794</v>
      </c>
      <c r="F533" s="95" t="str">
        <f>$E$170</f>
        <v>t CO2e</v>
      </c>
    </row>
    <row r="535" spans="3:41" ht="20.100000000000001" customHeight="1" x14ac:dyDescent="0.2">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row>
    <row r="536" spans="3:41" ht="20.100000000000001" customHeight="1" x14ac:dyDescent="0.2">
      <c r="D536" s="2" t="s">
        <v>1596</v>
      </c>
    </row>
    <row r="537" spans="3:41" ht="20.100000000000001" customHeight="1" x14ac:dyDescent="0.2">
      <c r="D537" s="17" t="s">
        <v>1597</v>
      </c>
    </row>
    <row r="538" spans="3:41" ht="20.100000000000001" customHeight="1" x14ac:dyDescent="0.2">
      <c r="D538" s="112"/>
      <c r="E538" s="112"/>
    </row>
    <row r="541" spans="3:41" ht="20.100000000000001" customHeight="1" x14ac:dyDescent="0.2">
      <c r="D541" s="75" t="s">
        <v>328</v>
      </c>
      <c r="E541" s="1" t="s">
        <v>1598</v>
      </c>
    </row>
    <row r="542" spans="3:41" ht="20.100000000000001" customHeight="1" x14ac:dyDescent="0.2">
      <c r="D542" s="75" t="s">
        <v>118</v>
      </c>
      <c r="E542" s="1" t="s">
        <v>7</v>
      </c>
    </row>
    <row r="544" spans="3:41" ht="20.100000000000001" customHeight="1" x14ac:dyDescent="0.2">
      <c r="D544" s="113" t="s">
        <v>1466</v>
      </c>
      <c r="E544" s="113" t="s">
        <v>1467</v>
      </c>
      <c r="F544" s="113"/>
      <c r="G544" s="113" t="s">
        <v>544</v>
      </c>
      <c r="H544" s="249" t="s">
        <v>1202</v>
      </c>
      <c r="I544" s="122">
        <f>X_Cell_Electricity_Location_AmountPurchasedInkWh</f>
        <v>30000</v>
      </c>
      <c r="J544" s="123"/>
    </row>
    <row r="545" spans="1:41" ht="20.100000000000001" customHeight="1" x14ac:dyDescent="0.2">
      <c r="D545" s="113" t="s">
        <v>1599</v>
      </c>
      <c r="E545" s="113" t="s">
        <v>1600</v>
      </c>
      <c r="F545" s="113"/>
      <c r="G545" s="113" t="s">
        <v>1471</v>
      </c>
      <c r="H545" s="115" t="s">
        <v>1203</v>
      </c>
      <c r="I545" s="122" cm="1">
        <f t="array" ref="I545">Common_InputFunctions.Utility_LookupValueInTableNumber(I546,Table_SourceData_ElectricityEFs[State, Territory or grid description],Table_SourceData_ElectricityEFs[Scope 3 Emission Factors (kg CO2-e/kWh)])</f>
        <v>0.09</v>
      </c>
      <c r="J545" s="123"/>
    </row>
    <row r="546" spans="1:41" ht="20.100000000000001" customHeight="1" x14ac:dyDescent="0.2">
      <c r="D546" s="113" t="s">
        <v>1402</v>
      </c>
      <c r="E546" s="122" t="s">
        <v>1601</v>
      </c>
      <c r="F546" s="123"/>
      <c r="G546" s="113"/>
      <c r="H546" s="249" t="s">
        <v>1202</v>
      </c>
      <c r="I546" s="122" t="str">
        <f>X_Cell_Electricity_Location_GridElectricityPurchasedFrom</f>
        <v>Western Australia - North Western Interconnected System (NWIS)</v>
      </c>
      <c r="J546" s="123"/>
    </row>
    <row r="548" spans="1:41" ht="20.100000000000001" customHeight="1" x14ac:dyDescent="0.2">
      <c r="A548" s="79" t="str">
        <f>HYPERLINK("#A1", "▲ Back to top")</f>
        <v>▲ Back to top</v>
      </c>
      <c r="D548" s="253" t="s">
        <v>1147</v>
      </c>
      <c r="E548" s="86">
        <f>((I544 * I545) * 10 ^ -3)</f>
        <v>2.7</v>
      </c>
      <c r="F548" s="95" t="str">
        <f>$E$170</f>
        <v>t CO2e</v>
      </c>
    </row>
    <row r="551" spans="1:41" ht="20.100000000000001" customHeight="1" x14ac:dyDescent="0.2">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row>
    <row r="552" spans="1:41" ht="20.100000000000001" customHeight="1" x14ac:dyDescent="0.2">
      <c r="D552" s="2" t="s">
        <v>1602</v>
      </c>
    </row>
    <row r="553" spans="1:41" ht="20.100000000000001" customHeight="1" x14ac:dyDescent="0.2">
      <c r="D553" s="17" t="s">
        <v>1603</v>
      </c>
    </row>
    <row r="554" spans="1:41" ht="20.100000000000001" customHeight="1" x14ac:dyDescent="0.2">
      <c r="D554" s="25" t="s">
        <v>1474</v>
      </c>
    </row>
    <row r="555" spans="1:41" ht="20.100000000000001" customHeight="1" x14ac:dyDescent="0.2">
      <c r="D555" s="112"/>
      <c r="E555" s="112"/>
    </row>
    <row r="559" spans="1:41" ht="20.100000000000001" customHeight="1" x14ac:dyDescent="0.2">
      <c r="D559" s="75" t="s">
        <v>328</v>
      </c>
      <c r="E559" s="1" t="s">
        <v>1598</v>
      </c>
    </row>
    <row r="560" spans="1:41" ht="20.100000000000001" customHeight="1" x14ac:dyDescent="0.2">
      <c r="D560" s="75" t="s">
        <v>118</v>
      </c>
      <c r="E560" s="1" t="s">
        <v>7</v>
      </c>
    </row>
    <row r="562" spans="3:41" ht="20.100000000000001" customHeight="1" x14ac:dyDescent="0.2">
      <c r="D562" s="113" t="s">
        <v>1466</v>
      </c>
      <c r="E562" s="122" t="s">
        <v>1467</v>
      </c>
      <c r="F562" s="123"/>
      <c r="G562" s="113" t="s">
        <v>544</v>
      </c>
      <c r="H562" s="249" t="s">
        <v>1202</v>
      </c>
      <c r="I562" s="254">
        <f>X_Cell_Electricity_Market_AmountPurchasedExcludingGreenPower</f>
        <v>30000</v>
      </c>
    </row>
    <row r="563" spans="3:41" ht="20.100000000000001" customHeight="1" x14ac:dyDescent="0.2">
      <c r="D563" s="113" t="s">
        <v>1475</v>
      </c>
      <c r="E563" s="122" t="s">
        <v>1604</v>
      </c>
      <c r="F563" s="123"/>
      <c r="G563" s="113" t="s">
        <v>307</v>
      </c>
      <c r="H563" s="249" t="s">
        <v>1202</v>
      </c>
      <c r="I563" s="146">
        <f>X_Cell_Electricity_Market_RenewablePowerPercentage</f>
        <v>0.1</v>
      </c>
    </row>
    <row r="564" spans="3:41" ht="20.100000000000001" customHeight="1" x14ac:dyDescent="0.2">
      <c r="D564" s="113" t="s">
        <v>1477</v>
      </c>
      <c r="E564" s="122" t="s">
        <v>1605</v>
      </c>
      <c r="F564" s="123"/>
      <c r="G564" s="113" t="s">
        <v>307</v>
      </c>
      <c r="H564" s="249" t="s">
        <v>1202</v>
      </c>
      <c r="I564" s="146">
        <f>X_Cell_Electricity_Market_JurisdictionalRenewablePowerPercentage</f>
        <v>0.1</v>
      </c>
    </row>
    <row r="565" spans="3:41" ht="20.100000000000001" customHeight="1" x14ac:dyDescent="0.2">
      <c r="D565" s="113" t="s">
        <v>1479</v>
      </c>
      <c r="E565" s="122" t="s">
        <v>1606</v>
      </c>
      <c r="F565" s="123"/>
      <c r="G565" s="113" t="s">
        <v>560</v>
      </c>
      <c r="H565" s="249" t="s">
        <v>1202</v>
      </c>
      <c r="I565" s="113">
        <f>(X_Cell_Electricity_Market_AmountPurchasedGreenPower*10^-3)+X_Cell_TotalElegibleVoluntarilySurrenderedRECs</f>
        <v>15</v>
      </c>
    </row>
    <row r="566" spans="3:41" ht="20.100000000000001" customHeight="1" x14ac:dyDescent="0.2">
      <c r="D566" s="113" t="s">
        <v>1481</v>
      </c>
      <c r="E566" s="122" t="s">
        <v>1607</v>
      </c>
      <c r="F566" s="123"/>
      <c r="G566" s="113" t="s">
        <v>560</v>
      </c>
      <c r="H566" s="249" t="s">
        <v>1202</v>
      </c>
      <c r="I566" s="113">
        <f>X_Cell_TotalElegibleRECsForElectricityProducedOnSite</f>
        <v>0</v>
      </c>
    </row>
    <row r="567" spans="3:41" ht="20.100000000000001" customHeight="1" x14ac:dyDescent="0.2">
      <c r="D567" s="113" t="s">
        <v>1608</v>
      </c>
      <c r="E567" s="122" t="s">
        <v>1609</v>
      </c>
      <c r="F567" s="123"/>
      <c r="G567" s="113" t="s">
        <v>1471</v>
      </c>
      <c r="H567" s="115" t="s">
        <v>1203</v>
      </c>
      <c r="I567" s="113" cm="1">
        <f t="array" ref="I567">Table_SourceData_ElectricityEFsMarketBased[Scope 3 EF (kg CO2-e/kWh)]</f>
        <v>0.1</v>
      </c>
    </row>
    <row r="568" spans="3:41" ht="20.100000000000001" customHeight="1" x14ac:dyDescent="0.2">
      <c r="D568" s="113" t="s">
        <v>1217</v>
      </c>
      <c r="E568" s="122" t="s">
        <v>1218</v>
      </c>
      <c r="F568" s="123"/>
      <c r="G568" s="113"/>
      <c r="H568" s="249" t="s">
        <v>1202</v>
      </c>
      <c r="I568" s="113" t="str">
        <f>X_Cell_Site_State</f>
        <v>Western Australia</v>
      </c>
    </row>
    <row r="570" spans="3:41" ht="20.100000000000001" customHeight="1" x14ac:dyDescent="0.2">
      <c r="D570" s="253" t="s">
        <v>1147</v>
      </c>
      <c r="E570" s="86">
        <f>(((I562 * (1 - (I563 + I564))) - ((I565 - I566) * 10 ^ 3)) * I567 * 10 ^ -3)</f>
        <v>0.9</v>
      </c>
      <c r="F570" s="95" t="str">
        <f>$E$170</f>
        <v>t CO2e</v>
      </c>
    </row>
    <row r="573" spans="3:41" ht="20.100000000000001" customHeight="1" x14ac:dyDescent="0.2">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row>
    <row r="574" spans="3:41" ht="20.100000000000001" customHeight="1" x14ac:dyDescent="0.2">
      <c r="D574" s="2" t="s">
        <v>1610</v>
      </c>
    </row>
    <row r="575" spans="3:41" ht="20.100000000000001" customHeight="1" x14ac:dyDescent="0.2">
      <c r="D575" s="17" t="s">
        <v>1611</v>
      </c>
    </row>
    <row r="576" spans="3:41" ht="20.100000000000001" customHeight="1" x14ac:dyDescent="0.2">
      <c r="D576" s="112"/>
      <c r="E576" s="112"/>
    </row>
    <row r="578" spans="1:18" ht="20.100000000000001" customHeight="1" x14ac:dyDescent="0.2">
      <c r="A578" s="79" t="str">
        <f>HYPERLINK("#A1", "▲ Back to top")</f>
        <v>▲ Back to top</v>
      </c>
    </row>
    <row r="579" spans="1:18" ht="20.100000000000001" customHeight="1" x14ac:dyDescent="0.2">
      <c r="D579" s="75" t="s">
        <v>328</v>
      </c>
      <c r="E579" s="1" t="s">
        <v>1146</v>
      </c>
    </row>
    <row r="580" spans="1:18" ht="20.100000000000001" customHeight="1" x14ac:dyDescent="0.2">
      <c r="D580" s="75" t="s">
        <v>118</v>
      </c>
      <c r="E580" s="9" t="s">
        <v>12</v>
      </c>
    </row>
    <row r="582" spans="1:18" ht="20.100000000000001" customHeight="1" x14ac:dyDescent="0.2">
      <c r="D582" s="24" t="s">
        <v>130</v>
      </c>
      <c r="L582" s="24" t="s">
        <v>131</v>
      </c>
    </row>
    <row r="584" spans="1:18" ht="20.100000000000001" customHeight="1" x14ac:dyDescent="0.2">
      <c r="D584" s="113" t="s">
        <v>1612</v>
      </c>
      <c r="E584" s="122" t="s">
        <v>1613</v>
      </c>
      <c r="F584" s="136"/>
      <c r="G584" s="123"/>
      <c r="H584" s="113" t="s">
        <v>12</v>
      </c>
      <c r="I584" s="115" t="s">
        <v>1618</v>
      </c>
      <c r="J584" s="113">
        <f>IFERROR(VEERG_5_2_1_1__1_OrganicFertiliserApplicationN2OEmissions_Result_Method1, 0)</f>
        <v>7.8571428571428577E-3</v>
      </c>
      <c r="L584" s="113" t="s">
        <v>1612</v>
      </c>
      <c r="M584" s="122" t="s">
        <v>1613</v>
      </c>
      <c r="N584" s="136"/>
      <c r="O584" s="123"/>
      <c r="P584" s="113" t="s">
        <v>12</v>
      </c>
      <c r="Q584" s="115" t="s">
        <v>1618</v>
      </c>
      <c r="R584" s="113">
        <f>IFERROR(VEERG_5_2_1_1__1_OrganicFertiliserApplicationN2OEmissions_Result_Method2, 0)</f>
        <v>1.5714285714285715E-2</v>
      </c>
    </row>
    <row r="585" spans="1:18" ht="20.100000000000001" customHeight="1" x14ac:dyDescent="0.2">
      <c r="D585" s="113" t="s">
        <v>1614</v>
      </c>
      <c r="E585" s="122" t="s">
        <v>1615</v>
      </c>
      <c r="F585" s="136"/>
      <c r="G585" s="123"/>
      <c r="H585" s="113" t="s">
        <v>12</v>
      </c>
      <c r="I585" s="115" t="s">
        <v>1618</v>
      </c>
      <c r="J585" s="113">
        <f>IFERROR(VEERG_5_4_1_3__1_OrganicFertiliserAtmosphericDepositionN2OEmissions_Result_Method1, 0)</f>
        <v>1.6401E-3</v>
      </c>
      <c r="L585" s="113" t="s">
        <v>1614</v>
      </c>
      <c r="M585" s="122" t="s">
        <v>1615</v>
      </c>
      <c r="N585" s="136"/>
      <c r="O585" s="123"/>
      <c r="P585" s="113" t="s">
        <v>12</v>
      </c>
      <c r="Q585" s="115" t="s">
        <v>1618</v>
      </c>
      <c r="R585" s="113">
        <f>IFERROR(VEERG_5_4_1_3__1_OrganicFertiliserAtmosphericDepositionN2OEmissions_Result_Method2, 0)</f>
        <v>4.62E-3</v>
      </c>
    </row>
    <row r="586" spans="1:18" ht="20.100000000000001" customHeight="1" x14ac:dyDescent="0.2">
      <c r="D586" s="113" t="s">
        <v>1616</v>
      </c>
      <c r="E586" s="122" t="s">
        <v>1617</v>
      </c>
      <c r="F586" s="136"/>
      <c r="G586" s="123"/>
      <c r="H586" s="113" t="s">
        <v>12</v>
      </c>
      <c r="I586" s="115" t="s">
        <v>1618</v>
      </c>
      <c r="J586" s="113">
        <f>IFERROR(VEERG_5_5_1_1__1_FertiliserLeachingAndRunoffN2OEmissions_Result_Method1, 0)</f>
        <v>0</v>
      </c>
      <c r="L586" s="113" t="s">
        <v>1616</v>
      </c>
      <c r="M586" s="122" t="s">
        <v>1617</v>
      </c>
      <c r="N586" s="136"/>
      <c r="O586" s="123"/>
      <c r="P586" s="113" t="s">
        <v>12</v>
      </c>
      <c r="Q586" s="115" t="s">
        <v>1618</v>
      </c>
      <c r="R586" s="113">
        <f>IFERROR(VEERG_5_5_1_1__1_FertiliserLeachingAndRunoffN2OEmissions_Result_Method2, 0)</f>
        <v>8.2971428571428554E-3</v>
      </c>
    </row>
    <row r="588" spans="1:18" ht="20.100000000000001" customHeight="1" x14ac:dyDescent="0.2">
      <c r="D588" s="253" t="s">
        <v>1147</v>
      </c>
      <c r="E588" s="86">
        <f>(J584 + J585 + J586)</f>
        <v>9.4972428571428579E-3</v>
      </c>
      <c r="F588" s="95" t="str">
        <f>$E$580</f>
        <v>t N2O</v>
      </c>
      <c r="L588" s="253" t="s">
        <v>1147</v>
      </c>
      <c r="M588" s="86">
        <f>(R584 + R585 + R586)</f>
        <v>2.8631428571428572E-2</v>
      </c>
      <c r="N588" s="95" t="str">
        <f>$E$580</f>
        <v>t N2O</v>
      </c>
    </row>
    <row r="590" spans="1:18" ht="20.100000000000001" customHeight="1" x14ac:dyDescent="0.2">
      <c r="D590" s="126" t="str" cm="1">
        <f t="array" ref="D590:E591">Common_Equations.Common_ConvertN2OToCO2e_Arguments()</f>
        <v>EN2O</v>
      </c>
      <c r="E590" s="129" t="str">
        <v>Nitrous oxide emissions (t N2O)</v>
      </c>
      <c r="F590" s="130"/>
      <c r="G590" s="15">
        <f>E588</f>
        <v>9.4972428571428579E-3</v>
      </c>
      <c r="L590" s="126" t="str" cm="1">
        <f t="array" ref="L590:M591">Common_Equations.Common_ConvertN2OToCO2e_Arguments()</f>
        <v>EN2O</v>
      </c>
      <c r="M590" s="129" t="str">
        <v>Nitrous oxide emissions (t N2O)</v>
      </c>
      <c r="N590" s="130"/>
      <c r="O590" s="15">
        <f>M588</f>
        <v>2.8631428571428572E-2</v>
      </c>
    </row>
    <row r="591" spans="1:18" ht="20.100000000000001" customHeight="1" x14ac:dyDescent="0.2">
      <c r="D591" s="126" t="str">
        <v>GWPN2O</v>
      </c>
      <c r="E591" s="129" t="str">
        <v>Global warming potential for nitrous oxide (t CO2-e / t N2O)</v>
      </c>
      <c r="F591" s="130"/>
      <c r="G591" s="15">
        <f>Common_InputFunctions.Utility_LookupValueInTableNumber("N2O",Table_GWPData[Gas],Table_GWPData[CO2-e factor])</f>
        <v>265</v>
      </c>
      <c r="L591" s="126" t="str">
        <v>GWPN2O</v>
      </c>
      <c r="M591" s="129" t="str">
        <v>Global warming potential for nitrous oxide (t CO2-e / t N2O)</v>
      </c>
      <c r="N591" s="130"/>
      <c r="O591" s="15">
        <f>Common_InputFunctions.Utility_LookupValueInTableNumber("N2O",Table_GWPData[Gas],Table_GWPData[CO2-e factor])</f>
        <v>265</v>
      </c>
    </row>
    <row r="593" spans="1:41" ht="20.100000000000001" customHeight="1" x14ac:dyDescent="0.2">
      <c r="D593" s="83" t="s">
        <v>376</v>
      </c>
      <c r="E593" s="83" cm="1">
        <f t="array" ref="E593">Common_Equations.Common_ConvertN2OToCO2e(G590,G591)</f>
        <v>2.5167693571428575</v>
      </c>
      <c r="F593" s="89" t="str" cm="1">
        <f t="array" ref="F593">Common_Equations.Common_ConvertN2OToCO2e_Unit()</f>
        <v>t CO2e</v>
      </c>
      <c r="L593" s="83" t="s">
        <v>376</v>
      </c>
      <c r="M593" s="83" cm="1">
        <f t="array" ref="M593">Common_Equations.Common_ConvertN2OToCO2e(O590,O591)</f>
        <v>7.5873285714285714</v>
      </c>
      <c r="N593" s="89" t="str" cm="1">
        <f t="array" ref="N593">Common_Equations.Common_ConvertN2OToCO2e_Unit()</f>
        <v>t CO2e</v>
      </c>
    </row>
    <row r="596" spans="1:41" ht="20.100000000000001" customHeight="1" x14ac:dyDescent="0.2">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c r="AA596" s="83"/>
      <c r="AB596" s="83"/>
      <c r="AC596" s="83"/>
      <c r="AD596" s="83"/>
      <c r="AE596" s="83"/>
      <c r="AF596" s="83"/>
      <c r="AG596" s="83"/>
      <c r="AH596" s="83"/>
      <c r="AI596" s="83"/>
      <c r="AJ596" s="83"/>
      <c r="AK596" s="83"/>
      <c r="AL596" s="83"/>
      <c r="AM596" s="83"/>
      <c r="AN596" s="83"/>
      <c r="AO596" s="83"/>
    </row>
    <row r="597" spans="1:41" ht="20.100000000000001" customHeight="1" x14ac:dyDescent="0.2">
      <c r="D597" s="2" t="s">
        <v>1619</v>
      </c>
    </row>
    <row r="598" spans="1:41" ht="20.100000000000001" customHeight="1" x14ac:dyDescent="0.2">
      <c r="D598" s="17" t="s">
        <v>1620</v>
      </c>
    </row>
    <row r="600" spans="1:41" ht="20.100000000000001" customHeight="1" x14ac:dyDescent="0.2">
      <c r="D600" s="75" t="s">
        <v>328</v>
      </c>
      <c r="E600" s="1" t="s">
        <v>1146</v>
      </c>
    </row>
    <row r="601" spans="1:41" ht="20.100000000000001" customHeight="1" x14ac:dyDescent="0.2">
      <c r="D601" s="75" t="s">
        <v>118</v>
      </c>
      <c r="E601" s="9" t="s">
        <v>7</v>
      </c>
    </row>
    <row r="603" spans="1:41" ht="20.100000000000001" customHeight="1" x14ac:dyDescent="0.2">
      <c r="D603" s="253" t="s">
        <v>1147</v>
      </c>
      <c r="E603" s="86">
        <f>VEERG_10_1_1_1__1_EmissionsFromWasteManagement_Scope3_Result_Method1</f>
        <v>441.15000000000003</v>
      </c>
      <c r="F603" s="95" t="str">
        <f>E601</f>
        <v>t CO2e</v>
      </c>
    </row>
    <row r="606" spans="1:41" ht="20.100000000000001" customHeight="1" x14ac:dyDescent="0.2">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c r="AA606" s="83"/>
      <c r="AB606" s="83"/>
      <c r="AC606" s="83"/>
      <c r="AD606" s="83"/>
      <c r="AE606" s="83"/>
      <c r="AF606" s="83"/>
      <c r="AG606" s="83"/>
      <c r="AH606" s="83"/>
      <c r="AI606" s="83"/>
      <c r="AJ606" s="83"/>
      <c r="AK606" s="83"/>
      <c r="AL606" s="83"/>
      <c r="AM606" s="83"/>
      <c r="AN606" s="83"/>
      <c r="AO606" s="83"/>
    </row>
    <row r="607" spans="1:41" ht="20.100000000000001" customHeight="1" x14ac:dyDescent="0.2">
      <c r="D607" s="2" t="s">
        <v>1621</v>
      </c>
    </row>
    <row r="608" spans="1:41" ht="20.100000000000001" customHeight="1" x14ac:dyDescent="0.2">
      <c r="A608" s="79" t="str">
        <f>HYPERLINK("#A1", "▲ Back to top")</f>
        <v>▲ Back to top</v>
      </c>
      <c r="D608" s="17" t="s">
        <v>1622</v>
      </c>
    </row>
    <row r="609" spans="4:13" ht="20.100000000000001" customHeight="1" x14ac:dyDescent="0.2">
      <c r="D609" s="112"/>
      <c r="E609" s="112"/>
    </row>
    <row r="613" spans="4:13" ht="20.100000000000001" customHeight="1" x14ac:dyDescent="0.2">
      <c r="D613" s="75" t="s">
        <v>328</v>
      </c>
      <c r="E613" s="1" t="s">
        <v>1146</v>
      </c>
    </row>
    <row r="614" spans="4:13" ht="20.100000000000001" customHeight="1" x14ac:dyDescent="0.2">
      <c r="D614" s="75" t="s">
        <v>118</v>
      </c>
      <c r="E614" s="9" t="s">
        <v>7</v>
      </c>
    </row>
    <row r="616" spans="4:13" ht="20.100000000000001" customHeight="1" x14ac:dyDescent="0.2">
      <c r="D616" s="113" t="s">
        <v>1623</v>
      </c>
      <c r="E616" s="122" t="s">
        <v>1624</v>
      </c>
      <c r="F616" s="123"/>
      <c r="G616" s="113" t="s">
        <v>1438</v>
      </c>
      <c r="H616" s="249" t="s">
        <v>1202</v>
      </c>
    </row>
    <row r="617" spans="4:13" ht="20.100000000000001" customHeight="1" x14ac:dyDescent="0.2">
      <c r="D617" s="113" t="s">
        <v>1625</v>
      </c>
      <c r="E617" s="122" t="s">
        <v>1626</v>
      </c>
      <c r="F617" s="123"/>
      <c r="G617" s="113" t="s">
        <v>1629</v>
      </c>
      <c r="H617" s="249" t="s">
        <v>1202</v>
      </c>
    </row>
    <row r="618" spans="4:13" ht="20.100000000000001" customHeight="1" x14ac:dyDescent="0.2">
      <c r="D618" s="113" t="s">
        <v>1519</v>
      </c>
      <c r="E618" s="122" t="s">
        <v>1627</v>
      </c>
      <c r="F618" s="123"/>
      <c r="G618" s="113" t="s">
        <v>1630</v>
      </c>
      <c r="H618" s="115" t="s">
        <v>1203</v>
      </c>
    </row>
    <row r="619" spans="4:13" ht="20.100000000000001" customHeight="1" x14ac:dyDescent="0.2">
      <c r="D619" s="113" t="s">
        <v>1526</v>
      </c>
      <c r="E619" s="122" t="s">
        <v>1628</v>
      </c>
      <c r="F619" s="123"/>
      <c r="G619" s="113"/>
      <c r="H619" s="249" t="s">
        <v>1202</v>
      </c>
    </row>
    <row r="621" spans="4:13" ht="20.100000000000001" customHeight="1" x14ac:dyDescent="0.2">
      <c r="D621" s="244" t="s">
        <v>1011</v>
      </c>
    </row>
    <row r="623" spans="4:13" ht="20.100000000000001" customHeight="1" x14ac:dyDescent="0.2">
      <c r="D623" s="78" t="s">
        <v>1148</v>
      </c>
      <c r="E623" s="78" t="s">
        <v>1149</v>
      </c>
      <c r="F623" s="78" t="s">
        <v>1150</v>
      </c>
      <c r="G623" s="120" t="s">
        <v>1151</v>
      </c>
      <c r="H623" s="120" t="s">
        <v>1040</v>
      </c>
      <c r="I623" s="78" t="s">
        <v>1089</v>
      </c>
      <c r="J623" s="120" t="s">
        <v>1043</v>
      </c>
      <c r="K623" s="78" t="s">
        <v>1044</v>
      </c>
      <c r="L623" s="78" t="s">
        <v>1045</v>
      </c>
      <c r="M623" s="78" t="s">
        <v>1046</v>
      </c>
    </row>
    <row r="624" spans="4:13" ht="20.100000000000001" customHeight="1" x14ac:dyDescent="0.2">
      <c r="D624" s="15" t="str" cm="1">
        <f t="array" ref="D624:D633">IFERROR(INDEX(Table_Input_FreightIncoming[Route name], _xlfn.SEQUENCE(10)), "")</f>
        <v>Melbourne depot to farm depot weekly</v>
      </c>
      <c r="E624" s="15" cm="1">
        <f t="array" ref="E624:E633">IFERROR(INDEX(Table_Input_FreightIncoming[Average weight of freight per trip (t)], _xlfn.SEQUENCE(10)), "")</f>
        <v>10</v>
      </c>
      <c r="F624" s="15" cm="1">
        <f t="array" ref="F624:F633">IFERROR(INDEX(Table_Input_FreightIncoming[Route distance (km)], _xlfn.SEQUENCE(10))*INDEX(Table_Input_FreightIncoming[Number of trips taken], _xlfn.SEQUENCE(10)), "")</f>
        <v>51272</v>
      </c>
      <c r="G624" s="15" t="s">
        <v>351</v>
      </c>
      <c r="H624" s="15" t="s">
        <v>351</v>
      </c>
      <c r="I624" s="74">
        <v>10</v>
      </c>
      <c r="J624" s="15">
        <f>((E624 * F624) * I624)</f>
        <v>5127200</v>
      </c>
      <c r="K624" s="33"/>
      <c r="L624" s="13"/>
      <c r="M624" s="33"/>
    </row>
    <row r="625" spans="1:13" ht="20.100000000000001" customHeight="1" x14ac:dyDescent="0.2">
      <c r="D625" s="15" t="str">
        <v>Fertiliser supplier to farm</v>
      </c>
      <c r="E625" s="15">
        <v>10</v>
      </c>
      <c r="F625" s="15">
        <v>390</v>
      </c>
      <c r="G625" s="15" t="s">
        <v>351</v>
      </c>
      <c r="H625" s="15" t="s">
        <v>351</v>
      </c>
      <c r="I625" s="74">
        <v>5</v>
      </c>
      <c r="J625" s="15">
        <f>((E625 * F625) * I625)</f>
        <v>19500</v>
      </c>
      <c r="K625" s="33"/>
      <c r="L625" s="13"/>
      <c r="M625" s="33"/>
    </row>
    <row r="626" spans="1:13" ht="20.100000000000001" customHeight="1" x14ac:dyDescent="0.2">
      <c r="D626" s="15">
        <v>0</v>
      </c>
      <c r="E626" s="15">
        <v>0</v>
      </c>
      <c r="F626" s="15">
        <v>0</v>
      </c>
      <c r="G626" s="15" t="s">
        <v>351</v>
      </c>
      <c r="H626" s="15" t="s">
        <v>351</v>
      </c>
      <c r="I626" s="74"/>
      <c r="J626" s="15">
        <f>((E626 * F626) * I626)</f>
        <v>0</v>
      </c>
      <c r="K626" s="33"/>
      <c r="L626" s="13"/>
      <c r="M626" s="33"/>
    </row>
    <row r="627" spans="1:13" ht="20.100000000000001" customHeight="1" x14ac:dyDescent="0.2">
      <c r="D627" s="15">
        <v>0</v>
      </c>
      <c r="E627" s="15">
        <v>0</v>
      </c>
      <c r="F627" s="15">
        <v>0</v>
      </c>
      <c r="G627" s="15" t="s">
        <v>351</v>
      </c>
      <c r="H627" s="15" t="s">
        <v>351</v>
      </c>
      <c r="I627" s="74"/>
      <c r="J627" s="15">
        <f>((E627 * F627) * I627)</f>
        <v>0</v>
      </c>
      <c r="K627" s="33"/>
      <c r="L627" s="13"/>
      <c r="M627" s="33"/>
    </row>
    <row r="628" spans="1:13" ht="20.100000000000001" customHeight="1" x14ac:dyDescent="0.2">
      <c r="D628" s="15">
        <v>0</v>
      </c>
      <c r="E628" s="15">
        <v>0</v>
      </c>
      <c r="F628" s="15">
        <v>0</v>
      </c>
      <c r="G628" s="15" t="s">
        <v>351</v>
      </c>
      <c r="H628" s="15" t="s">
        <v>351</v>
      </c>
      <c r="I628" s="74"/>
      <c r="J628" s="15">
        <f>((E628 * F628) * I628)</f>
        <v>0</v>
      </c>
      <c r="K628" s="33"/>
      <c r="L628" s="13"/>
      <c r="M628" s="33"/>
    </row>
    <row r="629" spans="1:13" ht="20.100000000000001" customHeight="1" x14ac:dyDescent="0.2">
      <c r="D629" s="15">
        <v>0</v>
      </c>
      <c r="E629" s="15">
        <v>0</v>
      </c>
      <c r="F629" s="15">
        <v>0</v>
      </c>
      <c r="G629" s="15" t="s">
        <v>351</v>
      </c>
      <c r="H629" s="15" t="s">
        <v>351</v>
      </c>
      <c r="I629" s="74"/>
      <c r="J629" s="15">
        <f>((E629 * F629) * I629)</f>
        <v>0</v>
      </c>
      <c r="K629" s="33"/>
      <c r="L629" s="13"/>
      <c r="M629" s="33"/>
    </row>
    <row r="630" spans="1:13" ht="20.100000000000001" customHeight="1" x14ac:dyDescent="0.2">
      <c r="D630" s="15">
        <v>0</v>
      </c>
      <c r="E630" s="15">
        <v>0</v>
      </c>
      <c r="F630" s="15">
        <v>0</v>
      </c>
      <c r="G630" s="15" t="s">
        <v>351</v>
      </c>
      <c r="H630" s="15" t="s">
        <v>351</v>
      </c>
      <c r="I630" s="74"/>
      <c r="J630" s="15">
        <f>((E630 * F630) * I630)</f>
        <v>0</v>
      </c>
      <c r="K630" s="33"/>
      <c r="L630" s="13"/>
      <c r="M630" s="33"/>
    </row>
    <row r="631" spans="1:13" ht="20.100000000000001" customHeight="1" x14ac:dyDescent="0.2">
      <c r="D631" s="15">
        <v>0</v>
      </c>
      <c r="E631" s="15">
        <v>0</v>
      </c>
      <c r="F631" s="15">
        <v>0</v>
      </c>
      <c r="G631" s="15" t="s">
        <v>351</v>
      </c>
      <c r="H631" s="15" t="s">
        <v>351</v>
      </c>
      <c r="I631" s="74"/>
      <c r="J631" s="15">
        <f>((E631 * F631) * I631)</f>
        <v>0</v>
      </c>
      <c r="K631" s="33"/>
      <c r="L631" s="13"/>
      <c r="M631" s="33"/>
    </row>
    <row r="632" spans="1:13" ht="20.100000000000001" customHeight="1" x14ac:dyDescent="0.2">
      <c r="D632" s="15">
        <v>0</v>
      </c>
      <c r="E632" s="15">
        <v>0</v>
      </c>
      <c r="F632" s="15">
        <v>0</v>
      </c>
      <c r="G632" s="15" t="s">
        <v>351</v>
      </c>
      <c r="H632" s="15" t="s">
        <v>351</v>
      </c>
      <c r="I632" s="74"/>
      <c r="J632" s="15">
        <f>((E632 * F632) * I632)</f>
        <v>0</v>
      </c>
      <c r="K632" s="33"/>
      <c r="L632" s="13"/>
      <c r="M632" s="33"/>
    </row>
    <row r="633" spans="1:13" ht="20.100000000000001" customHeight="1" x14ac:dyDescent="0.2">
      <c r="D633" s="15">
        <v>0</v>
      </c>
      <c r="E633" s="15">
        <v>0</v>
      </c>
      <c r="F633" s="15">
        <v>0</v>
      </c>
      <c r="G633" s="15" t="s">
        <v>351</v>
      </c>
      <c r="H633" s="15" t="s">
        <v>351</v>
      </c>
      <c r="I633" s="74"/>
      <c r="J633" s="15">
        <f>((E633 * F633) * I633)</f>
        <v>0</v>
      </c>
      <c r="K633" s="33"/>
      <c r="L633" s="13"/>
      <c r="M633" s="33"/>
    </row>
    <row r="635" spans="1:13" ht="20.100000000000001" customHeight="1" x14ac:dyDescent="0.2">
      <c r="D635" s="88" t="s">
        <v>1152</v>
      </c>
      <c r="E635" s="83" t="s">
        <v>351</v>
      </c>
      <c r="F635" s="89" t="str">
        <f>$E$105</f>
        <v>t CO2e</v>
      </c>
    </row>
    <row r="636" spans="1:13" ht="20.100000000000001" customHeight="1" x14ac:dyDescent="0.2">
      <c r="D636" s="88" t="s">
        <v>1153</v>
      </c>
      <c r="E636" s="83">
        <f>SUM(J624:J633)</f>
        <v>5146700</v>
      </c>
      <c r="F636" s="89" t="str">
        <f>$E$105</f>
        <v>t CO2e</v>
      </c>
    </row>
    <row r="638" spans="1:13" ht="20.100000000000001" customHeight="1" x14ac:dyDescent="0.2">
      <c r="A638" s="79" t="str">
        <f>HYPERLINK("#A1", "▲ Back to top")</f>
        <v>▲ Back to top</v>
      </c>
    </row>
    <row r="639" spans="1:13" ht="20.100000000000001" customHeight="1" x14ac:dyDescent="0.2">
      <c r="D639" s="244" t="s">
        <v>1021</v>
      </c>
    </row>
    <row r="641" spans="4:13" ht="20.100000000000001" customHeight="1" x14ac:dyDescent="0.2">
      <c r="D641" s="78" t="s">
        <v>1148</v>
      </c>
      <c r="E641" s="78" t="s">
        <v>1149</v>
      </c>
      <c r="F641" s="78" t="s">
        <v>1150</v>
      </c>
      <c r="G641" s="120" t="s">
        <v>1151</v>
      </c>
      <c r="H641" s="120" t="s">
        <v>1040</v>
      </c>
      <c r="I641" s="78" t="s">
        <v>1089</v>
      </c>
      <c r="J641" s="120" t="s">
        <v>1043</v>
      </c>
      <c r="K641" s="78" t="s">
        <v>1044</v>
      </c>
      <c r="L641" s="78" t="s">
        <v>1045</v>
      </c>
      <c r="M641" s="78" t="s">
        <v>1046</v>
      </c>
    </row>
    <row r="642" spans="4:13" ht="20.100000000000001" customHeight="1" x14ac:dyDescent="0.2">
      <c r="D642" s="15" t="str" cm="1">
        <f t="array" ref="D642:D651">IFERROR(INDEX(Table_Input_FreightOutgoing[Route name], _xlfn.SEQUENCE(10)), "")</f>
        <v>Farm to bulk handler</v>
      </c>
      <c r="E642" s="15" cm="1">
        <f t="array" ref="E642:E651">IFERROR(INDEX(Table_Input_FreightOutgoing[Average weight of freight per trip (t)], _xlfn.SEQUENCE(10)), "")</f>
        <v>20</v>
      </c>
      <c r="F642" s="15" cm="1">
        <f t="array" ref="F642:F651">IFERROR(INDEX(Table_Input_FreightOutgoing[Route distance (km)], _xlfn.SEQUENCE(10))*INDEX(Table_Input_FreightOutgoing[Number of trips taken], _xlfn.SEQUENCE(10)), "")</f>
        <v>3380</v>
      </c>
      <c r="G642" s="15" t="s">
        <v>351</v>
      </c>
      <c r="H642" s="15" t="s">
        <v>351</v>
      </c>
      <c r="I642" s="74">
        <v>6.4</v>
      </c>
      <c r="J642" s="15">
        <f>((E642 * F642) * I642)</f>
        <v>432640</v>
      </c>
      <c r="K642" s="33"/>
      <c r="L642" s="13"/>
      <c r="M642" s="33"/>
    </row>
    <row r="643" spans="4:13" ht="20.100000000000001" customHeight="1" x14ac:dyDescent="0.2">
      <c r="D643" s="15">
        <v>0</v>
      </c>
      <c r="E643" s="15">
        <v>0</v>
      </c>
      <c r="F643" s="15">
        <v>0</v>
      </c>
      <c r="G643" s="15" t="s">
        <v>351</v>
      </c>
      <c r="H643" s="15" t="s">
        <v>351</v>
      </c>
      <c r="I643" s="74"/>
      <c r="J643" s="15">
        <f>((E643 * F643) * I643)</f>
        <v>0</v>
      </c>
      <c r="K643" s="33"/>
      <c r="L643" s="13"/>
      <c r="M643" s="33"/>
    </row>
    <row r="644" spans="4:13" ht="20.100000000000001" customHeight="1" x14ac:dyDescent="0.2">
      <c r="D644" s="15">
        <v>0</v>
      </c>
      <c r="E644" s="15">
        <v>0</v>
      </c>
      <c r="F644" s="15">
        <v>0</v>
      </c>
      <c r="G644" s="15" t="s">
        <v>351</v>
      </c>
      <c r="H644" s="15" t="s">
        <v>351</v>
      </c>
      <c r="I644" s="74"/>
      <c r="J644" s="15">
        <f>((E644 * F644) * I644)</f>
        <v>0</v>
      </c>
      <c r="K644" s="33"/>
      <c r="L644" s="13"/>
      <c r="M644" s="33"/>
    </row>
    <row r="645" spans="4:13" ht="20.100000000000001" customHeight="1" x14ac:dyDescent="0.2">
      <c r="D645" s="15">
        <v>0</v>
      </c>
      <c r="E645" s="15">
        <v>0</v>
      </c>
      <c r="F645" s="15">
        <v>0</v>
      </c>
      <c r="G645" s="15" t="s">
        <v>351</v>
      </c>
      <c r="H645" s="15" t="s">
        <v>351</v>
      </c>
      <c r="I645" s="74"/>
      <c r="J645" s="15">
        <f>((E645 * F645) * I645)</f>
        <v>0</v>
      </c>
      <c r="K645" s="33"/>
      <c r="L645" s="13"/>
      <c r="M645" s="33"/>
    </row>
    <row r="646" spans="4:13" ht="20.100000000000001" customHeight="1" x14ac:dyDescent="0.2">
      <c r="D646" s="15">
        <v>0</v>
      </c>
      <c r="E646" s="15">
        <v>0</v>
      </c>
      <c r="F646" s="15">
        <v>0</v>
      </c>
      <c r="G646" s="15" t="s">
        <v>351</v>
      </c>
      <c r="H646" s="15" t="s">
        <v>351</v>
      </c>
      <c r="I646" s="74"/>
      <c r="J646" s="15">
        <f>((E646 * F646) * I646)</f>
        <v>0</v>
      </c>
      <c r="K646" s="33"/>
      <c r="L646" s="13"/>
      <c r="M646" s="33"/>
    </row>
    <row r="647" spans="4:13" ht="20.100000000000001" customHeight="1" x14ac:dyDescent="0.2">
      <c r="D647" s="15">
        <v>0</v>
      </c>
      <c r="E647" s="15">
        <v>0</v>
      </c>
      <c r="F647" s="15">
        <v>0</v>
      </c>
      <c r="G647" s="15" t="s">
        <v>351</v>
      </c>
      <c r="H647" s="15" t="s">
        <v>351</v>
      </c>
      <c r="I647" s="74"/>
      <c r="J647" s="15">
        <f>((E647 * F647) * I647)</f>
        <v>0</v>
      </c>
      <c r="K647" s="33"/>
      <c r="L647" s="13"/>
      <c r="M647" s="33"/>
    </row>
    <row r="648" spans="4:13" ht="20.100000000000001" customHeight="1" x14ac:dyDescent="0.2">
      <c r="D648" s="15">
        <v>0</v>
      </c>
      <c r="E648" s="15">
        <v>0</v>
      </c>
      <c r="F648" s="15">
        <v>0</v>
      </c>
      <c r="G648" s="15" t="s">
        <v>351</v>
      </c>
      <c r="H648" s="15" t="s">
        <v>351</v>
      </c>
      <c r="I648" s="74"/>
      <c r="J648" s="15">
        <f>((E648 * F648) * I648)</f>
        <v>0</v>
      </c>
      <c r="K648" s="33"/>
      <c r="L648" s="13"/>
      <c r="M648" s="33"/>
    </row>
    <row r="649" spans="4:13" ht="20.100000000000001" customHeight="1" x14ac:dyDescent="0.2">
      <c r="D649" s="15">
        <v>0</v>
      </c>
      <c r="E649" s="15">
        <v>0</v>
      </c>
      <c r="F649" s="15">
        <v>0</v>
      </c>
      <c r="G649" s="15" t="s">
        <v>351</v>
      </c>
      <c r="H649" s="15" t="s">
        <v>351</v>
      </c>
      <c r="I649" s="74"/>
      <c r="J649" s="15">
        <f>((E649 * F649) * I649)</f>
        <v>0</v>
      </c>
      <c r="K649" s="33"/>
      <c r="L649" s="13"/>
      <c r="M649" s="33"/>
    </row>
    <row r="650" spans="4:13" ht="20.100000000000001" customHeight="1" x14ac:dyDescent="0.2">
      <c r="D650" s="15">
        <v>0</v>
      </c>
      <c r="E650" s="15">
        <v>0</v>
      </c>
      <c r="F650" s="15">
        <v>0</v>
      </c>
      <c r="G650" s="15" t="s">
        <v>351</v>
      </c>
      <c r="H650" s="15" t="s">
        <v>351</v>
      </c>
      <c r="I650" s="74"/>
      <c r="J650" s="15">
        <f>((E650 * F650) * I650)</f>
        <v>0</v>
      </c>
      <c r="K650" s="33"/>
      <c r="L650" s="13"/>
      <c r="M650" s="33"/>
    </row>
    <row r="651" spans="4:13" ht="20.100000000000001" customHeight="1" x14ac:dyDescent="0.2">
      <c r="D651" s="15">
        <v>0</v>
      </c>
      <c r="E651" s="15">
        <v>0</v>
      </c>
      <c r="F651" s="15">
        <v>0</v>
      </c>
      <c r="G651" s="15" t="s">
        <v>351</v>
      </c>
      <c r="H651" s="15" t="s">
        <v>351</v>
      </c>
      <c r="I651" s="74"/>
      <c r="J651" s="15">
        <f>((E651 * F651) * I651)</f>
        <v>0</v>
      </c>
      <c r="K651" s="33"/>
      <c r="L651" s="13"/>
      <c r="M651" s="33"/>
    </row>
    <row r="653" spans="4:13" ht="20.100000000000001" customHeight="1" x14ac:dyDescent="0.2">
      <c r="D653" s="88" t="s">
        <v>1154</v>
      </c>
      <c r="E653" s="83" t="s">
        <v>351</v>
      </c>
      <c r="F653" s="89" t="str">
        <f>$E$105</f>
        <v>t CO2e</v>
      </c>
    </row>
    <row r="654" spans="4:13" ht="20.100000000000001" customHeight="1" x14ac:dyDescent="0.2">
      <c r="D654" s="88" t="s">
        <v>1155</v>
      </c>
      <c r="E654" s="83">
        <f>SUM(J642:J651)</f>
        <v>432640</v>
      </c>
      <c r="F654" s="89" t="str">
        <f>$E$105</f>
        <v>t CO2e</v>
      </c>
    </row>
    <row r="656" spans="4:13" ht="20.100000000000001" customHeight="1" x14ac:dyDescent="0.2">
      <c r="D656" s="85" t="s">
        <v>1040</v>
      </c>
      <c r="E656" s="86" t="s">
        <v>351</v>
      </c>
      <c r="F656" s="95" t="str">
        <f>$E$105</f>
        <v>t CO2e</v>
      </c>
    </row>
    <row r="657" spans="4:6" ht="20.100000000000001" customHeight="1" x14ac:dyDescent="0.2">
      <c r="D657" s="85" t="s">
        <v>1043</v>
      </c>
      <c r="E657" s="86">
        <f>VEERG_15_14_1_1__1_EmbeddedEmissionsFromUpstreamFreight_Incoming_Result_Method2+VEERG_15_14_1_1__1_EmbeddedEmissionsFromUpstreamFreight_Outgoing_Result_Method2</f>
        <v>5579340</v>
      </c>
      <c r="F657" s="95" t="str">
        <f>$E$105</f>
        <v>t CO2e</v>
      </c>
    </row>
  </sheetData>
  <dataValidations count="2">
    <dataValidation type="list" allowBlank="1" showInputMessage="1" showErrorMessage="1" sqref="J505:J514" xr:uid="{F4D2F56A-8DDA-4C2B-9178-4297BB0A0C99}">
      <formula1>"kg / amount unit, t / amount unit"</formula1>
    </dataValidation>
    <dataValidation type="list" allowBlank="1" showInputMessage="1" showErrorMessage="1" sqref="L42:L51 L61:L70 L79:L88 L445:L454 L463:L472 K120:K129 L382:L391 K137:K140 K177:K179 O23:O32 M236:M246 L320:L329 K288:K297 N351:N360 M505:M514 M252:M266 M414:M423 K481:K485 K494:K498 L624:L633 L642:L651" xr:uid="{4304B18B-37FD-42B3-85A0-A751CC739A90}">
      <formula1>INDIRECT("Table_SourceData_DataScores_Scope3[Data source]")</formula1>
    </dataValidation>
  </dataValidation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F6BB8-6DAA-477D-8E53-564D2C444A9C}">
  <sheetPr>
    <tabColor theme="9" tint="-0.249977111117893"/>
  </sheetPr>
  <dimension ref="A1:U90"/>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5703125" customWidth="1"/>
    <col min="3" max="3" width="4.5703125" style="1" customWidth="1"/>
    <col min="4" max="10" width="30.5703125" style="1" customWidth="1"/>
    <col min="11" max="11" width="4.5703125" style="1" customWidth="1"/>
    <col min="12" max="12" width="4.5703125" customWidth="1"/>
    <col min="13" max="13" width="4.5703125" style="1" customWidth="1"/>
    <col min="14" max="20" width="30.5703125" style="1" customWidth="1"/>
    <col min="21" max="21" width="4.5703125" style="1" customWidth="1"/>
  </cols>
  <sheetData>
    <row r="1" spans="1:21" ht="30" customHeight="1" x14ac:dyDescent="0.35">
      <c r="A1" s="10" t="e" vm="1">
        <v>#VALUE!</v>
      </c>
      <c r="C1" s="20" t="s">
        <v>1156</v>
      </c>
      <c r="D1" s="20"/>
      <c r="E1" s="20"/>
      <c r="F1" s="20"/>
      <c r="G1" s="20"/>
      <c r="H1" s="20"/>
      <c r="I1" s="20"/>
      <c r="J1" s="20"/>
      <c r="K1" s="20"/>
      <c r="M1" s="20"/>
      <c r="N1" s="20"/>
      <c r="O1" s="20"/>
      <c r="P1" s="20"/>
      <c r="Q1" s="20"/>
      <c r="R1" s="20"/>
      <c r="S1" s="20"/>
      <c r="T1" s="20"/>
      <c r="U1" s="20"/>
    </row>
    <row r="2" spans="1:21" ht="20.100000000000001" customHeight="1" x14ac:dyDescent="0.2">
      <c r="C2" s="3"/>
      <c r="D2" s="3"/>
      <c r="E2" s="3"/>
      <c r="F2" s="3"/>
      <c r="G2" s="3"/>
      <c r="H2" s="3"/>
      <c r="I2" s="3"/>
      <c r="J2" s="3"/>
      <c r="K2" s="3"/>
      <c r="M2" s="3"/>
      <c r="N2" s="3"/>
      <c r="O2" s="3"/>
      <c r="P2" s="3"/>
      <c r="Q2" s="3"/>
      <c r="R2" s="3"/>
      <c r="S2" s="3"/>
      <c r="T2" s="3"/>
      <c r="U2" s="3"/>
    </row>
    <row r="3" spans="1:21" ht="20.100000000000001" customHeight="1" x14ac:dyDescent="0.2">
      <c r="A3" s="5" t="str">
        <f>HYPERLINK("#'Home'!A1", "Home")</f>
        <v>Home</v>
      </c>
      <c r="C3" s="22"/>
      <c r="D3" s="22" t="s">
        <v>130</v>
      </c>
      <c r="E3" s="22"/>
      <c r="F3" s="22"/>
      <c r="G3" s="22"/>
      <c r="H3" s="22"/>
      <c r="I3" s="22"/>
      <c r="J3" s="22"/>
      <c r="K3" s="22"/>
      <c r="M3" s="22"/>
      <c r="N3" s="22" t="s">
        <v>131</v>
      </c>
      <c r="O3" s="22"/>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1631</v>
      </c>
      <c r="N5" s="2" t="s">
        <v>1631</v>
      </c>
    </row>
    <row r="6" spans="1:21" ht="20.100000000000001" customHeight="1" x14ac:dyDescent="0.2">
      <c r="D6" s="17" t="s">
        <v>1632</v>
      </c>
      <c r="N6" s="17" t="s">
        <v>1632</v>
      </c>
    </row>
    <row r="7" spans="1:21" ht="20.100000000000001" customHeight="1" x14ac:dyDescent="0.2">
      <c r="D7" s="112"/>
      <c r="E7" s="112"/>
      <c r="N7" s="112"/>
      <c r="O7" s="112"/>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328</v>
      </c>
      <c r="E10" s="1" t="s">
        <v>1612</v>
      </c>
      <c r="N10" s="75" t="s">
        <v>328</v>
      </c>
      <c r="O10" s="1" t="s">
        <v>1612</v>
      </c>
    </row>
    <row r="11" spans="1:21" ht="20.100000000000001" customHeight="1" x14ac:dyDescent="0.2">
      <c r="A11" s="5" t="str">
        <f>HYPERLINK("#'Input - Poultry'!A1", "Poultry")</f>
        <v>Poultry</v>
      </c>
      <c r="D11" s="75" t="s">
        <v>118</v>
      </c>
      <c r="E11" s="9" t="s">
        <v>12</v>
      </c>
      <c r="N11" s="75" t="s">
        <v>118</v>
      </c>
      <c r="O11" s="9" t="s">
        <v>12</v>
      </c>
    </row>
    <row r="12" spans="1:21" ht="20.100000000000001" customHeight="1" x14ac:dyDescent="0.2">
      <c r="A12" s="5" t="str">
        <f>HYPERLINK("#'Input - Livestock sales'!A1", "Livestock sales")</f>
        <v>Livestock sales</v>
      </c>
    </row>
    <row r="13" spans="1:21" ht="20.100000000000001" customHeight="1" x14ac:dyDescent="0.2">
      <c r="A13" s="5" t="str">
        <f>HYPERLINK("#'Input - Poultry purchases'!A1", "Poultry purchases")</f>
        <v>Poultry purchases</v>
      </c>
      <c r="D13" s="113" t="s">
        <v>1633</v>
      </c>
      <c r="E13" s="122" t="s">
        <v>1634</v>
      </c>
      <c r="F13" s="136"/>
      <c r="G13" s="123"/>
      <c r="H13" s="113" t="s">
        <v>482</v>
      </c>
      <c r="I13" s="115" t="s">
        <v>1637</v>
      </c>
      <c r="J13" s="113">
        <f>X_Cell_ManureSentOffsite_MassNitrogenManure_Method1</f>
        <v>1000</v>
      </c>
      <c r="N13" s="113" t="s">
        <v>1633</v>
      </c>
      <c r="O13" s="122" t="s">
        <v>1634</v>
      </c>
      <c r="P13" s="136"/>
      <c r="Q13" s="123"/>
      <c r="R13" s="113" t="s">
        <v>482</v>
      </c>
      <c r="S13" s="115" t="s">
        <v>1637</v>
      </c>
      <c r="T13" s="113">
        <f>X_Cell_ManureSentOffsite_MassNitrogenManure_Method2</f>
        <v>2000</v>
      </c>
    </row>
    <row r="14" spans="1:21" ht="20.100000000000001" customHeight="1" x14ac:dyDescent="0.2">
      <c r="A14" s="5" t="str">
        <f>HYPERLINK("#'Input - Fuel'!A1", "Fuel")</f>
        <v>Fuel</v>
      </c>
      <c r="D14" s="113" t="s">
        <v>1635</v>
      </c>
      <c r="E14" s="122" t="s">
        <v>1636</v>
      </c>
      <c r="F14" s="136"/>
      <c r="G14" s="123"/>
      <c r="H14" s="113" t="s">
        <v>1288</v>
      </c>
      <c r="I14" s="115" t="s">
        <v>1638</v>
      </c>
      <c r="J14" s="113">
        <f>Common_InputFunctions.Utility_LookupValueInTableNumber(J17, Table_SourceData_Common_EFOrganicFertCropResidues[Climate Zone],Table_SourceData_Common_EFOrganicFertCropResidues[EFNi &amp; EFN2Oi])</f>
        <v>5.0000000000000001E-3</v>
      </c>
      <c r="N14" s="113" t="s">
        <v>1635</v>
      </c>
      <c r="O14" s="122" t="s">
        <v>1636</v>
      </c>
      <c r="P14" s="136"/>
      <c r="Q14" s="123"/>
      <c r="R14" s="113" t="s">
        <v>1288</v>
      </c>
      <c r="S14" s="115" t="s">
        <v>1638</v>
      </c>
      <c r="T14" s="113"/>
    </row>
    <row r="15" spans="1:21" ht="20.100000000000001" customHeight="1" x14ac:dyDescent="0.2">
      <c r="A15" s="5" t="str">
        <f>HYPERLINK("#'Input - Electricity'!A1", "Electricity")</f>
        <v>Electricity</v>
      </c>
      <c r="D15" s="113" t="s">
        <v>1302</v>
      </c>
      <c r="E15" s="122" t="s">
        <v>1303</v>
      </c>
      <c r="F15" s="136"/>
      <c r="G15" s="123"/>
      <c r="H15" s="113"/>
      <c r="I15" s="115" t="s">
        <v>1203</v>
      </c>
      <c r="J15" s="113">
        <f>Common_InputFunctions.Utility_LookupValueInTableNumber("N2O",Table_GasToMolecularConversionFactor[Gas],Table_GasToMolecularConversionFactor[Conversion factor combined])</f>
        <v>1.5714285714285714</v>
      </c>
      <c r="N15" s="113" t="s">
        <v>1302</v>
      </c>
      <c r="O15" s="122" t="s">
        <v>1303</v>
      </c>
      <c r="P15" s="136"/>
      <c r="Q15" s="123"/>
      <c r="R15" s="113"/>
      <c r="S15" s="115" t="s">
        <v>1203</v>
      </c>
      <c r="T15" s="113"/>
    </row>
    <row r="16" spans="1:21" ht="20.100000000000001" customHeight="1" x14ac:dyDescent="0.2">
      <c r="A16" s="5" t="str">
        <f>HYPERLINK("#'Input - Common farm inputs'!A1", "Common farm inputs")</f>
        <v>Common farm inputs</v>
      </c>
      <c r="D16" s="113" t="s">
        <v>1318</v>
      </c>
      <c r="E16" s="122" t="s">
        <v>311</v>
      </c>
      <c r="F16" s="136"/>
      <c r="G16" s="123"/>
      <c r="H16" s="113"/>
      <c r="I16" s="249" t="s">
        <v>1202</v>
      </c>
      <c r="J16" s="113" t="str">
        <f>X_Cell_ManureSentOffsite_ManureProductionSystem</f>
        <v>Crop</v>
      </c>
      <c r="N16" s="113" t="s">
        <v>1318</v>
      </c>
      <c r="O16" s="122" t="s">
        <v>311</v>
      </c>
      <c r="P16" s="136"/>
      <c r="Q16" s="123"/>
      <c r="R16" s="113"/>
      <c r="S16" s="249" t="s">
        <v>1202</v>
      </c>
      <c r="T16" s="113"/>
    </row>
    <row r="17" spans="1:20" ht="20.100000000000001" customHeight="1" x14ac:dyDescent="0.2">
      <c r="A17" s="5" t="str">
        <f>HYPERLINK("#'Input - Livestock farm Inputs'!A1", "Livestock farm Inputs")</f>
        <v>Livestock farm Inputs</v>
      </c>
      <c r="D17" s="113" t="s">
        <v>1217</v>
      </c>
      <c r="E17" s="122" t="s">
        <v>114</v>
      </c>
      <c r="F17" s="136"/>
      <c r="G17" s="123"/>
      <c r="H17" s="113"/>
      <c r="I17" s="249" t="s">
        <v>1202</v>
      </c>
      <c r="J17" s="113" t="str">
        <f>X_Cell_Site_WetOrDryClimateZone</f>
        <v>Dry climate zone</v>
      </c>
      <c r="N17" s="113" t="s">
        <v>1217</v>
      </c>
      <c r="O17" s="122" t="s">
        <v>114</v>
      </c>
      <c r="P17" s="136"/>
      <c r="Q17" s="123"/>
      <c r="R17" s="113"/>
      <c r="S17" s="249" t="s">
        <v>1202</v>
      </c>
      <c r="T17" s="113"/>
    </row>
    <row r="18" spans="1:20" ht="20.100000000000001" customHeight="1" x14ac:dyDescent="0.2">
      <c r="A18" s="5" t="str">
        <f>HYPERLINK("#'Input - Freight'!A1", "Freight")</f>
        <v>Freight</v>
      </c>
    </row>
    <row r="19" spans="1:20" ht="20.100000000000001" customHeight="1" x14ac:dyDescent="0.2">
      <c r="A19" s="5" t="str">
        <f>HYPERLINK("#'Input - Solid waste'!A1", "Solid waste")</f>
        <v>Solid waste</v>
      </c>
      <c r="D19" s="85" t="s">
        <v>780</v>
      </c>
      <c r="E19" s="86">
        <f>((J13 * J14 * J15) * 10 ^ -3)</f>
        <v>7.8571428571428577E-3</v>
      </c>
      <c r="F19" s="95" t="str">
        <f>$E$11</f>
        <v>t N2O</v>
      </c>
      <c r="N19" s="85" t="s">
        <v>780</v>
      </c>
      <c r="O19" s="86">
        <f>((T13 * J14 * J15) * 10 ^ -3)</f>
        <v>1.5714285714285715E-2</v>
      </c>
      <c r="P19" s="95" t="str">
        <f>$E$11</f>
        <v>t N2O</v>
      </c>
    </row>
    <row r="20" spans="1:20" ht="20.100000000000001" customHeight="1" x14ac:dyDescent="0.2">
      <c r="A20" s="5" t="str">
        <f>HYPERLINK("#'Input - Manure sent off-site'!A1", "Manure sent off-site")</f>
        <v>Manure sent off-site</v>
      </c>
    </row>
    <row r="21" spans="1:20" ht="20.100000000000001" customHeight="1" x14ac:dyDescent="0.2">
      <c r="A21" s="5" t="str">
        <f>HYPERLINK("#'Input - Data quality'!A1", "Data quality")</f>
        <v>Data quality</v>
      </c>
    </row>
    <row r="22" spans="1:20" ht="20.100000000000001" customHeight="1" x14ac:dyDescent="0.2">
      <c r="A22" s="5" t="str">
        <f>HYPERLINK("#'Input - Fert Prod System'!A1", "Fert Prod System")</f>
        <v>Fert Prod System</v>
      </c>
    </row>
    <row r="23" spans="1:20" ht="20.100000000000001" customHeight="1" x14ac:dyDescent="0.2">
      <c r="A23" s="5" t="str">
        <f>HYPERLINK("#'Input - Fertiliser'!A1", "Fertiliser")</f>
        <v>Fertiliser</v>
      </c>
    </row>
    <row r="24" spans="1:20" ht="20.100000000000001" customHeight="1" x14ac:dyDescent="0.2">
      <c r="D24" s="2" t="s">
        <v>1639</v>
      </c>
      <c r="N24" s="2" t="s">
        <v>1639</v>
      </c>
    </row>
    <row r="25" spans="1:20" ht="20.100000000000001" customHeight="1" x14ac:dyDescent="0.2">
      <c r="D25" s="17" t="s">
        <v>1640</v>
      </c>
      <c r="N25" s="17" t="s">
        <v>1640</v>
      </c>
    </row>
    <row r="26" spans="1:20" ht="20.100000000000001" customHeight="1" x14ac:dyDescent="0.2">
      <c r="A26" s="6" t="s">
        <v>2</v>
      </c>
      <c r="D26" s="112"/>
      <c r="E26" s="112"/>
      <c r="N26" s="112"/>
      <c r="O26" s="112"/>
    </row>
    <row r="27" spans="1:20" ht="20.100000000000001" customHeight="1" x14ac:dyDescent="0.2">
      <c r="A27" s="5" t="str">
        <f>HYPERLINK("#'4.6.1.1-2 Methane'!A1", "4.6.1.1-2 Manure Methane")</f>
        <v>4.6.1.1-2 Manure Methane</v>
      </c>
    </row>
    <row r="28" spans="1:20" ht="20.100000000000001" customHeight="1" x14ac:dyDescent="0.2">
      <c r="A28" s="5" t="str">
        <f>HYPERLINK("#'4.6.1.3-4 Direct N20'!A1", "4.6.1.3-4 Manure Direct N2O")</f>
        <v>4.6.1.3-4 Manure Direct N2O</v>
      </c>
    </row>
    <row r="29" spans="1:20" ht="20.100000000000001" customHeight="1" x14ac:dyDescent="0.2">
      <c r="A29" s="5" t="str">
        <f>HYPERLINK("#'4.6.1.5-6 Atmos Dep'!A1", "4.6.1.5-6 Manure Atmos Dep")</f>
        <v>4.6.1.5-6 Manure Atmos Dep</v>
      </c>
      <c r="D29" s="75" t="s">
        <v>328</v>
      </c>
      <c r="E29" s="1" t="s">
        <v>1641</v>
      </c>
      <c r="N29" s="75" t="s">
        <v>328</v>
      </c>
      <c r="O29" s="1" t="s">
        <v>1641</v>
      </c>
    </row>
    <row r="30" spans="1:20" ht="20.100000000000001" customHeight="1" x14ac:dyDescent="0.2">
      <c r="A30" s="5" t="str">
        <f>HYPERLINK("#'4.6.1.7-8 Leaching and runoff'!A1", "4.6.1.7-8 Manure Leaching and runoff")</f>
        <v>4.6.1.7-8 Manure Leaching and runoff</v>
      </c>
      <c r="D30" s="75" t="s">
        <v>118</v>
      </c>
      <c r="E30" s="9" t="s">
        <v>482</v>
      </c>
      <c r="N30" s="75" t="s">
        <v>118</v>
      </c>
      <c r="O30" s="9" t="s">
        <v>482</v>
      </c>
    </row>
    <row r="31" spans="1:20" ht="20.100000000000001" customHeight="1" x14ac:dyDescent="0.2">
      <c r="A31" s="5" t="str">
        <f>HYPERLINK("#'4.6.1.9 Manure applied to soils'!A1", "4.6.1.9 Manure applied to soils")</f>
        <v>4.6.1.9 Manure applied to soils</v>
      </c>
    </row>
    <row r="32" spans="1:20" ht="20.100000000000001" customHeight="1" x14ac:dyDescent="0.2">
      <c r="A32" s="5" t="str">
        <f>HYPERLINK("#'4.6.1.10-11 Soil direct N2O'!A1", "4.6.1.10-11 Soil direct N2O")</f>
        <v>4.6.1.10-11 Soil direct N2O</v>
      </c>
      <c r="D32" s="113" t="s">
        <v>1633</v>
      </c>
      <c r="E32" s="113" t="s">
        <v>1634</v>
      </c>
      <c r="F32" s="113"/>
      <c r="G32" s="113" t="s">
        <v>482</v>
      </c>
      <c r="H32" s="115" t="s">
        <v>1637</v>
      </c>
      <c r="I32" s="113">
        <f>X_Cell_ManureSentOffsite_MassNitrogenManure_Method1</f>
        <v>1000</v>
      </c>
      <c r="N32" s="113" t="s">
        <v>1633</v>
      </c>
      <c r="O32" s="113" t="s">
        <v>1634</v>
      </c>
      <c r="P32" s="113"/>
      <c r="Q32" s="113" t="s">
        <v>482</v>
      </c>
      <c r="R32" s="115" t="s">
        <v>1637</v>
      </c>
      <c r="S32" s="113">
        <f>X_Cell_ManureSentOffsite_MassNitrogenManure_Method2</f>
        <v>2000</v>
      </c>
    </row>
    <row r="33" spans="1:19" ht="20.100000000000001" customHeight="1" x14ac:dyDescent="0.2">
      <c r="A33" s="5" t="str">
        <f>HYPERLINK("#'4.6.1.12-13 Soil atmos dep'!A1", "4.6.1.12-13 Soil atmos dep")</f>
        <v>4.6.1.12-13 Soil atmos dep</v>
      </c>
      <c r="D33" s="113" t="s">
        <v>1642</v>
      </c>
      <c r="E33" s="113" t="s">
        <v>1643</v>
      </c>
      <c r="F33" s="113"/>
      <c r="G33" s="113" t="s">
        <v>1311</v>
      </c>
      <c r="H33" s="115" t="s">
        <v>1203</v>
      </c>
      <c r="I33" s="113">
        <f>Fertiliser_FracGASMSoil_Data</f>
        <v>0.21</v>
      </c>
      <c r="N33" s="113" t="s">
        <v>1642</v>
      </c>
      <c r="O33" s="113" t="s">
        <v>1643</v>
      </c>
      <c r="P33" s="113"/>
      <c r="Q33" s="113" t="s">
        <v>1311</v>
      </c>
      <c r="R33" s="115" t="s">
        <v>1203</v>
      </c>
      <c r="S33" s="113"/>
    </row>
    <row r="34" spans="1:19" ht="20.100000000000001" customHeight="1" x14ac:dyDescent="0.2">
      <c r="A34" s="5" t="str">
        <f>HYPERLINK("#'4.6.1.14-15 Soil leach runoff'!A1", "4.6.1.14-15 Soil leach runoff")</f>
        <v>4.6.1.14-15 Soil leach runoff</v>
      </c>
    </row>
    <row r="35" spans="1:19" ht="20.100000000000001" customHeight="1" x14ac:dyDescent="0.2">
      <c r="A35" s="5" t="str">
        <f>HYPERLINK("#'8.1.1.1-2 Transport fuel'!A1", "8.1.1.1-2 Transport fuel")</f>
        <v>8.1.1.1-2 Transport fuel</v>
      </c>
      <c r="D35" s="88" t="s">
        <v>1157</v>
      </c>
      <c r="E35" s="83">
        <f>(I32 * I33)</f>
        <v>210</v>
      </c>
      <c r="F35" s="89" t="str">
        <f>E30</f>
        <v>kg N</v>
      </c>
      <c r="N35" s="88" t="s">
        <v>1157</v>
      </c>
      <c r="O35" s="83">
        <f>(S32 * I33)</f>
        <v>420</v>
      </c>
      <c r="P35" s="89" t="str">
        <f>O30</f>
        <v>kg N</v>
      </c>
    </row>
    <row r="36" spans="1:19" ht="20.100000000000001" customHeight="1" x14ac:dyDescent="0.2">
      <c r="A36" s="5" t="str">
        <f>HYPERLINK("#'8.2.1.1-2 Stationary fuel'!A1", "8.2.1.1-2 Stationary fuel")</f>
        <v>8.2.1.1-2 Stationary fuel</v>
      </c>
    </row>
    <row r="37" spans="1:19" ht="20.100000000000001" customHeight="1" x14ac:dyDescent="0.2">
      <c r="A37" s="5" t="str">
        <f>HYPERLINK("#'10.1.1-2 Solid waste treatment'!A1", "10.1.1.1-2 Solid waste")</f>
        <v>10.1.1.1-2 Solid waste</v>
      </c>
    </row>
    <row r="38" spans="1:19" ht="20.100000000000001" customHeight="1" x14ac:dyDescent="0.2">
      <c r="A38" s="5" t="str">
        <f>HYPERLINK("#'14.1.1-2 Purchased electricity'!A1", "14.1.1-2 Purchased electricity")</f>
        <v>14.1.1-2 Purchased electricity</v>
      </c>
    </row>
    <row r="39" spans="1:19" ht="20.100000000000001" customHeight="1" x14ac:dyDescent="0.2">
      <c r="A39" s="5" t="str">
        <f>HYPERLINK("#'15 Scope 3'!A1", "15 Scope 3")</f>
        <v>15 Scope 3</v>
      </c>
    </row>
    <row r="40" spans="1:19" ht="20.100000000000001" customHeight="1" x14ac:dyDescent="0.2">
      <c r="A40" s="117" t="str">
        <f>HYPERLINK("#'Calcs - Manure sent off-site'!A1", "Calcs - Manure sent off-site")</f>
        <v>Calcs - Manure sent off-site</v>
      </c>
      <c r="D40" s="2" t="s">
        <v>1644</v>
      </c>
      <c r="N40" s="2" t="s">
        <v>1644</v>
      </c>
    </row>
    <row r="41" spans="1:19" ht="20.100000000000001" customHeight="1" x14ac:dyDescent="0.2">
      <c r="A41" s="5" t="str">
        <f>HYPERLINK("#'5.1.1.1-2 Inorganic fert N2O'!A1", "5.1.1.1-2 Inorganic fert N2O")</f>
        <v>5.1.1.1-2 Inorganic fert N2O</v>
      </c>
      <c r="D41" s="17" t="s">
        <v>1645</v>
      </c>
      <c r="N41" s="17" t="s">
        <v>1645</v>
      </c>
    </row>
    <row r="42" spans="1:19" ht="20.100000000000001" customHeight="1" x14ac:dyDescent="0.2">
      <c r="A42" s="5" t="str">
        <f>HYPERLINK("#'5.1.1.3-4 Inorganic fert CO2'!A1", "5.1.1.3-4 Inorganic fert CO2")</f>
        <v>5.1.1.3-4 Inorganic fert CO2</v>
      </c>
      <c r="D42" s="112"/>
      <c r="E42" s="112"/>
      <c r="N42" s="112"/>
      <c r="O42" s="112"/>
    </row>
    <row r="43" spans="1:19" ht="20.100000000000001" customHeight="1" x14ac:dyDescent="0.2">
      <c r="A43" s="5" t="str">
        <f>HYPERLINK("#'5.2.1.1-2 Organic Fert N2O'!A1", "5.2.1.1-2 Organic Fert N2O")</f>
        <v>5.2.1.1-2 Organic Fert N2O</v>
      </c>
    </row>
    <row r="44" spans="1:19" ht="20.100000000000001" customHeight="1" x14ac:dyDescent="0.2">
      <c r="A44" s="5" t="str">
        <f>HYPERLINK("#'5.3.1.1-2 Lime CO2'!A1", "5.3.1.1-2 Lime CO2")</f>
        <v>5.3.1.1-2 Lime CO2</v>
      </c>
    </row>
    <row r="45" spans="1:19" ht="20.100000000000001" customHeight="1" x14ac:dyDescent="0.2">
      <c r="A45" s="5" t="str">
        <f>HYPERLINK("#'5.4.1.1-4 Atmos deposition'!A1", "5.4.1.1-4 Atmos deposition")</f>
        <v>5.4.1.1-4 Atmos deposition</v>
      </c>
      <c r="D45" s="75" t="s">
        <v>328</v>
      </c>
      <c r="E45" s="1" t="s">
        <v>1646</v>
      </c>
      <c r="N45" s="75" t="s">
        <v>328</v>
      </c>
      <c r="O45" s="1" t="s">
        <v>1646</v>
      </c>
    </row>
    <row r="46" spans="1:19" ht="20.100000000000001" customHeight="1" x14ac:dyDescent="0.2">
      <c r="A46" s="5" t="str">
        <f>HYPERLINK("#'5.5.1.1-2 Leaching and runoff'!A1", "5.5.1.1-2 Leaching and runoff")</f>
        <v>5.5.1.1-2 Leaching and runoff</v>
      </c>
      <c r="D46" s="75" t="s">
        <v>118</v>
      </c>
      <c r="E46" s="9" t="s">
        <v>12</v>
      </c>
      <c r="N46" s="75" t="s">
        <v>118</v>
      </c>
      <c r="O46" s="9" t="s">
        <v>12</v>
      </c>
    </row>
    <row r="48" spans="1:19" ht="20.100000000000001" customHeight="1" x14ac:dyDescent="0.2">
      <c r="D48" s="113" t="s">
        <v>1641</v>
      </c>
      <c r="E48" s="122" t="s">
        <v>1647</v>
      </c>
      <c r="F48" s="123"/>
      <c r="G48" s="113" t="s">
        <v>482</v>
      </c>
      <c r="H48" s="115" t="s">
        <v>1650</v>
      </c>
      <c r="I48" s="113">
        <f>E35</f>
        <v>210</v>
      </c>
      <c r="N48" s="113" t="s">
        <v>1641</v>
      </c>
      <c r="O48" s="122" t="s">
        <v>1647</v>
      </c>
      <c r="P48" s="123"/>
      <c r="Q48" s="113" t="s">
        <v>482</v>
      </c>
      <c r="R48" s="115" t="s">
        <v>1650</v>
      </c>
      <c r="S48" s="113">
        <f>O35</f>
        <v>420</v>
      </c>
    </row>
    <row r="49" spans="1:19" ht="20.100000000000001" customHeight="1" x14ac:dyDescent="0.2">
      <c r="A49" s="80" t="s">
        <v>1</v>
      </c>
      <c r="D49" s="113" t="s">
        <v>1648</v>
      </c>
      <c r="E49" s="122" t="s">
        <v>1649</v>
      </c>
      <c r="F49" s="123"/>
      <c r="G49" s="113" t="s">
        <v>1288</v>
      </c>
      <c r="H49" s="115" t="s">
        <v>1203</v>
      </c>
      <c r="I49" s="113">
        <f>Common_InputFunctions.Utility_LookupN2OEFFromProdIrrigationRainfall(I51,I52,I53,Table_SourceData_Common_EFN2O[Production system only],Table_SourceData_Common_EFN2O[Irrigation method],Table_SourceData_Common_EFN2O[Rainfall zone],Table_SourceData_Common_EFN2O[EFN2O])</f>
        <v>7.0000000000000001E-3</v>
      </c>
      <c r="N49" s="113" t="s">
        <v>1648</v>
      </c>
      <c r="O49" s="122" t="s">
        <v>1649</v>
      </c>
      <c r="P49" s="123"/>
      <c r="Q49" s="113" t="s">
        <v>1288</v>
      </c>
      <c r="R49" s="115" t="s">
        <v>1203</v>
      </c>
      <c r="S49" s="113"/>
    </row>
    <row r="50" spans="1:19" ht="20.100000000000001" customHeight="1" x14ac:dyDescent="0.2">
      <c r="A50" s="5" t="str">
        <f>HYPERLINK("#'Constants - Poultry'!A1", "Constants - Poultry")</f>
        <v>Constants - Poultry</v>
      </c>
      <c r="D50" s="113" t="s">
        <v>1302</v>
      </c>
      <c r="E50" s="122" t="s">
        <v>1303</v>
      </c>
      <c r="F50" s="123"/>
      <c r="G50" s="113"/>
      <c r="H50" s="115" t="s">
        <v>1203</v>
      </c>
      <c r="I50" s="126">
        <f>Common_InputFunctions.Utility_LookupValueInTableNumber("N2O",Table_GasToMolecularConversionFactor[Gas],Table_GasToMolecularConversionFactor[Conversion factor combined])</f>
        <v>1.5714285714285714</v>
      </c>
      <c r="N50" s="113" t="s">
        <v>1302</v>
      </c>
      <c r="O50" s="122" t="s">
        <v>1303</v>
      </c>
      <c r="P50" s="123"/>
      <c r="Q50" s="113"/>
      <c r="R50" s="115" t="s">
        <v>1203</v>
      </c>
      <c r="S50" s="126"/>
    </row>
    <row r="51" spans="1:19" ht="20.100000000000001" customHeight="1" x14ac:dyDescent="0.2">
      <c r="A51" s="5" t="str">
        <f>HYPERLINK("#'Constants - Common livestock'!A1", "Constants - Common Livestock")</f>
        <v>Constants - Common Livestock</v>
      </c>
      <c r="D51" s="113" t="s">
        <v>1318</v>
      </c>
      <c r="E51" s="122" t="s">
        <v>311</v>
      </c>
      <c r="F51" s="123"/>
      <c r="G51" s="113"/>
      <c r="H51" s="249" t="s">
        <v>1202</v>
      </c>
      <c r="I51" s="113" t="str">
        <f>IF(ISBLANK(X_Cell_ManureSentOffsite_ManureProductionSystem), "Pasture", X_Cell_ManureSentOffsite_ManureProductionSystem)</f>
        <v>Crop</v>
      </c>
      <c r="N51" s="113" t="s">
        <v>1318</v>
      </c>
      <c r="O51" s="122" t="s">
        <v>311</v>
      </c>
      <c r="P51" s="123"/>
      <c r="Q51" s="113"/>
      <c r="R51" s="249" t="s">
        <v>1202</v>
      </c>
      <c r="S51" s="113"/>
    </row>
    <row r="52" spans="1:19" ht="20.100000000000001" customHeight="1" x14ac:dyDescent="0.2">
      <c r="A52" s="5" t="str">
        <f>HYPERLINK("#'Constants - Electricity'!A1", "Constants - Electricity")</f>
        <v>Constants - Electricity</v>
      </c>
      <c r="D52" s="113" t="s">
        <v>1320</v>
      </c>
      <c r="E52" s="122" t="s">
        <v>1321</v>
      </c>
      <c r="F52" s="123"/>
      <c r="G52" s="113"/>
      <c r="H52" s="249" t="s">
        <v>1202</v>
      </c>
      <c r="I52" s="113" t="str">
        <f>IF(ISBLANK(X_Cell_ManureSentOffsite_ManureIrrigationMethod), "Not irrigated", X_Cell_ManureSentOffsite_ManureIrrigationMethod)</f>
        <v>Sprinkler irrigation</v>
      </c>
      <c r="N52" s="113" t="s">
        <v>1320</v>
      </c>
      <c r="O52" s="122" t="s">
        <v>1321</v>
      </c>
      <c r="P52" s="123"/>
      <c r="Q52" s="113"/>
      <c r="R52" s="249" t="s">
        <v>1202</v>
      </c>
      <c r="S52" s="113"/>
    </row>
    <row r="53" spans="1:19" ht="20.100000000000001" customHeight="1" x14ac:dyDescent="0.2">
      <c r="A53" s="5" t="str">
        <f>HYPERLINK("#'Constants - Fertiliser'!A1", "Constants - Fertiliser")</f>
        <v>Constants - Fertiliser</v>
      </c>
      <c r="D53" s="113" t="s">
        <v>1322</v>
      </c>
      <c r="E53" s="122" t="s">
        <v>1323</v>
      </c>
      <c r="F53" s="123"/>
      <c r="G53" s="113"/>
      <c r="H53" s="249" t="s">
        <v>1202</v>
      </c>
      <c r="I53" s="113" t="str">
        <f>IF(ISBLANK(X_Cell_Site_RainfallZone), "Low rainfall", X_Cell_Site_RainfallZone)</f>
        <v>High rainfall</v>
      </c>
      <c r="N53" s="113" t="s">
        <v>1322</v>
      </c>
      <c r="O53" s="122" t="s">
        <v>1323</v>
      </c>
      <c r="P53" s="123"/>
      <c r="Q53" s="113"/>
      <c r="R53" s="249" t="s">
        <v>1202</v>
      </c>
      <c r="S53" s="113"/>
    </row>
    <row r="54" spans="1:19" ht="20.100000000000001" customHeight="1" x14ac:dyDescent="0.2">
      <c r="A54" s="5" t="str">
        <f>HYPERLINK("#'Constants - Fuel'!A1", "Constants - Fuel")</f>
        <v>Constants - Fuel</v>
      </c>
    </row>
    <row r="55" spans="1:19" ht="20.100000000000001" customHeight="1" x14ac:dyDescent="0.2">
      <c r="A55" s="5" t="str">
        <f>HYPERLINK("#'Constants - Scope 3'!A1", "Constants - Scope 3")</f>
        <v>Constants - Scope 3</v>
      </c>
      <c r="D55" s="85" t="s">
        <v>826</v>
      </c>
      <c r="E55" s="86">
        <f>((I48 * I49) * I50 * 10 ^ -3)</f>
        <v>2.31E-3</v>
      </c>
      <c r="F55" s="95" t="str">
        <f>$E$46</f>
        <v>t N2O</v>
      </c>
      <c r="N55" s="85" t="s">
        <v>826</v>
      </c>
      <c r="O55" s="86">
        <f>((S48 * I49) * I50 * 10 ^ -3)</f>
        <v>4.62E-3</v>
      </c>
      <c r="P55" s="95" t="str">
        <f>$E$46</f>
        <v>t N2O</v>
      </c>
    </row>
    <row r="56" spans="1:19" ht="20.100000000000001" customHeight="1" x14ac:dyDescent="0.2">
      <c r="A56" s="5" t="str">
        <f>HYPERLINK("#'Constants - Solid Waste'!A1", "Constants - Solid Waste")</f>
        <v>Constants - Solid Waste</v>
      </c>
    </row>
    <row r="57" spans="1:19" ht="20.100000000000001" customHeight="1" x14ac:dyDescent="0.2">
      <c r="A57" s="5" t="str">
        <f>HYPERLINK("#'Constants - Common'!A1", "Constants - Common")</f>
        <v>Constants - Common</v>
      </c>
    </row>
    <row r="59" spans="1:19" ht="20.100000000000001" customHeight="1" x14ac:dyDescent="0.2">
      <c r="D59" s="2" t="s">
        <v>1651</v>
      </c>
      <c r="N59" s="2" t="s">
        <v>1651</v>
      </c>
    </row>
    <row r="60" spans="1:19" ht="20.100000000000001" customHeight="1" x14ac:dyDescent="0.2">
      <c r="D60" s="17" t="s">
        <v>1652</v>
      </c>
      <c r="N60" s="17" t="s">
        <v>1652</v>
      </c>
    </row>
    <row r="61" spans="1:19" ht="20.100000000000001" customHeight="1" x14ac:dyDescent="0.2">
      <c r="D61" s="112"/>
      <c r="E61" s="112"/>
      <c r="N61" s="112"/>
      <c r="O61" s="112"/>
    </row>
    <row r="64" spans="1:19" ht="20.100000000000001" customHeight="1" x14ac:dyDescent="0.2">
      <c r="D64" s="75" t="s">
        <v>328</v>
      </c>
      <c r="E64" s="1" t="s">
        <v>1653</v>
      </c>
      <c r="N64" s="75" t="s">
        <v>328</v>
      </c>
      <c r="O64" s="1" t="s">
        <v>1653</v>
      </c>
    </row>
    <row r="65" spans="1:19" ht="20.100000000000001" customHeight="1" x14ac:dyDescent="0.2">
      <c r="D65" s="75" t="s">
        <v>118</v>
      </c>
      <c r="E65" s="9" t="s">
        <v>482</v>
      </c>
      <c r="N65" s="75" t="s">
        <v>118</v>
      </c>
      <c r="O65" s="9" t="s">
        <v>482</v>
      </c>
    </row>
    <row r="67" spans="1:19" ht="20.100000000000001" customHeight="1" x14ac:dyDescent="0.2">
      <c r="D67" s="113" t="s">
        <v>1633</v>
      </c>
      <c r="E67" s="122" t="s">
        <v>1654</v>
      </c>
      <c r="F67" s="123"/>
      <c r="G67" s="113" t="s">
        <v>482</v>
      </c>
      <c r="H67" s="115" t="s">
        <v>1637</v>
      </c>
      <c r="I67" s="113">
        <f>X_Cell_ManureSentOffsite_MassNitrogenManure_Method1</f>
        <v>1000</v>
      </c>
      <c r="N67" s="113" t="s">
        <v>1633</v>
      </c>
      <c r="O67" s="122" t="s">
        <v>1654</v>
      </c>
      <c r="P67" s="123"/>
      <c r="Q67" s="113" t="s">
        <v>482</v>
      </c>
      <c r="R67" s="115" t="s">
        <v>1637</v>
      </c>
      <c r="S67" s="113">
        <f>X_Cell_ManureSentOffsite_MassNitrogenManure_Method2</f>
        <v>2000</v>
      </c>
    </row>
    <row r="68" spans="1:19" ht="20.100000000000001" customHeight="1" x14ac:dyDescent="0.2">
      <c r="A68" s="79" t="str">
        <f>HYPERLINK("#A1", "▲ Back to top")</f>
        <v>▲ Back to top</v>
      </c>
      <c r="D68" s="113" t="s">
        <v>1655</v>
      </c>
      <c r="E68" s="122" t="s">
        <v>1330</v>
      </c>
      <c r="F68" s="123"/>
      <c r="G68" s="113" t="s">
        <v>307</v>
      </c>
      <c r="H68" s="115" t="s">
        <v>1203</v>
      </c>
      <c r="I68" s="113">
        <f>Common_InputFunctions.CommonCropping_GetFracWET(I70,I72,Table_SourceData_FracWET[Is in leaching zone],Table_SourceData_FracWET[FracWET],Table_SourceData_FracWETIrrigation[Irrigation type i],Table_SourceData_FracWETIrrigation[FracWET])</f>
        <v>1</v>
      </c>
      <c r="N68" s="113" t="s">
        <v>1655</v>
      </c>
      <c r="O68" s="122" t="s">
        <v>1330</v>
      </c>
      <c r="P68" s="123"/>
      <c r="Q68" s="113" t="s">
        <v>307</v>
      </c>
      <c r="R68" s="115" t="s">
        <v>1203</v>
      </c>
      <c r="S68" s="113"/>
    </row>
    <row r="69" spans="1:19" ht="20.100000000000001" customHeight="1" x14ac:dyDescent="0.2">
      <c r="D69" s="113" t="s">
        <v>1656</v>
      </c>
      <c r="E69" s="122" t="s">
        <v>1381</v>
      </c>
      <c r="F69" s="123"/>
      <c r="G69" s="113" t="s">
        <v>307</v>
      </c>
      <c r="H69" s="115" t="s">
        <v>1203</v>
      </c>
      <c r="I69" s="113">
        <f>Fertiliser_FracLEACH_Data</f>
        <v>0.24</v>
      </c>
      <c r="N69" s="113" t="s">
        <v>1656</v>
      </c>
      <c r="O69" s="122" t="s">
        <v>1381</v>
      </c>
      <c r="P69" s="123"/>
      <c r="Q69" s="113" t="s">
        <v>307</v>
      </c>
      <c r="R69" s="115" t="s">
        <v>1203</v>
      </c>
      <c r="S69" s="113"/>
    </row>
    <row r="70" spans="1:19" ht="20.100000000000001" customHeight="1" x14ac:dyDescent="0.2">
      <c r="D70" s="113" t="s">
        <v>1333</v>
      </c>
      <c r="E70" s="122" t="s">
        <v>1334</v>
      </c>
      <c r="F70" s="123"/>
      <c r="G70" s="113"/>
      <c r="H70" s="249" t="s">
        <v>1202</v>
      </c>
      <c r="I70" s="113" t="str">
        <f>X_Cell_Site_LeachingZone</f>
        <v>NO - Not in leaching zone</v>
      </c>
      <c r="N70" s="113" t="s">
        <v>1333</v>
      </c>
      <c r="O70" s="122" t="s">
        <v>1334</v>
      </c>
      <c r="P70" s="123"/>
      <c r="Q70" s="113"/>
      <c r="R70" s="249" t="s">
        <v>1202</v>
      </c>
      <c r="S70" s="113"/>
    </row>
    <row r="71" spans="1:19" ht="20.100000000000001" customHeight="1" x14ac:dyDescent="0.2">
      <c r="D71" s="113" t="s">
        <v>1318</v>
      </c>
      <c r="E71" s="122" t="s">
        <v>1319</v>
      </c>
      <c r="F71" s="123"/>
      <c r="G71" s="113"/>
      <c r="H71" s="249" t="s">
        <v>1202</v>
      </c>
      <c r="I71" s="113" t="str">
        <f>IF(ISBLANK(X_Cell_ManureSentOffsite_ManureProductionSystem), "Pasture", X_Cell_ManureSentOffsite_ManureProductionSystem)</f>
        <v>Crop</v>
      </c>
      <c r="N71" s="113" t="s">
        <v>1318</v>
      </c>
      <c r="O71" s="122" t="s">
        <v>1319</v>
      </c>
      <c r="P71" s="123"/>
      <c r="Q71" s="113"/>
      <c r="R71" s="249" t="s">
        <v>1202</v>
      </c>
      <c r="S71" s="113"/>
    </row>
    <row r="72" spans="1:19" ht="20.100000000000001" customHeight="1" x14ac:dyDescent="0.2">
      <c r="D72" s="113" t="s">
        <v>1320</v>
      </c>
      <c r="E72" s="122" t="s">
        <v>1321</v>
      </c>
      <c r="F72" s="123"/>
      <c r="G72" s="113"/>
      <c r="H72" s="249" t="s">
        <v>1202</v>
      </c>
      <c r="I72" s="113" t="str">
        <f>IF(ISBLANK(X_Cell_ManureSentOffsite_ManureIrrigationMethod), "Not irrigated", X_Cell_ManureSentOffsite_ManureIrrigationMethod)</f>
        <v>Sprinkler irrigation</v>
      </c>
      <c r="N72" s="113" t="s">
        <v>1320</v>
      </c>
      <c r="O72" s="122" t="s">
        <v>1321</v>
      </c>
      <c r="P72" s="123"/>
      <c r="Q72" s="113"/>
      <c r="R72" s="249" t="s">
        <v>1202</v>
      </c>
      <c r="S72" s="113"/>
    </row>
    <row r="74" spans="1:19" ht="20.100000000000001" customHeight="1" x14ac:dyDescent="0.2">
      <c r="D74" s="88" t="s">
        <v>1158</v>
      </c>
      <c r="E74" s="83">
        <f>(I67 * I68 * I69)</f>
        <v>240</v>
      </c>
      <c r="F74" s="89" t="str">
        <f>$E$65</f>
        <v>kg N</v>
      </c>
      <c r="N74" s="88" t="s">
        <v>1158</v>
      </c>
      <c r="O74" s="83">
        <f>(S67 * I68 * I69)</f>
        <v>480</v>
      </c>
      <c r="P74" s="89" t="str">
        <f>$E$65</f>
        <v>kg N</v>
      </c>
    </row>
    <row r="77" spans="1:19" ht="20.100000000000001" customHeight="1" x14ac:dyDescent="0.2">
      <c r="D77" s="2" t="s">
        <v>1657</v>
      </c>
      <c r="N77" s="2" t="s">
        <v>1657</v>
      </c>
    </row>
    <row r="78" spans="1:19" ht="20.100000000000001" customHeight="1" x14ac:dyDescent="0.2">
      <c r="D78" s="17" t="s">
        <v>1658</v>
      </c>
      <c r="N78" s="17" t="s">
        <v>1658</v>
      </c>
    </row>
    <row r="79" spans="1:19" ht="20.100000000000001" customHeight="1" x14ac:dyDescent="0.2">
      <c r="D79" s="112"/>
      <c r="E79" s="112"/>
      <c r="N79" s="112"/>
      <c r="O79" s="112"/>
    </row>
    <row r="82" spans="4:20" ht="20.100000000000001" customHeight="1" x14ac:dyDescent="0.2">
      <c r="D82" s="75" t="s">
        <v>328</v>
      </c>
      <c r="E82" s="1" t="s">
        <v>1659</v>
      </c>
      <c r="N82" s="75" t="s">
        <v>328</v>
      </c>
      <c r="O82" s="1" t="s">
        <v>1659</v>
      </c>
    </row>
    <row r="83" spans="4:20" ht="20.100000000000001" customHeight="1" x14ac:dyDescent="0.2">
      <c r="D83" s="75" t="s">
        <v>118</v>
      </c>
      <c r="E83" s="9" t="s">
        <v>12</v>
      </c>
      <c r="N83" s="75" t="s">
        <v>118</v>
      </c>
      <c r="O83" s="9" t="s">
        <v>12</v>
      </c>
    </row>
    <row r="85" spans="4:20" ht="20.100000000000001" customHeight="1" x14ac:dyDescent="0.2">
      <c r="D85" s="113" t="s">
        <v>1660</v>
      </c>
      <c r="E85" s="122" t="s">
        <v>1661</v>
      </c>
      <c r="F85" s="136"/>
      <c r="G85" s="123"/>
      <c r="H85" s="113" t="s">
        <v>482</v>
      </c>
      <c r="I85" s="115" t="s">
        <v>1664</v>
      </c>
      <c r="J85" s="113">
        <v>0</v>
      </c>
      <c r="N85" s="113" t="s">
        <v>1660</v>
      </c>
      <c r="O85" s="122" t="s">
        <v>1661</v>
      </c>
      <c r="P85" s="136"/>
      <c r="Q85" s="123"/>
      <c r="R85" s="113" t="s">
        <v>482</v>
      </c>
      <c r="S85" s="115" t="s">
        <v>1664</v>
      </c>
      <c r="T85" s="113"/>
    </row>
    <row r="86" spans="4:20" ht="20.100000000000001" customHeight="1" x14ac:dyDescent="0.2">
      <c r="D86" s="113" t="s">
        <v>1653</v>
      </c>
      <c r="E86" s="122" t="s">
        <v>1662</v>
      </c>
      <c r="F86" s="136"/>
      <c r="G86" s="123"/>
      <c r="H86" s="113" t="s">
        <v>482</v>
      </c>
      <c r="I86" s="115" t="s">
        <v>1665</v>
      </c>
      <c r="J86" s="113">
        <f>E74</f>
        <v>240</v>
      </c>
      <c r="N86" s="113" t="s">
        <v>1653</v>
      </c>
      <c r="O86" s="122" t="s">
        <v>1662</v>
      </c>
      <c r="P86" s="136"/>
      <c r="Q86" s="123"/>
      <c r="R86" s="113" t="s">
        <v>482</v>
      </c>
      <c r="S86" s="115" t="s">
        <v>1665</v>
      </c>
      <c r="T86" s="113">
        <f>O74</f>
        <v>480</v>
      </c>
    </row>
    <row r="87" spans="4:20" ht="20.100000000000001" customHeight="1" x14ac:dyDescent="0.2">
      <c r="D87" s="113" t="s">
        <v>1339</v>
      </c>
      <c r="E87" s="122" t="s">
        <v>1663</v>
      </c>
      <c r="F87" s="136"/>
      <c r="G87" s="123"/>
      <c r="H87" s="113" t="s">
        <v>1288</v>
      </c>
      <c r="I87" s="115" t="s">
        <v>1203</v>
      </c>
      <c r="J87" s="113">
        <f>Fertiliser_EFLeach_Data</f>
        <v>1.0999999999999999E-2</v>
      </c>
      <c r="N87" s="113" t="s">
        <v>1339</v>
      </c>
      <c r="O87" s="122" t="s">
        <v>1663</v>
      </c>
      <c r="P87" s="136"/>
      <c r="Q87" s="123"/>
      <c r="R87" s="113" t="s">
        <v>1288</v>
      </c>
      <c r="S87" s="115" t="s">
        <v>1203</v>
      </c>
      <c r="T87" s="113"/>
    </row>
    <row r="88" spans="4:20" ht="20.100000000000001" customHeight="1" x14ac:dyDescent="0.2">
      <c r="D88" s="113" t="s">
        <v>1302</v>
      </c>
      <c r="E88" s="122" t="s">
        <v>1303</v>
      </c>
      <c r="F88" s="136"/>
      <c r="G88" s="123"/>
      <c r="H88" s="113"/>
      <c r="I88" s="115" t="s">
        <v>1203</v>
      </c>
      <c r="J88" s="126">
        <f>Common_InputFunctions.Utility_LookupValueInTableNumber("N2O",Table_GasToMolecularConversionFactor[Gas],Table_GasToMolecularConversionFactor[Conversion factor combined])</f>
        <v>1.5714285714285714</v>
      </c>
      <c r="N88" s="113" t="s">
        <v>1302</v>
      </c>
      <c r="O88" s="122" t="s">
        <v>1303</v>
      </c>
      <c r="P88" s="136"/>
      <c r="Q88" s="123"/>
      <c r="R88" s="113"/>
      <c r="S88" s="115" t="s">
        <v>1203</v>
      </c>
      <c r="T88" s="126"/>
    </row>
    <row r="90" spans="4:20" ht="20.100000000000001" customHeight="1" x14ac:dyDescent="0.2">
      <c r="D90" s="85" t="s">
        <v>843</v>
      </c>
      <c r="E90" s="86">
        <f>((J85 + J86) * J87 * J88 * 10 ^ -3)</f>
        <v>4.1485714285714277E-3</v>
      </c>
      <c r="F90" s="95" t="str">
        <f>$E$83</f>
        <v>t N2O</v>
      </c>
      <c r="N90" s="85" t="s">
        <v>843</v>
      </c>
      <c r="O90" s="86">
        <f>((J85 + T86) * J87 * J88 * 10 ^ -3)</f>
        <v>8.2971428571428554E-3</v>
      </c>
      <c r="P90" s="95" t="str">
        <f>$E$83</f>
        <v>t N2O</v>
      </c>
    </row>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97D94-BA31-40E5-9825-DC8E86A2BCEF}">
  <sheetPr>
    <tabColor theme="2" tint="-0.499984740745262"/>
  </sheetPr>
  <dimension ref="A1:W452"/>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20" customFormat="1" ht="30" customHeight="1" x14ac:dyDescent="0.35">
      <c r="A1" s="10" t="e" vm="1">
        <v>#VALUE!</v>
      </c>
      <c r="C1" s="20" t="s">
        <v>490</v>
      </c>
    </row>
    <row r="2" spans="1:21" s="3" customFormat="1" ht="20.100000000000001" customHeight="1" x14ac:dyDescent="0.2">
      <c r="A2"/>
    </row>
    <row r="3" spans="1:21"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row>
    <row r="4" spans="1:21" ht="20.100000000000001" customHeight="1" x14ac:dyDescent="0.2">
      <c r="A4" s="5" t="str">
        <f>HYPERLINK("#'Results - Activity period'!A1", "Results - Activity period")</f>
        <v>Results - Activity period</v>
      </c>
      <c r="M4" s="8"/>
    </row>
    <row r="5" spans="1:21" ht="20.100000000000001" customHeight="1" x14ac:dyDescent="0.2">
      <c r="A5" s="5" t="str">
        <f>HYPERLINK("#'Results - Product EI'!A1", "Results - Product Emissions Intensity")</f>
        <v>Results - Product Emissions Intensity</v>
      </c>
      <c r="D5" s="2" t="s">
        <v>1666</v>
      </c>
      <c r="M5" s="1"/>
    </row>
    <row r="6" spans="1:21" ht="20.100000000000001" customHeight="1" x14ac:dyDescent="0.2">
      <c r="D6" s="17" t="s">
        <v>1667</v>
      </c>
      <c r="M6" s="1"/>
    </row>
    <row r="7" spans="1:21" ht="20.100000000000001" customHeight="1" x14ac:dyDescent="0.2">
      <c r="M7" s="1"/>
    </row>
    <row r="8" spans="1:21" ht="20.100000000000001" customHeight="1" x14ac:dyDescent="0.2">
      <c r="A8" s="7" t="s">
        <v>0</v>
      </c>
      <c r="D8" s="19" t="s">
        <v>491</v>
      </c>
      <c r="E8" s="19" t="s">
        <v>297</v>
      </c>
      <c r="F8" s="19" t="s">
        <v>298</v>
      </c>
      <c r="G8" s="19" t="s">
        <v>492</v>
      </c>
      <c r="H8" s="19" t="s">
        <v>493</v>
      </c>
      <c r="M8" s="1"/>
    </row>
    <row r="9" spans="1:21" ht="20.100000000000001" customHeight="1" x14ac:dyDescent="0.2">
      <c r="A9" s="5" t="str">
        <f>HYPERLINK("#'Input - Enterprise'!A1", "Enterprise")</f>
        <v>Enterprise</v>
      </c>
      <c r="D9" s="19" t="s">
        <v>1668</v>
      </c>
      <c r="E9" s="19">
        <v>8.5999999999999993E-2</v>
      </c>
      <c r="F9" s="19">
        <v>9.2999999999999999E-2</v>
      </c>
      <c r="G9" s="19">
        <v>0.10299999999999999</v>
      </c>
      <c r="H9" s="19">
        <v>9.2999999999999999E-2</v>
      </c>
      <c r="M9" s="1"/>
    </row>
    <row r="10" spans="1:21" ht="20.100000000000001" customHeight="1" x14ac:dyDescent="0.2">
      <c r="A10" s="5" t="str">
        <f>HYPERLINK("#'Input - Site'!A1", "Site")</f>
        <v>Site</v>
      </c>
      <c r="D10" s="1" t="s">
        <v>1669</v>
      </c>
      <c r="E10" s="19">
        <v>0.8</v>
      </c>
      <c r="F10" s="19">
        <v>0.8</v>
      </c>
      <c r="G10" s="19">
        <v>0.8</v>
      </c>
      <c r="H10" s="19">
        <v>0.8</v>
      </c>
      <c r="M10" s="1"/>
    </row>
    <row r="11" spans="1:21" ht="20.100000000000001" customHeight="1" x14ac:dyDescent="0.2">
      <c r="A11" s="5" t="str">
        <f>HYPERLINK("#'Input - Poultry'!A1", "Poultry")</f>
        <v>Poultry</v>
      </c>
      <c r="D11" s="1" t="s">
        <v>1670</v>
      </c>
      <c r="E11" s="19">
        <v>0.19</v>
      </c>
      <c r="F11" s="19">
        <v>0.23</v>
      </c>
      <c r="G11" s="19">
        <v>0.19</v>
      </c>
      <c r="H11" s="19">
        <v>0.23</v>
      </c>
      <c r="M11" s="1"/>
    </row>
    <row r="12" spans="1:21" ht="20.100000000000001" customHeight="1" x14ac:dyDescent="0.2">
      <c r="A12" s="5" t="str">
        <f>HYPERLINK("#'Input - Livestock sales'!A1", "Livestock sales")</f>
        <v>Livestock sales</v>
      </c>
      <c r="D12" s="1" t="s">
        <v>387</v>
      </c>
      <c r="E12" s="19">
        <v>0.35</v>
      </c>
      <c r="F12" s="19">
        <v>0.47</v>
      </c>
      <c r="G12" s="19">
        <v>0.32</v>
      </c>
      <c r="H12" s="19">
        <v>0.47</v>
      </c>
      <c r="M12" s="1"/>
    </row>
    <row r="13" spans="1:21" ht="20.100000000000001" customHeight="1" x14ac:dyDescent="0.2">
      <c r="A13" s="5" t="str">
        <f>HYPERLINK("#'Input - Poultry purchases'!A1", "Poultry purchases")</f>
        <v>Poultry purchases</v>
      </c>
      <c r="D13" s="1" t="s">
        <v>1671</v>
      </c>
      <c r="E13" s="19">
        <v>0.18</v>
      </c>
      <c r="F13" s="19">
        <v>0.15</v>
      </c>
      <c r="G13" s="19">
        <v>0.18</v>
      </c>
      <c r="H13" s="19">
        <v>0.15</v>
      </c>
      <c r="M13" s="1"/>
    </row>
    <row r="14" spans="1:21" ht="20.100000000000001" customHeight="1" x14ac:dyDescent="0.2">
      <c r="A14" s="5" t="str">
        <f>HYPERLINK("#'Input - Fuel'!A1", "Fuel")</f>
        <v>Fuel</v>
      </c>
      <c r="M14" s="1"/>
    </row>
    <row r="15" spans="1:21" ht="20.100000000000001" customHeight="1" x14ac:dyDescent="0.2">
      <c r="A15" s="5" t="str">
        <f>HYPERLINK("#'Input - Electricity'!A1", "Electricity")</f>
        <v>Electricity</v>
      </c>
      <c r="M15" s="1"/>
    </row>
    <row r="16" spans="1:21" ht="20.100000000000001" customHeight="1" x14ac:dyDescent="0.2">
      <c r="A16" s="5" t="str">
        <f>HYPERLINK("#'Input - Common farm inputs'!A1", "Common farm inputs")</f>
        <v>Common farm inputs</v>
      </c>
      <c r="M16" s="1"/>
    </row>
    <row r="17" spans="1:13" ht="20.100000000000001" customHeight="1" x14ac:dyDescent="0.2">
      <c r="A17" s="5" t="str">
        <f>HYPERLINK("#'Input - Livestock farm Inputs'!A1", "Livestock farm Inputs")</f>
        <v>Livestock farm Inputs</v>
      </c>
      <c r="D17" s="2" t="s">
        <v>1672</v>
      </c>
      <c r="M17" s="1"/>
    </row>
    <row r="18" spans="1:13" ht="20.100000000000001" customHeight="1" x14ac:dyDescent="0.2">
      <c r="A18" s="5" t="str">
        <f>HYPERLINK("#'Input - Freight'!A1", "Freight")</f>
        <v>Freight</v>
      </c>
      <c r="D18" s="17" t="s">
        <v>1673</v>
      </c>
      <c r="M18" s="1"/>
    </row>
    <row r="19" spans="1:13" ht="20.100000000000001" customHeight="1" x14ac:dyDescent="0.2">
      <c r="A19" s="5" t="str">
        <f>HYPERLINK("#'Input - Solid waste'!A1", "Solid waste")</f>
        <v>Solid waste</v>
      </c>
      <c r="D19" s="19" t="s">
        <v>494</v>
      </c>
      <c r="E19" s="19" t="s">
        <v>495</v>
      </c>
      <c r="M19" s="1"/>
    </row>
    <row r="20" spans="1:13" ht="20.100000000000001" customHeight="1" x14ac:dyDescent="0.2">
      <c r="A20" s="5" t="str">
        <f>HYPERLINK("#'Input - Manure sent off-site'!A1", "Manure sent off-site")</f>
        <v>Manure sent off-site</v>
      </c>
      <c r="D20" s="19" t="s">
        <v>297</v>
      </c>
      <c r="E20" s="19">
        <v>0.39</v>
      </c>
      <c r="M20" s="1"/>
    </row>
    <row r="21" spans="1:13" ht="20.100000000000001" customHeight="1" x14ac:dyDescent="0.2">
      <c r="A21" s="5" t="str">
        <f>HYPERLINK("#'Input - Data quality'!A1", "Data quality")</f>
        <v>Data quality</v>
      </c>
      <c r="D21" s="1" t="s">
        <v>1674</v>
      </c>
      <c r="E21" s="19">
        <v>0.36</v>
      </c>
      <c r="M21" s="1"/>
    </row>
    <row r="22" spans="1:13" ht="20.100000000000001" customHeight="1" x14ac:dyDescent="0.2">
      <c r="A22" s="5" t="str">
        <f>HYPERLINK("#'Input - Fert Prod System'!A1", "Fert Prod System")</f>
        <v>Fert Prod System</v>
      </c>
      <c r="M22" s="1"/>
    </row>
    <row r="23" spans="1:13" ht="20.100000000000001" customHeight="1" x14ac:dyDescent="0.2">
      <c r="A23" s="5" t="str">
        <f>HYPERLINK("#'Input - Fertiliser'!A1", "Fertiliser")</f>
        <v>Fertiliser</v>
      </c>
      <c r="M23" s="1"/>
    </row>
    <row r="24" spans="1:13" ht="20.100000000000001" customHeight="1" x14ac:dyDescent="0.2">
      <c r="M24" s="1"/>
    </row>
    <row r="25" spans="1:13" ht="20.100000000000001" customHeight="1" x14ac:dyDescent="0.2">
      <c r="M25" s="1"/>
    </row>
    <row r="26" spans="1:13" ht="20.100000000000001" customHeight="1" x14ac:dyDescent="0.2">
      <c r="A26" s="6" t="s">
        <v>2</v>
      </c>
      <c r="D26" s="2" t="s">
        <v>496</v>
      </c>
      <c r="G26" s="2" t="s">
        <v>497</v>
      </c>
      <c r="J26" s="2" t="s">
        <v>498</v>
      </c>
      <c r="M26" s="1"/>
    </row>
    <row r="27" spans="1:13" ht="20.100000000000001" customHeight="1" x14ac:dyDescent="0.2">
      <c r="A27" s="5" t="str">
        <f>HYPERLINK("#'4.6.1.1-2 Methane'!A1", "4.6.1.1-2 Manure Methane")</f>
        <v>4.6.1.1-2 Manure Methane</v>
      </c>
      <c r="M27" s="1"/>
    </row>
    <row r="28" spans="1:13" ht="20.100000000000001" customHeight="1" x14ac:dyDescent="0.2">
      <c r="A28" s="5" t="str">
        <f>HYPERLINK("#'4.6.1.3-4 Direct N20'!A1", "4.6.1.3-4 Manure Direct N2O")</f>
        <v>4.6.1.3-4 Manure Direct N2O</v>
      </c>
      <c r="D28" s="137" t="s">
        <v>349</v>
      </c>
      <c r="E28" s="19" t="s">
        <v>499</v>
      </c>
      <c r="G28" s="137" t="s">
        <v>349</v>
      </c>
      <c r="H28" s="19" t="s">
        <v>499</v>
      </c>
      <c r="J28" s="137" t="s">
        <v>349</v>
      </c>
      <c r="K28" s="19" t="s">
        <v>499</v>
      </c>
      <c r="M28" s="1"/>
    </row>
    <row r="29" spans="1:13" ht="20.100000000000001" customHeight="1" x14ac:dyDescent="0.2">
      <c r="A29" s="5" t="str">
        <f>HYPERLINK("#'4.6.1.5-6 Atmos Dep'!A1", "4.6.1.5-6 Manure Atmos Dep")</f>
        <v>4.6.1.5-6 Manure Atmos Dep</v>
      </c>
      <c r="D29" s="19" t="s">
        <v>78</v>
      </c>
      <c r="E29" s="19" t="s">
        <v>500</v>
      </c>
      <c r="G29" s="19" t="s">
        <v>78</v>
      </c>
      <c r="H29" s="19" t="s">
        <v>500</v>
      </c>
      <c r="J29" s="19" t="s">
        <v>75</v>
      </c>
      <c r="K29" s="19" t="s">
        <v>501</v>
      </c>
      <c r="M29" s="1"/>
    </row>
    <row r="30" spans="1:13" ht="20.100000000000001" customHeight="1" x14ac:dyDescent="0.2">
      <c r="A30" s="5" t="str">
        <f>HYPERLINK("#'4.6.1.7-8 Leaching and runoff'!A1", "4.6.1.7-8 Manure Leaching and runoff")</f>
        <v>4.6.1.7-8 Manure Leaching and runoff</v>
      </c>
      <c r="D30" s="19" t="s">
        <v>502</v>
      </c>
      <c r="E30" s="19" t="s">
        <v>503</v>
      </c>
      <c r="G30" s="19" t="s">
        <v>502</v>
      </c>
      <c r="H30" s="19" t="s">
        <v>503</v>
      </c>
      <c r="J30" s="19" t="s">
        <v>74</v>
      </c>
      <c r="K30" s="19" t="s">
        <v>504</v>
      </c>
      <c r="M30" s="1"/>
    </row>
    <row r="31" spans="1:13" ht="20.100000000000001" customHeight="1" x14ac:dyDescent="0.2">
      <c r="A31" s="5" t="str">
        <f>HYPERLINK("#'4.6.1.9 Manure applied to soils'!A1", "4.6.1.9 Manure applied to soils")</f>
        <v>4.6.1.9 Manure applied to soils</v>
      </c>
      <c r="D31" s="19" t="s">
        <v>505</v>
      </c>
      <c r="E31" s="19" t="s">
        <v>506</v>
      </c>
      <c r="G31" s="19" t="s">
        <v>505</v>
      </c>
      <c r="H31" s="19" t="s">
        <v>506</v>
      </c>
      <c r="J31" s="1" t="s">
        <v>71</v>
      </c>
      <c r="K31" s="1" t="s">
        <v>507</v>
      </c>
      <c r="M31" s="1"/>
    </row>
    <row r="32" spans="1:13" ht="20.100000000000001" customHeight="1" x14ac:dyDescent="0.2">
      <c r="A32" s="5" t="str">
        <f>HYPERLINK("#'4.6.1.10-11 Soil direct N2O'!A1", "4.6.1.10-11 Soil direct N2O")</f>
        <v>4.6.1.10-11 Soil direct N2O</v>
      </c>
      <c r="D32" s="19" t="s">
        <v>82</v>
      </c>
      <c r="E32" s="19" t="s">
        <v>508</v>
      </c>
      <c r="G32" s="19" t="s">
        <v>82</v>
      </c>
      <c r="H32" s="19" t="s">
        <v>508</v>
      </c>
      <c r="J32" s="19" t="s">
        <v>80</v>
      </c>
      <c r="K32" s="19" t="s">
        <v>509</v>
      </c>
      <c r="M32" s="1"/>
    </row>
    <row r="33" spans="1:13" ht="20.100000000000001" customHeight="1" x14ac:dyDescent="0.2">
      <c r="A33" s="5" t="str">
        <f>HYPERLINK("#'4.6.1.12-13 Soil atmos dep'!A1", "4.6.1.12-13 Soil atmos dep")</f>
        <v>4.6.1.12-13 Soil atmos dep</v>
      </c>
      <c r="D33" s="19" t="s">
        <v>75</v>
      </c>
      <c r="E33" s="19" t="s">
        <v>501</v>
      </c>
      <c r="G33" s="1" t="s">
        <v>510</v>
      </c>
      <c r="H33" s="19" t="s">
        <v>510</v>
      </c>
      <c r="J33" s="19" t="s">
        <v>81</v>
      </c>
      <c r="K33" s="19" t="s">
        <v>511</v>
      </c>
      <c r="M33" s="1"/>
    </row>
    <row r="34" spans="1:13" ht="20.100000000000001" customHeight="1" x14ac:dyDescent="0.2">
      <c r="A34" s="5" t="str">
        <f>HYPERLINK("#'4.6.1.14-15 Soil leach runoff'!A1", "4.6.1.14-15 Soil leach runoff")</f>
        <v>4.6.1.14-15 Soil leach runoff</v>
      </c>
      <c r="D34" s="19" t="s">
        <v>74</v>
      </c>
      <c r="E34" s="19" t="s">
        <v>504</v>
      </c>
      <c r="J34" s="1" t="s">
        <v>510</v>
      </c>
      <c r="K34" s="19" t="s">
        <v>510</v>
      </c>
      <c r="M34" s="1"/>
    </row>
    <row r="35" spans="1:13" ht="20.100000000000001" customHeight="1" x14ac:dyDescent="0.2">
      <c r="A35" s="5" t="str">
        <f>HYPERLINK("#'8.1.1.1-2 Transport fuel'!A1", "8.1.1.1-2 Transport fuel")</f>
        <v>8.1.1.1-2 Transport fuel</v>
      </c>
      <c r="D35" s="1" t="s">
        <v>71</v>
      </c>
      <c r="E35" s="1" t="s">
        <v>507</v>
      </c>
      <c r="M35" s="1"/>
    </row>
    <row r="36" spans="1:13" ht="20.100000000000001" customHeight="1" x14ac:dyDescent="0.2">
      <c r="A36" s="5" t="str">
        <f>HYPERLINK("#'8.2.1.1-2 Stationary fuel'!A1", "8.2.1.1-2 Stationary fuel")</f>
        <v>8.2.1.1-2 Stationary fuel</v>
      </c>
      <c r="D36" s="19" t="s">
        <v>80</v>
      </c>
      <c r="E36" s="19" t="s">
        <v>509</v>
      </c>
      <c r="M36" s="1"/>
    </row>
    <row r="37" spans="1:13" ht="20.100000000000001" customHeight="1" x14ac:dyDescent="0.2">
      <c r="A37" s="5" t="str">
        <f>HYPERLINK("#'10.1.1-2 Solid waste treatment'!A1", "10.1.1.1-2 Solid waste")</f>
        <v>10.1.1.1-2 Solid waste</v>
      </c>
      <c r="D37" s="19" t="s">
        <v>81</v>
      </c>
      <c r="E37" s="19" t="s">
        <v>511</v>
      </c>
      <c r="M37" s="1"/>
    </row>
    <row r="38" spans="1:13" ht="20.100000000000001" customHeight="1" x14ac:dyDescent="0.2">
      <c r="A38" s="5" t="str">
        <f>HYPERLINK("#'14.1.1-2 Purchased electricity'!A1", "14.1.1-2 Purchased electricity")</f>
        <v>14.1.1-2 Purchased electricity</v>
      </c>
      <c r="D38" s="1" t="s">
        <v>510</v>
      </c>
      <c r="E38" s="19" t="s">
        <v>510</v>
      </c>
      <c r="M38" s="1"/>
    </row>
    <row r="39" spans="1:13" ht="20.100000000000001" customHeight="1" x14ac:dyDescent="0.2">
      <c r="A39" s="5" t="str">
        <f>HYPERLINK("#'15 Scope 3'!A1", "15 Scope 3")</f>
        <v>15 Scope 3</v>
      </c>
      <c r="M39" s="1"/>
    </row>
    <row r="40" spans="1:13" ht="20.100000000000001" customHeight="1" x14ac:dyDescent="0.2">
      <c r="A40" s="5" t="str">
        <f>HYPERLINK("#'Calcs - Manure sent off-site'!A1", "Calcs - Manure sent off-site")</f>
        <v>Calcs - Manure sent off-site</v>
      </c>
      <c r="M40" s="1"/>
    </row>
    <row r="41" spans="1:13" ht="20.100000000000001" customHeight="1" x14ac:dyDescent="0.2">
      <c r="A41" s="5" t="str">
        <f>HYPERLINK("#'5.1.1.1-2 Inorganic fert N2O'!A1", "5.1.1.1-2 Inorganic fert N2O")</f>
        <v>5.1.1.1-2 Inorganic fert N2O</v>
      </c>
      <c r="M41" s="1"/>
    </row>
    <row r="42" spans="1:13" ht="20.100000000000001" customHeight="1" x14ac:dyDescent="0.2">
      <c r="A42" s="5" t="str">
        <f>HYPERLINK("#'5.1.1.3-4 Inorganic fert CO2'!A1", "5.1.1.3-4 Inorganic fert CO2")</f>
        <v>5.1.1.3-4 Inorganic fert CO2</v>
      </c>
      <c r="D42" s="2" t="s">
        <v>512</v>
      </c>
      <c r="G42" s="2" t="s">
        <v>513</v>
      </c>
      <c r="J42" s="2" t="s">
        <v>514</v>
      </c>
      <c r="M42" s="1"/>
    </row>
    <row r="43" spans="1:13" ht="20.100000000000001" customHeight="1" x14ac:dyDescent="0.2">
      <c r="A43" s="5" t="str">
        <f>HYPERLINK("#'5.2.1.1-2 Organic Fert N2O'!A1", "5.2.1.1-2 Organic Fert N2O")</f>
        <v>5.2.1.1-2 Organic Fert N2O</v>
      </c>
      <c r="M43" s="1"/>
    </row>
    <row r="44" spans="1:13" ht="20.100000000000001" customHeight="1" x14ac:dyDescent="0.2">
      <c r="A44" s="5" t="str">
        <f>HYPERLINK("#'5.3.1.1-2 Lime CO2'!A1", "5.3.1.1-2 Lime CO2")</f>
        <v>5.3.1.1-2 Lime CO2</v>
      </c>
      <c r="D44" s="19" t="s">
        <v>311</v>
      </c>
      <c r="G44" s="19" t="s">
        <v>311</v>
      </c>
      <c r="J44" s="19" t="s">
        <v>63</v>
      </c>
      <c r="M44" s="1"/>
    </row>
    <row r="45" spans="1:13" ht="20.100000000000001" customHeight="1" x14ac:dyDescent="0.2">
      <c r="A45" s="5" t="str">
        <f>HYPERLINK("#'5.4.1.1-4 Atmos deposition'!A1", "5.4.1.1-4 Atmos deposition")</f>
        <v>5.4.1.1-4 Atmos deposition</v>
      </c>
      <c r="D45" s="19" t="s">
        <v>1675</v>
      </c>
      <c r="G45" s="19" t="str">
        <f>'Constants - Common'!$F$187</f>
        <v>Pasture</v>
      </c>
      <c r="J45" s="19" t="s">
        <v>515</v>
      </c>
      <c r="M45" s="1"/>
    </row>
    <row r="46" spans="1:13" ht="20.100000000000001" customHeight="1" x14ac:dyDescent="0.2">
      <c r="A46" s="5" t="str">
        <f>HYPERLINK("#'5.5.1.1-2 Leaching and runoff'!A1", "5.5.1.1-2 Leaching and runoff")</f>
        <v>5.5.1.1-2 Leaching and runoff</v>
      </c>
      <c r="D46" s="1" t="s">
        <v>1676</v>
      </c>
      <c r="G46" s="1" t="str">
        <f>'Constants - Common'!$F$188</f>
        <v>Crop</v>
      </c>
      <c r="J46" s="19" t="s">
        <v>516</v>
      </c>
      <c r="M46" s="1"/>
    </row>
    <row r="47" spans="1:13" ht="20.100000000000001" customHeight="1" x14ac:dyDescent="0.2">
      <c r="D47" s="1" t="s">
        <v>312</v>
      </c>
      <c r="J47" s="1" t="s">
        <v>326</v>
      </c>
      <c r="M47" s="1"/>
    </row>
    <row r="48" spans="1:13" ht="20.100000000000001" customHeight="1" x14ac:dyDescent="0.2">
      <c r="J48" s="1" t="s">
        <v>517</v>
      </c>
      <c r="M48" s="1"/>
    </row>
    <row r="49" spans="1:14" ht="20.100000000000001" customHeight="1" x14ac:dyDescent="0.2">
      <c r="A49" s="80" t="s">
        <v>1</v>
      </c>
      <c r="J49" s="1" t="s">
        <v>518</v>
      </c>
      <c r="M49" s="1"/>
    </row>
    <row r="50" spans="1:14" ht="20.100000000000001" customHeight="1" x14ac:dyDescent="0.2">
      <c r="A50" s="81" t="str">
        <f>HYPERLINK("#'Constants - Poultry'!A1", "Constants - Poultry")</f>
        <v>Constants - Poultry</v>
      </c>
      <c r="M50" s="1"/>
    </row>
    <row r="51" spans="1:14" ht="20.100000000000001" customHeight="1" x14ac:dyDescent="0.2">
      <c r="A51" s="5" t="str">
        <f>HYPERLINK("#'Constants - Common livestock'!A1", "Constants - Common Livestock")</f>
        <v>Constants - Common Livestock</v>
      </c>
      <c r="D51" s="2" t="s">
        <v>1677</v>
      </c>
      <c r="M51" s="1"/>
    </row>
    <row r="52" spans="1:14" ht="20.100000000000001" customHeight="1" x14ac:dyDescent="0.2">
      <c r="A52" s="5" t="str">
        <f>HYPERLINK("#'Constants - Electricity'!A1", "Constants - Electricity")</f>
        <v>Constants - Electricity</v>
      </c>
      <c r="D52" s="17" t="s">
        <v>1678</v>
      </c>
      <c r="M52" s="1"/>
    </row>
    <row r="53" spans="1:14" ht="20.100000000000001" customHeight="1" x14ac:dyDescent="0.2">
      <c r="A53" s="5" t="str">
        <f>HYPERLINK("#'Constants - Fertiliser'!A1", "Constants - Fertiliser")</f>
        <v>Constants - Fertiliser</v>
      </c>
      <c r="D53" s="25" t="s">
        <v>1679</v>
      </c>
      <c r="M53" s="1"/>
    </row>
    <row r="54" spans="1:14" ht="20.100000000000001" customHeight="1" x14ac:dyDescent="0.2">
      <c r="A54" s="5" t="str">
        <f>HYPERLINK("#'Constants - Fuel'!A1", "Constants - Fuel")</f>
        <v>Constants - Fuel</v>
      </c>
      <c r="D54" s="25" t="s">
        <v>1680</v>
      </c>
      <c r="M54" s="1"/>
    </row>
    <row r="55" spans="1:14" ht="20.100000000000001" customHeight="1" x14ac:dyDescent="0.2">
      <c r="A55" s="5" t="str">
        <f>HYPERLINK("#'Constants - Scope 3'!A1", "Constants - Scope 3")</f>
        <v>Constants - Scope 3</v>
      </c>
      <c r="D55" s="25" t="s">
        <v>1681</v>
      </c>
      <c r="M55" s="1"/>
    </row>
    <row r="56" spans="1:14" ht="20.100000000000001" customHeight="1" x14ac:dyDescent="0.2">
      <c r="A56" s="5" t="str">
        <f>HYPERLINK("#'Constants - Solid Waste'!A1", "Constants - Solid Waste")</f>
        <v>Constants - Solid Waste</v>
      </c>
      <c r="D56" s="25" t="s">
        <v>1682</v>
      </c>
      <c r="M56" s="1"/>
    </row>
    <row r="57" spans="1:14" ht="20.100000000000001" customHeight="1" x14ac:dyDescent="0.2">
      <c r="A57" s="5" t="str">
        <f>HYPERLINK("#'Constants - Common'!A1", "Constants - Common")</f>
        <v>Constants - Common</v>
      </c>
      <c r="D57" s="25" t="s">
        <v>1683</v>
      </c>
      <c r="M57" s="1"/>
    </row>
    <row r="58" spans="1:14" ht="20.100000000000001" customHeight="1" x14ac:dyDescent="0.2">
      <c r="M58" s="1"/>
    </row>
    <row r="59" spans="1:14" ht="20.100000000000001" customHeight="1" x14ac:dyDescent="0.2">
      <c r="D59" s="19" t="s">
        <v>519</v>
      </c>
      <c r="E59" s="19" t="s">
        <v>520</v>
      </c>
      <c r="F59" s="19" t="s">
        <v>521</v>
      </c>
      <c r="G59" s="19" t="s">
        <v>522</v>
      </c>
      <c r="H59" s="19" t="s">
        <v>523</v>
      </c>
      <c r="I59" s="19" t="s">
        <v>524</v>
      </c>
      <c r="J59" s="19" t="s">
        <v>525</v>
      </c>
      <c r="K59" s="19" t="s">
        <v>526</v>
      </c>
      <c r="L59" s="19" t="s">
        <v>527</v>
      </c>
      <c r="M59" s="19" t="s">
        <v>528</v>
      </c>
      <c r="N59" s="19" t="s">
        <v>529</v>
      </c>
    </row>
    <row r="60" spans="1:14" ht="20.100000000000001" customHeight="1" x14ac:dyDescent="0.2">
      <c r="D60" s="19" t="s">
        <v>1684</v>
      </c>
      <c r="E60" s="19">
        <v>1.4999999999999999E-2</v>
      </c>
      <c r="F60" s="19">
        <v>1.4999999999999999E-2</v>
      </c>
      <c r="G60" s="19">
        <v>1.4999999999999999E-2</v>
      </c>
      <c r="H60" s="19">
        <v>1.4999999999999999E-2</v>
      </c>
      <c r="I60" s="19">
        <v>1.4999999999999999E-2</v>
      </c>
      <c r="J60" s="19">
        <v>1.4999999999999999E-2</v>
      </c>
      <c r="K60" s="19">
        <v>1.4999999999999999E-2</v>
      </c>
      <c r="L60" s="19">
        <v>1.4999999999999999E-2</v>
      </c>
      <c r="M60" s="19">
        <v>1.4999999999999999E-2</v>
      </c>
      <c r="N60" s="19" t="s">
        <v>78</v>
      </c>
    </row>
    <row r="61" spans="1:14" ht="20.100000000000001" customHeight="1" x14ac:dyDescent="0.2">
      <c r="D61" s="1" t="s">
        <v>1685</v>
      </c>
      <c r="E61" s="19">
        <v>1.4999999999999999E-2</v>
      </c>
      <c r="F61" s="19">
        <v>1.4999999999999999E-2</v>
      </c>
      <c r="G61" s="19">
        <v>1.4999999999999999E-2</v>
      </c>
      <c r="H61" s="19">
        <v>1.4999999999999999E-2</v>
      </c>
      <c r="I61" s="19">
        <v>1.4999999999999999E-2</v>
      </c>
      <c r="J61" s="19">
        <v>1.4999999999999999E-2</v>
      </c>
      <c r="K61" s="19">
        <v>1.4999999999999999E-2</v>
      </c>
      <c r="L61" s="19">
        <v>1.4999999999999999E-2</v>
      </c>
      <c r="M61" s="19">
        <v>1.4999999999999999E-2</v>
      </c>
      <c r="N61" s="19" t="s">
        <v>502</v>
      </c>
    </row>
    <row r="62" spans="1:14" ht="20.100000000000001" customHeight="1" x14ac:dyDescent="0.2">
      <c r="D62" s="1" t="s">
        <v>1685</v>
      </c>
      <c r="E62" s="19">
        <v>1.4999999999999999E-2</v>
      </c>
      <c r="F62" s="19">
        <v>1.4999999999999999E-2</v>
      </c>
      <c r="G62" s="19">
        <v>1.4999999999999999E-2</v>
      </c>
      <c r="H62" s="19">
        <v>1.4999999999999999E-2</v>
      </c>
      <c r="I62" s="19">
        <v>1.4999999999999999E-2</v>
      </c>
      <c r="J62" s="19">
        <v>1.4999999999999999E-2</v>
      </c>
      <c r="K62" s="19">
        <v>1.4999999999999999E-2</v>
      </c>
      <c r="L62" s="19">
        <v>1.4999999999999999E-2</v>
      </c>
      <c r="M62" s="19">
        <v>1.4999999999999999E-2</v>
      </c>
      <c r="N62" s="19" t="s">
        <v>505</v>
      </c>
    </row>
    <row r="63" spans="1:14" ht="20.100000000000001" customHeight="1" x14ac:dyDescent="0.2">
      <c r="D63" s="1" t="s">
        <v>82</v>
      </c>
      <c r="E63" s="19" t="s">
        <v>1686</v>
      </c>
      <c r="F63" s="19">
        <v>0.01</v>
      </c>
      <c r="G63" s="19">
        <v>0.01</v>
      </c>
      <c r="H63" s="19">
        <v>0.03</v>
      </c>
      <c r="I63" s="19">
        <v>0.03</v>
      </c>
      <c r="J63" s="19">
        <v>0.01</v>
      </c>
      <c r="K63" s="19">
        <v>0.01</v>
      </c>
      <c r="L63" s="19">
        <v>0.01</v>
      </c>
      <c r="M63" s="19">
        <v>0.01</v>
      </c>
      <c r="N63" s="19" t="s">
        <v>82</v>
      </c>
    </row>
    <row r="64" spans="1:14" ht="20.100000000000001" customHeight="1" x14ac:dyDescent="0.2">
      <c r="D64" s="1" t="s">
        <v>75</v>
      </c>
      <c r="E64" s="19">
        <v>0.02</v>
      </c>
      <c r="F64" s="19">
        <v>0.02</v>
      </c>
      <c r="G64" s="19">
        <v>0.02</v>
      </c>
      <c r="H64" s="19">
        <v>0.02</v>
      </c>
      <c r="I64" s="19">
        <v>0.02</v>
      </c>
      <c r="J64" s="19">
        <v>0.02</v>
      </c>
      <c r="K64" s="19">
        <v>0.02</v>
      </c>
      <c r="L64" s="19">
        <v>0.02</v>
      </c>
      <c r="M64" s="19">
        <v>0.02</v>
      </c>
      <c r="N64" s="19" t="s">
        <v>75</v>
      </c>
    </row>
    <row r="65" spans="1:22" ht="20.100000000000001" customHeight="1" x14ac:dyDescent="0.2">
      <c r="D65" s="1" t="s">
        <v>74</v>
      </c>
      <c r="E65" s="19" t="s">
        <v>1686</v>
      </c>
      <c r="F65" s="19">
        <v>0.01</v>
      </c>
      <c r="G65" s="19">
        <v>0.01</v>
      </c>
      <c r="H65" s="19">
        <v>0.01</v>
      </c>
      <c r="I65" s="19">
        <v>0.01</v>
      </c>
      <c r="J65" s="19">
        <v>0.01</v>
      </c>
      <c r="K65" s="19">
        <v>0.01</v>
      </c>
      <c r="L65" s="19">
        <v>0.01</v>
      </c>
      <c r="M65" s="19">
        <v>5.0000000000000001E-3</v>
      </c>
      <c r="N65" s="19" t="s">
        <v>74</v>
      </c>
    </row>
    <row r="66" spans="1:22" ht="20.100000000000001" customHeight="1" x14ac:dyDescent="0.2">
      <c r="D66" s="1" t="s">
        <v>1687</v>
      </c>
      <c r="E66" s="19">
        <v>0.1</v>
      </c>
      <c r="F66" s="19">
        <v>0.1</v>
      </c>
      <c r="G66" s="19">
        <v>0.1</v>
      </c>
      <c r="H66" s="19">
        <v>0.1</v>
      </c>
      <c r="I66" s="19">
        <v>0.1</v>
      </c>
      <c r="J66" s="19">
        <v>0.1</v>
      </c>
      <c r="K66" s="19">
        <v>0.1</v>
      </c>
      <c r="L66" s="19">
        <v>0.1</v>
      </c>
      <c r="M66" s="19">
        <v>0.1</v>
      </c>
      <c r="N66" s="19" t="s">
        <v>71</v>
      </c>
    </row>
    <row r="67" spans="1:22" ht="20.100000000000001" customHeight="1" x14ac:dyDescent="0.2">
      <c r="D67" s="1" t="s">
        <v>80</v>
      </c>
      <c r="E67" s="19">
        <v>0</v>
      </c>
      <c r="F67" s="19">
        <v>0</v>
      </c>
      <c r="G67" s="19">
        <v>0</v>
      </c>
      <c r="H67" s="19">
        <v>0</v>
      </c>
      <c r="I67" s="19">
        <v>0</v>
      </c>
      <c r="J67" s="19">
        <v>0</v>
      </c>
      <c r="K67" s="19">
        <v>0</v>
      </c>
      <c r="L67" s="19">
        <v>0</v>
      </c>
      <c r="M67" s="19">
        <v>0</v>
      </c>
      <c r="N67" s="19" t="s">
        <v>80</v>
      </c>
    </row>
    <row r="68" spans="1:22" ht="20.100000000000001" customHeight="1" x14ac:dyDescent="0.2">
      <c r="A68" s="79" t="str">
        <f>HYPERLINK("#A1", "▲ Back to top")</f>
        <v>▲ Back to top</v>
      </c>
      <c r="D68" s="1" t="s">
        <v>323</v>
      </c>
      <c r="E68" s="19">
        <v>0</v>
      </c>
      <c r="F68" s="19">
        <v>0</v>
      </c>
      <c r="G68" s="19">
        <v>0</v>
      </c>
      <c r="H68" s="19">
        <v>0</v>
      </c>
      <c r="I68" s="19">
        <v>0</v>
      </c>
      <c r="J68" s="19">
        <v>0</v>
      </c>
      <c r="K68" s="19">
        <v>0</v>
      </c>
      <c r="L68" s="19">
        <v>0</v>
      </c>
      <c r="M68" s="19">
        <v>0</v>
      </c>
      <c r="N68" s="19" t="s">
        <v>81</v>
      </c>
    </row>
    <row r="69" spans="1:22" ht="20.100000000000001" customHeight="1" x14ac:dyDescent="0.2">
      <c r="M69" s="1"/>
    </row>
    <row r="70" spans="1:22" ht="20.100000000000001" customHeight="1" x14ac:dyDescent="0.2">
      <c r="M70" s="1"/>
    </row>
    <row r="71" spans="1:22" ht="20.100000000000001" customHeight="1" x14ac:dyDescent="0.2">
      <c r="M71" s="1"/>
      <c r="V71" s="1"/>
    </row>
    <row r="72" spans="1:22" ht="20.100000000000001" customHeight="1" x14ac:dyDescent="0.2">
      <c r="D72" s="2" t="s">
        <v>1688</v>
      </c>
      <c r="M72" s="1"/>
      <c r="V72" s="1"/>
    </row>
    <row r="73" spans="1:22" ht="20.100000000000001" customHeight="1" x14ac:dyDescent="0.2">
      <c r="D73" s="17" t="s">
        <v>1689</v>
      </c>
      <c r="M73" s="1"/>
      <c r="V73" s="1"/>
    </row>
    <row r="74" spans="1:22" ht="20.100000000000001" customHeight="1" x14ac:dyDescent="0.2">
      <c r="D74" s="25" t="s">
        <v>1690</v>
      </c>
      <c r="M74" s="1"/>
      <c r="V74" s="1"/>
    </row>
    <row r="75" spans="1:22" ht="20.100000000000001" customHeight="1" x14ac:dyDescent="0.2">
      <c r="D75" s="19" t="s">
        <v>349</v>
      </c>
      <c r="E75" s="19" t="s">
        <v>530</v>
      </c>
      <c r="F75" s="19" t="s">
        <v>529</v>
      </c>
      <c r="M75" s="1"/>
      <c r="V75" s="1"/>
    </row>
    <row r="76" spans="1:22" ht="20.100000000000001" customHeight="1" x14ac:dyDescent="0.2">
      <c r="D76" s="19" t="s">
        <v>1684</v>
      </c>
      <c r="E76" s="19">
        <v>0.15</v>
      </c>
      <c r="F76" s="19" t="s">
        <v>78</v>
      </c>
      <c r="M76" s="1"/>
      <c r="V76" s="1"/>
    </row>
    <row r="77" spans="1:22" ht="20.100000000000001" customHeight="1" x14ac:dyDescent="0.2">
      <c r="D77" s="1" t="s">
        <v>1691</v>
      </c>
      <c r="E77" s="19">
        <v>0.2</v>
      </c>
      <c r="F77" s="19" t="s">
        <v>505</v>
      </c>
      <c r="M77" s="1"/>
      <c r="V77" s="1"/>
    </row>
    <row r="78" spans="1:22" ht="20.100000000000001" customHeight="1" x14ac:dyDescent="0.2">
      <c r="D78" s="1" t="s">
        <v>1692</v>
      </c>
      <c r="E78" s="19">
        <v>0</v>
      </c>
      <c r="F78" s="19" t="s">
        <v>502</v>
      </c>
      <c r="M78" s="1"/>
      <c r="V78" s="1"/>
    </row>
    <row r="79" spans="1:22" ht="20.100000000000001" customHeight="1" x14ac:dyDescent="0.2">
      <c r="M79" s="1"/>
      <c r="V79" s="1"/>
    </row>
    <row r="80" spans="1:22" ht="20.100000000000001" customHeight="1" x14ac:dyDescent="0.2">
      <c r="M80" s="1"/>
      <c r="V80" s="1"/>
    </row>
    <row r="81" spans="4:23" ht="20.100000000000001" customHeight="1" x14ac:dyDescent="0.2">
      <c r="D81" s="2" t="s">
        <v>1693</v>
      </c>
      <c r="M81" s="1"/>
      <c r="V81" s="1"/>
    </row>
    <row r="82" spans="4:23" ht="20.100000000000001" customHeight="1" x14ac:dyDescent="0.2">
      <c r="D82" s="17" t="s">
        <v>1694</v>
      </c>
      <c r="M82" s="1"/>
      <c r="V82" s="1"/>
    </row>
    <row r="83" spans="4:23" ht="20.100000000000001" customHeight="1" x14ac:dyDescent="0.2">
      <c r="D83" s="25" t="s">
        <v>1695</v>
      </c>
      <c r="M83" s="1"/>
    </row>
    <row r="84" spans="4:23" ht="20.100000000000001" customHeight="1" x14ac:dyDescent="0.2">
      <c r="D84" s="19" t="s">
        <v>531</v>
      </c>
      <c r="E84" s="19" t="s">
        <v>532</v>
      </c>
      <c r="F84" s="19" t="s">
        <v>533</v>
      </c>
      <c r="M84" s="1"/>
    </row>
    <row r="85" spans="4:23" ht="20.100000000000001" customHeight="1" x14ac:dyDescent="0.2">
      <c r="D85" s="19" t="s">
        <v>1696</v>
      </c>
      <c r="E85" s="19">
        <v>0.3</v>
      </c>
      <c r="F85" s="19" t="s">
        <v>78</v>
      </c>
      <c r="M85" s="1"/>
      <c r="V85" s="1"/>
    </row>
    <row r="86" spans="4:23" ht="20.100000000000001" customHeight="1" x14ac:dyDescent="0.2">
      <c r="D86" s="1" t="s">
        <v>1697</v>
      </c>
      <c r="E86" s="19">
        <v>0.05</v>
      </c>
      <c r="F86" s="19" t="s">
        <v>502</v>
      </c>
      <c r="M86" s="1"/>
      <c r="V86" s="1"/>
    </row>
    <row r="87" spans="4:23" ht="20.100000000000001" customHeight="1" x14ac:dyDescent="0.2">
      <c r="D87" s="1" t="s">
        <v>1698</v>
      </c>
      <c r="E87" s="19">
        <v>0.4</v>
      </c>
      <c r="F87" s="19" t="s">
        <v>505</v>
      </c>
      <c r="M87" s="1"/>
      <c r="V87" s="1"/>
    </row>
    <row r="88" spans="4:23" ht="20.100000000000001" customHeight="1" x14ac:dyDescent="0.2">
      <c r="D88" s="1" t="s">
        <v>1699</v>
      </c>
      <c r="E88" s="19">
        <v>0.2</v>
      </c>
      <c r="F88" s="19" t="s">
        <v>75</v>
      </c>
      <c r="M88" s="1"/>
      <c r="V88" s="1"/>
    </row>
    <row r="89" spans="4:23" ht="20.100000000000001" customHeight="1" x14ac:dyDescent="0.2">
      <c r="D89" s="1" t="s">
        <v>74</v>
      </c>
      <c r="E89" s="19">
        <v>0.2</v>
      </c>
      <c r="F89" s="19" t="s">
        <v>74</v>
      </c>
      <c r="M89" s="1"/>
      <c r="V89" s="1"/>
      <c r="W89" s="1"/>
    </row>
    <row r="90" spans="4:23" ht="20.100000000000001" customHeight="1" x14ac:dyDescent="0.2">
      <c r="D90" s="1" t="s">
        <v>80</v>
      </c>
      <c r="E90" s="19">
        <v>0</v>
      </c>
      <c r="F90" s="19" t="s">
        <v>80</v>
      </c>
      <c r="M90" s="1"/>
      <c r="V90" s="1"/>
      <c r="W90" s="1"/>
    </row>
    <row r="91" spans="4:23" ht="20.100000000000001" customHeight="1" x14ac:dyDescent="0.2">
      <c r="D91" s="1" t="s">
        <v>1700</v>
      </c>
      <c r="E91" s="19">
        <v>0</v>
      </c>
      <c r="F91" s="19" t="s">
        <v>71</v>
      </c>
      <c r="M91" s="1"/>
      <c r="V91" s="1"/>
    </row>
    <row r="92" spans="4:23" ht="20.100000000000001" customHeight="1" x14ac:dyDescent="0.2">
      <c r="M92" s="1"/>
      <c r="V92" s="1"/>
    </row>
    <row r="93" spans="4:23" ht="20.100000000000001" customHeight="1" x14ac:dyDescent="0.2">
      <c r="M93" s="1"/>
      <c r="V93" s="1"/>
    </row>
    <row r="94" spans="4:23" ht="20.100000000000001" customHeight="1" x14ac:dyDescent="0.2">
      <c r="D94" s="2" t="s">
        <v>1701</v>
      </c>
      <c r="M94" s="1"/>
    </row>
    <row r="95" spans="4:23" ht="20.100000000000001" customHeight="1" x14ac:dyDescent="0.2">
      <c r="D95" s="17" t="s">
        <v>1702</v>
      </c>
      <c r="M95" s="1"/>
    </row>
    <row r="96" spans="4:23" ht="20.100000000000001" customHeight="1" x14ac:dyDescent="0.2">
      <c r="D96" s="25" t="s">
        <v>1703</v>
      </c>
      <c r="M96" s="1"/>
    </row>
    <row r="97" spans="1:13" ht="20.100000000000001" customHeight="1" x14ac:dyDescent="0.2">
      <c r="D97" s="19" t="s">
        <v>531</v>
      </c>
      <c r="E97" s="19" t="s">
        <v>534</v>
      </c>
      <c r="F97" s="19" t="s">
        <v>533</v>
      </c>
      <c r="M97" s="1"/>
    </row>
    <row r="98" spans="1:13" ht="20.100000000000001" customHeight="1" x14ac:dyDescent="0.2">
      <c r="A98" s="79" t="str">
        <f>HYPERLINK("#A1", "▲ Back to top")</f>
        <v>▲ Back to top</v>
      </c>
      <c r="D98" s="19" t="s">
        <v>1696</v>
      </c>
      <c r="E98" s="19">
        <v>1E-3</v>
      </c>
      <c r="F98" s="19" t="s">
        <v>78</v>
      </c>
      <c r="M98" s="1"/>
    </row>
    <row r="99" spans="1:13" ht="20.100000000000001" customHeight="1" x14ac:dyDescent="0.2">
      <c r="D99" s="1" t="s">
        <v>1704</v>
      </c>
      <c r="E99" s="19">
        <v>1E-3</v>
      </c>
      <c r="F99" s="19" t="s">
        <v>502</v>
      </c>
      <c r="M99" s="1"/>
    </row>
    <row r="100" spans="1:13" ht="20.100000000000001" customHeight="1" x14ac:dyDescent="0.2">
      <c r="D100" s="1" t="s">
        <v>1704</v>
      </c>
      <c r="E100" s="19">
        <v>1E-3</v>
      </c>
      <c r="F100" s="19" t="s">
        <v>505</v>
      </c>
      <c r="M100" s="1"/>
    </row>
    <row r="101" spans="1:13" ht="20.100000000000001" customHeight="1" x14ac:dyDescent="0.2">
      <c r="D101" s="1" t="s">
        <v>1705</v>
      </c>
      <c r="E101" s="19">
        <v>0.02</v>
      </c>
      <c r="F101" s="19" t="s">
        <v>82</v>
      </c>
      <c r="M101" s="1"/>
    </row>
    <row r="102" spans="1:13" ht="20.100000000000001" customHeight="1" x14ac:dyDescent="0.2">
      <c r="D102" s="1" t="s">
        <v>1699</v>
      </c>
      <c r="E102" s="19">
        <v>5.0000000000000001E-3</v>
      </c>
      <c r="F102" s="19" t="s">
        <v>75</v>
      </c>
      <c r="M102" s="1"/>
    </row>
    <row r="103" spans="1:13" ht="20.100000000000001" customHeight="1" x14ac:dyDescent="0.2">
      <c r="D103" s="1" t="s">
        <v>74</v>
      </c>
      <c r="E103" s="19">
        <v>0.01</v>
      </c>
      <c r="F103" s="19" t="s">
        <v>74</v>
      </c>
      <c r="M103" s="1"/>
    </row>
    <row r="104" spans="1:13" ht="20.100000000000001" customHeight="1" x14ac:dyDescent="0.2">
      <c r="D104" s="1" t="s">
        <v>80</v>
      </c>
      <c r="E104" s="19">
        <v>0</v>
      </c>
      <c r="F104" s="19" t="s">
        <v>80</v>
      </c>
      <c r="M104" s="1"/>
    </row>
    <row r="105" spans="1:13" ht="20.100000000000001" customHeight="1" x14ac:dyDescent="0.2">
      <c r="D105" s="1" t="s">
        <v>1700</v>
      </c>
      <c r="E105" s="19">
        <v>0</v>
      </c>
      <c r="F105" s="19" t="s">
        <v>71</v>
      </c>
      <c r="M105" s="1"/>
    </row>
    <row r="106" spans="1:13" ht="20.100000000000001" customHeight="1" x14ac:dyDescent="0.2">
      <c r="M106" s="1"/>
    </row>
    <row r="107" spans="1:13" ht="20.100000000000001" customHeight="1" x14ac:dyDescent="0.2">
      <c r="M107" s="1"/>
    </row>
    <row r="108" spans="1:13" ht="20.100000000000001" customHeight="1" x14ac:dyDescent="0.2">
      <c r="D108" s="2" t="s">
        <v>1706</v>
      </c>
      <c r="M108" s="1"/>
    </row>
    <row r="109" spans="1:13" ht="20.100000000000001" customHeight="1" x14ac:dyDescent="0.2">
      <c r="D109" s="17" t="s">
        <v>1707</v>
      </c>
      <c r="M109" s="1"/>
    </row>
    <row r="110" spans="1:13" ht="20.100000000000001" customHeight="1" x14ac:dyDescent="0.2">
      <c r="D110" s="75" t="s">
        <v>1708</v>
      </c>
      <c r="E110" s="1">
        <v>0.02</v>
      </c>
      <c r="M110" s="1"/>
    </row>
    <row r="111" spans="1:13" ht="20.100000000000001" customHeight="1" x14ac:dyDescent="0.2">
      <c r="M111" s="1"/>
    </row>
    <row r="112" spans="1:13" ht="20.100000000000001" customHeight="1" x14ac:dyDescent="0.2">
      <c r="D112" s="2" t="s">
        <v>1709</v>
      </c>
      <c r="M112" s="1"/>
    </row>
    <row r="113" spans="4:22" ht="20.100000000000001" customHeight="1" x14ac:dyDescent="0.2">
      <c r="D113" s="17" t="s">
        <v>1707</v>
      </c>
      <c r="M113" s="1"/>
    </row>
    <row r="114" spans="4:22" ht="20.100000000000001" customHeight="1" x14ac:dyDescent="0.2">
      <c r="D114" s="25" t="s">
        <v>1710</v>
      </c>
      <c r="M114" s="1"/>
    </row>
    <row r="115" spans="4:22" ht="20.100000000000001" customHeight="1" x14ac:dyDescent="0.2">
      <c r="D115" s="75" t="s">
        <v>1642</v>
      </c>
      <c r="E115" s="1">
        <v>0.21</v>
      </c>
      <c r="F115" s="9" t="s">
        <v>1311</v>
      </c>
      <c r="M115" s="1"/>
      <c r="V115" s="1"/>
    </row>
    <row r="116" spans="4:22" ht="20.100000000000001" customHeight="1" x14ac:dyDescent="0.2">
      <c r="M116" s="1"/>
      <c r="V116" s="1"/>
    </row>
    <row r="117" spans="4:22" ht="20.100000000000001" customHeight="1" x14ac:dyDescent="0.2">
      <c r="D117" s="2" t="s">
        <v>1711</v>
      </c>
      <c r="M117" s="1"/>
      <c r="V117" s="1"/>
    </row>
    <row r="118" spans="4:22" ht="20.100000000000001" customHeight="1" x14ac:dyDescent="0.2">
      <c r="D118" s="17" t="s">
        <v>1712</v>
      </c>
      <c r="M118" s="1"/>
    </row>
    <row r="119" spans="4:22" ht="20.100000000000001" customHeight="1" x14ac:dyDescent="0.2">
      <c r="D119" s="19" t="s">
        <v>535</v>
      </c>
      <c r="E119" s="19" t="s">
        <v>536</v>
      </c>
      <c r="M119" s="1"/>
    </row>
    <row r="120" spans="4:22" ht="20.100000000000001" customHeight="1" x14ac:dyDescent="0.2">
      <c r="D120" s="19" t="s">
        <v>946</v>
      </c>
      <c r="E120" s="19">
        <v>1.3</v>
      </c>
      <c r="M120" s="1"/>
    </row>
    <row r="121" spans="4:22" ht="20.100000000000001" customHeight="1" x14ac:dyDescent="0.2">
      <c r="D121" s="1" t="s">
        <v>1713</v>
      </c>
      <c r="E121" s="19">
        <v>2</v>
      </c>
      <c r="M121" s="1"/>
    </row>
    <row r="122" spans="4:22" ht="20.100000000000001" customHeight="1" x14ac:dyDescent="0.2">
      <c r="D122" s="1" t="s">
        <v>948</v>
      </c>
      <c r="E122" s="19">
        <v>1.4</v>
      </c>
      <c r="M122" s="1"/>
    </row>
    <row r="123" spans="4:22" ht="20.100000000000001" customHeight="1" x14ac:dyDescent="0.2">
      <c r="D123" s="1" t="s">
        <v>1714</v>
      </c>
      <c r="E123" s="19">
        <v>1.2</v>
      </c>
      <c r="M123" s="1"/>
    </row>
    <row r="124" spans="4:22" ht="20.100000000000001" customHeight="1" x14ac:dyDescent="0.2">
      <c r="M124" s="1"/>
    </row>
    <row r="125" spans="4:22" ht="20.100000000000001" customHeight="1" x14ac:dyDescent="0.2">
      <c r="M125" s="1"/>
      <c r="V125" s="1"/>
    </row>
    <row r="126" spans="4:22" ht="20.100000000000001" customHeight="1" x14ac:dyDescent="0.2">
      <c r="M126" s="1"/>
      <c r="V126" s="1"/>
    </row>
    <row r="127" spans="4:22" ht="20.100000000000001" customHeight="1" x14ac:dyDescent="0.2">
      <c r="M127" s="1"/>
      <c r="V127" s="1"/>
    </row>
    <row r="128" spans="4:22" ht="20.100000000000001" customHeight="1" x14ac:dyDescent="0.2">
      <c r="M128" s="1"/>
      <c r="V128" s="1"/>
    </row>
    <row r="129" spans="13:22" ht="20.100000000000001" customHeight="1" x14ac:dyDescent="0.2">
      <c r="M129" s="1"/>
      <c r="V129" s="1"/>
    </row>
    <row r="130" spans="13:22" ht="20.100000000000001" customHeight="1" x14ac:dyDescent="0.2">
      <c r="M130" s="1"/>
      <c r="V130" s="1"/>
    </row>
    <row r="131" spans="13:22" ht="20.100000000000001" customHeight="1" x14ac:dyDescent="0.2">
      <c r="M131" s="1"/>
    </row>
    <row r="132" spans="13:22" ht="20.100000000000001" customHeight="1" x14ac:dyDescent="0.2">
      <c r="M132" s="1"/>
    </row>
    <row r="133" spans="13:22" ht="20.100000000000001" customHeight="1" x14ac:dyDescent="0.2">
      <c r="M133" s="1"/>
    </row>
    <row r="134" spans="13:22" ht="20.100000000000001" customHeight="1" x14ac:dyDescent="0.2">
      <c r="M134" s="1"/>
    </row>
    <row r="135" spans="13:22" ht="20.100000000000001" customHeight="1" x14ac:dyDescent="0.2">
      <c r="M135" s="1"/>
    </row>
    <row r="136" spans="13:22" ht="20.100000000000001" customHeight="1" x14ac:dyDescent="0.2">
      <c r="M136" s="1"/>
    </row>
    <row r="137" spans="13:22" ht="20.100000000000001" customHeight="1" x14ac:dyDescent="0.2">
      <c r="M137" s="1"/>
    </row>
    <row r="138" spans="13:22" ht="20.100000000000001" customHeight="1" x14ac:dyDescent="0.2">
      <c r="M138" s="1"/>
    </row>
    <row r="139" spans="13:22" ht="20.100000000000001" customHeight="1" x14ac:dyDescent="0.2">
      <c r="M139" s="1"/>
    </row>
    <row r="140" spans="13:22" ht="20.100000000000001" customHeight="1" x14ac:dyDescent="0.2">
      <c r="M140" s="1"/>
    </row>
    <row r="141" spans="13:22" ht="20.100000000000001" customHeight="1" x14ac:dyDescent="0.2">
      <c r="M141" s="1"/>
    </row>
    <row r="142" spans="13:22" ht="20.100000000000001" customHeight="1" x14ac:dyDescent="0.2">
      <c r="M142" s="1"/>
    </row>
    <row r="143" spans="13:22" ht="20.100000000000001" customHeight="1" x14ac:dyDescent="0.2">
      <c r="M143" s="1"/>
    </row>
    <row r="144" spans="13:22" ht="20.100000000000001" customHeight="1" x14ac:dyDescent="0.2">
      <c r="M144" s="1"/>
    </row>
    <row r="145" spans="13:13" ht="20.100000000000001" customHeight="1" x14ac:dyDescent="0.2">
      <c r="M145" s="1"/>
    </row>
    <row r="146" spans="13:13" ht="20.100000000000001" customHeight="1" x14ac:dyDescent="0.2">
      <c r="M146" s="1"/>
    </row>
    <row r="147" spans="13:13" ht="20.100000000000001" customHeight="1" x14ac:dyDescent="0.2">
      <c r="M147" s="1"/>
    </row>
    <row r="148" spans="13:13" ht="20.100000000000001" customHeight="1" x14ac:dyDescent="0.2">
      <c r="M148" s="1"/>
    </row>
    <row r="149" spans="13:13" ht="20.100000000000001" customHeight="1" x14ac:dyDescent="0.2">
      <c r="M149" s="1"/>
    </row>
    <row r="150" spans="13:13" ht="20.100000000000001" customHeight="1" x14ac:dyDescent="0.2">
      <c r="M150" s="1"/>
    </row>
    <row r="151" spans="13:13" ht="20.100000000000001" customHeight="1" x14ac:dyDescent="0.2">
      <c r="M151" s="1"/>
    </row>
    <row r="152" spans="13:13" ht="20.100000000000001" customHeight="1" x14ac:dyDescent="0.2">
      <c r="M152" s="1"/>
    </row>
    <row r="153" spans="13:13" ht="20.100000000000001" customHeight="1" x14ac:dyDescent="0.2">
      <c r="M153" s="1"/>
    </row>
    <row r="154" spans="13:13" ht="20.100000000000001" customHeight="1" x14ac:dyDescent="0.2">
      <c r="M154" s="1"/>
    </row>
    <row r="155" spans="13:13" ht="20.100000000000001" customHeight="1" x14ac:dyDescent="0.2">
      <c r="M155" s="1"/>
    </row>
    <row r="156" spans="13:13" ht="20.100000000000001" customHeight="1" x14ac:dyDescent="0.2">
      <c r="M156" s="1"/>
    </row>
    <row r="157" spans="13:13" ht="20.100000000000001" customHeight="1" x14ac:dyDescent="0.2">
      <c r="M157" s="1"/>
    </row>
    <row r="158" spans="13:13" ht="20.100000000000001" customHeight="1" x14ac:dyDescent="0.2">
      <c r="M158" s="1"/>
    </row>
    <row r="159" spans="13:13" ht="20.100000000000001" customHeight="1" x14ac:dyDescent="0.2">
      <c r="M159" s="1"/>
    </row>
    <row r="160" spans="13:13" ht="20.100000000000001" customHeight="1" x14ac:dyDescent="0.2">
      <c r="M160" s="1"/>
    </row>
    <row r="161" spans="13:13" ht="20.100000000000001" customHeight="1" x14ac:dyDescent="0.2">
      <c r="M161" s="1"/>
    </row>
    <row r="162" spans="13:13" ht="20.100000000000001" customHeight="1" x14ac:dyDescent="0.2">
      <c r="M162" s="1"/>
    </row>
    <row r="163" spans="13:13" ht="20.100000000000001" customHeight="1" x14ac:dyDescent="0.2">
      <c r="M163" s="1"/>
    </row>
    <row r="164" spans="13:13" ht="20.100000000000001" customHeight="1" x14ac:dyDescent="0.2">
      <c r="M164" s="1"/>
    </row>
    <row r="165" spans="13:13" ht="20.100000000000001" customHeight="1" x14ac:dyDescent="0.2">
      <c r="M165" s="1"/>
    </row>
    <row r="166" spans="13:13" ht="20.100000000000001" customHeight="1" x14ac:dyDescent="0.2">
      <c r="M166" s="1"/>
    </row>
    <row r="167" spans="13:13" ht="20.100000000000001" customHeight="1" x14ac:dyDescent="0.2">
      <c r="M167" s="1"/>
    </row>
    <row r="168" spans="13:13" ht="20.100000000000001" customHeight="1" x14ac:dyDescent="0.2">
      <c r="M168" s="1"/>
    </row>
    <row r="169" spans="13:13" ht="20.100000000000001" customHeight="1" x14ac:dyDescent="0.2">
      <c r="M169" s="1"/>
    </row>
    <row r="170" spans="13:13" ht="20.100000000000001" customHeight="1" x14ac:dyDescent="0.2">
      <c r="M170" s="1"/>
    </row>
    <row r="171" spans="13:13" ht="20.100000000000001" customHeight="1" x14ac:dyDescent="0.2">
      <c r="M171" s="1"/>
    </row>
    <row r="172" spans="13:13" ht="20.100000000000001" customHeight="1" x14ac:dyDescent="0.2">
      <c r="M172" s="1"/>
    </row>
    <row r="173" spans="13:13" ht="20.100000000000001" customHeight="1" x14ac:dyDescent="0.2">
      <c r="M173" s="1"/>
    </row>
    <row r="174" spans="13:13" ht="20.100000000000001" customHeight="1" x14ac:dyDescent="0.2">
      <c r="M174" s="1"/>
    </row>
    <row r="175" spans="13:13" ht="20.100000000000001" customHeight="1" x14ac:dyDescent="0.2">
      <c r="M175" s="1"/>
    </row>
    <row r="176" spans="13:13" ht="20.100000000000001" customHeight="1" x14ac:dyDescent="0.2">
      <c r="M176" s="1"/>
    </row>
    <row r="177" spans="13:13" ht="20.100000000000001" customHeight="1" x14ac:dyDescent="0.2">
      <c r="M177" s="1"/>
    </row>
    <row r="178" spans="13:13" ht="20.100000000000001" customHeight="1" x14ac:dyDescent="0.2">
      <c r="M178" s="1"/>
    </row>
    <row r="179" spans="13:13" ht="20.100000000000001" customHeight="1" x14ac:dyDescent="0.2">
      <c r="M179" s="1"/>
    </row>
    <row r="180" spans="13:13" ht="20.100000000000001" customHeight="1" x14ac:dyDescent="0.2">
      <c r="M180" s="1"/>
    </row>
    <row r="181" spans="13:13" ht="20.100000000000001" customHeight="1" x14ac:dyDescent="0.2">
      <c r="M181" s="1"/>
    </row>
    <row r="182" spans="13:13" ht="20.100000000000001" customHeight="1" x14ac:dyDescent="0.2">
      <c r="M182" s="1"/>
    </row>
    <row r="183" spans="13:13" ht="20.100000000000001" customHeight="1" x14ac:dyDescent="0.2">
      <c r="M183" s="1"/>
    </row>
    <row r="184" spans="13:13" ht="20.100000000000001" customHeight="1" x14ac:dyDescent="0.2">
      <c r="M184" s="1"/>
    </row>
    <row r="185" spans="13:13" ht="20.100000000000001" customHeight="1" x14ac:dyDescent="0.2">
      <c r="M185" s="1"/>
    </row>
    <row r="186" spans="13:13" ht="20.100000000000001" customHeight="1" x14ac:dyDescent="0.2">
      <c r="M186" s="1"/>
    </row>
    <row r="187" spans="13:13" ht="20.100000000000001" customHeight="1" x14ac:dyDescent="0.2">
      <c r="M187" s="1"/>
    </row>
    <row r="188" spans="13:13" ht="20.100000000000001" customHeight="1" x14ac:dyDescent="0.2">
      <c r="M188" s="1"/>
    </row>
    <row r="189" spans="13:13" ht="20.100000000000001" customHeight="1" x14ac:dyDescent="0.2">
      <c r="M189" s="1"/>
    </row>
    <row r="190" spans="13:13" ht="20.100000000000001" customHeight="1" x14ac:dyDescent="0.2">
      <c r="M190" s="1"/>
    </row>
    <row r="191" spans="13:13" ht="20.100000000000001" customHeight="1" x14ac:dyDescent="0.2">
      <c r="M191" s="1"/>
    </row>
    <row r="192" spans="13:13" ht="20.100000000000001" customHeight="1" x14ac:dyDescent="0.2">
      <c r="M192" s="1"/>
    </row>
    <row r="193" spans="13:13" ht="20.100000000000001" customHeight="1" x14ac:dyDescent="0.2">
      <c r="M193" s="1"/>
    </row>
    <row r="194" spans="13:13" ht="20.100000000000001" customHeight="1" x14ac:dyDescent="0.2">
      <c r="M194" s="1"/>
    </row>
    <row r="195" spans="13:13" ht="20.100000000000001" customHeight="1" x14ac:dyDescent="0.2">
      <c r="M195" s="1"/>
    </row>
    <row r="196" spans="13:13" ht="20.100000000000001" customHeight="1" x14ac:dyDescent="0.2">
      <c r="M196" s="1"/>
    </row>
    <row r="197" spans="13:13" ht="20.100000000000001" customHeight="1" x14ac:dyDescent="0.2">
      <c r="M197" s="1"/>
    </row>
    <row r="198" spans="13:13" ht="20.100000000000001" customHeight="1" x14ac:dyDescent="0.2">
      <c r="M198" s="1"/>
    </row>
    <row r="199" spans="13:13" ht="20.100000000000001" customHeight="1" x14ac:dyDescent="0.2">
      <c r="M199" s="1"/>
    </row>
    <row r="200" spans="13:13" ht="20.100000000000001" customHeight="1" x14ac:dyDescent="0.2">
      <c r="M200" s="1"/>
    </row>
    <row r="201" spans="13:13" ht="20.100000000000001" customHeight="1" x14ac:dyDescent="0.2">
      <c r="M201" s="1"/>
    </row>
    <row r="202" spans="13:13" ht="20.100000000000001" customHeight="1" x14ac:dyDescent="0.2">
      <c r="M202" s="1"/>
    </row>
    <row r="203" spans="13:13" ht="20.100000000000001" customHeight="1" x14ac:dyDescent="0.2">
      <c r="M203" s="1"/>
    </row>
    <row r="204" spans="13:13" ht="20.100000000000001" customHeight="1" x14ac:dyDescent="0.2">
      <c r="M204" s="1"/>
    </row>
    <row r="205" spans="13:13" ht="20.100000000000001" customHeight="1" x14ac:dyDescent="0.2">
      <c r="M205" s="1"/>
    </row>
    <row r="206" spans="13:13" ht="20.100000000000001" customHeight="1" x14ac:dyDescent="0.2">
      <c r="M206" s="1"/>
    </row>
    <row r="207" spans="13:13" ht="20.100000000000001" customHeight="1" x14ac:dyDescent="0.2">
      <c r="M207" s="1"/>
    </row>
    <row r="208" spans="13:13" ht="20.100000000000001" customHeight="1" x14ac:dyDescent="0.2">
      <c r="M208" s="1"/>
    </row>
    <row r="209" spans="13:13" ht="20.100000000000001" customHeight="1" x14ac:dyDescent="0.2">
      <c r="M209" s="1"/>
    </row>
    <row r="210" spans="13:13" ht="20.100000000000001" customHeight="1" x14ac:dyDescent="0.2">
      <c r="M210" s="1"/>
    </row>
    <row r="211" spans="13:13" ht="20.100000000000001" customHeight="1" x14ac:dyDescent="0.2">
      <c r="M211" s="1"/>
    </row>
    <row r="212" spans="13:13" ht="20.100000000000001" customHeight="1" x14ac:dyDescent="0.2">
      <c r="M212" s="1"/>
    </row>
    <row r="213" spans="13:13" ht="20.100000000000001" customHeight="1" x14ac:dyDescent="0.2">
      <c r="M213" s="1"/>
    </row>
    <row r="214" spans="13:13" ht="20.100000000000001" customHeight="1" x14ac:dyDescent="0.2">
      <c r="M214" s="1"/>
    </row>
    <row r="215" spans="13:13" ht="20.100000000000001" customHeight="1" x14ac:dyDescent="0.2">
      <c r="M215" s="1"/>
    </row>
    <row r="216" spans="13:13" ht="20.100000000000001" customHeight="1" x14ac:dyDescent="0.2">
      <c r="M216" s="1"/>
    </row>
    <row r="217" spans="13:13" ht="20.100000000000001" customHeight="1" x14ac:dyDescent="0.2">
      <c r="M217" s="1"/>
    </row>
    <row r="218" spans="13:13" ht="20.100000000000001" customHeight="1" x14ac:dyDescent="0.2">
      <c r="M218" s="1"/>
    </row>
    <row r="219" spans="13:13" ht="20.100000000000001" customHeight="1" x14ac:dyDescent="0.2">
      <c r="M219" s="1"/>
    </row>
    <row r="220" spans="13:13" ht="20.100000000000001" customHeight="1" x14ac:dyDescent="0.2">
      <c r="M220" s="1"/>
    </row>
    <row r="221" spans="13:13" ht="20.100000000000001" customHeight="1" x14ac:dyDescent="0.2">
      <c r="M221" s="1"/>
    </row>
    <row r="222" spans="13:13" ht="20.100000000000001" customHeight="1" x14ac:dyDescent="0.2">
      <c r="M222" s="1"/>
    </row>
    <row r="223" spans="13:13" ht="20.100000000000001" customHeight="1" x14ac:dyDescent="0.2">
      <c r="M223" s="1"/>
    </row>
    <row r="224" spans="13:13" ht="20.100000000000001" customHeight="1" x14ac:dyDescent="0.2">
      <c r="M224" s="1"/>
    </row>
    <row r="225" spans="13:13" ht="20.100000000000001" customHeight="1" x14ac:dyDescent="0.2">
      <c r="M225" s="1"/>
    </row>
    <row r="226" spans="13:13" ht="20.100000000000001" customHeight="1" x14ac:dyDescent="0.2">
      <c r="M226" s="1"/>
    </row>
    <row r="227" spans="13:13" ht="20.100000000000001" customHeight="1" x14ac:dyDescent="0.2">
      <c r="M227" s="1"/>
    </row>
    <row r="228" spans="13:13" ht="20.100000000000001" customHeight="1" x14ac:dyDescent="0.2">
      <c r="M228" s="1"/>
    </row>
    <row r="229" spans="13:13" ht="20.100000000000001" customHeight="1" x14ac:dyDescent="0.2">
      <c r="M229" s="1"/>
    </row>
    <row r="230" spans="13:13" ht="20.100000000000001" customHeight="1" x14ac:dyDescent="0.2">
      <c r="M230" s="1"/>
    </row>
    <row r="231" spans="13:13" ht="20.100000000000001" customHeight="1" x14ac:dyDescent="0.2">
      <c r="M231" s="1"/>
    </row>
    <row r="232" spans="13:13" ht="20.100000000000001" customHeight="1" x14ac:dyDescent="0.2">
      <c r="M232" s="1"/>
    </row>
    <row r="233" spans="13:13" ht="20.100000000000001" customHeight="1" x14ac:dyDescent="0.2">
      <c r="M233" s="1"/>
    </row>
    <row r="234" spans="13:13" ht="20.100000000000001" customHeight="1" x14ac:dyDescent="0.2">
      <c r="M234" s="1"/>
    </row>
    <row r="235" spans="13:13" ht="20.100000000000001" customHeight="1" x14ac:dyDescent="0.2">
      <c r="M235" s="1"/>
    </row>
    <row r="236" spans="13:13" ht="20.100000000000001" customHeight="1" x14ac:dyDescent="0.2">
      <c r="M236" s="1"/>
    </row>
    <row r="237" spans="13:13" ht="20.100000000000001" customHeight="1" x14ac:dyDescent="0.2">
      <c r="M237" s="1"/>
    </row>
    <row r="238" spans="13:13" ht="20.100000000000001" customHeight="1" x14ac:dyDescent="0.2">
      <c r="M238" s="1"/>
    </row>
    <row r="239" spans="13:13" ht="20.100000000000001" customHeight="1" x14ac:dyDescent="0.2">
      <c r="M239" s="1"/>
    </row>
    <row r="240" spans="13:13" ht="20.100000000000001" customHeight="1" x14ac:dyDescent="0.2">
      <c r="M240" s="1"/>
    </row>
    <row r="241" spans="13:13" ht="20.100000000000001" customHeight="1" x14ac:dyDescent="0.2">
      <c r="M241" s="1"/>
    </row>
    <row r="242" spans="13:13" ht="20.100000000000001" customHeight="1" x14ac:dyDescent="0.2">
      <c r="M242" s="1"/>
    </row>
    <row r="243" spans="13:13" ht="20.100000000000001" customHeight="1" x14ac:dyDescent="0.2">
      <c r="M243" s="1"/>
    </row>
    <row r="244" spans="13:13" ht="20.100000000000001" customHeight="1" x14ac:dyDescent="0.2">
      <c r="M244" s="1"/>
    </row>
    <row r="245" spans="13:13" ht="20.100000000000001" customHeight="1" x14ac:dyDescent="0.2">
      <c r="M245" s="1"/>
    </row>
    <row r="246" spans="13:13" ht="20.100000000000001" customHeight="1" x14ac:dyDescent="0.2">
      <c r="M246" s="1"/>
    </row>
    <row r="247" spans="13:13" ht="20.100000000000001" customHeight="1" x14ac:dyDescent="0.2">
      <c r="M247" s="1"/>
    </row>
    <row r="248" spans="13:13" ht="20.100000000000001" customHeight="1" x14ac:dyDescent="0.2">
      <c r="M248" s="1"/>
    </row>
    <row r="249" spans="13:13" ht="20.100000000000001" customHeight="1" x14ac:dyDescent="0.2">
      <c r="M249" s="1"/>
    </row>
    <row r="250" spans="13:13" ht="20.100000000000001" customHeight="1" x14ac:dyDescent="0.2">
      <c r="M250" s="1"/>
    </row>
    <row r="251" spans="13:13" ht="20.100000000000001" customHeight="1" x14ac:dyDescent="0.2">
      <c r="M251" s="1"/>
    </row>
    <row r="252" spans="13:13" ht="20.100000000000001" customHeight="1" x14ac:dyDescent="0.2">
      <c r="M252" s="1"/>
    </row>
    <row r="253" spans="13:13" ht="20.100000000000001" customHeight="1" x14ac:dyDescent="0.2">
      <c r="M253" s="1"/>
    </row>
    <row r="254" spans="13:13" ht="20.100000000000001" customHeight="1" x14ac:dyDescent="0.2">
      <c r="M254" s="1"/>
    </row>
    <row r="255" spans="13:13" ht="20.100000000000001" customHeight="1" x14ac:dyDescent="0.2">
      <c r="M255" s="1"/>
    </row>
    <row r="256" spans="13:13" ht="20.100000000000001" customHeight="1" x14ac:dyDescent="0.2">
      <c r="M256" s="1"/>
    </row>
    <row r="257" spans="13:13" ht="20.100000000000001" customHeight="1" x14ac:dyDescent="0.2">
      <c r="M257" s="1"/>
    </row>
    <row r="258" spans="13:13" ht="20.100000000000001" customHeight="1" x14ac:dyDescent="0.2">
      <c r="M258" s="1"/>
    </row>
    <row r="259" spans="13:13" ht="20.100000000000001" customHeight="1" x14ac:dyDescent="0.2">
      <c r="M259" s="1"/>
    </row>
    <row r="260" spans="13:13" ht="20.100000000000001" customHeight="1" x14ac:dyDescent="0.2">
      <c r="M260" s="1"/>
    </row>
    <row r="261" spans="13:13" ht="20.100000000000001" customHeight="1" x14ac:dyDescent="0.2">
      <c r="M261" s="1"/>
    </row>
    <row r="262" spans="13:13" ht="20.100000000000001" customHeight="1" x14ac:dyDescent="0.2">
      <c r="M262" s="1"/>
    </row>
    <row r="263" spans="13:13" ht="20.100000000000001" customHeight="1" x14ac:dyDescent="0.2">
      <c r="M263" s="1"/>
    </row>
    <row r="264" spans="13:13" ht="20.100000000000001" customHeight="1" x14ac:dyDescent="0.2">
      <c r="M264" s="1"/>
    </row>
    <row r="265" spans="13:13" ht="20.100000000000001" customHeight="1" x14ac:dyDescent="0.2">
      <c r="M265" s="1"/>
    </row>
    <row r="266" spans="13:13" ht="20.100000000000001" customHeight="1" x14ac:dyDescent="0.2">
      <c r="M266" s="1"/>
    </row>
    <row r="267" spans="13:13" ht="20.100000000000001" customHeight="1" x14ac:dyDescent="0.2">
      <c r="M267" s="1"/>
    </row>
    <row r="268" spans="13:13" ht="20.100000000000001" customHeight="1" x14ac:dyDescent="0.2">
      <c r="M268" s="1"/>
    </row>
    <row r="269" spans="13:13" ht="20.100000000000001" customHeight="1" x14ac:dyDescent="0.2">
      <c r="M269" s="1"/>
    </row>
    <row r="270" spans="13:13" ht="20.100000000000001" customHeight="1" x14ac:dyDescent="0.2">
      <c r="M270" s="1"/>
    </row>
    <row r="271" spans="13:13" ht="20.100000000000001" customHeight="1" x14ac:dyDescent="0.2">
      <c r="M271" s="1"/>
    </row>
    <row r="272" spans="13:13" ht="20.100000000000001" customHeight="1" x14ac:dyDescent="0.2">
      <c r="M272" s="1"/>
    </row>
    <row r="273" spans="13:13" ht="20.100000000000001" customHeight="1" x14ac:dyDescent="0.2">
      <c r="M273" s="1"/>
    </row>
    <row r="274" spans="13:13" ht="20.100000000000001" customHeight="1" x14ac:dyDescent="0.2">
      <c r="M274" s="1"/>
    </row>
    <row r="275" spans="13:13" ht="20.100000000000001" customHeight="1" x14ac:dyDescent="0.2">
      <c r="M275" s="1"/>
    </row>
    <row r="276" spans="13:13" ht="20.100000000000001" customHeight="1" x14ac:dyDescent="0.2">
      <c r="M276" s="1"/>
    </row>
    <row r="277" spans="13:13" ht="20.100000000000001" customHeight="1" x14ac:dyDescent="0.2">
      <c r="M277" s="1"/>
    </row>
    <row r="278" spans="13:13" ht="20.100000000000001" customHeight="1" x14ac:dyDescent="0.2">
      <c r="M278" s="1"/>
    </row>
    <row r="279" spans="13:13" ht="20.100000000000001" customHeight="1" x14ac:dyDescent="0.2">
      <c r="M279" s="1"/>
    </row>
    <row r="280" spans="13:13" ht="20.100000000000001" customHeight="1" x14ac:dyDescent="0.2">
      <c r="M280" s="1"/>
    </row>
    <row r="281" spans="13:13" ht="20.100000000000001" customHeight="1" x14ac:dyDescent="0.2">
      <c r="M281" s="1"/>
    </row>
    <row r="282" spans="13:13" ht="20.100000000000001" customHeight="1" x14ac:dyDescent="0.2">
      <c r="M282" s="1"/>
    </row>
    <row r="283" spans="13:13" ht="20.100000000000001" customHeight="1" x14ac:dyDescent="0.2">
      <c r="M283" s="1"/>
    </row>
    <row r="284" spans="13:13" ht="20.100000000000001" customHeight="1" x14ac:dyDescent="0.2">
      <c r="M284" s="1"/>
    </row>
    <row r="285" spans="13:13" ht="20.100000000000001" customHeight="1" x14ac:dyDescent="0.2">
      <c r="M285" s="1"/>
    </row>
    <row r="286" spans="13:13" ht="20.100000000000001" customHeight="1" x14ac:dyDescent="0.2">
      <c r="M286" s="1"/>
    </row>
    <row r="287" spans="13:13" ht="20.100000000000001" customHeight="1" x14ac:dyDescent="0.2">
      <c r="M287" s="1"/>
    </row>
    <row r="288" spans="13:13" ht="20.100000000000001" customHeight="1" x14ac:dyDescent="0.2">
      <c r="M288" s="1"/>
    </row>
    <row r="289" spans="13:13" ht="20.100000000000001" customHeight="1" x14ac:dyDescent="0.2">
      <c r="M289" s="1"/>
    </row>
    <row r="290" spans="13:13" ht="20.100000000000001" customHeight="1" x14ac:dyDescent="0.2">
      <c r="M290" s="1"/>
    </row>
    <row r="291" spans="13:13" ht="20.100000000000001" customHeight="1" x14ac:dyDescent="0.2">
      <c r="M291" s="1"/>
    </row>
    <row r="292" spans="13:13" ht="20.100000000000001" customHeight="1" x14ac:dyDescent="0.2">
      <c r="M292" s="1"/>
    </row>
    <row r="293" spans="13:13" ht="20.100000000000001" customHeight="1" x14ac:dyDescent="0.2">
      <c r="M293" s="1"/>
    </row>
    <row r="294" spans="13:13" ht="20.100000000000001" customHeight="1" x14ac:dyDescent="0.2">
      <c r="M294" s="1"/>
    </row>
    <row r="295" spans="13:13" ht="20.100000000000001" customHeight="1" x14ac:dyDescent="0.2">
      <c r="M295" s="1"/>
    </row>
    <row r="296" spans="13:13" ht="20.100000000000001" customHeight="1" x14ac:dyDescent="0.2">
      <c r="M296" s="1"/>
    </row>
    <row r="297" spans="13:13" ht="20.100000000000001" customHeight="1" x14ac:dyDescent="0.2">
      <c r="M297" s="1"/>
    </row>
    <row r="298" spans="13:13" ht="20.100000000000001" customHeight="1" x14ac:dyDescent="0.2">
      <c r="M298" s="1"/>
    </row>
    <row r="299" spans="13:13" ht="20.100000000000001" customHeight="1" x14ac:dyDescent="0.2">
      <c r="M299" s="1"/>
    </row>
    <row r="300" spans="13:13" ht="20.100000000000001" customHeight="1" x14ac:dyDescent="0.2">
      <c r="M300" s="1"/>
    </row>
    <row r="301" spans="13:13" ht="20.100000000000001" customHeight="1" x14ac:dyDescent="0.2">
      <c r="M301" s="1"/>
    </row>
    <row r="302" spans="13:13" ht="20.100000000000001" customHeight="1" x14ac:dyDescent="0.2">
      <c r="M302" s="1"/>
    </row>
    <row r="303" spans="13:13" ht="20.100000000000001" customHeight="1" x14ac:dyDescent="0.2">
      <c r="M303" s="1"/>
    </row>
    <row r="304" spans="13:13" ht="20.100000000000001" customHeight="1" x14ac:dyDescent="0.2">
      <c r="M304" s="1"/>
    </row>
    <row r="305" spans="13:13" ht="20.100000000000001" customHeight="1" x14ac:dyDescent="0.2">
      <c r="M305" s="1"/>
    </row>
    <row r="306" spans="13:13" ht="20.100000000000001" customHeight="1" x14ac:dyDescent="0.2">
      <c r="M306" s="1"/>
    </row>
    <row r="307" spans="13:13" ht="20.100000000000001" customHeight="1" x14ac:dyDescent="0.2">
      <c r="M307" s="1"/>
    </row>
    <row r="308" spans="13:13" ht="20.100000000000001" customHeight="1" x14ac:dyDescent="0.2">
      <c r="M308" s="1"/>
    </row>
    <row r="309" spans="13:13" ht="20.100000000000001" customHeight="1" x14ac:dyDescent="0.2">
      <c r="M309" s="1"/>
    </row>
    <row r="310" spans="13:13" ht="20.100000000000001" customHeight="1" x14ac:dyDescent="0.2">
      <c r="M310" s="1"/>
    </row>
    <row r="311" spans="13:13" ht="20.100000000000001" customHeight="1" x14ac:dyDescent="0.2">
      <c r="M311" s="1"/>
    </row>
    <row r="312" spans="13:13" ht="20.100000000000001" customHeight="1" x14ac:dyDescent="0.2">
      <c r="M312" s="1"/>
    </row>
    <row r="313" spans="13:13" ht="20.100000000000001" customHeight="1" x14ac:dyDescent="0.2">
      <c r="M313" s="1"/>
    </row>
    <row r="314" spans="13:13" ht="20.100000000000001" customHeight="1" x14ac:dyDescent="0.2">
      <c r="M314" s="1"/>
    </row>
    <row r="315" spans="13:13" ht="20.100000000000001" customHeight="1" x14ac:dyDescent="0.2">
      <c r="M315" s="1"/>
    </row>
    <row r="316" spans="13:13" ht="20.100000000000001" customHeight="1" x14ac:dyDescent="0.2">
      <c r="M316" s="1"/>
    </row>
    <row r="317" spans="13:13" ht="20.100000000000001" customHeight="1" x14ac:dyDescent="0.2">
      <c r="M317" s="1"/>
    </row>
    <row r="318" spans="13:13" ht="20.100000000000001" customHeight="1" x14ac:dyDescent="0.2">
      <c r="M318" s="1"/>
    </row>
    <row r="319" spans="13:13" ht="20.100000000000001" customHeight="1" x14ac:dyDescent="0.2">
      <c r="M319" s="1"/>
    </row>
    <row r="320" spans="13:13" ht="20.100000000000001" customHeight="1" x14ac:dyDescent="0.2">
      <c r="M320" s="1"/>
    </row>
    <row r="321" spans="13:13" ht="20.100000000000001" customHeight="1" x14ac:dyDescent="0.2">
      <c r="M321" s="1"/>
    </row>
    <row r="322" spans="13:13" ht="20.100000000000001" customHeight="1" x14ac:dyDescent="0.2">
      <c r="M322" s="1"/>
    </row>
    <row r="323" spans="13:13" ht="20.100000000000001" customHeight="1" x14ac:dyDescent="0.2">
      <c r="M323" s="1"/>
    </row>
    <row r="324" spans="13:13" ht="20.100000000000001" customHeight="1" x14ac:dyDescent="0.2">
      <c r="M324" s="1"/>
    </row>
    <row r="325" spans="13:13" ht="20.100000000000001" customHeight="1" x14ac:dyDescent="0.2">
      <c r="M325" s="1"/>
    </row>
    <row r="326" spans="13:13" ht="20.100000000000001" customHeight="1" x14ac:dyDescent="0.2">
      <c r="M326" s="1"/>
    </row>
    <row r="327" spans="13:13" ht="20.100000000000001" customHeight="1" x14ac:dyDescent="0.2">
      <c r="M327" s="1"/>
    </row>
    <row r="328" spans="13:13" ht="20.100000000000001" customHeight="1" x14ac:dyDescent="0.2">
      <c r="M328" s="1"/>
    </row>
    <row r="329" spans="13:13" ht="20.100000000000001" customHeight="1" x14ac:dyDescent="0.2">
      <c r="M329" s="1"/>
    </row>
    <row r="330" spans="13:13" ht="20.100000000000001" customHeight="1" x14ac:dyDescent="0.2">
      <c r="M330" s="1"/>
    </row>
    <row r="331" spans="13:13" ht="20.100000000000001" customHeight="1" x14ac:dyDescent="0.2">
      <c r="M331" s="1"/>
    </row>
    <row r="332" spans="13:13" ht="20.100000000000001" customHeight="1" x14ac:dyDescent="0.2">
      <c r="M332" s="1"/>
    </row>
    <row r="333" spans="13:13" ht="20.100000000000001" customHeight="1" x14ac:dyDescent="0.2">
      <c r="M333" s="1"/>
    </row>
    <row r="334" spans="13:13" ht="20.100000000000001" customHeight="1" x14ac:dyDescent="0.2">
      <c r="M334" s="1"/>
    </row>
    <row r="335" spans="13:13" ht="20.100000000000001" customHeight="1" x14ac:dyDescent="0.2">
      <c r="M335" s="1"/>
    </row>
    <row r="336" spans="13:13" ht="20.100000000000001" customHeight="1" x14ac:dyDescent="0.2">
      <c r="M336" s="1"/>
    </row>
    <row r="337" spans="13:13" ht="20.100000000000001" customHeight="1" x14ac:dyDescent="0.2">
      <c r="M337" s="1"/>
    </row>
    <row r="338" spans="13:13" ht="20.100000000000001" customHeight="1" x14ac:dyDescent="0.2">
      <c r="M338" s="1"/>
    </row>
    <row r="339" spans="13:13" ht="20.100000000000001" customHeight="1" x14ac:dyDescent="0.2">
      <c r="M339" s="1"/>
    </row>
    <row r="340" spans="13:13" ht="20.100000000000001" customHeight="1" x14ac:dyDescent="0.2">
      <c r="M340" s="1"/>
    </row>
    <row r="341" spans="13:13" ht="20.100000000000001" customHeight="1" x14ac:dyDescent="0.2">
      <c r="M341" s="1"/>
    </row>
    <row r="342" spans="13:13" ht="20.100000000000001" customHeight="1" x14ac:dyDescent="0.2">
      <c r="M342" s="1"/>
    </row>
    <row r="343" spans="13:13" ht="20.100000000000001" customHeight="1" x14ac:dyDescent="0.2">
      <c r="M343" s="1"/>
    </row>
    <row r="344" spans="13:13" ht="20.100000000000001" customHeight="1" x14ac:dyDescent="0.2">
      <c r="M344" s="1"/>
    </row>
    <row r="345" spans="13:13" ht="20.100000000000001" customHeight="1" x14ac:dyDescent="0.2">
      <c r="M345" s="1"/>
    </row>
    <row r="346" spans="13:13" ht="20.100000000000001" customHeight="1" x14ac:dyDescent="0.2">
      <c r="M346" s="1"/>
    </row>
    <row r="347" spans="13:13" ht="20.100000000000001" customHeight="1" x14ac:dyDescent="0.2">
      <c r="M347" s="1"/>
    </row>
    <row r="348" spans="13:13" ht="20.100000000000001" customHeight="1" x14ac:dyDescent="0.2">
      <c r="M348" s="1"/>
    </row>
    <row r="349" spans="13:13" ht="20.100000000000001" customHeight="1" x14ac:dyDescent="0.2">
      <c r="M349" s="1"/>
    </row>
    <row r="350" spans="13:13" ht="20.100000000000001" customHeight="1" x14ac:dyDescent="0.2">
      <c r="M350" s="1"/>
    </row>
    <row r="351" spans="13:13" ht="20.100000000000001" customHeight="1" x14ac:dyDescent="0.2">
      <c r="M351" s="1"/>
    </row>
    <row r="352" spans="13:13" ht="20.100000000000001" customHeight="1" x14ac:dyDescent="0.2">
      <c r="M352" s="1"/>
    </row>
    <row r="353" spans="13:13" ht="20.100000000000001" customHeight="1" x14ac:dyDescent="0.2">
      <c r="M353" s="1"/>
    </row>
    <row r="354" spans="13:13" ht="20.100000000000001" customHeight="1" x14ac:dyDescent="0.2">
      <c r="M354" s="1"/>
    </row>
    <row r="355" spans="13:13" ht="20.100000000000001" customHeight="1" x14ac:dyDescent="0.2">
      <c r="M355" s="1"/>
    </row>
    <row r="356" spans="13:13" ht="20.100000000000001" customHeight="1" x14ac:dyDescent="0.2">
      <c r="M356" s="1"/>
    </row>
    <row r="357" spans="13:13" ht="20.100000000000001" customHeight="1" x14ac:dyDescent="0.2">
      <c r="M357" s="1"/>
    </row>
    <row r="358" spans="13:13" ht="20.100000000000001" customHeight="1" x14ac:dyDescent="0.2">
      <c r="M358" s="1"/>
    </row>
    <row r="359" spans="13:13" ht="20.100000000000001" customHeight="1" x14ac:dyDescent="0.2">
      <c r="M359" s="1"/>
    </row>
    <row r="360" spans="13:13" ht="20.100000000000001" customHeight="1" x14ac:dyDescent="0.2">
      <c r="M360" s="1"/>
    </row>
    <row r="361" spans="13:13" ht="20.100000000000001" customHeight="1" x14ac:dyDescent="0.2">
      <c r="M361" s="1"/>
    </row>
    <row r="362" spans="13:13" ht="20.100000000000001" customHeight="1" x14ac:dyDescent="0.2">
      <c r="M362" s="1"/>
    </row>
    <row r="363" spans="13:13" ht="20.100000000000001" customHeight="1" x14ac:dyDescent="0.2">
      <c r="M363" s="1"/>
    </row>
    <row r="364" spans="13:13" ht="20.100000000000001" customHeight="1" x14ac:dyDescent="0.2">
      <c r="M364" s="1"/>
    </row>
    <row r="365" spans="13:13" ht="20.100000000000001" customHeight="1" x14ac:dyDescent="0.2">
      <c r="M365" s="1"/>
    </row>
    <row r="366" spans="13:13" ht="20.100000000000001" customHeight="1" x14ac:dyDescent="0.2">
      <c r="M366" s="1"/>
    </row>
    <row r="367" spans="13:13" ht="20.100000000000001" customHeight="1" x14ac:dyDescent="0.2">
      <c r="M367" s="1"/>
    </row>
    <row r="368" spans="13:13" ht="20.100000000000001" customHeight="1" x14ac:dyDescent="0.2">
      <c r="M368" s="1"/>
    </row>
    <row r="369" spans="13:13" ht="20.100000000000001" customHeight="1" x14ac:dyDescent="0.2">
      <c r="M369" s="1"/>
    </row>
    <row r="370" spans="13:13" ht="20.100000000000001" customHeight="1" x14ac:dyDescent="0.2">
      <c r="M370" s="1"/>
    </row>
    <row r="371" spans="13:13" ht="20.100000000000001" customHeight="1" x14ac:dyDescent="0.2">
      <c r="M371" s="1"/>
    </row>
    <row r="372" spans="13:13" ht="20.100000000000001" customHeight="1" x14ac:dyDescent="0.2">
      <c r="M372" s="1"/>
    </row>
    <row r="373" spans="13:13" ht="20.100000000000001" customHeight="1" x14ac:dyDescent="0.2">
      <c r="M373" s="1"/>
    </row>
    <row r="374" spans="13:13" ht="20.100000000000001" customHeight="1" x14ac:dyDescent="0.2">
      <c r="M374" s="1"/>
    </row>
    <row r="375" spans="13:13" ht="20.100000000000001" customHeight="1" x14ac:dyDescent="0.2">
      <c r="M375" s="1"/>
    </row>
    <row r="376" spans="13:13" ht="20.100000000000001" customHeight="1" x14ac:dyDescent="0.2">
      <c r="M376" s="1"/>
    </row>
    <row r="377" spans="13:13" ht="20.100000000000001" customHeight="1" x14ac:dyDescent="0.2">
      <c r="M377" s="1"/>
    </row>
    <row r="378" spans="13:13" ht="20.100000000000001" customHeight="1" x14ac:dyDescent="0.2">
      <c r="M378" s="1"/>
    </row>
    <row r="379" spans="13:13" ht="20.100000000000001" customHeight="1" x14ac:dyDescent="0.2">
      <c r="M379" s="1"/>
    </row>
    <row r="380" spans="13:13" ht="20.100000000000001" customHeight="1" x14ac:dyDescent="0.2">
      <c r="M380" s="1"/>
    </row>
    <row r="381" spans="13:13" ht="20.100000000000001" customHeight="1" x14ac:dyDescent="0.2">
      <c r="M381" s="1"/>
    </row>
    <row r="382" spans="13:13" ht="20.100000000000001" customHeight="1" x14ac:dyDescent="0.2">
      <c r="M382" s="1"/>
    </row>
    <row r="383" spans="13:13" ht="20.100000000000001" customHeight="1" x14ac:dyDescent="0.2">
      <c r="M383" s="1"/>
    </row>
    <row r="384" spans="13:13" ht="20.100000000000001" customHeight="1" x14ac:dyDescent="0.2">
      <c r="M384" s="1"/>
    </row>
    <row r="385" spans="13:13" ht="20.100000000000001" customHeight="1" x14ac:dyDescent="0.2">
      <c r="M385" s="1"/>
    </row>
    <row r="386" spans="13:13" ht="20.100000000000001" customHeight="1" x14ac:dyDescent="0.2">
      <c r="M386" s="1"/>
    </row>
    <row r="387" spans="13:13" ht="20.100000000000001" customHeight="1" x14ac:dyDescent="0.2">
      <c r="M387" s="1"/>
    </row>
    <row r="388" spans="13:13" ht="20.100000000000001" customHeight="1" x14ac:dyDescent="0.2">
      <c r="M388" s="1"/>
    </row>
    <row r="389" spans="13:13" ht="20.100000000000001" customHeight="1" x14ac:dyDescent="0.2">
      <c r="M389" s="1"/>
    </row>
    <row r="390" spans="13:13" ht="20.100000000000001" customHeight="1" x14ac:dyDescent="0.2">
      <c r="M390" s="1"/>
    </row>
    <row r="391" spans="13:13" ht="20.100000000000001" customHeight="1" x14ac:dyDescent="0.2">
      <c r="M391" s="1"/>
    </row>
    <row r="392" spans="13:13" ht="20.100000000000001" customHeight="1" x14ac:dyDescent="0.2">
      <c r="M392" s="1"/>
    </row>
    <row r="393" spans="13:13" ht="20.100000000000001" customHeight="1" x14ac:dyDescent="0.2">
      <c r="M393" s="1"/>
    </row>
    <row r="394" spans="13:13" ht="20.100000000000001" customHeight="1" x14ac:dyDescent="0.2">
      <c r="M394" s="1"/>
    </row>
    <row r="395" spans="13:13" ht="20.100000000000001" customHeight="1" x14ac:dyDescent="0.2">
      <c r="M395" s="1"/>
    </row>
    <row r="396" spans="13:13" ht="20.100000000000001" customHeight="1" x14ac:dyDescent="0.2">
      <c r="M396" s="1"/>
    </row>
    <row r="397" spans="13:13" ht="20.100000000000001" customHeight="1" x14ac:dyDescent="0.2">
      <c r="M397" s="1"/>
    </row>
    <row r="398" spans="13:13" ht="20.100000000000001" customHeight="1" x14ac:dyDescent="0.2">
      <c r="M398" s="1"/>
    </row>
    <row r="399" spans="13:13" ht="20.100000000000001" customHeight="1" x14ac:dyDescent="0.2">
      <c r="M399" s="1"/>
    </row>
    <row r="400" spans="13:13" ht="20.100000000000001" customHeight="1" x14ac:dyDescent="0.2">
      <c r="M400" s="1"/>
    </row>
    <row r="401" spans="13:13" ht="20.100000000000001" customHeight="1" x14ac:dyDescent="0.2">
      <c r="M401" s="1"/>
    </row>
    <row r="402" spans="13:13" ht="20.100000000000001" customHeight="1" x14ac:dyDescent="0.2">
      <c r="M402" s="1"/>
    </row>
    <row r="403" spans="13:13" ht="20.100000000000001" customHeight="1" x14ac:dyDescent="0.2">
      <c r="M403" s="1"/>
    </row>
    <row r="404" spans="13:13" ht="20.100000000000001" customHeight="1" x14ac:dyDescent="0.2">
      <c r="M404" s="1"/>
    </row>
    <row r="405" spans="13:13" ht="20.100000000000001" customHeight="1" x14ac:dyDescent="0.2">
      <c r="M405" s="1"/>
    </row>
    <row r="406" spans="13:13" ht="20.100000000000001" customHeight="1" x14ac:dyDescent="0.2">
      <c r="M406" s="1"/>
    </row>
    <row r="407" spans="13:13" ht="20.100000000000001" customHeight="1" x14ac:dyDescent="0.2">
      <c r="M407" s="1"/>
    </row>
    <row r="408" spans="13:13" ht="20.100000000000001" customHeight="1" x14ac:dyDescent="0.2">
      <c r="M408" s="1"/>
    </row>
    <row r="409" spans="13:13" ht="20.100000000000001" customHeight="1" x14ac:dyDescent="0.2">
      <c r="M409" s="1"/>
    </row>
    <row r="410" spans="13:13" ht="20.100000000000001" customHeight="1" x14ac:dyDescent="0.2">
      <c r="M410" s="1"/>
    </row>
    <row r="411" spans="13:13" ht="20.100000000000001" customHeight="1" x14ac:dyDescent="0.2">
      <c r="M411" s="1"/>
    </row>
    <row r="412" spans="13:13" ht="20.100000000000001" customHeight="1" x14ac:dyDescent="0.2">
      <c r="M412" s="1"/>
    </row>
    <row r="413" spans="13:13" ht="20.100000000000001" customHeight="1" x14ac:dyDescent="0.2">
      <c r="M413" s="1"/>
    </row>
    <row r="414" spans="13:13" ht="20.100000000000001" customHeight="1" x14ac:dyDescent="0.2">
      <c r="M414" s="1"/>
    </row>
    <row r="415" spans="13:13" ht="20.100000000000001" customHeight="1" x14ac:dyDescent="0.2">
      <c r="M415" s="1"/>
    </row>
    <row r="416" spans="13:13" ht="20.100000000000001" customHeight="1" x14ac:dyDescent="0.2">
      <c r="M416" s="1"/>
    </row>
    <row r="417" spans="13:13" ht="20.100000000000001" customHeight="1" x14ac:dyDescent="0.2">
      <c r="M417" s="1"/>
    </row>
    <row r="418" spans="13:13" ht="20.100000000000001" customHeight="1" x14ac:dyDescent="0.2">
      <c r="M418" s="1"/>
    </row>
    <row r="419" spans="13:13" ht="20.100000000000001" customHeight="1" x14ac:dyDescent="0.2">
      <c r="M419" s="1"/>
    </row>
    <row r="420" spans="13:13" ht="20.100000000000001" customHeight="1" x14ac:dyDescent="0.2">
      <c r="M420" s="1"/>
    </row>
    <row r="421" spans="13:13" ht="20.100000000000001" customHeight="1" x14ac:dyDescent="0.2">
      <c r="M421" s="1"/>
    </row>
    <row r="422" spans="13:13" ht="20.100000000000001" customHeight="1" x14ac:dyDescent="0.2">
      <c r="M422" s="1"/>
    </row>
    <row r="423" spans="13:13" ht="20.100000000000001" customHeight="1" x14ac:dyDescent="0.2">
      <c r="M423" s="1"/>
    </row>
    <row r="424" spans="13:13" ht="20.100000000000001" customHeight="1" x14ac:dyDescent="0.2">
      <c r="M424" s="1"/>
    </row>
    <row r="425" spans="13:13" ht="20.100000000000001" customHeight="1" x14ac:dyDescent="0.2">
      <c r="M425" s="1"/>
    </row>
    <row r="426" spans="13:13" ht="20.100000000000001" customHeight="1" x14ac:dyDescent="0.2">
      <c r="M426" s="1"/>
    </row>
    <row r="427" spans="13:13" ht="20.100000000000001" customHeight="1" x14ac:dyDescent="0.2">
      <c r="M427" s="1"/>
    </row>
    <row r="428" spans="13:13" ht="20.100000000000001" customHeight="1" x14ac:dyDescent="0.2">
      <c r="M428" s="1"/>
    </row>
    <row r="429" spans="13:13" ht="20.100000000000001" customHeight="1" x14ac:dyDescent="0.2">
      <c r="M429" s="1"/>
    </row>
    <row r="430" spans="13:13" ht="20.100000000000001" customHeight="1" x14ac:dyDescent="0.2">
      <c r="M430" s="1"/>
    </row>
    <row r="431" spans="13:13" ht="20.100000000000001" customHeight="1" x14ac:dyDescent="0.2">
      <c r="M431" s="1"/>
    </row>
    <row r="432" spans="13:13" ht="20.100000000000001" customHeight="1" x14ac:dyDescent="0.2">
      <c r="M432" s="1"/>
    </row>
    <row r="433" spans="13:13" ht="20.100000000000001" customHeight="1" x14ac:dyDescent="0.2">
      <c r="M433" s="1"/>
    </row>
    <row r="434" spans="13:13" ht="20.100000000000001" customHeight="1" x14ac:dyDescent="0.2">
      <c r="M434" s="1"/>
    </row>
    <row r="435" spans="13:13" ht="20.100000000000001" customHeight="1" x14ac:dyDescent="0.2">
      <c r="M435" s="1"/>
    </row>
    <row r="436" spans="13:13" ht="20.100000000000001" customHeight="1" x14ac:dyDescent="0.2">
      <c r="M436" s="1"/>
    </row>
    <row r="437" spans="13:13" ht="20.100000000000001" customHeight="1" x14ac:dyDescent="0.2">
      <c r="M437" s="1"/>
    </row>
    <row r="438" spans="13:13" ht="20.100000000000001" customHeight="1" x14ac:dyDescent="0.2">
      <c r="M438" s="1"/>
    </row>
    <row r="439" spans="13:13" ht="20.100000000000001" customHeight="1" x14ac:dyDescent="0.2">
      <c r="M439" s="1"/>
    </row>
    <row r="440" spans="13:13" ht="20.100000000000001" customHeight="1" x14ac:dyDescent="0.2">
      <c r="M440" s="1"/>
    </row>
    <row r="441" spans="13:13" ht="20.100000000000001" customHeight="1" x14ac:dyDescent="0.2">
      <c r="M441" s="1"/>
    </row>
    <row r="442" spans="13:13" ht="20.100000000000001" customHeight="1" x14ac:dyDescent="0.2">
      <c r="M442" s="1"/>
    </row>
    <row r="443" spans="13:13" ht="20.100000000000001" customHeight="1" x14ac:dyDescent="0.2">
      <c r="M443" s="1"/>
    </row>
    <row r="444" spans="13:13" ht="20.100000000000001" customHeight="1" x14ac:dyDescent="0.2">
      <c r="M444" s="1"/>
    </row>
    <row r="445" spans="13:13" ht="20.100000000000001" customHeight="1" x14ac:dyDescent="0.2">
      <c r="M445" s="1"/>
    </row>
    <row r="446" spans="13:13" ht="20.100000000000001" customHeight="1" x14ac:dyDescent="0.2">
      <c r="M446" s="1"/>
    </row>
    <row r="447" spans="13:13" ht="20.100000000000001" customHeight="1" x14ac:dyDescent="0.2">
      <c r="M447" s="1"/>
    </row>
    <row r="448" spans="13:13" ht="20.100000000000001" customHeight="1" x14ac:dyDescent="0.2">
      <c r="M448" s="1"/>
    </row>
    <row r="449" spans="13:13" ht="20.100000000000001" customHeight="1" x14ac:dyDescent="0.2">
      <c r="M449" s="1"/>
    </row>
    <row r="450" spans="13:13" ht="20.100000000000001" customHeight="1" x14ac:dyDescent="0.2">
      <c r="M450" s="1"/>
    </row>
    <row r="451" spans="13:13" ht="20.100000000000001" customHeight="1" x14ac:dyDescent="0.2">
      <c r="M451" s="1"/>
    </row>
    <row r="452" spans="13:13" ht="20.100000000000001" customHeight="1" x14ac:dyDescent="0.2">
      <c r="M452" s="1"/>
    </row>
  </sheetData>
  <pageMargins left="0.7" right="0.7" top="0.75" bottom="0.75" header="0.3" footer="0.3"/>
  <pageSetup paperSize="9" orientation="portrait" r:id="rId1"/>
  <tableParts count="13">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A3936-69A0-454B-9B5A-7D11A69D8A3B}">
  <sheetPr>
    <tabColor theme="2" tint="-0.499984740745262"/>
  </sheetPr>
  <dimension ref="A1:M57"/>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10" t="e" vm="1">
        <v>#VALUE!</v>
      </c>
      <c r="C1" s="20" t="s">
        <v>1188</v>
      </c>
      <c r="D1" s="20"/>
      <c r="E1" s="20"/>
      <c r="F1" s="20"/>
      <c r="G1" s="20"/>
      <c r="H1" s="20"/>
      <c r="I1" s="20"/>
      <c r="J1" s="20"/>
      <c r="K1" s="20"/>
      <c r="L1" s="20"/>
      <c r="M1" s="20"/>
    </row>
    <row r="2" spans="1:13" ht="20.100000000000001" customHeight="1" x14ac:dyDescent="0.2">
      <c r="C2" s="3"/>
      <c r="D2" s="3"/>
      <c r="E2" s="3"/>
      <c r="F2" s="3"/>
      <c r="G2" s="3"/>
      <c r="H2" s="3"/>
      <c r="I2" s="3"/>
      <c r="J2" s="3"/>
      <c r="K2" s="3"/>
      <c r="L2" s="3"/>
      <c r="M2" s="3"/>
    </row>
    <row r="3" spans="1:13" ht="20.100000000000001" customHeight="1" x14ac:dyDescent="0.2">
      <c r="A3" s="5" t="str">
        <f>HYPERLINK("#'Home'!A1", "Home")</f>
        <v>Home</v>
      </c>
      <c r="C3" s="22"/>
      <c r="D3" s="22"/>
      <c r="E3" s="22"/>
      <c r="F3" s="22"/>
      <c r="G3" s="22"/>
      <c r="H3" s="22"/>
      <c r="I3" s="22"/>
      <c r="J3" s="22"/>
      <c r="K3" s="22"/>
      <c r="L3" s="22"/>
      <c r="M3" s="22"/>
    </row>
    <row r="4" spans="1:13" ht="20.100000000000001" customHeight="1" x14ac:dyDescent="0.2">
      <c r="A4" s="5" t="str">
        <f>HYPERLINK("#'Results - Activity period'!A1", "Results - Activity period")</f>
        <v>Results - Activity period</v>
      </c>
    </row>
    <row r="5" spans="1:13" ht="20.100000000000001" customHeight="1" x14ac:dyDescent="0.2">
      <c r="A5" s="5" t="str">
        <f>HYPERLINK("#'Results - Product EI'!A1", "Results - Product Emissions Intensity")</f>
        <v>Results - Product Emissions Intensity</v>
      </c>
    </row>
    <row r="6" spans="1:13" ht="20.100000000000001" customHeight="1" x14ac:dyDescent="0.2">
      <c r="D6" s="2" t="s">
        <v>1715</v>
      </c>
      <c r="E6" s="24"/>
      <c r="F6" s="24"/>
      <c r="G6" s="24"/>
      <c r="H6" s="24"/>
    </row>
    <row r="7" spans="1:13" ht="20.100000000000001" customHeight="1" x14ac:dyDescent="0.2">
      <c r="D7" s="24" t="s">
        <v>349</v>
      </c>
      <c r="E7" s="24"/>
      <c r="F7" s="24"/>
      <c r="G7" s="24"/>
      <c r="H7" s="24"/>
    </row>
    <row r="8" spans="1:13" ht="20.100000000000001" customHeight="1" x14ac:dyDescent="0.2">
      <c r="A8" s="7" t="s">
        <v>0</v>
      </c>
      <c r="D8" s="17" t="s">
        <v>1716</v>
      </c>
      <c r="E8" s="24"/>
      <c r="F8" s="24"/>
      <c r="G8" s="24"/>
      <c r="H8" s="24"/>
    </row>
    <row r="9" spans="1:13" ht="20.100000000000001" customHeight="1" x14ac:dyDescent="0.2">
      <c r="A9" s="5" t="str">
        <f>HYPERLINK("#'Input - Enterprise'!A1", "Enterprise")</f>
        <v>Enterprise</v>
      </c>
      <c r="D9" s="26" t="s">
        <v>1189</v>
      </c>
      <c r="E9" s="19" t="s">
        <v>1190</v>
      </c>
      <c r="F9" s="19" t="s">
        <v>499</v>
      </c>
      <c r="G9" s="24"/>
    </row>
    <row r="10" spans="1:13" ht="20.100000000000001" customHeight="1" x14ac:dyDescent="0.2">
      <c r="A10" s="5" t="str">
        <f>HYPERLINK("#'Input - Site'!A1", "Site")</f>
        <v>Site</v>
      </c>
      <c r="D10" s="26">
        <v>1</v>
      </c>
      <c r="E10" s="26" t="s">
        <v>70</v>
      </c>
      <c r="F10" s="26" t="s">
        <v>1717</v>
      </c>
      <c r="G10" s="24"/>
    </row>
    <row r="11" spans="1:13" ht="20.100000000000001" customHeight="1" x14ac:dyDescent="0.2">
      <c r="A11" s="5" t="str">
        <f>HYPERLINK("#'Input - Poultry'!A1", "Poultry")</f>
        <v>Poultry</v>
      </c>
      <c r="D11" s="26">
        <v>2</v>
      </c>
      <c r="E11" s="26" t="s">
        <v>72</v>
      </c>
      <c r="F11" s="26" t="s">
        <v>1718</v>
      </c>
      <c r="G11" s="24"/>
    </row>
    <row r="12" spans="1:13" ht="20.100000000000001" customHeight="1" x14ac:dyDescent="0.2">
      <c r="A12" s="5" t="str">
        <f>HYPERLINK("#'Input - Livestock sales'!A1", "Livestock sales")</f>
        <v>Livestock sales</v>
      </c>
      <c r="D12" s="19">
        <v>3</v>
      </c>
      <c r="E12" s="19" t="s">
        <v>73</v>
      </c>
      <c r="F12" s="19" t="s">
        <v>1719</v>
      </c>
      <c r="G12" s="24"/>
    </row>
    <row r="13" spans="1:13" ht="20.100000000000001" customHeight="1" x14ac:dyDescent="0.2">
      <c r="A13" s="5" t="str">
        <f>HYPERLINK("#'Input - Poultry purchases'!A1", "Poultry purchases")</f>
        <v>Poultry purchases</v>
      </c>
      <c r="D13" s="19" t="s">
        <v>1720</v>
      </c>
      <c r="E13" s="19" t="s">
        <v>1721</v>
      </c>
      <c r="F13" s="19" t="s">
        <v>1722</v>
      </c>
      <c r="G13" s="24"/>
    </row>
    <row r="14" spans="1:13" ht="20.100000000000001" customHeight="1" x14ac:dyDescent="0.2">
      <c r="A14" s="5" t="str">
        <f>HYPERLINK("#'Input - Fuel'!A1", "Fuel")</f>
        <v>Fuel</v>
      </c>
      <c r="D14" s="19" t="s">
        <v>1723</v>
      </c>
      <c r="E14" s="19" t="s">
        <v>1724</v>
      </c>
      <c r="F14" s="19" t="s">
        <v>1725</v>
      </c>
      <c r="G14" s="24"/>
    </row>
    <row r="15" spans="1:13" ht="20.100000000000001" customHeight="1" x14ac:dyDescent="0.2">
      <c r="A15" s="5" t="str">
        <f>HYPERLINK("#'Input - Electricity'!A1", "Electricity")</f>
        <v>Electricity</v>
      </c>
      <c r="D15" s="19">
        <v>4</v>
      </c>
      <c r="E15" s="19" t="s">
        <v>75</v>
      </c>
      <c r="F15" s="19" t="s">
        <v>501</v>
      </c>
      <c r="G15" s="24"/>
    </row>
    <row r="16" spans="1:13" ht="20.100000000000001" customHeight="1" x14ac:dyDescent="0.2">
      <c r="A16" s="5" t="str">
        <f>HYPERLINK("#'Input - Common farm inputs'!A1", "Common farm inputs")</f>
        <v>Common farm inputs</v>
      </c>
      <c r="D16" s="19">
        <v>5</v>
      </c>
      <c r="E16" s="19" t="s">
        <v>1726</v>
      </c>
      <c r="F16" s="19" t="s">
        <v>1727</v>
      </c>
      <c r="G16" s="24"/>
    </row>
    <row r="17" spans="1:8" ht="20.100000000000001" customHeight="1" x14ac:dyDescent="0.2">
      <c r="A17" s="5" t="str">
        <f>HYPERLINK("#'Input - Livestock farm Inputs'!A1", "Livestock farm Inputs")</f>
        <v>Livestock farm Inputs</v>
      </c>
      <c r="D17" s="19">
        <v>6</v>
      </c>
      <c r="E17" s="19" t="s">
        <v>74</v>
      </c>
      <c r="F17" s="19" t="s">
        <v>504</v>
      </c>
      <c r="G17" s="24"/>
    </row>
    <row r="18" spans="1:8" ht="20.100000000000001" customHeight="1" x14ac:dyDescent="0.2">
      <c r="A18" s="5" t="str">
        <f>HYPERLINK("#'Input - Freight'!A1", "Freight")</f>
        <v>Freight</v>
      </c>
      <c r="D18" s="19">
        <v>7</v>
      </c>
      <c r="E18" s="19" t="s">
        <v>71</v>
      </c>
      <c r="F18" s="19" t="s">
        <v>507</v>
      </c>
      <c r="G18" s="24"/>
    </row>
    <row r="19" spans="1:8" ht="20.100000000000001" customHeight="1" x14ac:dyDescent="0.2">
      <c r="A19" s="5" t="str">
        <f>HYPERLINK("#'Input - Solid waste'!A1", "Solid waste")</f>
        <v>Solid waste</v>
      </c>
      <c r="D19" s="19">
        <v>8</v>
      </c>
      <c r="E19" s="19" t="s">
        <v>77</v>
      </c>
      <c r="F19" s="19" t="s">
        <v>1728</v>
      </c>
      <c r="G19" s="24"/>
    </row>
    <row r="20" spans="1:8" ht="20.100000000000001" customHeight="1" x14ac:dyDescent="0.2">
      <c r="A20" s="5" t="str">
        <f>HYPERLINK("#'Input - Manure sent off-site'!A1", "Manure sent off-site")</f>
        <v>Manure sent off-site</v>
      </c>
      <c r="D20" s="19">
        <v>9</v>
      </c>
      <c r="E20" s="19" t="s">
        <v>76</v>
      </c>
      <c r="F20" s="19" t="s">
        <v>1729</v>
      </c>
      <c r="G20" s="24"/>
    </row>
    <row r="21" spans="1:8" ht="20.100000000000001" customHeight="1" x14ac:dyDescent="0.2">
      <c r="A21" s="5" t="str">
        <f>HYPERLINK("#'Input - Data quality'!A1", "Data quality")</f>
        <v>Data quality</v>
      </c>
      <c r="D21" s="19">
        <v>10</v>
      </c>
      <c r="E21" s="19" t="s">
        <v>78</v>
      </c>
      <c r="F21" s="19" t="s">
        <v>500</v>
      </c>
      <c r="G21" s="24"/>
    </row>
    <row r="22" spans="1:8" ht="20.100000000000001" customHeight="1" x14ac:dyDescent="0.2">
      <c r="A22" s="5" t="str">
        <f>HYPERLINK("#'Input - Fert Prod System'!A1", "Fert Prod System")</f>
        <v>Fert Prod System</v>
      </c>
      <c r="D22" s="19">
        <v>11</v>
      </c>
      <c r="E22" s="19" t="s">
        <v>79</v>
      </c>
      <c r="F22" s="19" t="s">
        <v>1730</v>
      </c>
      <c r="G22" s="24"/>
    </row>
    <row r="23" spans="1:8" ht="20.100000000000001" customHeight="1" x14ac:dyDescent="0.2">
      <c r="A23" s="5" t="str">
        <f>HYPERLINK("#'Input - Fertiliser'!A1", "Fertiliser")</f>
        <v>Fertiliser</v>
      </c>
      <c r="D23" s="19" t="s">
        <v>1731</v>
      </c>
      <c r="E23" s="19" t="s">
        <v>502</v>
      </c>
      <c r="F23" s="19" t="s">
        <v>503</v>
      </c>
      <c r="G23" s="24"/>
    </row>
    <row r="24" spans="1:8" ht="20.100000000000001" customHeight="1" x14ac:dyDescent="0.2">
      <c r="D24" s="19" t="s">
        <v>1732</v>
      </c>
      <c r="E24" s="19" t="s">
        <v>505</v>
      </c>
      <c r="F24" s="19" t="s">
        <v>506</v>
      </c>
      <c r="G24" s="24"/>
    </row>
    <row r="25" spans="1:8" ht="20.100000000000001" customHeight="1" x14ac:dyDescent="0.2">
      <c r="D25" s="19">
        <v>12</v>
      </c>
      <c r="E25" s="19" t="s">
        <v>80</v>
      </c>
      <c r="F25" s="19" t="s">
        <v>509</v>
      </c>
      <c r="G25" s="24"/>
    </row>
    <row r="26" spans="1:8" ht="20.100000000000001" customHeight="1" x14ac:dyDescent="0.2">
      <c r="A26" s="6" t="s">
        <v>2</v>
      </c>
      <c r="D26" s="19">
        <v>13</v>
      </c>
      <c r="E26" s="19" t="s">
        <v>81</v>
      </c>
      <c r="F26" s="19" t="s">
        <v>511</v>
      </c>
      <c r="G26" s="24"/>
    </row>
    <row r="27" spans="1:8" ht="20.100000000000001" customHeight="1" x14ac:dyDescent="0.2">
      <c r="A27" s="5" t="str">
        <f>HYPERLINK("#'4.6.1.1-2 Methane'!A1", "4.6.1.1-2 Manure Methane")</f>
        <v>4.6.1.1-2 Manure Methane</v>
      </c>
      <c r="D27" s="19">
        <v>14</v>
      </c>
      <c r="E27" s="19" t="s">
        <v>82</v>
      </c>
      <c r="F27" s="19" t="s">
        <v>508</v>
      </c>
      <c r="G27" s="24"/>
    </row>
    <row r="28" spans="1:8" ht="20.100000000000001" customHeight="1" x14ac:dyDescent="0.2">
      <c r="A28" s="5" t="str">
        <f>HYPERLINK("#'4.6.1.3-4 Direct N20'!A1", "4.6.1.3-4 Manure Direct N2O")</f>
        <v>4.6.1.3-4 Manure Direct N2O</v>
      </c>
      <c r="G28" s="24"/>
      <c r="H28" s="24"/>
    </row>
    <row r="29" spans="1:8" ht="20.100000000000001" customHeight="1" x14ac:dyDescent="0.2">
      <c r="A29" s="5" t="str">
        <f>HYPERLINK("#'4.6.1.5-6 Atmos Dep'!A1", "4.6.1.5-6 Manure Atmos Dep")</f>
        <v>4.6.1.5-6 Manure Atmos Dep</v>
      </c>
    </row>
    <row r="30" spans="1:8" ht="20.100000000000001" customHeight="1" x14ac:dyDescent="0.2">
      <c r="A30" s="5" t="str">
        <f>HYPERLINK("#'4.6.1.7-8 Leaching and runoff'!A1", "4.6.1.7-8 Manure Leaching and runoff")</f>
        <v>4.6.1.7-8 Manure Leaching and runoff</v>
      </c>
    </row>
    <row r="31" spans="1:8" ht="20.100000000000001" customHeight="1" x14ac:dyDescent="0.2">
      <c r="A31" s="5" t="str">
        <f>HYPERLINK("#'4.6.1.9 Manure applied to soils'!A1", "4.6.1.9 Manure applied to soils")</f>
        <v>4.6.1.9 Manure applied to soils</v>
      </c>
    </row>
    <row r="32" spans="1:8" ht="20.100000000000001" customHeight="1" x14ac:dyDescent="0.2">
      <c r="A32" s="5" t="str">
        <f>HYPERLINK("#'4.6.1.10-11 Soil direct N2O'!A1", "4.6.1.10-11 Soil direct N2O")</f>
        <v>4.6.1.10-11 Soil direct N2O</v>
      </c>
    </row>
    <row r="33" spans="1:1" ht="20.100000000000001" customHeight="1" x14ac:dyDescent="0.2">
      <c r="A33" s="5" t="str">
        <f>HYPERLINK("#'4.6.1.12-13 Soil atmos dep'!A1", "4.6.1.12-13 Soil atmos dep")</f>
        <v>4.6.1.12-13 Soil atmos dep</v>
      </c>
    </row>
    <row r="34" spans="1:1" ht="20.100000000000001" customHeight="1" x14ac:dyDescent="0.2">
      <c r="A34" s="5" t="str">
        <f>HYPERLINK("#'4.6.1.14-15 Soil leach runoff'!A1", "4.6.1.14-15 Soil leach runoff")</f>
        <v>4.6.1.14-15 Soil leach runoff</v>
      </c>
    </row>
    <row r="35" spans="1:1" ht="20.100000000000001" customHeight="1" x14ac:dyDescent="0.2">
      <c r="A35" s="5" t="str">
        <f>HYPERLINK("#'8.1.1.1-2 Transport fuel'!A1", "8.1.1.1-2 Transport fuel")</f>
        <v>8.1.1.1-2 Transport fuel</v>
      </c>
    </row>
    <row r="36" spans="1:1" ht="20.100000000000001" customHeight="1" x14ac:dyDescent="0.2">
      <c r="A36" s="5" t="str">
        <f>HYPERLINK("#'8.2.1.1-2 Stationary fuel'!A1", "8.2.1.1-2 Stationary fuel")</f>
        <v>8.2.1.1-2 Stationary fuel</v>
      </c>
    </row>
    <row r="37" spans="1:1" ht="20.100000000000001" customHeight="1" x14ac:dyDescent="0.2">
      <c r="A37" s="5" t="str">
        <f>HYPERLINK("#'10.1.1-2 Solid waste treatment'!A1", "10.1.1.1-2 Solid waste")</f>
        <v>10.1.1.1-2 Solid waste</v>
      </c>
    </row>
    <row r="38" spans="1:1" ht="20.100000000000001" customHeight="1" x14ac:dyDescent="0.2">
      <c r="A38" s="5" t="str">
        <f>HYPERLINK("#'14.1.1-2 Purchased electricity'!A1", "14.1.1-2 Purchased electricity")</f>
        <v>14.1.1-2 Purchased electricity</v>
      </c>
    </row>
    <row r="39" spans="1:1" ht="20.100000000000001" customHeight="1" x14ac:dyDescent="0.2">
      <c r="A39" s="5" t="str">
        <f>HYPERLINK("#'15 Scope 3'!A1", "15 Scope 3")</f>
        <v>15 Scope 3</v>
      </c>
    </row>
    <row r="40" spans="1:1" ht="20.100000000000001" customHeight="1" x14ac:dyDescent="0.2">
      <c r="A40" s="5" t="str">
        <f>HYPERLINK("#'Calcs - Manure sent off-site'!A1", "Calcs - Manure sent off-site")</f>
        <v>Calcs - Manure sent off-site</v>
      </c>
    </row>
    <row r="41" spans="1:1" ht="20.100000000000001" customHeight="1" x14ac:dyDescent="0.2">
      <c r="A41" s="5" t="str">
        <f>HYPERLINK("#'5.1.1.1-2 Inorganic fert N2O'!A1", "5.1.1.1-2 Inorganic fert N2O")</f>
        <v>5.1.1.1-2 Inorganic fert N2O</v>
      </c>
    </row>
    <row r="42" spans="1:1" ht="20.100000000000001" customHeight="1" x14ac:dyDescent="0.2">
      <c r="A42" s="5" t="str">
        <f>HYPERLINK("#'5.1.1.3-4 Inorganic fert CO2'!A1", "5.1.1.3-4 Inorganic fert CO2")</f>
        <v>5.1.1.3-4 Inorganic fert CO2</v>
      </c>
    </row>
    <row r="43" spans="1:1" ht="20.100000000000001" customHeight="1" x14ac:dyDescent="0.2">
      <c r="A43" s="5" t="str">
        <f>HYPERLINK("#'5.2.1.1-2 Organic Fert N2O'!A1", "5.2.1.1-2 Organic Fert N2O")</f>
        <v>5.2.1.1-2 Organic Fert N2O</v>
      </c>
    </row>
    <row r="44" spans="1:1" ht="20.100000000000001" customHeight="1" x14ac:dyDescent="0.2">
      <c r="A44" s="5" t="str">
        <f>HYPERLINK("#'5.3.1.1-2 Lime CO2'!A1", "5.3.1.1-2 Lime CO2")</f>
        <v>5.3.1.1-2 Lime CO2</v>
      </c>
    </row>
    <row r="45" spans="1:1" ht="20.100000000000001" customHeight="1" x14ac:dyDescent="0.2">
      <c r="A45" s="5" t="str">
        <f>HYPERLINK("#'5.4.1.1-4 Atmos deposition'!A1", "5.4.1.1-4 Atmos deposition")</f>
        <v>5.4.1.1-4 Atmos deposition</v>
      </c>
    </row>
    <row r="46" spans="1:1" ht="20.100000000000001" customHeight="1" x14ac:dyDescent="0.2">
      <c r="A46" s="5" t="str">
        <f>HYPERLINK("#'5.5.1.1-2 Leaching and runoff'!A1", "5.5.1.1-2 Leaching and runoff")</f>
        <v>5.5.1.1-2 Leaching and runoff</v>
      </c>
    </row>
    <row r="49" spans="1:1" ht="20.100000000000001" customHeight="1" x14ac:dyDescent="0.2">
      <c r="A49" s="80" t="s">
        <v>1</v>
      </c>
    </row>
    <row r="50" spans="1:1" ht="20.100000000000001" customHeight="1" x14ac:dyDescent="0.2">
      <c r="A50" s="5" t="str">
        <f>HYPERLINK("#'Constants - Poultry'!A1", "Constants - Poultry")</f>
        <v>Constants - Poultry</v>
      </c>
    </row>
    <row r="51" spans="1:1" ht="20.100000000000001" customHeight="1" x14ac:dyDescent="0.2">
      <c r="A51" s="81" t="str">
        <f>HYPERLINK("#'Constants - Common livestock'!A1", "Constants - Common Livestock")</f>
        <v>Constants - Common Livestock</v>
      </c>
    </row>
    <row r="52" spans="1:1" ht="20.100000000000001" customHeight="1" x14ac:dyDescent="0.2">
      <c r="A52" s="5" t="str">
        <f>HYPERLINK("#'Constants - Electricity'!A1", "Constants - Electricity")</f>
        <v>Constants - Electricity</v>
      </c>
    </row>
    <row r="53" spans="1:1" ht="20.100000000000001" customHeight="1" x14ac:dyDescent="0.2">
      <c r="A53" s="5" t="str">
        <f>HYPERLINK("#'Constants - Fertiliser'!A1", "Constants - Fertiliser")</f>
        <v>Constants - Fertiliser</v>
      </c>
    </row>
    <row r="54" spans="1:1" ht="20.100000000000001" customHeight="1" x14ac:dyDescent="0.2">
      <c r="A54" s="5" t="str">
        <f>HYPERLINK("#'Constants - Fuel'!A1", "Constants - Fuel")</f>
        <v>Constants - Fuel</v>
      </c>
    </row>
    <row r="55" spans="1:1" ht="20.100000000000001" customHeight="1" x14ac:dyDescent="0.2">
      <c r="A55" s="5" t="str">
        <f>HYPERLINK("#'Constants - Scope 3'!A1", "Constants - Scope 3")</f>
        <v>Constants - Scope 3</v>
      </c>
    </row>
    <row r="56" spans="1:1" ht="20.100000000000001" customHeight="1" x14ac:dyDescent="0.2">
      <c r="A56" s="5" t="str">
        <f>HYPERLINK("#'Constants - Solid Waste'!A1", "Constants - Solid Waste")</f>
        <v>Constants - Solid Waste</v>
      </c>
    </row>
    <row r="57" spans="1:1" ht="20.100000000000001" customHeight="1" x14ac:dyDescent="0.2">
      <c r="A57" s="5" t="str">
        <f>HYPERLINK("#'Constants - Common'!A1", "Constants - Common")</f>
        <v>Constants - Common</v>
      </c>
    </row>
  </sheetData>
  <pageMargins left="0.7" right="0.7" top="0.75" bottom="0.75" header="0.3" footer="0.3"/>
  <pageSetup paperSize="9" orientation="portrait" r:id="rId1"/>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93786-3A26-4E9B-B4A7-2DAE7728C9E6}">
  <sheetPr>
    <tabColor theme="2" tint="-0.499984740745262"/>
  </sheetPr>
  <dimension ref="A1:AI57"/>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0" customFormat="1" ht="30" customHeight="1" x14ac:dyDescent="0.35">
      <c r="A1" s="10" t="e" vm="1">
        <v>#VALUE!</v>
      </c>
      <c r="C1" s="20" t="s">
        <v>575</v>
      </c>
      <c r="AG1"/>
      <c r="AH1"/>
      <c r="AI1"/>
    </row>
    <row r="2" spans="1:35" s="3" customFormat="1" ht="20.100000000000001" customHeight="1" x14ac:dyDescent="0.2">
      <c r="A2"/>
      <c r="AG2"/>
      <c r="AH2"/>
      <c r="AI2"/>
    </row>
    <row r="3" spans="1:35"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
        <v>1733</v>
      </c>
    </row>
    <row r="6" spans="1:35" ht="20.100000000000001" customHeight="1" x14ac:dyDescent="0.2">
      <c r="D6" s="17" t="s">
        <v>1734</v>
      </c>
      <c r="E6" s="8"/>
      <c r="F6" s="8"/>
    </row>
    <row r="7" spans="1:35" ht="20.100000000000001" customHeight="1" x14ac:dyDescent="0.2">
      <c r="D7" s="25" t="str" cm="1">
        <f t="array" ref="D7">"⚠️" &amp; Electricity_SourceData.Electricity_Scope2Scope3LocationBased_Variation()</f>
        <v>⚠️VARIATION OF SOURCE DATA: NSW and ACT split into separate rows.</v>
      </c>
      <c r="E7" s="8"/>
      <c r="F7" s="8"/>
    </row>
    <row r="8" spans="1:35" ht="20.100000000000001" customHeight="1" x14ac:dyDescent="0.2">
      <c r="A8" s="7" t="s">
        <v>0</v>
      </c>
      <c r="D8" s="8"/>
      <c r="E8" s="8"/>
      <c r="F8" s="8"/>
    </row>
    <row r="9" spans="1:35" ht="20.100000000000001" customHeight="1" x14ac:dyDescent="0.2">
      <c r="A9" s="5" t="str">
        <f>HYPERLINK("#'Input - Enterprise'!A1", "Enterprise")</f>
        <v>Enterprise</v>
      </c>
      <c r="D9" s="147" t="s">
        <v>576</v>
      </c>
      <c r="E9" s="147" t="s">
        <v>577</v>
      </c>
      <c r="F9" s="147" t="s">
        <v>578</v>
      </c>
    </row>
    <row r="10" spans="1:35" ht="20.100000000000001" customHeight="1" x14ac:dyDescent="0.2">
      <c r="A10" s="5" t="str">
        <f>HYPERLINK("#'Input - Site'!A1", "Site")</f>
        <v>Site</v>
      </c>
      <c r="D10" t="s">
        <v>1735</v>
      </c>
      <c r="E10">
        <v>0.64</v>
      </c>
      <c r="F10">
        <v>0.03</v>
      </c>
    </row>
    <row r="11" spans="1:35" ht="20.100000000000001" customHeight="1" x14ac:dyDescent="0.2">
      <c r="A11" s="5" t="str">
        <f>HYPERLINK("#'Input - Poultry'!A1", "Poultry")</f>
        <v>Poultry</v>
      </c>
      <c r="D11" t="s">
        <v>522</v>
      </c>
      <c r="E11">
        <v>0.64</v>
      </c>
      <c r="F11">
        <v>0.03</v>
      </c>
    </row>
    <row r="12" spans="1:35" ht="20.100000000000001" customHeight="1" x14ac:dyDescent="0.2">
      <c r="A12" s="5" t="str">
        <f>HYPERLINK("#'Input - Livestock sales'!A1", "Livestock sales")</f>
        <v>Livestock sales</v>
      </c>
      <c r="D12" t="s">
        <v>1736</v>
      </c>
      <c r="E12">
        <v>0.78</v>
      </c>
      <c r="F12">
        <v>0.09</v>
      </c>
    </row>
    <row r="13" spans="1:35" ht="20.100000000000001" customHeight="1" x14ac:dyDescent="0.2">
      <c r="A13" s="5" t="str">
        <f>HYPERLINK("#'Input - Poultry purchases'!A1", "Poultry purchases")</f>
        <v>Poultry purchases</v>
      </c>
      <c r="D13" t="s">
        <v>1737</v>
      </c>
      <c r="E13">
        <v>0.67</v>
      </c>
      <c r="F13">
        <v>0.09</v>
      </c>
    </row>
    <row r="14" spans="1:35" ht="20.100000000000001" customHeight="1" x14ac:dyDescent="0.2">
      <c r="A14" s="5" t="str">
        <f>HYPERLINK("#'Input - Fuel'!A1", "Fuel")</f>
        <v>Fuel</v>
      </c>
      <c r="D14" t="s">
        <v>1738</v>
      </c>
      <c r="E14">
        <v>0.22</v>
      </c>
      <c r="F14">
        <v>0.04</v>
      </c>
    </row>
    <row r="15" spans="1:35" ht="20.100000000000001" customHeight="1" x14ac:dyDescent="0.2">
      <c r="A15" s="5" t="str">
        <f>HYPERLINK("#'Input - Electricity'!A1", "Electricity")</f>
        <v>Electricity</v>
      </c>
      <c r="D15" t="s">
        <v>1739</v>
      </c>
      <c r="E15">
        <v>0.5</v>
      </c>
      <c r="F15">
        <v>0.06</v>
      </c>
    </row>
    <row r="16" spans="1:35" ht="20.100000000000001" customHeight="1" x14ac:dyDescent="0.2">
      <c r="A16" s="5" t="str">
        <f>HYPERLINK("#'Input - Common farm inputs'!A1", "Common farm inputs")</f>
        <v>Common farm inputs</v>
      </c>
      <c r="D16" t="s">
        <v>547</v>
      </c>
      <c r="E16">
        <v>0.56000000000000005</v>
      </c>
      <c r="F16">
        <v>0.09</v>
      </c>
    </row>
    <row r="17" spans="1:8" ht="20.100000000000001" customHeight="1" x14ac:dyDescent="0.2">
      <c r="A17" s="5" t="str">
        <f>HYPERLINK("#'Input - Livestock farm Inputs'!A1", "Livestock farm Inputs")</f>
        <v>Livestock farm Inputs</v>
      </c>
      <c r="D17" t="s">
        <v>1740</v>
      </c>
      <c r="E17">
        <v>0.2</v>
      </c>
      <c r="F17">
        <v>0.03</v>
      </c>
    </row>
    <row r="18" spans="1:8" ht="20.100000000000001" customHeight="1" x14ac:dyDescent="0.2">
      <c r="A18" s="5" t="str">
        <f>HYPERLINK("#'Input - Freight'!A1", "Freight")</f>
        <v>Freight</v>
      </c>
      <c r="D18" t="s">
        <v>1741</v>
      </c>
      <c r="E18">
        <v>0.56000000000000005</v>
      </c>
      <c r="F18">
        <v>0.09</v>
      </c>
    </row>
    <row r="19" spans="1:8" ht="20.100000000000001" customHeight="1" x14ac:dyDescent="0.2">
      <c r="A19" s="5" t="str">
        <f>HYPERLINK("#'Input - Solid waste'!A1", "Solid waste")</f>
        <v>Solid waste</v>
      </c>
      <c r="D19" t="s">
        <v>1742</v>
      </c>
      <c r="E19">
        <v>0.62</v>
      </c>
      <c r="F19">
        <v>7.0000000000000007E-2</v>
      </c>
    </row>
    <row r="20" spans="1:8" ht="20.100000000000001" customHeight="1" x14ac:dyDescent="0.2">
      <c r="A20" s="5" t="str">
        <f>HYPERLINK("#'Input - Manure sent off-site'!A1", "Manure sent off-site")</f>
        <v>Manure sent off-site</v>
      </c>
    </row>
    <row r="21" spans="1:8" ht="20.100000000000001" customHeight="1" x14ac:dyDescent="0.2">
      <c r="A21" s="5" t="str">
        <f>HYPERLINK("#'Input - Data quality'!A1", "Data quality")</f>
        <v>Data quality</v>
      </c>
      <c r="D21" s="2" t="s">
        <v>1743</v>
      </c>
    </row>
    <row r="22" spans="1:8" ht="20.100000000000001" customHeight="1" x14ac:dyDescent="0.2">
      <c r="A22" s="5" t="str">
        <f>HYPERLINK("#'Input - Fert Prod System'!A1", "Fert Prod System")</f>
        <v>Fert Prod System</v>
      </c>
      <c r="D22" s="17" t="s">
        <v>1744</v>
      </c>
    </row>
    <row r="23" spans="1:8" ht="20.100000000000001" customHeight="1" x14ac:dyDescent="0.2">
      <c r="A23" s="5" t="str">
        <f>HYPERLINK("#'Input - Fertiliser'!A1", "Fertiliser")</f>
        <v>Fertiliser</v>
      </c>
    </row>
    <row r="24" spans="1:8" ht="20.100000000000001" customHeight="1" x14ac:dyDescent="0.2">
      <c r="D24" s="148" t="s">
        <v>576</v>
      </c>
      <c r="E24" s="148" t="s">
        <v>579</v>
      </c>
      <c r="F24" s="148" t="s">
        <v>580</v>
      </c>
      <c r="G24" s="148" t="s">
        <v>581</v>
      </c>
      <c r="H24" s="148" t="s">
        <v>582</v>
      </c>
    </row>
    <row r="25" spans="1:8" ht="20.100000000000001" customHeight="1" x14ac:dyDescent="0.2">
      <c r="D25" t="s">
        <v>1742</v>
      </c>
      <c r="E25">
        <v>0.81</v>
      </c>
      <c r="F25">
        <v>226</v>
      </c>
      <c r="G25">
        <v>0.1</v>
      </c>
      <c r="H25">
        <v>29</v>
      </c>
    </row>
    <row r="26" spans="1:8" ht="20.100000000000001" customHeight="1" x14ac:dyDescent="0.2">
      <c r="A26" s="6" t="s">
        <v>2</v>
      </c>
    </row>
    <row r="27" spans="1:8" ht="20.100000000000001" customHeight="1" x14ac:dyDescent="0.2">
      <c r="A27" s="5" t="str">
        <f>HYPERLINK("#'4.6.1.1-2 Methane'!A1", "4.6.1.1-2 Manure Methane")</f>
        <v>4.6.1.1-2 Manure Methane</v>
      </c>
    </row>
    <row r="28" spans="1:8" ht="20.100000000000001" customHeight="1" x14ac:dyDescent="0.2">
      <c r="A28" s="5" t="str">
        <f>HYPERLINK("#'4.6.1.3-4 Direct N20'!A1", "4.6.1.3-4 Manure Direct N2O")</f>
        <v>4.6.1.3-4 Manure Direct N2O</v>
      </c>
    </row>
    <row r="29" spans="1:8" ht="20.100000000000001" customHeight="1" x14ac:dyDescent="0.2">
      <c r="A29" s="5" t="str">
        <f>HYPERLINK("#'4.6.1.5-6 Atmos Dep'!A1", "4.6.1.5-6 Manure Atmos Dep")</f>
        <v>4.6.1.5-6 Manure Atmos Dep</v>
      </c>
    </row>
    <row r="30" spans="1:8" ht="20.100000000000001" customHeight="1" x14ac:dyDescent="0.2">
      <c r="A30" s="5" t="str">
        <f>HYPERLINK("#'4.6.1.7-8 Leaching and runoff'!A1", "4.6.1.7-8 Manure Leaching and runoff")</f>
        <v>4.6.1.7-8 Manure Leaching and runoff</v>
      </c>
    </row>
    <row r="31" spans="1:8" ht="20.100000000000001" customHeight="1" x14ac:dyDescent="0.2">
      <c r="A31" s="5" t="str">
        <f>HYPERLINK("#'4.6.1.9 Manure applied to soils'!A1", "4.6.1.9 Manure applied to soils")</f>
        <v>4.6.1.9 Manure applied to soils</v>
      </c>
    </row>
    <row r="32" spans="1:8" ht="20.100000000000001" customHeight="1" x14ac:dyDescent="0.2">
      <c r="A32" s="5" t="str">
        <f>HYPERLINK("#'4.6.1.10-11 Soil direct N2O'!A1", "4.6.1.10-11 Soil direct N2O")</f>
        <v>4.6.1.10-11 Soil direct N2O</v>
      </c>
    </row>
    <row r="33" spans="1:1" ht="20.100000000000001" customHeight="1" x14ac:dyDescent="0.2">
      <c r="A33" s="5" t="str">
        <f>HYPERLINK("#'4.6.1.12-13 Soil atmos dep'!A1", "4.6.1.12-13 Soil atmos dep")</f>
        <v>4.6.1.12-13 Soil atmos dep</v>
      </c>
    </row>
    <row r="34" spans="1:1" ht="20.100000000000001" customHeight="1" x14ac:dyDescent="0.2">
      <c r="A34" s="5" t="str">
        <f>HYPERLINK("#'4.6.1.14-15 Soil leach runoff'!A1", "4.6.1.14-15 Soil leach runoff")</f>
        <v>4.6.1.14-15 Soil leach runoff</v>
      </c>
    </row>
    <row r="35" spans="1:1" ht="20.100000000000001" customHeight="1" x14ac:dyDescent="0.2">
      <c r="A35" s="5" t="str">
        <f>HYPERLINK("#'8.1.1.1-2 Transport fuel'!A1", "8.1.1.1-2 Transport fuel")</f>
        <v>8.1.1.1-2 Transport fuel</v>
      </c>
    </row>
    <row r="36" spans="1:1" ht="20.100000000000001" customHeight="1" x14ac:dyDescent="0.2">
      <c r="A36" s="5" t="str">
        <f>HYPERLINK("#'8.2.1.1-2 Stationary fuel'!A1", "8.2.1.1-2 Stationary fuel")</f>
        <v>8.2.1.1-2 Stationary fuel</v>
      </c>
    </row>
    <row r="37" spans="1:1" ht="20.100000000000001" customHeight="1" x14ac:dyDescent="0.2">
      <c r="A37" s="5" t="str">
        <f>HYPERLINK("#'10.1.1-2 Solid waste treatment'!A1", "10.1.1.1-2 Solid waste")</f>
        <v>10.1.1.1-2 Solid waste</v>
      </c>
    </row>
    <row r="38" spans="1:1" ht="20.100000000000001" customHeight="1" x14ac:dyDescent="0.2">
      <c r="A38" s="5" t="str">
        <f>HYPERLINK("#'14.1.1-2 Purchased electricity'!A1", "14.1.1-2 Purchased electricity")</f>
        <v>14.1.1-2 Purchased electricity</v>
      </c>
    </row>
    <row r="39" spans="1:1" ht="20.100000000000001" customHeight="1" x14ac:dyDescent="0.2">
      <c r="A39" s="5" t="str">
        <f>HYPERLINK("#'15 Scope 3'!A1", "15 Scope 3")</f>
        <v>15 Scope 3</v>
      </c>
    </row>
    <row r="40" spans="1:1" ht="20.100000000000001" customHeight="1" x14ac:dyDescent="0.2">
      <c r="A40" s="5" t="str">
        <f>HYPERLINK("#'Calcs - Manure sent off-site'!A1", "Calcs - Manure sent off-site")</f>
        <v>Calcs - Manure sent off-site</v>
      </c>
    </row>
    <row r="41" spans="1:1" ht="20.100000000000001" customHeight="1" x14ac:dyDescent="0.2">
      <c r="A41" s="5" t="str">
        <f>HYPERLINK("#'5.1.1.1-2 Inorganic fert N2O'!A1", "5.1.1.1-2 Inorganic fert N2O")</f>
        <v>5.1.1.1-2 Inorganic fert N2O</v>
      </c>
    </row>
    <row r="42" spans="1:1" ht="20.100000000000001" customHeight="1" x14ac:dyDescent="0.2">
      <c r="A42" s="5" t="str">
        <f>HYPERLINK("#'5.1.1.3-4 Inorganic fert CO2'!A1", "5.1.1.3-4 Inorganic fert CO2")</f>
        <v>5.1.1.3-4 Inorganic fert CO2</v>
      </c>
    </row>
    <row r="43" spans="1:1" ht="20.100000000000001" customHeight="1" x14ac:dyDescent="0.2">
      <c r="A43" s="5" t="str">
        <f>HYPERLINK("#'5.2.1.1-2 Organic Fert N2O'!A1", "5.2.1.1-2 Organic Fert N2O")</f>
        <v>5.2.1.1-2 Organic Fert N2O</v>
      </c>
    </row>
    <row r="44" spans="1:1" ht="20.100000000000001" customHeight="1" x14ac:dyDescent="0.2">
      <c r="A44" s="5" t="str">
        <f>HYPERLINK("#'5.3.1.1-2 Lime CO2'!A1", "5.3.1.1-2 Lime CO2")</f>
        <v>5.3.1.1-2 Lime CO2</v>
      </c>
    </row>
    <row r="45" spans="1:1" ht="20.100000000000001" customHeight="1" x14ac:dyDescent="0.2">
      <c r="A45" s="5" t="str">
        <f>HYPERLINK("#'5.4.1.1-4 Atmos deposition'!A1", "5.4.1.1-4 Atmos deposition")</f>
        <v>5.4.1.1-4 Atmos deposition</v>
      </c>
    </row>
    <row r="46" spans="1:1" ht="20.100000000000001" customHeight="1" x14ac:dyDescent="0.2">
      <c r="A46" s="5" t="str">
        <f>HYPERLINK("#'5.5.1.1-2 Leaching and runoff'!A1", "5.5.1.1-2 Leaching and runoff")</f>
        <v>5.5.1.1-2 Leaching and runoff</v>
      </c>
    </row>
    <row r="49" spans="1:1" ht="20.100000000000001" customHeight="1" x14ac:dyDescent="0.2">
      <c r="A49" s="80" t="s">
        <v>1</v>
      </c>
    </row>
    <row r="50" spans="1:1" ht="20.100000000000001" customHeight="1" x14ac:dyDescent="0.2">
      <c r="A50" s="5" t="str">
        <f>HYPERLINK("#'Constants - Poultry'!A1", "Constants - Poultry")</f>
        <v>Constants - Poultry</v>
      </c>
    </row>
    <row r="51" spans="1:1" ht="20.100000000000001" customHeight="1" x14ac:dyDescent="0.2">
      <c r="A51" s="5" t="str">
        <f>HYPERLINK("#'Constants - Common livestock'!A1", "Constants - Common Livestock")</f>
        <v>Constants - Common Livestock</v>
      </c>
    </row>
    <row r="52" spans="1:1" ht="20.100000000000001" customHeight="1" x14ac:dyDescent="0.2">
      <c r="A52" s="81" t="str">
        <f>HYPERLINK("#'Constants - Electricity'!A1", "Constants - Electricity")</f>
        <v>Constants - Electricity</v>
      </c>
    </row>
    <row r="53" spans="1:1" ht="20.100000000000001" customHeight="1" x14ac:dyDescent="0.2">
      <c r="A53" s="5" t="str">
        <f>HYPERLINK("#'Constants - Fertiliser'!A1", "Constants - Fertiliser")</f>
        <v>Constants - Fertiliser</v>
      </c>
    </row>
    <row r="54" spans="1:1" ht="20.100000000000001" customHeight="1" x14ac:dyDescent="0.2">
      <c r="A54" s="5" t="str">
        <f>HYPERLINK("#'Constants - Fuel'!A1", "Constants - Fuel")</f>
        <v>Constants - Fuel</v>
      </c>
    </row>
    <row r="55" spans="1:1" ht="20.100000000000001" customHeight="1" x14ac:dyDescent="0.2">
      <c r="A55" s="5" t="str">
        <f>HYPERLINK("#'Constants - Scope 3'!A1", "Constants - Scope 3")</f>
        <v>Constants - Scope 3</v>
      </c>
    </row>
    <row r="56" spans="1:1" ht="20.100000000000001" customHeight="1" x14ac:dyDescent="0.2">
      <c r="A56" s="5" t="str">
        <f>HYPERLINK("#'Constants - Solid Waste'!A1", "Constants - Solid Waste")</f>
        <v>Constants - Solid Waste</v>
      </c>
    </row>
    <row r="57" spans="1:1" ht="20.100000000000001" customHeight="1" x14ac:dyDescent="0.2">
      <c r="A57" s="5" t="str">
        <f>HYPERLINK("#'Constants - Common'!A1", "Constants - Common")</f>
        <v>Constants - Common</v>
      </c>
    </row>
  </sheetData>
  <pageMargins left="0.7" right="0.7" top="0.75" bottom="0.75" header="0.3" footer="0.3"/>
  <tableParts count="2">
    <tablePart r:id="rId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2B31B-8023-45F6-ACD3-48756569F610}">
  <dimension ref="A1:AM223"/>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9" width="20.7109375" style="1" customWidth="1"/>
    <col min="10" max="10" width="26.28515625" style="1" customWidth="1"/>
    <col min="11" max="34" width="20.7109375" style="1" customWidth="1"/>
    <col min="35" max="36" width="9.140625" style="1"/>
  </cols>
  <sheetData>
    <row r="1" spans="1:36" s="20" customFormat="1" ht="30" customHeight="1" x14ac:dyDescent="0.35">
      <c r="A1" s="10" t="e" vm="1">
        <v>#VALUE!</v>
      </c>
      <c r="C1" s="20" t="s">
        <v>844</v>
      </c>
      <c r="AF1" s="1"/>
      <c r="AG1" s="1"/>
      <c r="AH1" s="1"/>
      <c r="AI1" s="1"/>
      <c r="AJ1" s="1"/>
    </row>
    <row r="2" spans="1:36" s="3" customFormat="1" ht="20.100000000000001" customHeight="1" x14ac:dyDescent="0.2">
      <c r="A2"/>
      <c r="AF2" s="1"/>
      <c r="AG2" s="1"/>
      <c r="AH2" s="1"/>
      <c r="AI2" s="1"/>
      <c r="AJ2" s="1"/>
    </row>
    <row r="3" spans="1:36"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row>
    <row r="4" spans="1:36" ht="20.100000000000001" customHeight="1" x14ac:dyDescent="0.2">
      <c r="A4" s="5" t="str">
        <f>HYPERLINK("#'Results - Activity period'!A1", "Results - Activity period")</f>
        <v>Results - Activity period</v>
      </c>
    </row>
    <row r="5" spans="1:36" ht="20.100000000000001" customHeight="1" x14ac:dyDescent="0.2">
      <c r="A5" s="5" t="str">
        <f>HYPERLINK("#'Results - Product EI'!A1", "Results - Product Emissions Intensity")</f>
        <v>Results - Product Emissions Intensity</v>
      </c>
      <c r="D5" s="2" t="s">
        <v>1745</v>
      </c>
      <c r="E5" s="154"/>
      <c r="F5" s="154"/>
      <c r="G5" s="154"/>
      <c r="H5" s="154"/>
      <c r="I5" s="154"/>
      <c r="J5" s="154"/>
    </row>
    <row r="6" spans="1:36" ht="20.100000000000001" customHeight="1" x14ac:dyDescent="0.2">
      <c r="D6" s="17" t="s">
        <v>1746</v>
      </c>
    </row>
    <row r="7" spans="1:36" ht="20.100000000000001" customHeight="1" x14ac:dyDescent="0.2">
      <c r="D7" s="25" t="s">
        <v>1747</v>
      </c>
    </row>
    <row r="8" spans="1:36" ht="20.100000000000001" customHeight="1" x14ac:dyDescent="0.2">
      <c r="A8" s="7" t="s">
        <v>0</v>
      </c>
      <c r="D8" s="25" t="s">
        <v>1748</v>
      </c>
    </row>
    <row r="9" spans="1:36" ht="20.100000000000001" customHeight="1" x14ac:dyDescent="0.2">
      <c r="A9" s="5" t="str">
        <f>HYPERLINK("#'Input - Enterprise'!A1", "Enterprise")</f>
        <v>Enterprise</v>
      </c>
      <c r="D9" s="25" t="s">
        <v>1749</v>
      </c>
    </row>
    <row r="10" spans="1:36" ht="20.100000000000001" customHeight="1" x14ac:dyDescent="0.2">
      <c r="A10" s="5" t="str">
        <f>HYPERLINK("#'Input - Site'!A1", "Site")</f>
        <v>Site</v>
      </c>
      <c r="D10" s="25" t="s">
        <v>1750</v>
      </c>
    </row>
    <row r="11" spans="1:36" ht="20.100000000000001" customHeight="1" x14ac:dyDescent="0.2">
      <c r="A11" s="5" t="str">
        <f>HYPERLINK("#'Input - Poultry'!A1", "Poultry")</f>
        <v>Poultry</v>
      </c>
      <c r="D11" s="25" t="s">
        <v>1751</v>
      </c>
    </row>
    <row r="12" spans="1:36" ht="20.100000000000001" customHeight="1" x14ac:dyDescent="0.2">
      <c r="A12" s="5" t="str">
        <f>HYPERLINK("#'Input - Livestock sales'!A1", "Livestock sales")</f>
        <v>Livestock sales</v>
      </c>
      <c r="D12" s="25" t="s">
        <v>1752</v>
      </c>
    </row>
    <row r="13" spans="1:36" ht="20.100000000000001" customHeight="1" x14ac:dyDescent="0.2">
      <c r="A13" s="5" t="str">
        <f>HYPERLINK("#'Input - Poultry purchases'!A1", "Poultry purchases")</f>
        <v>Poultry purchases</v>
      </c>
      <c r="D13" s="25" t="s">
        <v>1753</v>
      </c>
    </row>
    <row r="14" spans="1:36" ht="20.100000000000001" customHeight="1" x14ac:dyDescent="0.2">
      <c r="A14" s="5" t="str">
        <f>HYPERLINK("#'Input - Fuel'!A1", "Fuel")</f>
        <v>Fuel</v>
      </c>
      <c r="D14" s="25" t="s">
        <v>1754</v>
      </c>
    </row>
    <row r="15" spans="1:36" ht="20.100000000000001" customHeight="1" x14ac:dyDescent="0.2">
      <c r="A15" s="5" t="str">
        <f>HYPERLINK("#'Input - Electricity'!A1", "Electricity")</f>
        <v>Electricity</v>
      </c>
      <c r="D15" s="25" t="s">
        <v>1755</v>
      </c>
    </row>
    <row r="16" spans="1:36" ht="20.100000000000001" customHeight="1" x14ac:dyDescent="0.2">
      <c r="A16" s="5" t="str">
        <f>HYPERLINK("#'Input - Common farm inputs'!A1", "Common farm inputs")</f>
        <v>Common farm inputs</v>
      </c>
      <c r="D16" s="25" t="s">
        <v>1756</v>
      </c>
    </row>
    <row r="17" spans="1:22" ht="20.100000000000001" customHeight="1" x14ac:dyDescent="0.2">
      <c r="A17" s="5" t="str">
        <f>HYPERLINK("#'Input - Livestock farm Inputs'!A1", "Livestock farm Inputs")</f>
        <v>Livestock farm Inputs</v>
      </c>
      <c r="D17" s="25" t="s">
        <v>1757</v>
      </c>
      <c r="K17" s="2" t="s">
        <v>1759</v>
      </c>
      <c r="Q17" s="2" t="s">
        <v>1761</v>
      </c>
      <c r="V17" s="2" t="s">
        <v>1763</v>
      </c>
    </row>
    <row r="18" spans="1:22" ht="20.100000000000001" customHeight="1" x14ac:dyDescent="0.2">
      <c r="A18" s="5" t="str">
        <f>HYPERLINK("#'Input - Freight'!A1", "Freight")</f>
        <v>Freight</v>
      </c>
      <c r="D18" s="25" t="s">
        <v>1758</v>
      </c>
      <c r="K18" s="17" t="s">
        <v>1760</v>
      </c>
      <c r="Q18" s="17" t="s">
        <v>1762</v>
      </c>
      <c r="V18" s="17" t="s">
        <v>1764</v>
      </c>
    </row>
    <row r="19" spans="1:22" ht="20.100000000000001" customHeight="1" x14ac:dyDescent="0.2">
      <c r="A19" s="5" t="str">
        <f>HYPERLINK("#'Input - Solid waste'!A1", "Solid waste")</f>
        <v>Solid waste</v>
      </c>
      <c r="D19" t="s">
        <v>765</v>
      </c>
      <c r="E19" t="s">
        <v>845</v>
      </c>
      <c r="F19" t="s">
        <v>846</v>
      </c>
      <c r="G19" t="s">
        <v>820</v>
      </c>
      <c r="H19" t="s">
        <v>847</v>
      </c>
      <c r="I19" t="s">
        <v>569</v>
      </c>
      <c r="K19" s="19" t="s">
        <v>765</v>
      </c>
      <c r="L19" s="19" t="s">
        <v>845</v>
      </c>
      <c r="Q19" s="19" t="s">
        <v>765</v>
      </c>
      <c r="R19" s="19" t="s">
        <v>845</v>
      </c>
      <c r="V19" s="19" t="s">
        <v>569</v>
      </c>
    </row>
    <row r="20" spans="1:22" ht="20.100000000000001" customHeight="1" x14ac:dyDescent="0.2">
      <c r="A20" s="5" t="str">
        <f>HYPERLINK("#'Input - Manure sent off-site'!A1", "Manure sent off-site")</f>
        <v>Manure sent off-site</v>
      </c>
      <c r="D20" s="148" t="s">
        <v>1765</v>
      </c>
      <c r="E20" s="148">
        <v>0.1</v>
      </c>
      <c r="F20" s="148">
        <v>0</v>
      </c>
      <c r="G20" s="148" t="s">
        <v>1766</v>
      </c>
      <c r="H20" s="148" t="s">
        <v>1765</v>
      </c>
      <c r="I20" s="148" t="s">
        <v>1187</v>
      </c>
      <c r="K20" s="19" t="s">
        <v>1765</v>
      </c>
      <c r="L20" s="19">
        <v>0.1</v>
      </c>
      <c r="Q20" s="19" t="s">
        <v>1765</v>
      </c>
      <c r="R20" s="19">
        <v>0</v>
      </c>
      <c r="V20" s="19" t="s">
        <v>1792</v>
      </c>
    </row>
    <row r="21" spans="1:22" ht="20.100000000000001" customHeight="1" x14ac:dyDescent="0.2">
      <c r="A21" s="5" t="str">
        <f>HYPERLINK("#'Input - Data quality'!A1", "Data quality")</f>
        <v>Data quality</v>
      </c>
      <c r="D21" s="148" t="s">
        <v>1767</v>
      </c>
      <c r="E21" s="148">
        <v>0.18</v>
      </c>
      <c r="F21" s="148">
        <v>0</v>
      </c>
      <c r="G21" s="148" t="s">
        <v>1766</v>
      </c>
      <c r="H21" s="148" t="s">
        <v>1767</v>
      </c>
      <c r="I21" s="148" t="s">
        <v>1187</v>
      </c>
      <c r="K21" s="19" t="s">
        <v>1767</v>
      </c>
      <c r="L21" s="19">
        <v>0.18</v>
      </c>
      <c r="Q21" s="19" t="s">
        <v>1767</v>
      </c>
      <c r="R21" s="19">
        <v>0</v>
      </c>
      <c r="V21" s="19" t="s">
        <v>1793</v>
      </c>
    </row>
    <row r="22" spans="1:22" ht="20.100000000000001" customHeight="1" x14ac:dyDescent="0.2">
      <c r="A22" s="5" t="str">
        <f>HYPERLINK("#'Input - Fert Prod System'!A1", "Fert Prod System")</f>
        <v>Fert Prod System</v>
      </c>
      <c r="D22" s="148" t="s">
        <v>713</v>
      </c>
      <c r="E22" s="148">
        <v>0.46</v>
      </c>
      <c r="F22" s="148">
        <v>1</v>
      </c>
      <c r="G22" s="148" t="s">
        <v>1768</v>
      </c>
      <c r="H22" s="148" t="s">
        <v>713</v>
      </c>
      <c r="I22" s="148" t="s">
        <v>1187</v>
      </c>
      <c r="K22" s="19" t="s">
        <v>713</v>
      </c>
      <c r="L22" s="19">
        <v>0.46</v>
      </c>
      <c r="Q22" s="19" t="s">
        <v>713</v>
      </c>
      <c r="R22" s="19">
        <v>1</v>
      </c>
      <c r="V22" s="19" t="s">
        <v>1794</v>
      </c>
    </row>
    <row r="23" spans="1:22" ht="20.100000000000001" customHeight="1" x14ac:dyDescent="0.2">
      <c r="A23" s="5" t="str">
        <f>HYPERLINK("#'Input - Fertiliser'!A1", "Fertiliser")</f>
        <v>Fertiliser</v>
      </c>
      <c r="D23" s="148" t="s">
        <v>1769</v>
      </c>
      <c r="E23" s="148">
        <v>0.21</v>
      </c>
      <c r="F23" s="148">
        <v>0</v>
      </c>
      <c r="G23" s="148" t="s">
        <v>1766</v>
      </c>
      <c r="H23" s="148" t="s">
        <v>1769</v>
      </c>
      <c r="I23" s="148" t="s">
        <v>1187</v>
      </c>
      <c r="K23" s="19" t="s">
        <v>1769</v>
      </c>
      <c r="L23" s="19">
        <v>0.21</v>
      </c>
      <c r="Q23" s="19" t="s">
        <v>1769</v>
      </c>
      <c r="R23" s="19">
        <v>0</v>
      </c>
      <c r="V23" s="19" t="s">
        <v>1795</v>
      </c>
    </row>
    <row r="24" spans="1:22" ht="20.100000000000001" customHeight="1" x14ac:dyDescent="0.2">
      <c r="D24" s="148" t="s">
        <v>1770</v>
      </c>
      <c r="E24" s="148">
        <v>0.32</v>
      </c>
      <c r="F24" s="148">
        <v>0.35</v>
      </c>
      <c r="G24" s="148" t="s">
        <v>1768</v>
      </c>
      <c r="H24" s="148" t="s">
        <v>1770</v>
      </c>
      <c r="I24" s="148" t="s">
        <v>1187</v>
      </c>
      <c r="K24" s="19" t="s">
        <v>1770</v>
      </c>
      <c r="L24" s="19">
        <v>0.32</v>
      </c>
      <c r="Q24" s="19" t="s">
        <v>1770</v>
      </c>
      <c r="R24" s="19">
        <v>0.35</v>
      </c>
    </row>
    <row r="25" spans="1:22" ht="20.100000000000001" customHeight="1" x14ac:dyDescent="0.2">
      <c r="D25" s="148" t="s">
        <v>1771</v>
      </c>
      <c r="E25" s="148">
        <v>0.33700000000000002</v>
      </c>
      <c r="F25" s="148">
        <v>0</v>
      </c>
      <c r="G25" s="148" t="s">
        <v>1772</v>
      </c>
      <c r="H25" s="148" t="s">
        <v>1771</v>
      </c>
      <c r="I25" s="148" t="s">
        <v>1187</v>
      </c>
      <c r="K25" s="19" t="s">
        <v>1771</v>
      </c>
      <c r="L25" s="19">
        <v>0.33700000000000002</v>
      </c>
      <c r="Q25" s="19" t="s">
        <v>1771</v>
      </c>
      <c r="R25" s="19">
        <v>0</v>
      </c>
    </row>
    <row r="26" spans="1:22" ht="20.100000000000001" customHeight="1" x14ac:dyDescent="0.2">
      <c r="A26" s="6" t="s">
        <v>2</v>
      </c>
      <c r="D26" s="148" t="s">
        <v>1773</v>
      </c>
      <c r="E26" s="148">
        <v>0.27</v>
      </c>
      <c r="F26" s="148">
        <v>0</v>
      </c>
      <c r="G26" s="148" t="s">
        <v>1772</v>
      </c>
      <c r="H26" s="148" t="s">
        <v>1773</v>
      </c>
      <c r="I26" s="148" t="s">
        <v>1187</v>
      </c>
      <c r="K26" s="19" t="s">
        <v>1773</v>
      </c>
      <c r="L26" s="19">
        <v>0.27</v>
      </c>
      <c r="Q26" s="19" t="s">
        <v>1773</v>
      </c>
      <c r="R26" s="19">
        <v>0</v>
      </c>
    </row>
    <row r="27" spans="1:22" ht="20.100000000000001" customHeight="1" x14ac:dyDescent="0.2">
      <c r="A27" s="5" t="str">
        <f>HYPERLINK("#'4.6.1.1-2 Methane'!A1", "4.6.1.1-2 Manure Methane")</f>
        <v>4.6.1.1-2 Manure Methane</v>
      </c>
      <c r="D27" s="148" t="s">
        <v>1774</v>
      </c>
      <c r="E27" s="148">
        <v>1</v>
      </c>
      <c r="F27" s="148">
        <v>0</v>
      </c>
      <c r="G27" s="148" t="s">
        <v>1766</v>
      </c>
      <c r="H27" s="148" t="s">
        <v>1774</v>
      </c>
      <c r="I27" s="148" t="s">
        <v>1775</v>
      </c>
      <c r="K27" s="19" t="s">
        <v>1790</v>
      </c>
      <c r="L27" s="19">
        <v>0.21</v>
      </c>
      <c r="Q27" s="19" t="s">
        <v>1790</v>
      </c>
      <c r="R27" s="19">
        <v>0</v>
      </c>
    </row>
    <row r="28" spans="1:22" ht="20.100000000000001" customHeight="1" x14ac:dyDescent="0.2">
      <c r="A28" s="5" t="str">
        <f>HYPERLINK("#'4.6.1.3-4 Direct N20'!A1", "4.6.1.3-4 Manure Direct N2O")</f>
        <v>4.6.1.3-4 Manure Direct N2O</v>
      </c>
      <c r="D28" s="148" t="s">
        <v>1776</v>
      </c>
      <c r="E28" s="148">
        <v>1</v>
      </c>
      <c r="F28" s="148">
        <v>0</v>
      </c>
      <c r="G28" s="148" t="s">
        <v>1777</v>
      </c>
      <c r="H28" s="148" t="s">
        <v>1778</v>
      </c>
      <c r="I28" s="148" t="s">
        <v>1775</v>
      </c>
      <c r="K28" s="19" t="s">
        <v>1791</v>
      </c>
      <c r="L28" s="19">
        <v>0.155</v>
      </c>
      <c r="Q28" s="19" t="s">
        <v>1791</v>
      </c>
      <c r="R28" s="19">
        <v>0</v>
      </c>
    </row>
    <row r="29" spans="1:22" ht="20.100000000000001" customHeight="1" x14ac:dyDescent="0.2">
      <c r="A29" s="5" t="str">
        <f>HYPERLINK("#'4.6.1.5-6 Atmos Dep'!A1", "4.6.1.5-6 Manure Atmos Dep")</f>
        <v>4.6.1.5-6 Manure Atmos Dep</v>
      </c>
      <c r="D29" s="148" t="s">
        <v>1779</v>
      </c>
      <c r="E29" s="148">
        <v>1</v>
      </c>
      <c r="F29" s="148">
        <v>0</v>
      </c>
      <c r="G29" s="148" t="s">
        <v>1768</v>
      </c>
      <c r="H29" s="148" t="s">
        <v>1780</v>
      </c>
      <c r="I29" s="148" t="s">
        <v>1775</v>
      </c>
    </row>
    <row r="30" spans="1:22" ht="20.100000000000001" customHeight="1" x14ac:dyDescent="0.2">
      <c r="A30" s="5" t="str">
        <f>HYPERLINK("#'4.6.1.7-8 Leaching and runoff'!A1", "4.6.1.7-8 Manure Leaching and runoff")</f>
        <v>4.6.1.7-8 Manure Leaching and runoff</v>
      </c>
      <c r="D30" s="148" t="s">
        <v>1781</v>
      </c>
      <c r="E30" s="148">
        <v>0</v>
      </c>
      <c r="F30" s="148">
        <v>0</v>
      </c>
      <c r="G30" s="148" t="s">
        <v>1782</v>
      </c>
      <c r="H30" s="148" t="s">
        <v>1783</v>
      </c>
      <c r="I30" s="148" t="s">
        <v>1775</v>
      </c>
    </row>
    <row r="31" spans="1:22" ht="20.100000000000001" customHeight="1" x14ac:dyDescent="0.2">
      <c r="A31" s="5" t="str">
        <f>HYPERLINK("#'4.6.1.9 Manure applied to soils'!A1", "4.6.1.9 Manure applied to soils")</f>
        <v>4.6.1.9 Manure applied to soils</v>
      </c>
      <c r="D31" s="148" t="s">
        <v>725</v>
      </c>
      <c r="E31" s="148">
        <v>0</v>
      </c>
      <c r="F31" s="148">
        <v>0</v>
      </c>
      <c r="G31" s="148" t="s">
        <v>1782</v>
      </c>
      <c r="H31" s="148" t="s">
        <v>1784</v>
      </c>
      <c r="I31" s="148" t="s">
        <v>1775</v>
      </c>
    </row>
    <row r="32" spans="1:22" ht="20.100000000000001" customHeight="1" x14ac:dyDescent="0.2">
      <c r="A32" s="5" t="str">
        <f>HYPERLINK("#'4.6.1.10-11 Soil direct N2O'!A1", "4.6.1.10-11 Soil direct N2O")</f>
        <v>4.6.1.10-11 Soil direct N2O</v>
      </c>
      <c r="D32" s="148" t="s">
        <v>726</v>
      </c>
      <c r="E32" s="148">
        <v>0</v>
      </c>
      <c r="F32" s="148">
        <v>0</v>
      </c>
      <c r="G32" s="148" t="s">
        <v>1782</v>
      </c>
      <c r="H32" s="148" t="s">
        <v>1785</v>
      </c>
      <c r="I32" s="148" t="s">
        <v>1775</v>
      </c>
    </row>
    <row r="33" spans="1:10" ht="20.100000000000001" customHeight="1" x14ac:dyDescent="0.2">
      <c r="A33" s="5" t="str">
        <f>HYPERLINK("#'4.6.1.12-13 Soil atmos dep'!A1", "4.6.1.12-13 Soil atmos dep")</f>
        <v>4.6.1.12-13 Soil atmos dep</v>
      </c>
      <c r="D33" s="148" t="s">
        <v>724</v>
      </c>
      <c r="E33" s="148">
        <v>0</v>
      </c>
      <c r="F33" s="148">
        <v>0</v>
      </c>
      <c r="G33" s="148" t="s">
        <v>1782</v>
      </c>
      <c r="H33" s="148" t="s">
        <v>1786</v>
      </c>
      <c r="I33" s="148" t="s">
        <v>1775</v>
      </c>
    </row>
    <row r="34" spans="1:10" ht="20.100000000000001" customHeight="1" x14ac:dyDescent="0.2">
      <c r="A34" s="5" t="str">
        <f>HYPERLINK("#'4.6.1.14-15 Soil leach runoff'!A1", "4.6.1.14-15 Soil leach runoff")</f>
        <v>4.6.1.14-15 Soil leach runoff</v>
      </c>
      <c r="D34" s="148" t="s">
        <v>1787</v>
      </c>
      <c r="E34" s="148">
        <v>0</v>
      </c>
      <c r="F34" s="148">
        <v>0</v>
      </c>
      <c r="G34" s="148" t="s">
        <v>1782</v>
      </c>
      <c r="H34" s="148" t="s">
        <v>1787</v>
      </c>
      <c r="I34" s="148" t="s">
        <v>1775</v>
      </c>
    </row>
    <row r="35" spans="1:10" ht="20.100000000000001" customHeight="1" x14ac:dyDescent="0.2">
      <c r="A35" s="5" t="str">
        <f>HYPERLINK("#'8.1.1.1-2 Transport fuel'!A1", "8.1.1.1-2 Transport fuel")</f>
        <v>8.1.1.1-2 Transport fuel</v>
      </c>
      <c r="D35" s="148" t="s">
        <v>1788</v>
      </c>
      <c r="E35" s="148">
        <v>0</v>
      </c>
      <c r="F35" s="148">
        <v>0</v>
      </c>
      <c r="G35" s="148" t="s">
        <v>1782</v>
      </c>
      <c r="H35" s="148" t="s">
        <v>1788</v>
      </c>
      <c r="I35" s="148" t="s">
        <v>1775</v>
      </c>
    </row>
    <row r="36" spans="1:10" ht="20.100000000000001" customHeight="1" x14ac:dyDescent="0.2">
      <c r="A36" s="5" t="str">
        <f>HYPERLINK("#'8.2.1.1-2 Stationary fuel'!A1", "8.2.1.1-2 Stationary fuel")</f>
        <v>8.2.1.1-2 Stationary fuel</v>
      </c>
      <c r="D36" s="148" t="s">
        <v>1789</v>
      </c>
      <c r="E36" s="148">
        <v>0</v>
      </c>
      <c r="F36" s="148">
        <v>0</v>
      </c>
      <c r="G36" s="148" t="s">
        <v>1782</v>
      </c>
      <c r="H36" s="148" t="s">
        <v>1789</v>
      </c>
      <c r="I36" s="148" t="s">
        <v>1775</v>
      </c>
    </row>
    <row r="37" spans="1:10" ht="20.100000000000001" customHeight="1" x14ac:dyDescent="0.2">
      <c r="A37" s="5" t="str">
        <f>HYPERLINK("#'10.1.1-2 Solid waste treatment'!A1", "10.1.1.1-2 Solid waste")</f>
        <v>10.1.1.1-2 Solid waste</v>
      </c>
      <c r="D37" s="148" t="s">
        <v>729</v>
      </c>
      <c r="E37" s="148">
        <v>0.82350000000000001</v>
      </c>
      <c r="F37" s="148">
        <v>0</v>
      </c>
      <c r="G37" s="148" t="s">
        <v>1766</v>
      </c>
      <c r="H37" s="148" t="s">
        <v>729</v>
      </c>
      <c r="I37" s="148" t="s">
        <v>1775</v>
      </c>
    </row>
    <row r="38" spans="1:10" ht="20.100000000000001" customHeight="1" x14ac:dyDescent="0.2">
      <c r="A38" s="5" t="str">
        <f>HYPERLINK("#'14.1.1-2 Purchased electricity'!A1", "14.1.1-2 Purchased electricity")</f>
        <v>14.1.1-2 Purchased electricity</v>
      </c>
      <c r="D38" s="19" t="s">
        <v>723</v>
      </c>
      <c r="E38" s="19">
        <v>0.155</v>
      </c>
      <c r="F38" s="19">
        <v>0</v>
      </c>
      <c r="G38" s="19" t="s">
        <v>1777</v>
      </c>
      <c r="H38" s="19" t="s">
        <v>723</v>
      </c>
      <c r="I38" s="19" t="s">
        <v>1187</v>
      </c>
    </row>
    <row r="39" spans="1:10" ht="20.100000000000001" customHeight="1" x14ac:dyDescent="0.2">
      <c r="A39" s="5" t="str">
        <f>HYPERLINK("#'15 Scope 3'!A1", "15 Scope 3")</f>
        <v>15 Scope 3</v>
      </c>
    </row>
    <row r="40" spans="1:10" ht="20.100000000000001" customHeight="1" x14ac:dyDescent="0.2">
      <c r="A40" s="5" t="str">
        <f>HYPERLINK("#'Calcs - Manure sent off-site'!A1", "Calcs - Manure sent off-site")</f>
        <v>Calcs - Manure sent off-site</v>
      </c>
      <c r="D40" s="2" t="s">
        <v>848</v>
      </c>
      <c r="F40" s="2" t="s">
        <v>849</v>
      </c>
      <c r="H40" s="2" t="s">
        <v>514</v>
      </c>
      <c r="J40" s="2" t="s">
        <v>850</v>
      </c>
    </row>
    <row r="41" spans="1:10" ht="20.100000000000001" customHeight="1" x14ac:dyDescent="0.2">
      <c r="A41" s="5" t="str">
        <f>HYPERLINK("#'5.1.1.1-2 Inorganic fert N2O'!A1", "5.1.1.1-2 Inorganic fert N2O")</f>
        <v>5.1.1.1-2 Inorganic fert N2O</v>
      </c>
      <c r="D41" s="19" t="s">
        <v>311</v>
      </c>
      <c r="F41" s="19" t="s">
        <v>311</v>
      </c>
      <c r="H41" s="19" t="s">
        <v>63</v>
      </c>
      <c r="J41" s="19" t="s">
        <v>851</v>
      </c>
    </row>
    <row r="42" spans="1:10" ht="20.100000000000001" customHeight="1" x14ac:dyDescent="0.2">
      <c r="A42" s="5" t="str">
        <f>HYPERLINK("#'5.1.1.3-4 Inorganic fert CO2'!A1", "5.1.1.3-4 Inorganic fert CO2")</f>
        <v>5.1.1.3-4 Inorganic fert CO2</v>
      </c>
      <c r="D42" s="19" t="s">
        <v>852</v>
      </c>
      <c r="F42" s="19" t="s">
        <v>852</v>
      </c>
      <c r="H42" s="19" t="s">
        <v>515</v>
      </c>
      <c r="J42" s="19" t="s">
        <v>853</v>
      </c>
    </row>
    <row r="43" spans="1:10" ht="20.100000000000001" customHeight="1" x14ac:dyDescent="0.2">
      <c r="A43" s="5" t="str">
        <f>HYPERLINK("#'5.2.1.1-2 Organic Fert N2O'!A1", "5.2.1.1-2 Organic Fert N2O")</f>
        <v>5.2.1.1-2 Organic Fert N2O</v>
      </c>
      <c r="D43" s="1" t="s">
        <v>325</v>
      </c>
      <c r="F43" s="1" t="s">
        <v>854</v>
      </c>
      <c r="H43" s="19" t="s">
        <v>516</v>
      </c>
      <c r="J43" s="1" t="s">
        <v>749</v>
      </c>
    </row>
    <row r="44" spans="1:10" ht="20.100000000000001" customHeight="1" x14ac:dyDescent="0.2">
      <c r="A44" s="5" t="str">
        <f>HYPERLINK("#'5.3.1.1-2 Lime CO2'!A1", "5.3.1.1-2 Lime CO2")</f>
        <v>5.3.1.1-2 Lime CO2</v>
      </c>
      <c r="F44" s="1" t="s">
        <v>682</v>
      </c>
      <c r="H44" s="1" t="s">
        <v>326</v>
      </c>
      <c r="J44" s="1" t="s">
        <v>855</v>
      </c>
    </row>
    <row r="45" spans="1:10" ht="20.100000000000001" customHeight="1" x14ac:dyDescent="0.2">
      <c r="A45" s="5" t="str">
        <f>HYPERLINK("#'5.4.1.1-4 Atmos deposition'!A1", "5.4.1.1-4 Atmos deposition")</f>
        <v>5.4.1.1-4 Atmos deposition</v>
      </c>
      <c r="F45" s="1" t="s">
        <v>788</v>
      </c>
      <c r="H45" s="1" t="s">
        <v>517</v>
      </c>
      <c r="J45" s="1" t="s">
        <v>748</v>
      </c>
    </row>
    <row r="46" spans="1:10" ht="20.100000000000001" customHeight="1" x14ac:dyDescent="0.2">
      <c r="A46" s="5" t="str">
        <f>HYPERLINK("#'5.5.1.1-2 Leaching and runoff'!A1", "5.5.1.1-2 Leaching and runoff")</f>
        <v>5.5.1.1-2 Leaching and runoff</v>
      </c>
      <c r="H46" s="1" t="s">
        <v>518</v>
      </c>
      <c r="J46" s="1" t="s">
        <v>750</v>
      </c>
    </row>
    <row r="48" spans="1:10" ht="20.100000000000001" customHeight="1" x14ac:dyDescent="0.2">
      <c r="D48" s="2" t="s">
        <v>1796</v>
      </c>
      <c r="G48" s="154"/>
    </row>
    <row r="49" spans="1:8" ht="20.100000000000001" customHeight="1" x14ac:dyDescent="0.2">
      <c r="A49" s="80" t="s">
        <v>1</v>
      </c>
      <c r="D49" s="17" t="s">
        <v>1797</v>
      </c>
      <c r="G49" s="154"/>
    </row>
    <row r="50" spans="1:8" ht="20.100000000000001" customHeight="1" x14ac:dyDescent="0.2">
      <c r="A50" s="5" t="str">
        <f>HYPERLINK("#'Constants - Poultry'!A1", "Constants - Poultry")</f>
        <v>Constants - Poultry</v>
      </c>
      <c r="D50" s="19" t="s">
        <v>765</v>
      </c>
      <c r="E50" s="19" t="s">
        <v>856</v>
      </c>
      <c r="G50" s="154"/>
    </row>
    <row r="51" spans="1:8" ht="20.100000000000001" customHeight="1" x14ac:dyDescent="0.2">
      <c r="A51" s="5" t="str">
        <f>HYPERLINK("#'Constants - Common livestock'!A1", "Constants - Common Livestock")</f>
        <v>Constants - Common Livestock</v>
      </c>
      <c r="D51" s="19" t="s">
        <v>1768</v>
      </c>
      <c r="E51" s="19">
        <v>0.15</v>
      </c>
      <c r="G51" s="154"/>
    </row>
    <row r="52" spans="1:8" ht="20.100000000000001" customHeight="1" x14ac:dyDescent="0.2">
      <c r="A52" s="5" t="str">
        <f>HYPERLINK("#'Constants - Electricity'!A1", "Constants - Electricity")</f>
        <v>Constants - Electricity</v>
      </c>
      <c r="D52" s="1" t="s">
        <v>1766</v>
      </c>
      <c r="E52" s="19">
        <v>0.08</v>
      </c>
      <c r="G52" s="154"/>
    </row>
    <row r="53" spans="1:8" ht="20.100000000000001" customHeight="1" x14ac:dyDescent="0.2">
      <c r="A53" s="81" t="str">
        <f>HYPERLINK("#'Constants - Fertiliser'!A1", "Constants - Fertiliser")</f>
        <v>Constants - Fertiliser</v>
      </c>
      <c r="D53" s="1" t="s">
        <v>1777</v>
      </c>
      <c r="E53" s="19">
        <v>0.01</v>
      </c>
      <c r="G53" s="154"/>
    </row>
    <row r="54" spans="1:8" ht="20.100000000000001" customHeight="1" x14ac:dyDescent="0.2">
      <c r="A54" s="5" t="str">
        <f>HYPERLINK("#'Constants - Fuel'!A1", "Constants - Fuel")</f>
        <v>Constants - Fuel</v>
      </c>
      <c r="D54" s="1" t="s">
        <v>1772</v>
      </c>
      <c r="E54" s="19">
        <v>0.05</v>
      </c>
      <c r="G54" s="154"/>
      <c r="H54" s="154"/>
    </row>
    <row r="55" spans="1:8" ht="20.100000000000001" customHeight="1" x14ac:dyDescent="0.2">
      <c r="A55" s="5" t="str">
        <f>HYPERLINK("#'Constants - Scope 3'!A1", "Constants - Scope 3")</f>
        <v>Constants - Scope 3</v>
      </c>
      <c r="D55" s="1" t="s">
        <v>1782</v>
      </c>
      <c r="E55" s="19">
        <v>0.11</v>
      </c>
      <c r="G55" s="154"/>
      <c r="H55" s="154"/>
    </row>
    <row r="56" spans="1:8" ht="20.100000000000001" customHeight="1" x14ac:dyDescent="0.2">
      <c r="A56" s="5" t="str">
        <f>HYPERLINK("#'Constants - Solid Waste'!A1", "Constants - Solid Waste")</f>
        <v>Constants - Solid Waste</v>
      </c>
    </row>
    <row r="57" spans="1:8" ht="20.100000000000001" customHeight="1" x14ac:dyDescent="0.2">
      <c r="A57" s="5" t="str">
        <f>HYPERLINK("#'Constants - Common'!A1", "Constants - Common")</f>
        <v>Constants - Common</v>
      </c>
    </row>
    <row r="58" spans="1:8" ht="20.100000000000001" customHeight="1" x14ac:dyDescent="0.2">
      <c r="D58" s="2" t="s">
        <v>1798</v>
      </c>
    </row>
    <row r="59" spans="1:8" ht="20.100000000000001" customHeight="1" x14ac:dyDescent="0.2">
      <c r="D59" s="17" t="s">
        <v>1799</v>
      </c>
    </row>
    <row r="60" spans="1:8" ht="20.100000000000001" customHeight="1" x14ac:dyDescent="0.2">
      <c r="D60" s="75" t="s">
        <v>1800</v>
      </c>
      <c r="E60" s="1">
        <v>0.2</v>
      </c>
      <c r="F60" s="9" t="s">
        <v>1801</v>
      </c>
    </row>
    <row r="63" spans="1:8" ht="20.100000000000001" customHeight="1" x14ac:dyDescent="0.2">
      <c r="D63" s="2" t="s">
        <v>1802</v>
      </c>
    </row>
    <row r="64" spans="1:8" ht="20.100000000000001" customHeight="1" x14ac:dyDescent="0.2">
      <c r="D64" s="17" t="s">
        <v>1803</v>
      </c>
    </row>
    <row r="65" spans="1:6" ht="20.100000000000001" customHeight="1" x14ac:dyDescent="0.2">
      <c r="D65" s="19" t="s">
        <v>809</v>
      </c>
      <c r="E65" s="19" t="s">
        <v>857</v>
      </c>
      <c r="F65" s="19" t="s">
        <v>785</v>
      </c>
    </row>
    <row r="66" spans="1:6" ht="20.100000000000001" customHeight="1" x14ac:dyDescent="0.2">
      <c r="D66" s="19" t="s">
        <v>1804</v>
      </c>
      <c r="E66" s="19">
        <v>0.9</v>
      </c>
      <c r="F66" s="19">
        <v>0.12</v>
      </c>
    </row>
    <row r="67" spans="1:6" ht="20.100000000000001" customHeight="1" x14ac:dyDescent="0.2">
      <c r="D67" s="1" t="s">
        <v>1805</v>
      </c>
      <c r="E67" s="19">
        <v>0.95</v>
      </c>
      <c r="F67" s="19">
        <v>0.13</v>
      </c>
    </row>
    <row r="68" spans="1:6" ht="20.100000000000001" customHeight="1" x14ac:dyDescent="0.2">
      <c r="A68" s="79" t="str">
        <f>HYPERLINK("#A1", "▲ Back to top")</f>
        <v>▲ Back to top</v>
      </c>
      <c r="D68" s="1" t="s">
        <v>1806</v>
      </c>
      <c r="E68" s="19">
        <v>0</v>
      </c>
      <c r="F68" s="19">
        <v>0</v>
      </c>
    </row>
    <row r="71" spans="1:6" ht="20.100000000000001" customHeight="1" x14ac:dyDescent="0.2">
      <c r="D71" s="2" t="s">
        <v>1807</v>
      </c>
    </row>
    <row r="72" spans="1:6" ht="20.100000000000001" customHeight="1" x14ac:dyDescent="0.2">
      <c r="D72" s="17" t="s">
        <v>1808</v>
      </c>
    </row>
    <row r="73" spans="1:6" ht="20.100000000000001" customHeight="1" x14ac:dyDescent="0.2">
      <c r="D73" s="75" t="s">
        <v>1370</v>
      </c>
      <c r="E73" s="1">
        <v>0.21</v>
      </c>
      <c r="F73" s="9" t="s">
        <v>1311</v>
      </c>
    </row>
    <row r="76" spans="1:6" ht="20.100000000000001" customHeight="1" x14ac:dyDescent="0.2">
      <c r="D76" s="2" t="s">
        <v>1809</v>
      </c>
    </row>
    <row r="77" spans="1:6" ht="20.100000000000001" customHeight="1" x14ac:dyDescent="0.2">
      <c r="D77" s="17" t="s">
        <v>1810</v>
      </c>
    </row>
    <row r="78" spans="1:6" ht="20.100000000000001" customHeight="1" x14ac:dyDescent="0.2">
      <c r="D78" s="75" t="s">
        <v>1656</v>
      </c>
      <c r="E78" s="1">
        <v>0.24</v>
      </c>
      <c r="F78" s="9" t="s">
        <v>307</v>
      </c>
    </row>
    <row r="81" spans="4:39" ht="20.100000000000001" customHeight="1" x14ac:dyDescent="0.2">
      <c r="D81" s="2" t="s">
        <v>1811</v>
      </c>
    </row>
    <row r="82" spans="4:39" ht="20.100000000000001" customHeight="1" x14ac:dyDescent="0.2">
      <c r="D82" s="17" t="s">
        <v>1810</v>
      </c>
    </row>
    <row r="83" spans="4:39" ht="20.100000000000001" customHeight="1" x14ac:dyDescent="0.2">
      <c r="D83" s="75" t="s">
        <v>1812</v>
      </c>
      <c r="E83" s="1">
        <v>1.0999999999999999E-2</v>
      </c>
      <c r="F83" s="9" t="s">
        <v>1813</v>
      </c>
    </row>
    <row r="87" spans="4:39" ht="20.100000000000001" customHeight="1" x14ac:dyDescent="0.2">
      <c r="D87" s="2" t="s">
        <v>858</v>
      </c>
      <c r="E87" s="154"/>
      <c r="F87" s="154"/>
      <c r="G87" s="154"/>
      <c r="H87" s="154"/>
      <c r="I87" s="154"/>
      <c r="J87" s="154"/>
      <c r="K87" s="154"/>
      <c r="L87" s="154"/>
      <c r="N87" s="154"/>
      <c r="O87" s="154"/>
      <c r="P87" s="154"/>
      <c r="Q87" s="154"/>
      <c r="R87" s="154"/>
      <c r="S87" s="154"/>
      <c r="T87" s="154"/>
      <c r="U87" s="154"/>
    </row>
    <row r="88" spans="4:39" ht="20.100000000000001" customHeight="1" x14ac:dyDescent="0.2">
      <c r="D88" s="154"/>
    </row>
    <row r="89" spans="4:39" ht="20.100000000000001" customHeight="1" x14ac:dyDescent="0.2">
      <c r="D89" s="236" t="s">
        <v>859</v>
      </c>
      <c r="E89" s="19" t="s">
        <v>132</v>
      </c>
      <c r="F89" s="19" t="s">
        <v>118</v>
      </c>
      <c r="G89" s="196" t="s">
        <v>694</v>
      </c>
      <c r="H89" s="196" t="s">
        <v>860</v>
      </c>
      <c r="I89" s="196" t="s">
        <v>711</v>
      </c>
      <c r="J89" s="196" t="s">
        <v>712</v>
      </c>
      <c r="K89" s="196" t="s">
        <v>861</v>
      </c>
      <c r="L89" s="196" t="s">
        <v>862</v>
      </c>
      <c r="M89" s="196" t="s">
        <v>863</v>
      </c>
      <c r="N89" s="196" t="s">
        <v>864</v>
      </c>
      <c r="O89" s="196" t="s">
        <v>696</v>
      </c>
      <c r="P89" s="196" t="s">
        <v>697</v>
      </c>
      <c r="Q89" s="19" t="s">
        <v>698</v>
      </c>
      <c r="R89" s="19" t="s">
        <v>699</v>
      </c>
      <c r="S89" s="19" t="s">
        <v>700</v>
      </c>
      <c r="T89" s="19" t="s">
        <v>701</v>
      </c>
      <c r="U89" s="196" t="s">
        <v>702</v>
      </c>
      <c r="V89" s="196" t="s">
        <v>703</v>
      </c>
      <c r="W89" s="19" t="s">
        <v>704</v>
      </c>
      <c r="X89" s="196" t="s">
        <v>705</v>
      </c>
      <c r="Y89" s="196" t="s">
        <v>706</v>
      </c>
      <c r="Z89" s="196" t="s">
        <v>707</v>
      </c>
      <c r="AA89" s="196" t="s">
        <v>865</v>
      </c>
      <c r="AB89" s="196" t="s">
        <v>866</v>
      </c>
      <c r="AC89" s="19" t="s">
        <v>867</v>
      </c>
      <c r="AD89" s="19" t="s">
        <v>868</v>
      </c>
      <c r="AE89" s="19" t="s">
        <v>869</v>
      </c>
      <c r="AF89" s="19" t="s">
        <v>870</v>
      </c>
      <c r="AG89" s="19" t="s">
        <v>871</v>
      </c>
      <c r="AH89" s="19" t="s">
        <v>872</v>
      </c>
      <c r="AK89" s="1"/>
      <c r="AL89" s="1"/>
      <c r="AM89" s="1"/>
    </row>
    <row r="90" spans="4:39" ht="20.100000000000001" customHeight="1" x14ac:dyDescent="0.2">
      <c r="D90" s="148" t="s">
        <v>1814</v>
      </c>
      <c r="E90" s="148" t="s">
        <v>1815</v>
      </c>
      <c r="F90" s="148" t="s">
        <v>662</v>
      </c>
      <c r="G90" s="148">
        <v>1.26</v>
      </c>
      <c r="H90" s="148"/>
      <c r="I90" s="148"/>
      <c r="J90" s="148"/>
      <c r="K90" s="148">
        <v>2.6</v>
      </c>
      <c r="L90" s="148">
        <v>4</v>
      </c>
      <c r="M90" s="148">
        <v>22.5</v>
      </c>
      <c r="N90" s="148"/>
      <c r="O90" s="148" t="s">
        <v>725</v>
      </c>
      <c r="P90" s="148">
        <v>0.22500000000000001</v>
      </c>
      <c r="Q90" s="148" t="s">
        <v>1781</v>
      </c>
      <c r="R90" s="148">
        <v>0.04</v>
      </c>
      <c r="S90" s="148" t="s">
        <v>1779</v>
      </c>
      <c r="T90" s="148">
        <v>2.5999999999999999E-2</v>
      </c>
      <c r="U90" s="148"/>
      <c r="V90" s="148"/>
      <c r="W90" s="148"/>
      <c r="X90" s="148"/>
      <c r="Y90" s="148"/>
      <c r="Z90" s="148"/>
      <c r="AA90" s="148"/>
      <c r="AB90" s="148"/>
      <c r="AC90" s="148"/>
      <c r="AD90" s="148"/>
      <c r="AE90" s="148"/>
      <c r="AF90" s="148"/>
      <c r="AG90" s="148"/>
      <c r="AH90" s="148"/>
      <c r="AK90" s="1"/>
      <c r="AL90" s="1"/>
      <c r="AM90" s="1"/>
    </row>
    <row r="91" spans="4:39" ht="20.100000000000001" customHeight="1" x14ac:dyDescent="0.2">
      <c r="D91" s="148" t="s">
        <v>1814</v>
      </c>
      <c r="E91" s="148" t="s">
        <v>1816</v>
      </c>
      <c r="F91" s="148" t="s">
        <v>662</v>
      </c>
      <c r="G91" s="148">
        <v>1.26</v>
      </c>
      <c r="H91" s="148"/>
      <c r="I91" s="148"/>
      <c r="J91" s="148"/>
      <c r="K91" s="148">
        <v>9.6</v>
      </c>
      <c r="L91" s="148">
        <v>5</v>
      </c>
      <c r="M91" s="148">
        <v>10.5</v>
      </c>
      <c r="N91" s="148"/>
      <c r="O91" s="148" t="s">
        <v>725</v>
      </c>
      <c r="P91" s="148">
        <v>0.105</v>
      </c>
      <c r="Q91" s="148" t="s">
        <v>1779</v>
      </c>
      <c r="R91" s="148">
        <v>9.6000000000000002E-2</v>
      </c>
      <c r="S91" s="148" t="s">
        <v>1781</v>
      </c>
      <c r="T91" s="148">
        <v>0.05</v>
      </c>
      <c r="U91" s="148"/>
      <c r="V91" s="148"/>
      <c r="W91" s="148"/>
      <c r="X91" s="148"/>
      <c r="Y91" s="148"/>
      <c r="Z91" s="148"/>
      <c r="AA91" s="148"/>
      <c r="AB91" s="148"/>
      <c r="AC91" s="148"/>
      <c r="AD91" s="148"/>
      <c r="AE91" s="148"/>
      <c r="AF91" s="148"/>
      <c r="AG91" s="148"/>
      <c r="AH91" s="148"/>
      <c r="AK91" s="1"/>
      <c r="AL91" s="1"/>
      <c r="AM91" s="1"/>
    </row>
    <row r="92" spans="4:39" ht="20.100000000000001" customHeight="1" x14ac:dyDescent="0.2">
      <c r="D92" s="148" t="s">
        <v>1814</v>
      </c>
      <c r="E92" s="148" t="s">
        <v>1817</v>
      </c>
      <c r="F92" s="148" t="s">
        <v>662</v>
      </c>
      <c r="G92" s="148">
        <v>1.24</v>
      </c>
      <c r="H92" s="148"/>
      <c r="I92" s="148"/>
      <c r="J92" s="148"/>
      <c r="K92" s="148">
        <v>22.3</v>
      </c>
      <c r="L92" s="148"/>
      <c r="M92" s="148"/>
      <c r="N92" s="148"/>
      <c r="O92" s="148" t="s">
        <v>1774</v>
      </c>
      <c r="P92" s="148">
        <v>0.223</v>
      </c>
      <c r="Q92" s="148"/>
      <c r="R92" s="148"/>
      <c r="S92" s="148"/>
      <c r="T92" s="148"/>
      <c r="U92" s="148"/>
      <c r="V92" s="148"/>
      <c r="W92" s="148"/>
      <c r="X92" s="148"/>
      <c r="Y92" s="148"/>
      <c r="Z92" s="148"/>
      <c r="AA92" s="148"/>
      <c r="AB92" s="148"/>
      <c r="AC92" s="148"/>
      <c r="AD92" s="148"/>
      <c r="AE92" s="148"/>
      <c r="AF92" s="148"/>
      <c r="AG92" s="148"/>
      <c r="AH92" s="148"/>
      <c r="AK92" s="1"/>
      <c r="AL92" s="1"/>
      <c r="AM92" s="1"/>
    </row>
    <row r="93" spans="4:39" ht="20.100000000000001" customHeight="1" x14ac:dyDescent="0.2">
      <c r="D93" s="148" t="s">
        <v>1814</v>
      </c>
      <c r="E93" s="148" t="s">
        <v>1818</v>
      </c>
      <c r="F93" s="148" t="s">
        <v>662</v>
      </c>
      <c r="G93" s="148">
        <v>1.5</v>
      </c>
      <c r="H93" s="148"/>
      <c r="I93" s="148"/>
      <c r="J93" s="148"/>
      <c r="K93" s="148">
        <v>13.2</v>
      </c>
      <c r="L93" s="148"/>
      <c r="M93" s="148"/>
      <c r="N93" s="148"/>
      <c r="O93" s="148" t="s">
        <v>1819</v>
      </c>
      <c r="P93" s="148">
        <v>0.16200000000000001</v>
      </c>
      <c r="Q93" s="148" t="s">
        <v>1776</v>
      </c>
      <c r="R93" s="148">
        <v>0.13200000000000001</v>
      </c>
      <c r="S93" s="148"/>
      <c r="T93" s="148"/>
      <c r="U93" s="148"/>
      <c r="V93" s="148"/>
      <c r="W93" s="148"/>
      <c r="X93" s="148"/>
      <c r="Y93" s="148"/>
      <c r="Z93" s="148"/>
      <c r="AA93" s="148"/>
      <c r="AB93" s="148"/>
      <c r="AC93" s="148"/>
      <c r="AD93" s="148"/>
      <c r="AE93" s="148"/>
      <c r="AF93" s="148"/>
      <c r="AG93" s="148"/>
      <c r="AH93" s="148"/>
      <c r="AK93" s="1"/>
      <c r="AL93" s="1"/>
      <c r="AM93" s="1"/>
    </row>
    <row r="94" spans="4:39" ht="20.100000000000001" customHeight="1" x14ac:dyDescent="0.2">
      <c r="D94" s="148" t="s">
        <v>1814</v>
      </c>
      <c r="E94" s="148" t="s">
        <v>1820</v>
      </c>
      <c r="F94" s="148" t="s">
        <v>662</v>
      </c>
      <c r="G94" s="148">
        <v>1.5</v>
      </c>
      <c r="H94" s="148"/>
      <c r="I94" s="148"/>
      <c r="J94" s="148"/>
      <c r="K94" s="148">
        <v>13.2</v>
      </c>
      <c r="L94" s="148"/>
      <c r="M94" s="148"/>
      <c r="N94" s="148"/>
      <c r="O94" s="148" t="s">
        <v>1819</v>
      </c>
      <c r="P94" s="148">
        <v>0.187</v>
      </c>
      <c r="Q94" s="148" t="s">
        <v>1776</v>
      </c>
      <c r="R94" s="148">
        <v>0.13200000000000001</v>
      </c>
      <c r="S94" s="148"/>
      <c r="T94" s="148"/>
      <c r="U94" s="148"/>
      <c r="V94" s="148"/>
      <c r="W94" s="148"/>
      <c r="X94" s="148"/>
      <c r="Y94" s="148"/>
      <c r="Z94" s="148"/>
      <c r="AA94" s="148"/>
      <c r="AB94" s="148"/>
      <c r="AC94" s="148"/>
      <c r="AD94" s="148"/>
      <c r="AE94" s="148"/>
      <c r="AF94" s="148"/>
      <c r="AG94" s="148"/>
      <c r="AH94" s="148"/>
      <c r="AK94" s="1"/>
      <c r="AL94" s="1"/>
      <c r="AM94" s="1"/>
    </row>
    <row r="95" spans="4:39" ht="20.100000000000001" customHeight="1" x14ac:dyDescent="0.2">
      <c r="D95" s="148" t="s">
        <v>1814</v>
      </c>
      <c r="E95" s="148" t="s">
        <v>1821</v>
      </c>
      <c r="F95" s="148" t="s">
        <v>662</v>
      </c>
      <c r="G95" s="148">
        <v>1.5</v>
      </c>
      <c r="H95" s="148"/>
      <c r="I95" s="148"/>
      <c r="J95" s="148"/>
      <c r="K95" s="148">
        <v>13.2</v>
      </c>
      <c r="L95" s="148"/>
      <c r="M95" s="148"/>
      <c r="N95" s="148"/>
      <c r="O95" s="148" t="s">
        <v>1819</v>
      </c>
      <c r="P95" s="148">
        <v>0.183</v>
      </c>
      <c r="Q95" s="148" t="s">
        <v>1776</v>
      </c>
      <c r="R95" s="148">
        <v>0.13200000000000001</v>
      </c>
      <c r="S95" s="148"/>
      <c r="T95" s="148"/>
      <c r="U95" s="148"/>
      <c r="V95" s="148"/>
      <c r="W95" s="148"/>
      <c r="X95" s="148"/>
      <c r="Y95" s="148"/>
      <c r="Z95" s="148"/>
      <c r="AA95" s="148"/>
      <c r="AB95" s="148"/>
      <c r="AC95" s="148"/>
      <c r="AD95" s="148"/>
      <c r="AE95" s="148"/>
      <c r="AF95" s="148"/>
      <c r="AG95" s="148"/>
      <c r="AH95" s="148"/>
      <c r="AK95" s="1"/>
      <c r="AL95" s="1"/>
      <c r="AM95" s="1"/>
    </row>
    <row r="96" spans="4:39" ht="20.100000000000001" customHeight="1" x14ac:dyDescent="0.2">
      <c r="D96" s="148" t="s">
        <v>1814</v>
      </c>
      <c r="E96" s="148" t="s">
        <v>1822</v>
      </c>
      <c r="F96" s="148" t="s">
        <v>662</v>
      </c>
      <c r="G96" s="148">
        <v>1.25</v>
      </c>
      <c r="H96" s="148"/>
      <c r="I96" s="148"/>
      <c r="J96" s="148"/>
      <c r="K96" s="148">
        <v>10.3</v>
      </c>
      <c r="L96" s="148">
        <v>10</v>
      </c>
      <c r="M96" s="148">
        <v>3.4</v>
      </c>
      <c r="N96" s="148"/>
      <c r="O96" s="148" t="s">
        <v>1779</v>
      </c>
      <c r="P96" s="148">
        <v>0.10299999999999999</v>
      </c>
      <c r="Q96" s="148" t="s">
        <v>1781</v>
      </c>
      <c r="R96" s="148">
        <v>0.1</v>
      </c>
      <c r="S96" s="148" t="s">
        <v>725</v>
      </c>
      <c r="T96" s="148">
        <v>3.4000000000000002E-2</v>
      </c>
      <c r="U96" s="148"/>
      <c r="V96" s="148"/>
      <c r="W96" s="148"/>
      <c r="X96" s="148"/>
      <c r="Y96" s="148"/>
      <c r="Z96" s="148"/>
      <c r="AA96" s="148"/>
      <c r="AB96" s="148"/>
      <c r="AC96" s="148"/>
      <c r="AD96" s="148"/>
      <c r="AE96" s="148"/>
      <c r="AF96" s="148"/>
      <c r="AG96" s="148"/>
      <c r="AH96" s="148"/>
      <c r="AK96" s="1"/>
      <c r="AL96" s="1"/>
      <c r="AM96" s="1"/>
    </row>
    <row r="97" spans="1:39" ht="20.100000000000001" customHeight="1" x14ac:dyDescent="0.2">
      <c r="D97" s="148" t="s">
        <v>1814</v>
      </c>
      <c r="E97" s="148" t="s">
        <v>1823</v>
      </c>
      <c r="F97" s="148" t="s">
        <v>662</v>
      </c>
      <c r="G97" s="148">
        <v>1.43</v>
      </c>
      <c r="H97" s="148"/>
      <c r="I97" s="148"/>
      <c r="J97" s="148"/>
      <c r="K97" s="148">
        <v>2.5</v>
      </c>
      <c r="L97" s="148">
        <v>3.8</v>
      </c>
      <c r="M97" s="148">
        <v>22.5</v>
      </c>
      <c r="N97" s="148"/>
      <c r="O97" s="148" t="s">
        <v>725</v>
      </c>
      <c r="P97" s="148">
        <v>0.22500000000000001</v>
      </c>
      <c r="Q97" s="148" t="s">
        <v>1781</v>
      </c>
      <c r="R97" s="148">
        <v>3.7999999999999999E-2</v>
      </c>
      <c r="S97" s="148" t="s">
        <v>1779</v>
      </c>
      <c r="T97" s="148">
        <v>2.5000000000000001E-2</v>
      </c>
      <c r="U97" s="148"/>
      <c r="V97" s="148"/>
      <c r="W97" s="148"/>
      <c r="X97" s="148"/>
      <c r="Y97" s="148"/>
      <c r="Z97" s="148"/>
      <c r="AA97" s="148"/>
      <c r="AB97" s="148"/>
      <c r="AC97" s="148"/>
      <c r="AD97" s="148"/>
      <c r="AE97" s="148"/>
      <c r="AF97" s="148"/>
      <c r="AG97" s="148"/>
      <c r="AH97" s="148"/>
      <c r="AK97" s="1"/>
      <c r="AL97" s="1"/>
      <c r="AM97" s="1"/>
    </row>
    <row r="98" spans="1:39" ht="20.100000000000001" customHeight="1" x14ac:dyDescent="0.2">
      <c r="A98" s="79" t="str">
        <f>HYPERLINK("#A1", "▲ Back to top")</f>
        <v>▲ Back to top</v>
      </c>
      <c r="D98" s="148" t="s">
        <v>1814</v>
      </c>
      <c r="E98" s="148" t="s">
        <v>1824</v>
      </c>
      <c r="F98" s="148" t="s">
        <v>662</v>
      </c>
      <c r="G98" s="148">
        <v>1.29</v>
      </c>
      <c r="H98" s="148"/>
      <c r="I98" s="148"/>
      <c r="J98" s="148"/>
      <c r="K98" s="148">
        <v>10.5</v>
      </c>
      <c r="L98" s="148">
        <v>9.4</v>
      </c>
      <c r="M98" s="148">
        <v>4</v>
      </c>
      <c r="N98" s="148">
        <v>3</v>
      </c>
      <c r="O98" s="148" t="s">
        <v>1779</v>
      </c>
      <c r="P98" s="148">
        <v>0.105</v>
      </c>
      <c r="Q98" s="148" t="s">
        <v>1781</v>
      </c>
      <c r="R98" s="148">
        <v>9.4E-2</v>
      </c>
      <c r="S98" s="148" t="s">
        <v>725</v>
      </c>
      <c r="T98" s="148">
        <v>0.04</v>
      </c>
      <c r="U98" s="148" t="s">
        <v>726</v>
      </c>
      <c r="V98" s="148">
        <v>0.03</v>
      </c>
      <c r="W98" s="148"/>
      <c r="X98" s="148"/>
      <c r="Y98" s="148"/>
      <c r="Z98" s="148"/>
      <c r="AA98" s="148"/>
      <c r="AB98" s="148"/>
      <c r="AC98" s="148"/>
      <c r="AD98" s="148"/>
      <c r="AE98" s="148"/>
      <c r="AF98" s="148"/>
      <c r="AG98" s="148"/>
      <c r="AH98" s="148"/>
      <c r="AK98" s="1"/>
      <c r="AL98" s="1"/>
      <c r="AM98" s="1"/>
    </row>
    <row r="99" spans="1:39" ht="20.100000000000001" customHeight="1" x14ac:dyDescent="0.2">
      <c r="D99" s="148" t="s">
        <v>1814</v>
      </c>
      <c r="E99" s="148" t="s">
        <v>1825</v>
      </c>
      <c r="F99" s="148" t="s">
        <v>662</v>
      </c>
      <c r="G99" s="148">
        <v>1.32</v>
      </c>
      <c r="H99" s="148"/>
      <c r="I99" s="148"/>
      <c r="J99" s="148"/>
      <c r="K99" s="148">
        <v>9.5</v>
      </c>
      <c r="L99" s="148">
        <v>4.7</v>
      </c>
      <c r="M99" s="148">
        <v>10.8</v>
      </c>
      <c r="N99" s="148">
        <v>8.1</v>
      </c>
      <c r="O99" s="148" t="s">
        <v>725</v>
      </c>
      <c r="P99" s="148">
        <v>0.108</v>
      </c>
      <c r="Q99" s="148" t="s">
        <v>1779</v>
      </c>
      <c r="R99" s="148">
        <v>9.5000000000000001E-2</v>
      </c>
      <c r="S99" s="148" t="s">
        <v>726</v>
      </c>
      <c r="T99" s="148">
        <v>8.1000000000000003E-2</v>
      </c>
      <c r="U99" s="148" t="s">
        <v>1781</v>
      </c>
      <c r="V99" s="148">
        <v>4.7E-2</v>
      </c>
      <c r="W99" s="148"/>
      <c r="X99" s="148"/>
      <c r="Y99" s="148"/>
      <c r="Z99" s="148"/>
      <c r="AA99" s="148"/>
      <c r="AB99" s="148"/>
      <c r="AC99" s="148"/>
      <c r="AD99" s="148"/>
      <c r="AE99" s="148"/>
      <c r="AF99" s="148"/>
      <c r="AG99" s="148"/>
      <c r="AH99" s="148"/>
      <c r="AK99" s="1"/>
      <c r="AL99" s="1"/>
      <c r="AM99" s="1"/>
    </row>
    <row r="100" spans="1:39" ht="20.100000000000001" customHeight="1" x14ac:dyDescent="0.2">
      <c r="D100" s="148" t="s">
        <v>1814</v>
      </c>
      <c r="E100" s="148" t="s">
        <v>714</v>
      </c>
      <c r="F100" s="148" t="s">
        <v>757</v>
      </c>
      <c r="G100" s="148">
        <v>1</v>
      </c>
      <c r="H100" s="148"/>
      <c r="I100" s="148"/>
      <c r="J100" s="148"/>
      <c r="K100" s="148">
        <v>24</v>
      </c>
      <c r="L100" s="148">
        <v>5.2</v>
      </c>
      <c r="M100" s="148">
        <v>8</v>
      </c>
      <c r="N100" s="148">
        <v>5.3</v>
      </c>
      <c r="O100" s="148" t="s">
        <v>713</v>
      </c>
      <c r="P100" s="148">
        <v>0.52173899999999995</v>
      </c>
      <c r="Q100" s="148" t="s">
        <v>725</v>
      </c>
      <c r="R100" s="148">
        <v>0.08</v>
      </c>
      <c r="S100" s="148" t="s">
        <v>726</v>
      </c>
      <c r="T100" s="148">
        <v>5.2999999999999999E-2</v>
      </c>
      <c r="U100" s="148" t="s">
        <v>1781</v>
      </c>
      <c r="V100" s="148">
        <v>5.1999999999999998E-2</v>
      </c>
      <c r="W100" s="148" t="s">
        <v>1826</v>
      </c>
      <c r="X100" s="148">
        <v>1.2999999999999999E-2</v>
      </c>
      <c r="Y100" s="148" t="s">
        <v>1827</v>
      </c>
      <c r="Z100" s="148">
        <v>2E-3</v>
      </c>
      <c r="AA100" s="148" t="s">
        <v>1828</v>
      </c>
      <c r="AB100" s="148">
        <v>3.5000000000000001E-3</v>
      </c>
      <c r="AC100" s="148" t="s">
        <v>1829</v>
      </c>
      <c r="AD100" s="148">
        <v>1.2999999999999999E-3</v>
      </c>
      <c r="AE100" s="148" t="s">
        <v>1830</v>
      </c>
      <c r="AF100" s="148">
        <v>6.9999999999999999E-4</v>
      </c>
      <c r="AG100" s="148" t="s">
        <v>1831</v>
      </c>
      <c r="AH100" s="148">
        <v>6.9999999999999999E-4</v>
      </c>
      <c r="AK100" s="1"/>
      <c r="AL100" s="1"/>
      <c r="AM100" s="1"/>
    </row>
    <row r="101" spans="1:39" ht="20.100000000000001" customHeight="1" x14ac:dyDescent="0.2">
      <c r="D101" s="148" t="s">
        <v>1814</v>
      </c>
      <c r="E101" s="148" t="s">
        <v>1832</v>
      </c>
      <c r="F101" s="148" t="s">
        <v>757</v>
      </c>
      <c r="G101" s="148">
        <v>1</v>
      </c>
      <c r="H101" s="148"/>
      <c r="I101" s="148"/>
      <c r="J101" s="148"/>
      <c r="K101" s="148">
        <v>17</v>
      </c>
      <c r="L101" s="148">
        <v>0.04</v>
      </c>
      <c r="M101" s="148">
        <v>11.6</v>
      </c>
      <c r="N101" s="148">
        <v>0.5</v>
      </c>
      <c r="O101" s="148" t="s">
        <v>1787</v>
      </c>
      <c r="P101" s="148">
        <v>0.23200000000000001</v>
      </c>
      <c r="Q101" s="148" t="s">
        <v>1779</v>
      </c>
      <c r="R101" s="148">
        <v>0.17</v>
      </c>
      <c r="S101" s="148" t="s">
        <v>726</v>
      </c>
      <c r="T101" s="148">
        <v>5.0000000000000001E-3</v>
      </c>
      <c r="U101" s="148" t="s">
        <v>1826</v>
      </c>
      <c r="V101" s="148">
        <v>2.3999999999999998E-3</v>
      </c>
      <c r="W101" s="148" t="s">
        <v>1781</v>
      </c>
      <c r="X101" s="148">
        <v>4.0000000000000002E-4</v>
      </c>
      <c r="Y101" s="148"/>
      <c r="Z101" s="148"/>
      <c r="AA101" s="148"/>
      <c r="AB101" s="148"/>
      <c r="AC101" s="148"/>
      <c r="AD101" s="148"/>
      <c r="AE101" s="148"/>
      <c r="AF101" s="148"/>
      <c r="AG101" s="148"/>
      <c r="AH101" s="148"/>
      <c r="AK101" s="1"/>
      <c r="AL101" s="1"/>
      <c r="AM101" s="1"/>
    </row>
    <row r="102" spans="1:39" ht="20.100000000000001" customHeight="1" x14ac:dyDescent="0.2">
      <c r="D102" s="148" t="s">
        <v>1814</v>
      </c>
      <c r="E102" s="148" t="s">
        <v>1833</v>
      </c>
      <c r="F102" s="148" t="s">
        <v>662</v>
      </c>
      <c r="G102" s="148">
        <v>1.45</v>
      </c>
      <c r="H102" s="148"/>
      <c r="I102" s="148"/>
      <c r="J102" s="148"/>
      <c r="K102" s="148"/>
      <c r="L102" s="148"/>
      <c r="M102" s="148"/>
      <c r="N102" s="148"/>
      <c r="O102" s="148" t="s">
        <v>1819</v>
      </c>
      <c r="P102" s="148">
        <v>0.107</v>
      </c>
      <c r="Q102" s="148"/>
      <c r="R102" s="148"/>
      <c r="S102" s="148"/>
      <c r="T102" s="148"/>
      <c r="U102" s="148"/>
      <c r="V102" s="148"/>
      <c r="W102" s="148"/>
      <c r="X102" s="148"/>
      <c r="Y102" s="148"/>
      <c r="Z102" s="148"/>
      <c r="AA102" s="148"/>
      <c r="AB102" s="148"/>
      <c r="AC102" s="148"/>
      <c r="AD102" s="148"/>
      <c r="AE102" s="148"/>
      <c r="AF102" s="148"/>
      <c r="AG102" s="148"/>
      <c r="AH102" s="148"/>
      <c r="AK102" s="1"/>
      <c r="AL102" s="1"/>
      <c r="AM102" s="1"/>
    </row>
    <row r="103" spans="1:39" ht="20.100000000000001" customHeight="1" x14ac:dyDescent="0.2">
      <c r="D103" s="148" t="s">
        <v>1814</v>
      </c>
      <c r="E103" s="148" t="s">
        <v>1834</v>
      </c>
      <c r="F103" s="148" t="s">
        <v>757</v>
      </c>
      <c r="G103" s="148">
        <v>1</v>
      </c>
      <c r="H103" s="148"/>
      <c r="I103" s="148"/>
      <c r="J103" s="148"/>
      <c r="K103" s="148">
        <v>15</v>
      </c>
      <c r="L103" s="148">
        <v>6.5</v>
      </c>
      <c r="M103" s="148">
        <v>12.5</v>
      </c>
      <c r="N103" s="148">
        <v>6</v>
      </c>
      <c r="O103" s="148" t="s">
        <v>1774</v>
      </c>
      <c r="P103" s="148">
        <v>7.4999999999999997E-2</v>
      </c>
      <c r="Q103" s="148" t="s">
        <v>1776</v>
      </c>
      <c r="R103" s="148">
        <v>7.4999999999999997E-2</v>
      </c>
      <c r="S103" s="148" t="s">
        <v>725</v>
      </c>
      <c r="T103" s="148">
        <v>0.125</v>
      </c>
      <c r="U103" s="148" t="s">
        <v>1781</v>
      </c>
      <c r="V103" s="148">
        <v>6.5000000000000002E-2</v>
      </c>
      <c r="W103" s="148" t="s">
        <v>726</v>
      </c>
      <c r="X103" s="148">
        <v>0.06</v>
      </c>
      <c r="Y103" s="148"/>
      <c r="Z103" s="148"/>
      <c r="AA103" s="148"/>
      <c r="AB103" s="148"/>
      <c r="AC103" s="148"/>
      <c r="AD103" s="148"/>
      <c r="AE103" s="148"/>
      <c r="AF103" s="148"/>
      <c r="AG103" s="148"/>
      <c r="AH103" s="148"/>
      <c r="AK103" s="1"/>
      <c r="AL103" s="1"/>
      <c r="AM103" s="1"/>
    </row>
    <row r="104" spans="1:39" ht="20.100000000000001" customHeight="1" x14ac:dyDescent="0.2">
      <c r="D104" s="148" t="s">
        <v>1814</v>
      </c>
      <c r="E104" s="148" t="s">
        <v>1835</v>
      </c>
      <c r="F104" s="148" t="s">
        <v>662</v>
      </c>
      <c r="G104" s="148">
        <v>1.2150000000000001</v>
      </c>
      <c r="H104" s="148"/>
      <c r="I104" s="148"/>
      <c r="J104" s="148"/>
      <c r="K104" s="148">
        <v>12</v>
      </c>
      <c r="L104" s="148"/>
      <c r="M104" s="148">
        <v>10</v>
      </c>
      <c r="N104" s="148"/>
      <c r="O104" s="148" t="s">
        <v>713</v>
      </c>
      <c r="P104" s="148">
        <v>0.19565199999999999</v>
      </c>
      <c r="Q104" s="148" t="s">
        <v>725</v>
      </c>
      <c r="R104" s="148">
        <v>0.1</v>
      </c>
      <c r="S104" s="148" t="s">
        <v>1779</v>
      </c>
      <c r="T104" s="148">
        <v>0.03</v>
      </c>
      <c r="U104" s="148" t="s">
        <v>1831</v>
      </c>
      <c r="V104" s="148">
        <v>5.0000000000000001E-3</v>
      </c>
      <c r="W104" s="148"/>
      <c r="X104" s="148"/>
      <c r="Y104" s="148"/>
      <c r="Z104" s="148"/>
      <c r="AA104" s="148"/>
      <c r="AB104" s="148"/>
      <c r="AC104" s="148"/>
      <c r="AD104" s="148"/>
      <c r="AE104" s="148"/>
      <c r="AF104" s="148"/>
      <c r="AG104" s="148"/>
      <c r="AH104" s="148"/>
      <c r="AK104" s="1"/>
      <c r="AL104" s="1"/>
      <c r="AM104" s="1"/>
    </row>
    <row r="105" spans="1:39" ht="20.100000000000001" customHeight="1" x14ac:dyDescent="0.2">
      <c r="D105" s="148" t="s">
        <v>1814</v>
      </c>
      <c r="E105" s="148" t="s">
        <v>1836</v>
      </c>
      <c r="F105" s="148" t="s">
        <v>757</v>
      </c>
      <c r="G105" s="148">
        <v>1</v>
      </c>
      <c r="H105" s="148"/>
      <c r="I105" s="148"/>
      <c r="J105" s="148"/>
      <c r="K105" s="148">
        <v>21.66</v>
      </c>
      <c r="L105" s="148"/>
      <c r="M105" s="148"/>
      <c r="N105" s="148">
        <v>13.2</v>
      </c>
      <c r="O105" s="148" t="s">
        <v>1769</v>
      </c>
      <c r="P105" s="148">
        <v>0.55000000000000004</v>
      </c>
      <c r="Q105" s="148" t="s">
        <v>1771</v>
      </c>
      <c r="R105" s="148">
        <v>0.3</v>
      </c>
      <c r="S105" s="148"/>
      <c r="T105" s="148"/>
      <c r="U105" s="148"/>
      <c r="V105" s="148"/>
      <c r="W105" s="148"/>
      <c r="X105" s="148"/>
      <c r="Y105" s="148"/>
      <c r="Z105" s="148"/>
      <c r="AA105" s="148"/>
      <c r="AB105" s="148"/>
      <c r="AC105" s="148"/>
      <c r="AD105" s="148"/>
      <c r="AE105" s="148"/>
      <c r="AF105" s="148"/>
      <c r="AG105" s="148"/>
      <c r="AH105" s="148"/>
      <c r="AK105" s="1"/>
      <c r="AL105" s="1"/>
      <c r="AM105" s="1"/>
    </row>
    <row r="106" spans="1:39" ht="20.100000000000001" customHeight="1" x14ac:dyDescent="0.2">
      <c r="D106" s="148" t="s">
        <v>1837</v>
      </c>
      <c r="E106" s="148" t="s">
        <v>1838</v>
      </c>
      <c r="F106" s="148" t="s">
        <v>662</v>
      </c>
      <c r="G106" s="148">
        <v>1.319</v>
      </c>
      <c r="H106" s="148"/>
      <c r="I106" s="148"/>
      <c r="J106" s="148"/>
      <c r="K106" s="148">
        <v>5</v>
      </c>
      <c r="L106" s="148">
        <v>15</v>
      </c>
      <c r="M106" s="148">
        <v>2.1</v>
      </c>
      <c r="N106" s="148"/>
      <c r="O106" s="148" t="s">
        <v>1781</v>
      </c>
      <c r="P106" s="148">
        <v>0.15</v>
      </c>
      <c r="Q106" s="148" t="s">
        <v>1819</v>
      </c>
      <c r="R106" s="148">
        <v>0.04</v>
      </c>
      <c r="S106" s="148" t="s">
        <v>1774</v>
      </c>
      <c r="T106" s="148">
        <v>2.9000000000000001E-2</v>
      </c>
      <c r="U106" s="148" t="s">
        <v>1776</v>
      </c>
      <c r="V106" s="148">
        <v>2.1000000000000001E-2</v>
      </c>
      <c r="W106" s="148" t="s">
        <v>725</v>
      </c>
      <c r="X106" s="148">
        <v>2.1000000000000001E-2</v>
      </c>
      <c r="Y106" s="148" t="s">
        <v>1830</v>
      </c>
      <c r="Z106" s="148">
        <v>5.0000000000000001E-3</v>
      </c>
      <c r="AA106" s="148" t="s">
        <v>1827</v>
      </c>
      <c r="AB106" s="148">
        <v>4.0000000000000001E-3</v>
      </c>
      <c r="AC106" s="148" t="s">
        <v>1828</v>
      </c>
      <c r="AD106" s="148">
        <v>4.0000000000000001E-3</v>
      </c>
      <c r="AE106" s="148" t="s">
        <v>1826</v>
      </c>
      <c r="AF106" s="148">
        <v>2E-3</v>
      </c>
      <c r="AG106" s="148"/>
      <c r="AH106" s="148"/>
      <c r="AK106" s="1"/>
      <c r="AL106" s="1"/>
      <c r="AM106" s="1"/>
    </row>
    <row r="107" spans="1:39" ht="20.100000000000001" customHeight="1" x14ac:dyDescent="0.2">
      <c r="D107" s="148" t="s">
        <v>1839</v>
      </c>
      <c r="E107" s="148" t="s">
        <v>1840</v>
      </c>
      <c r="F107" s="148" t="s">
        <v>757</v>
      </c>
      <c r="G107" s="148">
        <v>1</v>
      </c>
      <c r="H107" s="148"/>
      <c r="I107" s="148"/>
      <c r="J107" s="148" t="s">
        <v>1794</v>
      </c>
      <c r="K107" s="148">
        <v>17.7</v>
      </c>
      <c r="L107" s="148"/>
      <c r="M107" s="148"/>
      <c r="N107" s="148"/>
      <c r="O107" s="148" t="s">
        <v>1774</v>
      </c>
      <c r="P107" s="148">
        <v>0.17699999999999999</v>
      </c>
      <c r="Q107" s="148"/>
      <c r="R107" s="148"/>
      <c r="S107" s="148"/>
      <c r="T107" s="148"/>
      <c r="U107" s="148"/>
      <c r="V107" s="148"/>
      <c r="W107" s="148"/>
      <c r="X107" s="148"/>
      <c r="Y107" s="148"/>
      <c r="Z107" s="148"/>
      <c r="AA107" s="148"/>
      <c r="AB107" s="148"/>
      <c r="AC107" s="148"/>
      <c r="AD107" s="148"/>
      <c r="AE107" s="148"/>
      <c r="AF107" s="148"/>
      <c r="AG107" s="148"/>
      <c r="AH107" s="148"/>
      <c r="AK107" s="1"/>
      <c r="AL107" s="1"/>
      <c r="AM107" s="1"/>
    </row>
    <row r="108" spans="1:39" ht="20.100000000000001" customHeight="1" x14ac:dyDescent="0.2">
      <c r="D108" s="148" t="s">
        <v>1839</v>
      </c>
      <c r="E108" s="148" t="s">
        <v>1790</v>
      </c>
      <c r="F108" s="148" t="s">
        <v>757</v>
      </c>
      <c r="G108" s="148">
        <v>1</v>
      </c>
      <c r="H108" s="148"/>
      <c r="I108" s="148"/>
      <c r="J108" s="148" t="s">
        <v>1794</v>
      </c>
      <c r="K108" s="148">
        <v>21</v>
      </c>
      <c r="L108" s="148"/>
      <c r="M108" s="148"/>
      <c r="N108" s="148">
        <v>24</v>
      </c>
      <c r="O108" s="148" t="s">
        <v>726</v>
      </c>
      <c r="P108" s="148">
        <v>0.24</v>
      </c>
      <c r="Q108" s="148" t="s">
        <v>1774</v>
      </c>
      <c r="R108" s="148">
        <v>0.21</v>
      </c>
      <c r="S108" s="148"/>
      <c r="T108" s="148"/>
      <c r="U108" s="148"/>
      <c r="V108" s="148"/>
      <c r="W108" s="148"/>
      <c r="X108" s="148"/>
      <c r="Y108" s="148"/>
      <c r="Z108" s="148"/>
      <c r="AA108" s="148"/>
      <c r="AB108" s="148"/>
      <c r="AC108" s="148"/>
      <c r="AD108" s="148"/>
      <c r="AE108" s="148"/>
      <c r="AF108" s="148"/>
      <c r="AG108" s="148"/>
      <c r="AH108" s="148"/>
      <c r="AK108" s="1"/>
      <c r="AL108" s="1"/>
      <c r="AM108" s="1"/>
    </row>
    <row r="109" spans="1:39" ht="20.100000000000001" customHeight="1" x14ac:dyDescent="0.2">
      <c r="D109" s="148" t="s">
        <v>1841</v>
      </c>
      <c r="E109" s="148" t="s">
        <v>1842</v>
      </c>
      <c r="F109" s="148" t="s">
        <v>757</v>
      </c>
      <c r="G109" s="148">
        <v>1</v>
      </c>
      <c r="H109" s="148"/>
      <c r="I109" s="148"/>
      <c r="J109" s="148"/>
      <c r="K109" s="148">
        <v>21</v>
      </c>
      <c r="L109" s="148"/>
      <c r="M109" s="148"/>
      <c r="N109" s="148">
        <v>24</v>
      </c>
      <c r="O109" s="148" t="s">
        <v>1769</v>
      </c>
      <c r="P109" s="148">
        <v>1</v>
      </c>
      <c r="Q109" s="148"/>
      <c r="R109" s="148"/>
      <c r="S109" s="148"/>
      <c r="T109" s="148"/>
      <c r="U109" s="148"/>
      <c r="V109" s="148"/>
      <c r="W109" s="148"/>
      <c r="X109" s="148"/>
      <c r="Y109" s="148"/>
      <c r="Z109" s="148"/>
      <c r="AA109" s="148"/>
      <c r="AB109" s="148"/>
      <c r="AC109" s="148"/>
      <c r="AD109" s="148"/>
      <c r="AE109" s="148"/>
      <c r="AF109" s="148"/>
      <c r="AG109" s="148"/>
      <c r="AH109" s="148"/>
      <c r="AK109" s="1"/>
      <c r="AL109" s="1"/>
      <c r="AM109" s="1"/>
    </row>
    <row r="110" spans="1:39" ht="20.100000000000001" customHeight="1" x14ac:dyDescent="0.2">
      <c r="D110" s="148" t="s">
        <v>1843</v>
      </c>
      <c r="E110" s="148" t="s">
        <v>1844</v>
      </c>
      <c r="F110" s="148" t="s">
        <v>757</v>
      </c>
      <c r="G110" s="148">
        <v>1</v>
      </c>
      <c r="H110" s="148"/>
      <c r="I110" s="148"/>
      <c r="J110" s="148"/>
      <c r="K110" s="148">
        <v>18</v>
      </c>
      <c r="L110" s="148">
        <v>20</v>
      </c>
      <c r="M110" s="148"/>
      <c r="N110" s="148"/>
      <c r="O110" s="148" t="s">
        <v>1767</v>
      </c>
      <c r="P110" s="148">
        <v>1</v>
      </c>
      <c r="Q110" s="148"/>
      <c r="R110" s="148"/>
      <c r="S110" s="148"/>
      <c r="T110" s="148"/>
      <c r="U110" s="148"/>
      <c r="V110" s="148"/>
      <c r="W110" s="148"/>
      <c r="X110" s="148"/>
      <c r="Y110" s="148"/>
      <c r="Z110" s="148"/>
      <c r="AA110" s="148"/>
      <c r="AB110" s="148"/>
      <c r="AC110" s="148"/>
      <c r="AD110" s="148"/>
      <c r="AE110" s="148"/>
      <c r="AF110" s="148"/>
      <c r="AG110" s="148"/>
      <c r="AH110" s="148"/>
      <c r="AK110" s="1"/>
      <c r="AL110" s="1"/>
      <c r="AM110" s="1"/>
    </row>
    <row r="111" spans="1:39" ht="20.100000000000001" customHeight="1" x14ac:dyDescent="0.2">
      <c r="D111" s="148" t="s">
        <v>1845</v>
      </c>
      <c r="E111" s="148" t="s">
        <v>1846</v>
      </c>
      <c r="F111" s="148" t="s">
        <v>757</v>
      </c>
      <c r="G111" s="148">
        <v>1</v>
      </c>
      <c r="H111" s="148"/>
      <c r="I111" s="148"/>
      <c r="J111" s="148"/>
      <c r="K111" s="148">
        <v>8</v>
      </c>
      <c r="L111" s="148">
        <v>14</v>
      </c>
      <c r="M111" s="148"/>
      <c r="N111" s="148">
        <v>27.6</v>
      </c>
      <c r="O111" s="148" t="s">
        <v>726</v>
      </c>
      <c r="P111" s="148">
        <v>0.27600000000000002</v>
      </c>
      <c r="Q111" s="148" t="s">
        <v>1781</v>
      </c>
      <c r="R111" s="148">
        <v>0.14000000000000001</v>
      </c>
      <c r="S111" s="148" t="s">
        <v>1779</v>
      </c>
      <c r="T111" s="148">
        <v>0.08</v>
      </c>
      <c r="U111" s="148" t="s">
        <v>1847</v>
      </c>
      <c r="V111" s="148">
        <v>2.4E-2</v>
      </c>
      <c r="W111" s="148"/>
      <c r="X111" s="148"/>
      <c r="Y111" s="148"/>
      <c r="Z111" s="148"/>
      <c r="AA111" s="148"/>
      <c r="AB111" s="148"/>
      <c r="AC111" s="148"/>
      <c r="AD111" s="148"/>
      <c r="AE111" s="148"/>
      <c r="AF111" s="148"/>
      <c r="AG111" s="148"/>
      <c r="AH111" s="148"/>
      <c r="AK111" s="1"/>
      <c r="AL111" s="1"/>
      <c r="AM111" s="1"/>
    </row>
    <row r="112" spans="1:39" ht="20.100000000000001" customHeight="1" x14ac:dyDescent="0.2">
      <c r="D112" s="148" t="s">
        <v>1848</v>
      </c>
      <c r="E112" s="148" t="s">
        <v>1849</v>
      </c>
      <c r="F112" s="148" t="s">
        <v>757</v>
      </c>
      <c r="G112" s="148">
        <v>1</v>
      </c>
      <c r="H112" s="148"/>
      <c r="I112" s="148"/>
      <c r="J112" s="148"/>
      <c r="K112" s="148">
        <v>16.899999999999999</v>
      </c>
      <c r="L112" s="148">
        <v>18.2</v>
      </c>
      <c r="M112" s="148"/>
      <c r="N112" s="148">
        <v>8</v>
      </c>
      <c r="O112" s="148" t="s">
        <v>1781</v>
      </c>
      <c r="P112" s="148">
        <v>0.182</v>
      </c>
      <c r="Q112" s="148" t="s">
        <v>1779</v>
      </c>
      <c r="R112" s="148">
        <v>0.16900000000000001</v>
      </c>
      <c r="S112" s="148" t="s">
        <v>726</v>
      </c>
      <c r="T112" s="148">
        <v>0.08</v>
      </c>
      <c r="U112" s="148" t="s">
        <v>1827</v>
      </c>
      <c r="V112" s="148">
        <v>2E-3</v>
      </c>
      <c r="W112" s="148" t="s">
        <v>1830</v>
      </c>
      <c r="X112" s="148">
        <v>1E-3</v>
      </c>
      <c r="Y112" s="148"/>
      <c r="Z112" s="148"/>
      <c r="AA112" s="148"/>
      <c r="AB112" s="148"/>
      <c r="AC112" s="148"/>
      <c r="AD112" s="148"/>
      <c r="AE112" s="148"/>
      <c r="AF112" s="148"/>
      <c r="AG112" s="148"/>
      <c r="AH112" s="148"/>
      <c r="AK112" s="1"/>
      <c r="AL112" s="1"/>
      <c r="AM112" s="1"/>
    </row>
    <row r="113" spans="1:39" ht="20.100000000000001" customHeight="1" x14ac:dyDescent="0.2">
      <c r="D113" s="148" t="s">
        <v>1845</v>
      </c>
      <c r="E113" s="148" t="s">
        <v>1850</v>
      </c>
      <c r="F113" s="148" t="s">
        <v>662</v>
      </c>
      <c r="G113" s="148">
        <v>1.32</v>
      </c>
      <c r="H113" s="148"/>
      <c r="I113" s="148"/>
      <c r="J113" s="148"/>
      <c r="K113" s="148">
        <v>42.5</v>
      </c>
      <c r="L113" s="148"/>
      <c r="M113" s="148"/>
      <c r="N113" s="148"/>
      <c r="O113" s="148" t="s">
        <v>713</v>
      </c>
      <c r="P113" s="148">
        <v>0.467391</v>
      </c>
      <c r="Q113" s="148" t="s">
        <v>1776</v>
      </c>
      <c r="R113" s="148">
        <v>0.105</v>
      </c>
      <c r="S113" s="148" t="s">
        <v>1774</v>
      </c>
      <c r="T113" s="148">
        <v>0.105</v>
      </c>
      <c r="U113" s="148" t="s">
        <v>1851</v>
      </c>
      <c r="V113" s="148">
        <v>6.0000000000000001E-3</v>
      </c>
      <c r="W113" s="148"/>
      <c r="X113" s="148"/>
      <c r="Y113" s="148"/>
      <c r="Z113" s="148"/>
      <c r="AA113" s="148"/>
      <c r="AB113" s="148"/>
      <c r="AC113" s="148"/>
      <c r="AD113" s="148"/>
      <c r="AE113" s="148"/>
      <c r="AF113" s="148"/>
      <c r="AG113" s="148"/>
      <c r="AH113" s="148"/>
      <c r="AK113" s="1"/>
      <c r="AL113" s="1"/>
      <c r="AM113" s="1"/>
    </row>
    <row r="114" spans="1:39" ht="20.100000000000001" customHeight="1" x14ac:dyDescent="0.2">
      <c r="D114" s="148" t="s">
        <v>1839</v>
      </c>
      <c r="E114" s="148" t="s">
        <v>1852</v>
      </c>
      <c r="F114" s="148" t="s">
        <v>757</v>
      </c>
      <c r="G114" s="148">
        <v>1</v>
      </c>
      <c r="H114" s="148"/>
      <c r="I114" s="148"/>
      <c r="J114" s="148" t="s">
        <v>1794</v>
      </c>
      <c r="K114" s="148">
        <v>40.5</v>
      </c>
      <c r="L114" s="148"/>
      <c r="M114" s="148"/>
      <c r="N114" s="148"/>
      <c r="O114" s="148" t="s">
        <v>1774</v>
      </c>
      <c r="P114" s="148">
        <v>0.27</v>
      </c>
      <c r="Q114" s="148" t="s">
        <v>1776</v>
      </c>
      <c r="R114" s="148">
        <v>0.13500000000000001</v>
      </c>
      <c r="S114" s="148" t="s">
        <v>1819</v>
      </c>
      <c r="T114" s="148">
        <v>0.12</v>
      </c>
      <c r="U114" s="148"/>
      <c r="V114" s="148"/>
      <c r="W114" s="148"/>
      <c r="X114" s="148"/>
      <c r="Y114" s="148"/>
      <c r="Z114" s="148"/>
      <c r="AA114" s="148"/>
      <c r="AB114" s="148"/>
      <c r="AC114" s="148"/>
      <c r="AD114" s="148"/>
      <c r="AE114" s="148"/>
      <c r="AF114" s="148"/>
      <c r="AG114" s="148"/>
      <c r="AH114" s="148"/>
      <c r="AK114" s="1"/>
      <c r="AL114" s="1"/>
      <c r="AM114" s="1"/>
    </row>
    <row r="115" spans="1:39" ht="20.100000000000001" customHeight="1" x14ac:dyDescent="0.2">
      <c r="D115" s="148" t="s">
        <v>1837</v>
      </c>
      <c r="E115" s="148" t="s">
        <v>1853</v>
      </c>
      <c r="F115" s="148" t="s">
        <v>662</v>
      </c>
      <c r="G115" s="148">
        <v>1.1379999999999999</v>
      </c>
      <c r="H115" s="148"/>
      <c r="I115" s="148"/>
      <c r="J115" s="148"/>
      <c r="K115" s="148"/>
      <c r="L115" s="148"/>
      <c r="M115" s="148"/>
      <c r="N115" s="148"/>
      <c r="O115" s="148" t="s">
        <v>1819</v>
      </c>
      <c r="P115" s="148">
        <v>5.8999999999999997E-2</v>
      </c>
      <c r="Q115" s="148" t="s">
        <v>1830</v>
      </c>
      <c r="R115" s="148">
        <v>3.0000000000000001E-3</v>
      </c>
      <c r="S115" s="148" t="s">
        <v>1831</v>
      </c>
      <c r="T115" s="148">
        <v>1E-3</v>
      </c>
      <c r="U115" s="148"/>
      <c r="V115" s="148"/>
      <c r="W115" s="148"/>
      <c r="X115" s="148"/>
      <c r="Y115" s="148"/>
      <c r="Z115" s="148"/>
      <c r="AA115" s="148"/>
      <c r="AB115" s="148"/>
      <c r="AC115" s="148"/>
      <c r="AD115" s="148"/>
      <c r="AE115" s="148"/>
      <c r="AF115" s="148"/>
      <c r="AG115" s="148"/>
      <c r="AH115" s="148"/>
      <c r="AK115" s="1"/>
      <c r="AL115" s="1"/>
      <c r="AM115" s="1"/>
    </row>
    <row r="116" spans="1:39" ht="20.100000000000001" customHeight="1" x14ac:dyDescent="0.2">
      <c r="D116" s="148" t="s">
        <v>1845</v>
      </c>
      <c r="E116" s="148" t="s">
        <v>1854</v>
      </c>
      <c r="F116" s="148" t="s">
        <v>757</v>
      </c>
      <c r="G116" s="148">
        <v>1</v>
      </c>
      <c r="H116" s="148"/>
      <c r="I116" s="148"/>
      <c r="J116" s="148"/>
      <c r="K116" s="148">
        <v>13.5</v>
      </c>
      <c r="L116" s="148">
        <v>15</v>
      </c>
      <c r="M116" s="148">
        <v>6.25</v>
      </c>
      <c r="N116" s="148">
        <v>1.2</v>
      </c>
      <c r="O116" s="148" t="s">
        <v>1781</v>
      </c>
      <c r="P116" s="148">
        <v>0.15</v>
      </c>
      <c r="Q116" s="148" t="s">
        <v>1774</v>
      </c>
      <c r="R116" s="148">
        <v>0.13500000000000001</v>
      </c>
      <c r="S116" s="148" t="s">
        <v>1787</v>
      </c>
      <c r="T116" s="148">
        <v>0.125</v>
      </c>
      <c r="U116" s="148" t="s">
        <v>1847</v>
      </c>
      <c r="V116" s="148">
        <v>2.3E-2</v>
      </c>
      <c r="W116" s="148" t="s">
        <v>726</v>
      </c>
      <c r="X116" s="148">
        <v>1.2E-2</v>
      </c>
      <c r="Y116" s="148"/>
      <c r="Z116" s="148"/>
      <c r="AA116" s="148"/>
      <c r="AB116" s="148"/>
      <c r="AC116" s="148"/>
      <c r="AD116" s="148"/>
      <c r="AE116" s="148"/>
      <c r="AF116" s="148"/>
      <c r="AG116" s="148"/>
      <c r="AH116" s="148"/>
      <c r="AK116" s="1"/>
      <c r="AL116" s="1"/>
      <c r="AM116" s="1"/>
    </row>
    <row r="117" spans="1:39" ht="20.100000000000001" customHeight="1" x14ac:dyDescent="0.2">
      <c r="D117" s="148" t="s">
        <v>1855</v>
      </c>
      <c r="E117" s="148" t="s">
        <v>1856</v>
      </c>
      <c r="F117" s="148" t="s">
        <v>662</v>
      </c>
      <c r="G117" s="148">
        <v>1.25</v>
      </c>
      <c r="H117" s="148"/>
      <c r="I117" s="148"/>
      <c r="J117" s="148"/>
      <c r="K117" s="148">
        <v>3</v>
      </c>
      <c r="L117" s="148"/>
      <c r="M117" s="148">
        <v>21</v>
      </c>
      <c r="N117" s="148"/>
      <c r="O117" s="148" t="s">
        <v>725</v>
      </c>
      <c r="P117" s="148">
        <v>0.21</v>
      </c>
      <c r="Q117" s="148" t="s">
        <v>1779</v>
      </c>
      <c r="R117" s="148">
        <v>0.03</v>
      </c>
      <c r="S117" s="148"/>
      <c r="T117" s="148"/>
      <c r="U117" s="148"/>
      <c r="V117" s="148"/>
      <c r="W117" s="148"/>
      <c r="X117" s="148"/>
      <c r="Y117" s="148"/>
      <c r="Z117" s="148"/>
      <c r="AA117" s="148"/>
      <c r="AB117" s="148"/>
      <c r="AC117" s="148"/>
      <c r="AD117" s="148"/>
      <c r="AE117" s="148"/>
      <c r="AF117" s="148"/>
      <c r="AG117" s="148"/>
      <c r="AH117" s="148"/>
      <c r="AK117" s="1"/>
      <c r="AL117" s="1"/>
      <c r="AM117" s="1"/>
    </row>
    <row r="118" spans="1:39" ht="20.100000000000001" customHeight="1" x14ac:dyDescent="0.2">
      <c r="D118" s="148" t="s">
        <v>1855</v>
      </c>
      <c r="E118" s="148" t="s">
        <v>1857</v>
      </c>
      <c r="F118" s="148" t="s">
        <v>662</v>
      </c>
      <c r="G118" s="148">
        <v>1.2</v>
      </c>
      <c r="H118" s="148"/>
      <c r="I118" s="148"/>
      <c r="J118" s="148"/>
      <c r="K118" s="148">
        <v>5</v>
      </c>
      <c r="L118" s="148">
        <v>3</v>
      </c>
      <c r="M118" s="148">
        <v>8</v>
      </c>
      <c r="N118" s="148"/>
      <c r="O118" s="148" t="s">
        <v>725</v>
      </c>
      <c r="P118" s="148">
        <v>0.08</v>
      </c>
      <c r="Q118" s="148" t="s">
        <v>1779</v>
      </c>
      <c r="R118" s="148">
        <v>0.05</v>
      </c>
      <c r="S118" s="148" t="s">
        <v>1781</v>
      </c>
      <c r="T118" s="148">
        <v>0.03</v>
      </c>
      <c r="U118" s="148"/>
      <c r="V118" s="148"/>
      <c r="W118" s="148"/>
      <c r="X118" s="148"/>
      <c r="Y118" s="148"/>
      <c r="Z118" s="148"/>
      <c r="AA118" s="148"/>
      <c r="AB118" s="148"/>
      <c r="AC118" s="148"/>
      <c r="AD118" s="148"/>
      <c r="AE118" s="148"/>
      <c r="AF118" s="148"/>
      <c r="AG118" s="148"/>
      <c r="AH118" s="148"/>
      <c r="AK118" s="1"/>
      <c r="AL118" s="1"/>
      <c r="AM118" s="1"/>
    </row>
    <row r="119" spans="1:39" ht="20.100000000000001" customHeight="1" x14ac:dyDescent="0.2">
      <c r="D119" s="148" t="s">
        <v>1845</v>
      </c>
      <c r="E119" s="148" t="s">
        <v>1858</v>
      </c>
      <c r="F119" s="148" t="s">
        <v>757</v>
      </c>
      <c r="G119" s="148">
        <v>1</v>
      </c>
      <c r="H119" s="148"/>
      <c r="I119" s="148"/>
      <c r="J119" s="148"/>
      <c r="K119" s="148">
        <v>21</v>
      </c>
      <c r="L119" s="148"/>
      <c r="M119" s="148"/>
      <c r="N119" s="148">
        <v>24</v>
      </c>
      <c r="O119" s="148" t="s">
        <v>1769</v>
      </c>
      <c r="P119" s="148">
        <v>1</v>
      </c>
      <c r="Q119" s="148"/>
      <c r="R119" s="148"/>
      <c r="S119" s="148"/>
      <c r="T119" s="148"/>
      <c r="U119" s="148"/>
      <c r="V119" s="148"/>
      <c r="W119" s="148"/>
      <c r="X119" s="148"/>
      <c r="Y119" s="148"/>
      <c r="Z119" s="148"/>
      <c r="AA119" s="148"/>
      <c r="AB119" s="148"/>
      <c r="AC119" s="148"/>
      <c r="AD119" s="148"/>
      <c r="AE119" s="148"/>
      <c r="AF119" s="148"/>
      <c r="AG119" s="148"/>
      <c r="AH119" s="148"/>
      <c r="AK119" s="1"/>
      <c r="AL119" s="1"/>
      <c r="AM119" s="1"/>
    </row>
    <row r="120" spans="1:39" ht="20.100000000000001" customHeight="1" x14ac:dyDescent="0.2">
      <c r="D120" s="148" t="s">
        <v>1814</v>
      </c>
      <c r="E120" s="148" t="s">
        <v>1859</v>
      </c>
      <c r="F120" s="148" t="s">
        <v>662</v>
      </c>
      <c r="G120" s="148">
        <v>1.5</v>
      </c>
      <c r="H120" s="148"/>
      <c r="I120" s="148"/>
      <c r="J120" s="148"/>
      <c r="K120" s="148">
        <v>9</v>
      </c>
      <c r="L120" s="148"/>
      <c r="M120" s="148"/>
      <c r="N120" s="148">
        <v>13.94</v>
      </c>
      <c r="O120" s="148" t="s">
        <v>1769</v>
      </c>
      <c r="P120" s="148">
        <v>0.58064499999999997</v>
      </c>
      <c r="Q120" s="148" t="s">
        <v>1826</v>
      </c>
      <c r="R120" s="148">
        <v>1.2E-2</v>
      </c>
      <c r="S120" s="148"/>
      <c r="T120" s="148"/>
      <c r="U120" s="148"/>
      <c r="V120" s="148"/>
      <c r="W120" s="148"/>
      <c r="X120" s="148"/>
      <c r="Y120" s="148"/>
      <c r="Z120" s="148"/>
      <c r="AA120" s="148"/>
      <c r="AB120" s="148"/>
      <c r="AC120" s="148"/>
      <c r="AD120" s="148"/>
      <c r="AE120" s="148"/>
      <c r="AF120" s="148"/>
      <c r="AG120" s="148"/>
      <c r="AH120" s="148"/>
      <c r="AK120" s="1"/>
      <c r="AL120" s="1"/>
      <c r="AM120" s="1"/>
    </row>
    <row r="121" spans="1:39" ht="20.100000000000001" customHeight="1" x14ac:dyDescent="0.2">
      <c r="D121" s="148" t="s">
        <v>1845</v>
      </c>
      <c r="E121" s="148" t="s">
        <v>1860</v>
      </c>
      <c r="F121" s="148" t="s">
        <v>757</v>
      </c>
      <c r="G121" s="148">
        <v>1</v>
      </c>
      <c r="H121" s="148"/>
      <c r="I121" s="148"/>
      <c r="J121" s="148"/>
      <c r="K121" s="148">
        <v>10</v>
      </c>
      <c r="L121" s="148">
        <v>17.5</v>
      </c>
      <c r="M121" s="148"/>
      <c r="N121" s="148">
        <v>12</v>
      </c>
      <c r="O121" s="148" t="s">
        <v>1781</v>
      </c>
      <c r="P121" s="148">
        <v>0.17499999999999999</v>
      </c>
      <c r="Q121" s="148" t="s">
        <v>726</v>
      </c>
      <c r="R121" s="148">
        <v>0.12</v>
      </c>
      <c r="S121" s="148" t="s">
        <v>1774</v>
      </c>
      <c r="T121" s="148">
        <v>0.1</v>
      </c>
      <c r="U121" s="148" t="s">
        <v>1847</v>
      </c>
      <c r="V121" s="148">
        <v>0.03</v>
      </c>
      <c r="W121" s="148"/>
      <c r="X121" s="148"/>
      <c r="Y121" s="148"/>
      <c r="Z121" s="148"/>
      <c r="AA121" s="148"/>
      <c r="AB121" s="148"/>
      <c r="AC121" s="148"/>
      <c r="AD121" s="148"/>
      <c r="AE121" s="148"/>
      <c r="AF121" s="148"/>
      <c r="AG121" s="148"/>
      <c r="AH121" s="148"/>
      <c r="AK121" s="1"/>
      <c r="AL121" s="1"/>
      <c r="AM121" s="1"/>
    </row>
    <row r="122" spans="1:39" ht="20.100000000000001" customHeight="1" x14ac:dyDescent="0.2">
      <c r="D122" s="148" t="s">
        <v>1845</v>
      </c>
      <c r="E122" s="148" t="s">
        <v>1861</v>
      </c>
      <c r="F122" s="148" t="s">
        <v>757</v>
      </c>
      <c r="G122" s="148">
        <v>1</v>
      </c>
      <c r="H122" s="148"/>
      <c r="I122" s="148"/>
      <c r="J122" s="148"/>
      <c r="K122" s="148">
        <v>11</v>
      </c>
      <c r="L122" s="148">
        <v>21.8</v>
      </c>
      <c r="M122" s="148"/>
      <c r="N122" s="148">
        <v>4</v>
      </c>
      <c r="O122" s="148" t="s">
        <v>1781</v>
      </c>
      <c r="P122" s="148">
        <v>0.218</v>
      </c>
      <c r="Q122" s="148" t="s">
        <v>1779</v>
      </c>
      <c r="R122" s="148">
        <v>0.11</v>
      </c>
      <c r="S122" s="148" t="s">
        <v>726</v>
      </c>
      <c r="T122" s="148">
        <v>0.04</v>
      </c>
      <c r="U122" s="148" t="s">
        <v>1847</v>
      </c>
      <c r="V122" s="148">
        <v>0.03</v>
      </c>
      <c r="W122" s="148" t="s">
        <v>1827</v>
      </c>
      <c r="X122" s="148">
        <v>0.01</v>
      </c>
      <c r="Y122" s="148"/>
      <c r="Z122" s="148"/>
      <c r="AA122" s="148"/>
      <c r="AB122" s="148"/>
      <c r="AC122" s="148"/>
      <c r="AD122" s="148"/>
      <c r="AE122" s="148"/>
      <c r="AF122" s="148"/>
      <c r="AG122" s="148"/>
      <c r="AH122" s="148"/>
      <c r="AK122" s="1"/>
      <c r="AL122" s="1"/>
      <c r="AM122" s="1"/>
    </row>
    <row r="123" spans="1:39" ht="20.100000000000001" customHeight="1" x14ac:dyDescent="0.2">
      <c r="D123" s="148" t="s">
        <v>1845</v>
      </c>
      <c r="E123" s="148" t="s">
        <v>1862</v>
      </c>
      <c r="F123" s="148" t="s">
        <v>757</v>
      </c>
      <c r="G123" s="148">
        <v>1</v>
      </c>
      <c r="H123" s="148"/>
      <c r="I123" s="148"/>
      <c r="J123" s="148"/>
      <c r="K123" s="148">
        <v>32.5</v>
      </c>
      <c r="L123" s="148">
        <v>5.4</v>
      </c>
      <c r="M123" s="148">
        <v>6.25</v>
      </c>
      <c r="N123" s="148"/>
      <c r="O123" s="148" t="s">
        <v>713</v>
      </c>
      <c r="P123" s="148">
        <v>0.6</v>
      </c>
      <c r="Q123" s="148" t="s">
        <v>1774</v>
      </c>
      <c r="R123" s="148">
        <v>4.9000000000000002E-2</v>
      </c>
      <c r="S123" s="148" t="s">
        <v>1781</v>
      </c>
      <c r="T123" s="148">
        <v>5.3999999999999999E-2</v>
      </c>
      <c r="U123" s="148" t="s">
        <v>1787</v>
      </c>
      <c r="V123" s="148">
        <v>0.125</v>
      </c>
      <c r="W123" s="148"/>
      <c r="X123" s="148"/>
      <c r="Y123" s="148"/>
      <c r="Z123" s="148"/>
      <c r="AA123" s="148"/>
      <c r="AB123" s="148"/>
      <c r="AC123" s="148"/>
      <c r="AD123" s="148"/>
      <c r="AE123" s="148"/>
      <c r="AF123" s="148"/>
      <c r="AG123" s="148"/>
      <c r="AH123" s="148"/>
      <c r="AK123" s="1"/>
      <c r="AL123" s="1"/>
      <c r="AM123" s="1"/>
    </row>
    <row r="124" spans="1:39" ht="20.100000000000001" customHeight="1" x14ac:dyDescent="0.2">
      <c r="D124" s="148" t="s">
        <v>1841</v>
      </c>
      <c r="E124" s="148" t="s">
        <v>1863</v>
      </c>
      <c r="F124" s="148" t="s">
        <v>757</v>
      </c>
      <c r="G124" s="148">
        <v>1</v>
      </c>
      <c r="H124" s="148" t="s">
        <v>1864</v>
      </c>
      <c r="I124" s="148"/>
      <c r="J124" s="148"/>
      <c r="K124" s="148">
        <v>45.54</v>
      </c>
      <c r="L124" s="148"/>
      <c r="M124" s="148"/>
      <c r="N124" s="148"/>
      <c r="O124" s="148" t="s">
        <v>713</v>
      </c>
      <c r="P124" s="148">
        <v>0.99</v>
      </c>
      <c r="Q124" s="148"/>
      <c r="R124" s="148"/>
      <c r="S124" s="148"/>
      <c r="T124" s="148"/>
      <c r="U124" s="148"/>
      <c r="V124" s="148"/>
      <c r="W124" s="148"/>
      <c r="X124" s="148"/>
      <c r="Y124" s="148"/>
      <c r="Z124" s="148"/>
      <c r="AA124" s="148"/>
      <c r="AB124" s="148"/>
      <c r="AC124" s="148"/>
      <c r="AD124" s="148"/>
      <c r="AE124" s="148"/>
      <c r="AF124" s="148"/>
      <c r="AG124" s="148"/>
      <c r="AH124" s="148"/>
      <c r="AK124" s="1"/>
      <c r="AL124" s="1"/>
      <c r="AM124" s="1"/>
    </row>
    <row r="125" spans="1:39" ht="20.100000000000001" customHeight="1" x14ac:dyDescent="0.2">
      <c r="D125" s="148" t="s">
        <v>1814</v>
      </c>
      <c r="E125" s="148" t="s">
        <v>1865</v>
      </c>
      <c r="F125" s="148" t="s">
        <v>757</v>
      </c>
      <c r="G125" s="148">
        <v>1</v>
      </c>
      <c r="H125" s="148"/>
      <c r="I125" s="148"/>
      <c r="J125" s="148"/>
      <c r="K125" s="148">
        <v>14.87</v>
      </c>
      <c r="L125" s="148">
        <v>2.2000000000000002</v>
      </c>
      <c r="M125" s="148">
        <v>16.600000000000001</v>
      </c>
      <c r="N125" s="148">
        <v>8</v>
      </c>
      <c r="O125" s="148" t="s">
        <v>1771</v>
      </c>
      <c r="P125" s="148">
        <v>0.44117600000000001</v>
      </c>
      <c r="Q125" s="148" t="s">
        <v>725</v>
      </c>
      <c r="R125" s="148">
        <v>0.16600000000000001</v>
      </c>
      <c r="S125" s="148" t="s">
        <v>726</v>
      </c>
      <c r="T125" s="148">
        <v>0.08</v>
      </c>
      <c r="U125" s="148" t="s">
        <v>1781</v>
      </c>
      <c r="V125" s="148">
        <v>2.1999999999999999E-2</v>
      </c>
      <c r="W125" s="148" t="s">
        <v>1826</v>
      </c>
      <c r="X125" s="148">
        <v>1.2E-2</v>
      </c>
      <c r="Y125" s="148" t="s">
        <v>1831</v>
      </c>
      <c r="Z125" s="148">
        <v>2.0000000000000001E-4</v>
      </c>
      <c r="AA125" s="148" t="s">
        <v>1827</v>
      </c>
      <c r="AB125" s="148">
        <v>1E-4</v>
      </c>
      <c r="AC125" s="148"/>
      <c r="AD125" s="148"/>
      <c r="AE125" s="148"/>
      <c r="AF125" s="148"/>
      <c r="AG125" s="148"/>
      <c r="AH125" s="148"/>
      <c r="AK125" s="1"/>
      <c r="AL125" s="1"/>
      <c r="AM125" s="1"/>
    </row>
    <row r="126" spans="1:39" ht="20.100000000000001" customHeight="1" x14ac:dyDescent="0.2">
      <c r="D126" s="148" t="s">
        <v>1837</v>
      </c>
      <c r="E126" s="148" t="s">
        <v>1866</v>
      </c>
      <c r="F126" s="148" t="s">
        <v>662</v>
      </c>
      <c r="G126" s="148">
        <v>1.2989999999999999</v>
      </c>
      <c r="H126" s="148"/>
      <c r="I126" s="148"/>
      <c r="J126" s="148"/>
      <c r="K126" s="148">
        <v>38</v>
      </c>
      <c r="L126" s="148"/>
      <c r="M126" s="148"/>
      <c r="N126" s="148">
        <v>2</v>
      </c>
      <c r="O126" s="148" t="s">
        <v>713</v>
      </c>
      <c r="P126" s="148">
        <v>0.46087</v>
      </c>
      <c r="Q126" s="148" t="s">
        <v>1774</v>
      </c>
      <c r="R126" s="148">
        <v>9.1999999999999998E-2</v>
      </c>
      <c r="S126" s="148" t="s">
        <v>1776</v>
      </c>
      <c r="T126" s="148">
        <v>7.5999999999999998E-2</v>
      </c>
      <c r="U126" s="148" t="s">
        <v>726</v>
      </c>
      <c r="V126" s="148">
        <v>0.02</v>
      </c>
      <c r="W126" s="148"/>
      <c r="X126" s="148"/>
      <c r="Y126" s="148"/>
      <c r="Z126" s="148"/>
      <c r="AA126" s="148"/>
      <c r="AB126" s="148"/>
      <c r="AC126" s="148"/>
      <c r="AD126" s="148"/>
      <c r="AE126" s="148"/>
      <c r="AF126" s="148"/>
      <c r="AG126" s="148"/>
      <c r="AH126" s="148"/>
      <c r="AK126" s="1"/>
      <c r="AL126" s="1"/>
      <c r="AM126" s="1"/>
    </row>
    <row r="127" spans="1:39" ht="20.100000000000001" customHeight="1" x14ac:dyDescent="0.2">
      <c r="D127" s="148" t="s">
        <v>1843</v>
      </c>
      <c r="E127" s="148" t="s">
        <v>1867</v>
      </c>
      <c r="F127" s="148" t="s">
        <v>757</v>
      </c>
      <c r="G127" s="148">
        <v>1</v>
      </c>
      <c r="H127" s="148"/>
      <c r="I127" s="148"/>
      <c r="J127" s="148"/>
      <c r="K127" s="148"/>
      <c r="L127" s="148">
        <v>8.8000000000000007</v>
      </c>
      <c r="M127" s="148"/>
      <c r="N127" s="148">
        <v>11</v>
      </c>
      <c r="O127" s="148" t="s">
        <v>1789</v>
      </c>
      <c r="P127" s="148">
        <v>1</v>
      </c>
      <c r="Q127" s="148"/>
      <c r="R127" s="148"/>
      <c r="S127" s="148"/>
      <c r="T127" s="148"/>
      <c r="U127" s="148"/>
      <c r="V127" s="148"/>
      <c r="W127" s="148"/>
      <c r="X127" s="148"/>
      <c r="Y127" s="148"/>
      <c r="Z127" s="148"/>
      <c r="AA127" s="148"/>
      <c r="AB127" s="148"/>
      <c r="AC127" s="148"/>
      <c r="AD127" s="148"/>
      <c r="AE127" s="148"/>
      <c r="AF127" s="148"/>
      <c r="AG127" s="148"/>
      <c r="AH127" s="148"/>
      <c r="AK127" s="1"/>
      <c r="AL127" s="1"/>
      <c r="AM127" s="1"/>
    </row>
    <row r="128" spans="1:39" ht="20.100000000000001" customHeight="1" x14ac:dyDescent="0.2">
      <c r="A128" s="79" t="str">
        <f>HYPERLINK("#A1", "▲ Back to top")</f>
        <v>▲ Back to top</v>
      </c>
      <c r="D128" s="148" t="s">
        <v>1855</v>
      </c>
      <c r="E128" s="148" t="s">
        <v>1868</v>
      </c>
      <c r="F128" s="148" t="s">
        <v>662</v>
      </c>
      <c r="G128" s="148">
        <v>1.2</v>
      </c>
      <c r="H128" s="148"/>
      <c r="I128" s="148"/>
      <c r="J128" s="148"/>
      <c r="K128" s="148">
        <v>10</v>
      </c>
      <c r="L128" s="148">
        <v>1</v>
      </c>
      <c r="M128" s="148">
        <v>11</v>
      </c>
      <c r="N128" s="148"/>
      <c r="O128" s="148" t="s">
        <v>725</v>
      </c>
      <c r="P128" s="148">
        <v>0.11</v>
      </c>
      <c r="Q128" s="148" t="s">
        <v>1779</v>
      </c>
      <c r="R128" s="148">
        <v>0.1</v>
      </c>
      <c r="S128" s="148" t="s">
        <v>1781</v>
      </c>
      <c r="T128" s="148">
        <v>0.01</v>
      </c>
      <c r="U128" s="148"/>
      <c r="V128" s="148"/>
      <c r="W128" s="148"/>
      <c r="X128" s="148"/>
      <c r="Y128" s="148"/>
      <c r="Z128" s="148"/>
      <c r="AA128" s="148"/>
      <c r="AB128" s="148"/>
      <c r="AC128" s="148"/>
      <c r="AD128" s="148"/>
      <c r="AE128" s="148"/>
      <c r="AF128" s="148"/>
      <c r="AG128" s="148"/>
      <c r="AH128" s="148"/>
      <c r="AK128" s="1"/>
      <c r="AL128" s="1"/>
      <c r="AM128" s="1"/>
    </row>
    <row r="129" spans="4:39" ht="20.100000000000001" customHeight="1" x14ac:dyDescent="0.2">
      <c r="D129" s="148" t="s">
        <v>1855</v>
      </c>
      <c r="E129" s="148" t="s">
        <v>1869</v>
      </c>
      <c r="F129" s="148" t="s">
        <v>662</v>
      </c>
      <c r="G129" s="148">
        <v>1.3</v>
      </c>
      <c r="H129" s="148"/>
      <c r="I129" s="148"/>
      <c r="J129" s="148"/>
      <c r="K129" s="148">
        <v>3</v>
      </c>
      <c r="L129" s="148"/>
      <c r="M129" s="148">
        <v>22</v>
      </c>
      <c r="N129" s="148"/>
      <c r="O129" s="148" t="s">
        <v>725</v>
      </c>
      <c r="P129" s="148">
        <v>0.22</v>
      </c>
      <c r="Q129" s="148" t="s">
        <v>1779</v>
      </c>
      <c r="R129" s="148">
        <v>0.03</v>
      </c>
      <c r="S129" s="148"/>
      <c r="T129" s="148"/>
      <c r="U129" s="148"/>
      <c r="V129" s="148"/>
      <c r="W129" s="148"/>
      <c r="X129" s="148"/>
      <c r="Y129" s="148"/>
      <c r="Z129" s="148"/>
      <c r="AA129" s="148"/>
      <c r="AB129" s="148"/>
      <c r="AC129" s="148"/>
      <c r="AD129" s="148"/>
      <c r="AE129" s="148"/>
      <c r="AF129" s="148"/>
      <c r="AG129" s="148"/>
      <c r="AH129" s="148"/>
      <c r="AK129" s="1"/>
      <c r="AL129" s="1"/>
      <c r="AM129" s="1"/>
    </row>
    <row r="130" spans="4:39" ht="20.100000000000001" customHeight="1" x14ac:dyDescent="0.2">
      <c r="D130" s="148" t="s">
        <v>1870</v>
      </c>
      <c r="E130" s="148" t="s">
        <v>1871</v>
      </c>
      <c r="F130" s="148" t="s">
        <v>662</v>
      </c>
      <c r="G130" s="148">
        <v>1.1850000000000001</v>
      </c>
      <c r="H130" s="148"/>
      <c r="I130" s="148"/>
      <c r="J130" s="148"/>
      <c r="K130" s="148">
        <v>23.8</v>
      </c>
      <c r="L130" s="148"/>
      <c r="M130" s="148"/>
      <c r="N130" s="148"/>
      <c r="O130" s="148" t="s">
        <v>713</v>
      </c>
      <c r="P130" s="148">
        <v>0.51739100000000005</v>
      </c>
      <c r="Q130" s="148"/>
      <c r="R130" s="148"/>
      <c r="S130" s="148"/>
      <c r="T130" s="148"/>
      <c r="U130" s="148"/>
      <c r="V130" s="148"/>
      <c r="W130" s="148"/>
      <c r="X130" s="148"/>
      <c r="Y130" s="148"/>
      <c r="Z130" s="148"/>
      <c r="AA130" s="148"/>
      <c r="AB130" s="148"/>
      <c r="AC130" s="148"/>
      <c r="AD130" s="148"/>
      <c r="AE130" s="148"/>
      <c r="AF130" s="148"/>
      <c r="AG130" s="148"/>
      <c r="AH130" s="148"/>
      <c r="AK130" s="1"/>
      <c r="AL130" s="1"/>
      <c r="AM130" s="1"/>
    </row>
    <row r="131" spans="4:39" ht="20.100000000000001" customHeight="1" x14ac:dyDescent="0.2">
      <c r="D131" s="148" t="s">
        <v>1837</v>
      </c>
      <c r="E131" s="148" t="s">
        <v>1872</v>
      </c>
      <c r="F131" s="148" t="s">
        <v>662</v>
      </c>
      <c r="G131" s="148">
        <v>1.2549999999999999</v>
      </c>
      <c r="H131" s="148"/>
      <c r="I131" s="148"/>
      <c r="J131" s="148"/>
      <c r="K131" s="148"/>
      <c r="L131" s="148"/>
      <c r="M131" s="148">
        <v>0.1</v>
      </c>
      <c r="N131" s="148">
        <v>4.4000000000000004</v>
      </c>
      <c r="O131" s="148" t="s">
        <v>726</v>
      </c>
      <c r="P131" s="148">
        <v>4.3999999999999997E-2</v>
      </c>
      <c r="Q131" s="148" t="s">
        <v>1827</v>
      </c>
      <c r="R131" s="148">
        <v>2.1999999999999999E-2</v>
      </c>
      <c r="S131" s="148" t="s">
        <v>1829</v>
      </c>
      <c r="T131" s="148">
        <v>2.1999999999999999E-2</v>
      </c>
      <c r="U131" s="148" t="s">
        <v>1828</v>
      </c>
      <c r="V131" s="148">
        <v>1.6E-2</v>
      </c>
      <c r="W131" s="148" t="s">
        <v>1831</v>
      </c>
      <c r="X131" s="148">
        <v>8.0000000000000002E-3</v>
      </c>
      <c r="Y131" s="148" t="s">
        <v>1826</v>
      </c>
      <c r="Z131" s="148">
        <v>7.0000000000000001E-3</v>
      </c>
      <c r="AA131" s="148" t="s">
        <v>1873</v>
      </c>
      <c r="AB131" s="148">
        <v>5.0000000000000001E-3</v>
      </c>
      <c r="AC131" s="148" t="s">
        <v>1830</v>
      </c>
      <c r="AD131" s="148">
        <v>3.0000000000000001E-3</v>
      </c>
      <c r="AE131" s="148" t="s">
        <v>725</v>
      </c>
      <c r="AF131" s="148">
        <v>1E-3</v>
      </c>
      <c r="AG131" s="148" t="s">
        <v>1874</v>
      </c>
      <c r="AH131" s="148">
        <v>2.9999999999999997E-4</v>
      </c>
      <c r="AK131" s="1"/>
      <c r="AL131" s="1"/>
      <c r="AM131" s="1"/>
    </row>
    <row r="132" spans="4:39" ht="20.100000000000001" customHeight="1" x14ac:dyDescent="0.2">
      <c r="D132" s="148" t="s">
        <v>1855</v>
      </c>
      <c r="E132" s="148" t="s">
        <v>1875</v>
      </c>
      <c r="F132" s="148" t="s">
        <v>662</v>
      </c>
      <c r="G132" s="148">
        <v>1.23</v>
      </c>
      <c r="H132" s="148"/>
      <c r="I132" s="148"/>
      <c r="J132" s="148"/>
      <c r="K132" s="148">
        <v>9.7100000000000009</v>
      </c>
      <c r="L132" s="148"/>
      <c r="M132" s="148">
        <v>3.25</v>
      </c>
      <c r="N132" s="148">
        <v>2.11</v>
      </c>
      <c r="O132" s="148" t="s">
        <v>1779</v>
      </c>
      <c r="P132" s="148">
        <v>9.7100000000000006E-2</v>
      </c>
      <c r="Q132" s="148" t="s">
        <v>725</v>
      </c>
      <c r="R132" s="148">
        <v>3.2500000000000001E-2</v>
      </c>
      <c r="S132" s="148" t="s">
        <v>726</v>
      </c>
      <c r="T132" s="148">
        <v>2.1100000000000001E-2</v>
      </c>
      <c r="U132" s="148" t="s">
        <v>1827</v>
      </c>
      <c r="V132" s="148">
        <v>1.4999999999999999E-2</v>
      </c>
      <c r="W132" s="148" t="s">
        <v>1829</v>
      </c>
      <c r="X132" s="148">
        <v>1.11E-2</v>
      </c>
      <c r="Y132" s="148" t="s">
        <v>1828</v>
      </c>
      <c r="Z132" s="148">
        <v>1.15E-2</v>
      </c>
      <c r="AA132" s="148" t="s">
        <v>1826</v>
      </c>
      <c r="AB132" s="148">
        <v>4.4999999999999997E-3</v>
      </c>
      <c r="AC132" s="148" t="s">
        <v>1831</v>
      </c>
      <c r="AD132" s="148">
        <v>2E-3</v>
      </c>
      <c r="AE132" s="148"/>
      <c r="AF132" s="148"/>
      <c r="AG132" s="148"/>
      <c r="AH132" s="148"/>
      <c r="AK132" s="1"/>
      <c r="AL132" s="1"/>
      <c r="AM132" s="1"/>
    </row>
    <row r="133" spans="4:39" ht="20.100000000000001" customHeight="1" x14ac:dyDescent="0.2">
      <c r="D133" s="148" t="s">
        <v>1814</v>
      </c>
      <c r="E133" s="148" t="s">
        <v>1876</v>
      </c>
      <c r="F133" s="148" t="s">
        <v>757</v>
      </c>
      <c r="G133" s="148">
        <v>1</v>
      </c>
      <c r="H133" s="148"/>
      <c r="I133" s="148"/>
      <c r="J133" s="148"/>
      <c r="K133" s="148">
        <v>10</v>
      </c>
      <c r="L133" s="148">
        <v>10.9</v>
      </c>
      <c r="M133" s="148">
        <v>10</v>
      </c>
      <c r="N133" s="148">
        <v>4.34</v>
      </c>
      <c r="O133" s="148" t="s">
        <v>1765</v>
      </c>
      <c r="P133" s="148">
        <v>0.4178</v>
      </c>
      <c r="Q133" s="148" t="s">
        <v>1771</v>
      </c>
      <c r="R133" s="148">
        <v>0.17280000000000001</v>
      </c>
      <c r="S133" s="148" t="s">
        <v>1877</v>
      </c>
      <c r="T133" s="148">
        <v>0.24096400000000001</v>
      </c>
      <c r="U133" s="148" t="s">
        <v>1788</v>
      </c>
      <c r="V133" s="148">
        <v>0.1</v>
      </c>
      <c r="W133" s="148" t="s">
        <v>1826</v>
      </c>
      <c r="X133" s="148">
        <v>1.2E-2</v>
      </c>
      <c r="Y133" s="148" t="s">
        <v>1827</v>
      </c>
      <c r="Z133" s="148">
        <v>3.5999999999999999E-3</v>
      </c>
      <c r="AA133" s="148" t="s">
        <v>1831</v>
      </c>
      <c r="AB133" s="148">
        <v>1E-3</v>
      </c>
      <c r="AC133" s="148" t="s">
        <v>1878</v>
      </c>
      <c r="AD133" s="148">
        <v>5.1900000000000002E-2</v>
      </c>
      <c r="AE133" s="148"/>
      <c r="AF133" s="148"/>
      <c r="AG133" s="148"/>
      <c r="AH133" s="148"/>
      <c r="AK133" s="1"/>
      <c r="AL133" s="1"/>
      <c r="AM133" s="1"/>
    </row>
    <row r="134" spans="4:39" ht="20.100000000000001" customHeight="1" x14ac:dyDescent="0.2">
      <c r="D134" s="148" t="s">
        <v>1843</v>
      </c>
      <c r="E134" s="148" t="s">
        <v>1769</v>
      </c>
      <c r="F134" s="148" t="s">
        <v>757</v>
      </c>
      <c r="G134" s="148">
        <v>1</v>
      </c>
      <c r="H134" s="148"/>
      <c r="I134" s="148"/>
      <c r="J134" s="148"/>
      <c r="K134" s="148">
        <v>21</v>
      </c>
      <c r="L134" s="148"/>
      <c r="M134" s="148"/>
      <c r="N134" s="148">
        <v>24</v>
      </c>
      <c r="O134" s="148" t="s">
        <v>1769</v>
      </c>
      <c r="P134" s="148">
        <v>1</v>
      </c>
      <c r="Q134" s="148"/>
      <c r="R134" s="148"/>
      <c r="S134" s="148"/>
      <c r="T134" s="148"/>
      <c r="U134" s="148"/>
      <c r="V134" s="148"/>
      <c r="W134" s="148"/>
      <c r="X134" s="148"/>
      <c r="Y134" s="148"/>
      <c r="Z134" s="148"/>
      <c r="AA134" s="148"/>
      <c r="AB134" s="148"/>
      <c r="AC134" s="148"/>
      <c r="AD134" s="148"/>
      <c r="AE134" s="148"/>
      <c r="AF134" s="148"/>
      <c r="AG134" s="148"/>
      <c r="AH134" s="148"/>
      <c r="AK134" s="1"/>
      <c r="AL134" s="1"/>
      <c r="AM134" s="1"/>
    </row>
    <row r="135" spans="4:39" ht="20.100000000000001" customHeight="1" x14ac:dyDescent="0.2">
      <c r="D135" s="148" t="s">
        <v>1843</v>
      </c>
      <c r="E135" s="148" t="s">
        <v>1879</v>
      </c>
      <c r="F135" s="148" t="s">
        <v>757</v>
      </c>
      <c r="G135" s="148">
        <v>1</v>
      </c>
      <c r="H135" s="148"/>
      <c r="I135" s="148"/>
      <c r="J135" s="148"/>
      <c r="K135" s="148">
        <v>10</v>
      </c>
      <c r="L135" s="148">
        <v>21.9</v>
      </c>
      <c r="M135" s="148"/>
      <c r="N135" s="148">
        <v>1.5</v>
      </c>
      <c r="O135" s="148" t="s">
        <v>1765</v>
      </c>
      <c r="P135" s="148">
        <v>1</v>
      </c>
      <c r="Q135" s="148"/>
      <c r="R135" s="148"/>
      <c r="S135" s="148"/>
      <c r="T135" s="148"/>
      <c r="U135" s="148"/>
      <c r="V135" s="148"/>
      <c r="W135" s="148"/>
      <c r="X135" s="148"/>
      <c r="Y135" s="148"/>
      <c r="Z135" s="148"/>
      <c r="AA135" s="148"/>
      <c r="AB135" s="148"/>
      <c r="AC135" s="148"/>
      <c r="AD135" s="148"/>
      <c r="AE135" s="148"/>
      <c r="AF135" s="148"/>
      <c r="AG135" s="148"/>
      <c r="AH135" s="148"/>
      <c r="AK135" s="1"/>
      <c r="AL135" s="1"/>
      <c r="AM135" s="1"/>
    </row>
    <row r="136" spans="4:39" ht="20.100000000000001" customHeight="1" x14ac:dyDescent="0.2">
      <c r="D136" s="148" t="s">
        <v>1843</v>
      </c>
      <c r="E136" s="148" t="s">
        <v>713</v>
      </c>
      <c r="F136" s="148" t="s">
        <v>757</v>
      </c>
      <c r="G136" s="148">
        <v>1</v>
      </c>
      <c r="H136" s="148"/>
      <c r="I136" s="148"/>
      <c r="J136" s="148"/>
      <c r="K136" s="148">
        <v>46</v>
      </c>
      <c r="L136" s="148"/>
      <c r="M136" s="148"/>
      <c r="N136" s="148"/>
      <c r="O136" s="148" t="s">
        <v>713</v>
      </c>
      <c r="P136" s="148">
        <v>1</v>
      </c>
      <c r="Q136" s="148"/>
      <c r="R136" s="148"/>
      <c r="S136" s="148"/>
      <c r="T136" s="148"/>
      <c r="U136" s="148"/>
      <c r="V136" s="148"/>
      <c r="W136" s="148"/>
      <c r="X136" s="148"/>
      <c r="Y136" s="148"/>
      <c r="Z136" s="148"/>
      <c r="AA136" s="148"/>
      <c r="AB136" s="148"/>
      <c r="AC136" s="148"/>
      <c r="AD136" s="148"/>
      <c r="AE136" s="148"/>
      <c r="AF136" s="148"/>
      <c r="AG136" s="148"/>
      <c r="AH136" s="148"/>
      <c r="AK136" s="1"/>
      <c r="AL136" s="1"/>
      <c r="AM136" s="1"/>
    </row>
    <row r="137" spans="4:39" ht="20.100000000000001" customHeight="1" x14ac:dyDescent="0.2">
      <c r="D137" s="148" t="s">
        <v>1880</v>
      </c>
      <c r="E137" s="148" t="s">
        <v>1787</v>
      </c>
      <c r="F137" s="148" t="s">
        <v>757</v>
      </c>
      <c r="G137" s="148">
        <v>1</v>
      </c>
      <c r="H137" s="148"/>
      <c r="I137" s="148"/>
      <c r="J137" s="148"/>
      <c r="K137" s="148"/>
      <c r="L137" s="148"/>
      <c r="M137" s="148">
        <v>50</v>
      </c>
      <c r="N137" s="148"/>
      <c r="O137" s="148" t="s">
        <v>1787</v>
      </c>
      <c r="P137" s="148">
        <v>1</v>
      </c>
      <c r="Q137" s="148"/>
      <c r="R137" s="148"/>
      <c r="S137" s="148"/>
      <c r="T137" s="148"/>
      <c r="U137" s="148"/>
      <c r="V137" s="148"/>
      <c r="W137" s="148"/>
      <c r="X137" s="148"/>
      <c r="Y137" s="148"/>
      <c r="Z137" s="148"/>
      <c r="AA137" s="148"/>
      <c r="AB137" s="148"/>
      <c r="AC137" s="148"/>
      <c r="AD137" s="148"/>
      <c r="AE137" s="148"/>
      <c r="AF137" s="148"/>
      <c r="AG137" s="148"/>
      <c r="AH137" s="148"/>
      <c r="AK137" s="1"/>
      <c r="AL137" s="1"/>
      <c r="AM137" s="1"/>
    </row>
    <row r="138" spans="4:39" ht="20.100000000000001" customHeight="1" x14ac:dyDescent="0.2">
      <c r="D138" s="148" t="s">
        <v>1839</v>
      </c>
      <c r="E138" s="148" t="s">
        <v>1881</v>
      </c>
      <c r="F138" s="148" t="s">
        <v>662</v>
      </c>
      <c r="G138" s="148">
        <v>1.32</v>
      </c>
      <c r="H138" s="148"/>
      <c r="I138" s="148" t="s">
        <v>1794</v>
      </c>
      <c r="J138" s="148" t="s">
        <v>1794</v>
      </c>
      <c r="K138" s="148">
        <v>32</v>
      </c>
      <c r="L138" s="148"/>
      <c r="M138" s="148"/>
      <c r="N138" s="148"/>
      <c r="O138" s="148" t="s">
        <v>1770</v>
      </c>
      <c r="P138" s="148">
        <v>1</v>
      </c>
      <c r="Q138" s="148"/>
      <c r="R138" s="148"/>
      <c r="S138" s="148"/>
      <c r="T138" s="148"/>
      <c r="U138" s="148"/>
      <c r="V138" s="148"/>
      <c r="W138" s="148"/>
      <c r="X138" s="148"/>
      <c r="Y138" s="148"/>
      <c r="Z138" s="148"/>
      <c r="AA138" s="148"/>
      <c r="AB138" s="148"/>
      <c r="AC138" s="148"/>
      <c r="AD138" s="148"/>
      <c r="AE138" s="148"/>
      <c r="AF138" s="148"/>
      <c r="AG138" s="148"/>
      <c r="AH138" s="148"/>
      <c r="AK138" s="1"/>
      <c r="AL138" s="1"/>
      <c r="AM138" s="1"/>
    </row>
    <row r="139" spans="4:39" ht="20.100000000000001" customHeight="1" x14ac:dyDescent="0.2">
      <c r="D139" s="148" t="s">
        <v>1839</v>
      </c>
      <c r="E139" s="148" t="s">
        <v>1882</v>
      </c>
      <c r="F139" s="148" t="s">
        <v>757</v>
      </c>
      <c r="G139" s="148">
        <v>1</v>
      </c>
      <c r="H139" s="148"/>
      <c r="I139" s="148" t="s">
        <v>1794</v>
      </c>
      <c r="J139" s="148"/>
      <c r="K139" s="148">
        <v>46</v>
      </c>
      <c r="L139" s="148"/>
      <c r="M139" s="148"/>
      <c r="N139" s="148"/>
      <c r="O139" s="148" t="s">
        <v>713</v>
      </c>
      <c r="P139" s="148">
        <v>1</v>
      </c>
      <c r="Q139" s="148" t="s">
        <v>1883</v>
      </c>
      <c r="R139" s="148">
        <v>0</v>
      </c>
      <c r="S139" s="148"/>
      <c r="T139" s="148"/>
      <c r="U139" s="148"/>
      <c r="V139" s="148"/>
      <c r="W139" s="148"/>
      <c r="X139" s="148"/>
      <c r="Y139" s="148"/>
      <c r="Z139" s="148"/>
      <c r="AA139" s="148"/>
      <c r="AB139" s="148"/>
      <c r="AC139" s="148"/>
      <c r="AD139" s="148"/>
      <c r="AE139" s="148"/>
      <c r="AF139" s="148"/>
      <c r="AG139" s="148"/>
      <c r="AH139" s="148"/>
      <c r="AK139" s="1"/>
      <c r="AL139" s="1"/>
      <c r="AM139" s="1"/>
    </row>
    <row r="140" spans="4:39" ht="20.100000000000001" customHeight="1" x14ac:dyDescent="0.2">
      <c r="D140" s="148" t="s">
        <v>1884</v>
      </c>
      <c r="E140" s="148" t="s">
        <v>1885</v>
      </c>
      <c r="F140" s="148" t="s">
        <v>757</v>
      </c>
      <c r="G140" s="148">
        <v>1</v>
      </c>
      <c r="H140" s="148"/>
      <c r="I140" s="148"/>
      <c r="J140" s="148"/>
      <c r="K140" s="148">
        <v>15.5</v>
      </c>
      <c r="L140" s="148"/>
      <c r="M140" s="148"/>
      <c r="N140" s="148"/>
      <c r="O140" s="148" t="s">
        <v>723</v>
      </c>
      <c r="P140" s="148">
        <v>1</v>
      </c>
      <c r="Q140" s="148"/>
      <c r="R140" s="148"/>
      <c r="S140" s="148"/>
      <c r="T140" s="148"/>
      <c r="U140" s="148"/>
      <c r="V140" s="148"/>
      <c r="W140" s="148"/>
      <c r="X140" s="148"/>
      <c r="Y140" s="148"/>
      <c r="Z140" s="148"/>
      <c r="AA140" s="148"/>
      <c r="AB140" s="148"/>
      <c r="AC140" s="148"/>
      <c r="AD140" s="148"/>
      <c r="AE140" s="148"/>
      <c r="AF140" s="148"/>
      <c r="AG140" s="148"/>
      <c r="AH140" s="148"/>
      <c r="AK140" s="1"/>
      <c r="AL140" s="1"/>
      <c r="AM140" s="1"/>
    </row>
    <row r="141" spans="4:39" ht="20.100000000000001" customHeight="1" x14ac:dyDescent="0.2">
      <c r="D141" s="148" t="s">
        <v>1884</v>
      </c>
      <c r="E141" s="148" t="s">
        <v>1886</v>
      </c>
      <c r="F141" s="148" t="s">
        <v>757</v>
      </c>
      <c r="G141" s="148">
        <v>1</v>
      </c>
      <c r="H141" s="148"/>
      <c r="I141" s="148"/>
      <c r="J141" s="148"/>
      <c r="K141" s="148">
        <v>15.4</v>
      </c>
      <c r="L141" s="148"/>
      <c r="M141" s="148"/>
      <c r="N141" s="148"/>
      <c r="O141" s="148" t="s">
        <v>723</v>
      </c>
      <c r="P141" s="148">
        <v>0.99354799999999999</v>
      </c>
      <c r="Q141" s="148" t="s">
        <v>1831</v>
      </c>
      <c r="R141" s="148">
        <v>3.0000000000000001E-3</v>
      </c>
      <c r="S141" s="148"/>
      <c r="T141" s="148"/>
      <c r="U141" s="148"/>
      <c r="V141" s="148"/>
      <c r="W141" s="148"/>
      <c r="X141" s="148"/>
      <c r="Y141" s="148"/>
      <c r="Z141" s="148"/>
      <c r="AA141" s="148"/>
      <c r="AB141" s="148"/>
      <c r="AC141" s="148"/>
      <c r="AD141" s="148"/>
      <c r="AE141" s="148"/>
      <c r="AF141" s="148"/>
      <c r="AG141" s="148"/>
      <c r="AH141" s="148"/>
      <c r="AK141" s="1"/>
      <c r="AL141" s="1"/>
      <c r="AM141" s="1"/>
    </row>
    <row r="142" spans="4:39" ht="20.100000000000001" customHeight="1" x14ac:dyDescent="0.2">
      <c r="D142" s="148" t="s">
        <v>1884</v>
      </c>
      <c r="E142" s="148" t="s">
        <v>1887</v>
      </c>
      <c r="F142" s="148" t="s">
        <v>757</v>
      </c>
      <c r="G142" s="148">
        <v>1</v>
      </c>
      <c r="H142" s="148"/>
      <c r="I142" s="148"/>
      <c r="J142" s="148"/>
      <c r="K142" s="148">
        <v>12</v>
      </c>
      <c r="L142" s="148">
        <v>5</v>
      </c>
      <c r="M142" s="148">
        <v>15</v>
      </c>
      <c r="N142" s="148">
        <v>8</v>
      </c>
      <c r="O142" s="148" t="s">
        <v>1776</v>
      </c>
      <c r="P142" s="148">
        <v>0.05</v>
      </c>
      <c r="Q142" s="148" t="s">
        <v>1774</v>
      </c>
      <c r="R142" s="148">
        <v>7.0000000000000007E-2</v>
      </c>
      <c r="S142" s="148" t="s">
        <v>1781</v>
      </c>
      <c r="T142" s="148">
        <v>0.05</v>
      </c>
      <c r="U142" s="148" t="s">
        <v>725</v>
      </c>
      <c r="V142" s="148">
        <v>0.15</v>
      </c>
      <c r="W142" s="148" t="s">
        <v>726</v>
      </c>
      <c r="X142" s="148">
        <v>0.08</v>
      </c>
      <c r="Y142" s="148" t="s">
        <v>1826</v>
      </c>
      <c r="Z142" s="148">
        <v>1.6E-2</v>
      </c>
      <c r="AA142" s="148" t="s">
        <v>1827</v>
      </c>
      <c r="AB142" s="148">
        <v>2.0000000000000001E-4</v>
      </c>
      <c r="AC142" s="148" t="s">
        <v>1831</v>
      </c>
      <c r="AD142" s="148">
        <v>1.4999999999999999E-4</v>
      </c>
      <c r="AE142" s="148"/>
      <c r="AF142" s="148"/>
      <c r="AG142" s="148"/>
      <c r="AH142" s="148"/>
      <c r="AK142" s="1"/>
      <c r="AL142" s="1"/>
      <c r="AM142" s="1"/>
    </row>
    <row r="143" spans="4:39" ht="20.100000000000001" customHeight="1" x14ac:dyDescent="0.2">
      <c r="D143" s="148" t="s">
        <v>1884</v>
      </c>
      <c r="E143" s="148" t="s">
        <v>1888</v>
      </c>
      <c r="F143" s="148" t="s">
        <v>757</v>
      </c>
      <c r="G143" s="148">
        <v>1</v>
      </c>
      <c r="H143" s="148"/>
      <c r="I143" s="148"/>
      <c r="J143" s="148"/>
      <c r="K143" s="148">
        <v>9</v>
      </c>
      <c r="L143" s="148"/>
      <c r="M143" s="148">
        <v>30</v>
      </c>
      <c r="N143" s="148">
        <v>14</v>
      </c>
      <c r="O143" s="148" t="s">
        <v>725</v>
      </c>
      <c r="P143" s="148">
        <v>0.3</v>
      </c>
      <c r="Q143" s="148" t="s">
        <v>726</v>
      </c>
      <c r="R143" s="148">
        <v>0.14000000000000001</v>
      </c>
      <c r="S143" s="148" t="s">
        <v>1776</v>
      </c>
      <c r="T143" s="148">
        <v>4.4999999999999998E-2</v>
      </c>
      <c r="U143" s="148" t="s">
        <v>1774</v>
      </c>
      <c r="V143" s="148">
        <v>4.4999999999999998E-2</v>
      </c>
      <c r="W143" s="148"/>
      <c r="X143" s="148"/>
      <c r="Y143" s="148"/>
      <c r="Z143" s="148"/>
      <c r="AA143" s="148"/>
      <c r="AB143" s="148"/>
      <c r="AC143" s="148"/>
      <c r="AD143" s="148"/>
      <c r="AE143" s="148"/>
      <c r="AF143" s="148"/>
      <c r="AG143" s="148"/>
      <c r="AH143" s="148"/>
      <c r="AK143" s="1"/>
      <c r="AL143" s="1"/>
      <c r="AM143" s="1"/>
    </row>
    <row r="144" spans="4:39" ht="20.100000000000001" customHeight="1" x14ac:dyDescent="0.2">
      <c r="D144" s="148" t="s">
        <v>1884</v>
      </c>
      <c r="E144" s="148" t="s">
        <v>1889</v>
      </c>
      <c r="F144" s="148" t="s">
        <v>757</v>
      </c>
      <c r="G144" s="148">
        <v>1</v>
      </c>
      <c r="H144" s="148"/>
      <c r="I144" s="148"/>
      <c r="J144" s="148"/>
      <c r="K144" s="148">
        <v>13</v>
      </c>
      <c r="L144" s="148">
        <v>1.75</v>
      </c>
      <c r="M144" s="148">
        <v>21</v>
      </c>
      <c r="N144" s="148">
        <v>10.8</v>
      </c>
      <c r="O144" s="148" t="s">
        <v>725</v>
      </c>
      <c r="P144" s="148">
        <v>0.21</v>
      </c>
      <c r="Q144" s="148" t="s">
        <v>726</v>
      </c>
      <c r="R144" s="148">
        <v>0.108</v>
      </c>
      <c r="S144" s="148" t="s">
        <v>1774</v>
      </c>
      <c r="T144" s="148">
        <v>7.6999999999999999E-2</v>
      </c>
      <c r="U144" s="148" t="s">
        <v>1776</v>
      </c>
      <c r="V144" s="148">
        <v>5.2999999999999999E-2</v>
      </c>
      <c r="W144" s="148" t="s">
        <v>1781</v>
      </c>
      <c r="X144" s="148">
        <v>1.7500000000000002E-2</v>
      </c>
      <c r="Y144" s="148" t="s">
        <v>1826</v>
      </c>
      <c r="Z144" s="148">
        <v>4.0000000000000001E-3</v>
      </c>
      <c r="AA144" s="148" t="s">
        <v>1827</v>
      </c>
      <c r="AB144" s="148">
        <v>8.0000000000000004E-4</v>
      </c>
      <c r="AC144" s="148" t="s">
        <v>1831</v>
      </c>
      <c r="AD144" s="148">
        <v>8.0000000000000004E-4</v>
      </c>
      <c r="AE144" s="148"/>
      <c r="AF144" s="148"/>
      <c r="AG144" s="148"/>
      <c r="AH144" s="148"/>
      <c r="AK144" s="1"/>
      <c r="AL144" s="1"/>
      <c r="AM144" s="1"/>
    </row>
    <row r="145" spans="1:39" ht="20.100000000000001" customHeight="1" x14ac:dyDescent="0.2">
      <c r="D145" s="148" t="s">
        <v>1884</v>
      </c>
      <c r="E145" s="148" t="s">
        <v>1890</v>
      </c>
      <c r="F145" s="148" t="s">
        <v>757</v>
      </c>
      <c r="G145" s="148">
        <v>1</v>
      </c>
      <c r="H145" s="148"/>
      <c r="I145" s="148"/>
      <c r="J145" s="148"/>
      <c r="K145" s="148">
        <v>15</v>
      </c>
      <c r="L145" s="148">
        <v>6.5</v>
      </c>
      <c r="M145" s="148">
        <v>12.5</v>
      </c>
      <c r="N145" s="148">
        <v>7.2</v>
      </c>
      <c r="O145" s="148" t="s">
        <v>1776</v>
      </c>
      <c r="P145" s="148">
        <v>9.5000000000000001E-2</v>
      </c>
      <c r="Q145" s="148" t="s">
        <v>725</v>
      </c>
      <c r="R145" s="148">
        <v>0.125</v>
      </c>
      <c r="S145" s="148" t="s">
        <v>726</v>
      </c>
      <c r="T145" s="148">
        <v>7.1999999999999995E-2</v>
      </c>
      <c r="U145" s="148" t="s">
        <v>1781</v>
      </c>
      <c r="V145" s="148">
        <v>6.5000000000000002E-2</v>
      </c>
      <c r="W145" s="148" t="s">
        <v>1774</v>
      </c>
      <c r="X145" s="148">
        <v>5.5E-2</v>
      </c>
      <c r="Y145" s="148" t="s">
        <v>1826</v>
      </c>
      <c r="Z145" s="148">
        <v>6.6E-3</v>
      </c>
      <c r="AA145" s="148" t="s">
        <v>1831</v>
      </c>
      <c r="AB145" s="148">
        <v>1E-3</v>
      </c>
      <c r="AC145" s="148" t="s">
        <v>1827</v>
      </c>
      <c r="AD145" s="148">
        <v>5.9999999999999995E-4</v>
      </c>
      <c r="AE145" s="148"/>
      <c r="AF145" s="148"/>
      <c r="AG145" s="148"/>
      <c r="AH145" s="148"/>
      <c r="AK145" s="1"/>
      <c r="AL145" s="1"/>
      <c r="AM145" s="1"/>
    </row>
    <row r="146" spans="1:39" ht="20.100000000000001" customHeight="1" x14ac:dyDescent="0.2">
      <c r="D146" s="148" t="s">
        <v>1884</v>
      </c>
      <c r="E146" s="148" t="s">
        <v>1891</v>
      </c>
      <c r="F146" s="148" t="s">
        <v>757</v>
      </c>
      <c r="G146" s="148">
        <v>1</v>
      </c>
      <c r="H146" s="148"/>
      <c r="I146" s="148"/>
      <c r="J146" s="148"/>
      <c r="K146" s="148">
        <v>15.5</v>
      </c>
      <c r="L146" s="148"/>
      <c r="M146" s="148"/>
      <c r="N146" s="148"/>
      <c r="O146" s="148" t="s">
        <v>723</v>
      </c>
      <c r="P146" s="148">
        <v>1</v>
      </c>
      <c r="Q146" s="148" t="s">
        <v>1831</v>
      </c>
      <c r="R146" s="148">
        <v>1E-3</v>
      </c>
      <c r="S146" s="148"/>
      <c r="T146" s="148"/>
      <c r="U146" s="148"/>
      <c r="V146" s="148"/>
      <c r="W146" s="148"/>
      <c r="X146" s="148"/>
      <c r="Y146" s="148"/>
      <c r="Z146" s="148"/>
      <c r="AA146" s="148"/>
      <c r="AB146" s="148"/>
      <c r="AC146" s="148"/>
      <c r="AD146" s="148"/>
      <c r="AE146" s="148"/>
      <c r="AF146" s="148"/>
      <c r="AG146" s="148"/>
      <c r="AH146" s="148"/>
      <c r="AK146" s="1"/>
      <c r="AL146" s="1"/>
      <c r="AM146" s="1"/>
    </row>
    <row r="147" spans="1:39" ht="20.100000000000001" customHeight="1" x14ac:dyDescent="0.2">
      <c r="D147" s="148" t="s">
        <v>1884</v>
      </c>
      <c r="E147" s="148" t="s">
        <v>1892</v>
      </c>
      <c r="F147" s="148" t="s">
        <v>757</v>
      </c>
      <c r="G147" s="148">
        <v>1</v>
      </c>
      <c r="H147" s="148"/>
      <c r="I147" s="148"/>
      <c r="J147" s="148"/>
      <c r="K147" s="148">
        <v>10</v>
      </c>
      <c r="L147" s="148">
        <v>21.9</v>
      </c>
      <c r="M147" s="148"/>
      <c r="N147" s="148"/>
      <c r="O147" s="148" t="s">
        <v>1765</v>
      </c>
      <c r="P147" s="148">
        <v>1</v>
      </c>
      <c r="Q147" s="148"/>
      <c r="R147" s="148"/>
      <c r="S147" s="148"/>
      <c r="T147" s="148"/>
      <c r="U147" s="148"/>
      <c r="V147" s="148"/>
      <c r="W147" s="148"/>
      <c r="X147" s="148"/>
      <c r="Y147" s="148"/>
      <c r="Z147" s="148"/>
      <c r="AA147" s="148"/>
      <c r="AB147" s="148"/>
      <c r="AC147" s="148"/>
      <c r="AD147" s="148"/>
      <c r="AE147" s="148"/>
      <c r="AF147" s="148"/>
      <c r="AG147" s="148"/>
      <c r="AH147" s="148"/>
      <c r="AK147" s="1"/>
      <c r="AL147" s="1"/>
      <c r="AM147" s="1"/>
    </row>
    <row r="148" spans="1:39" ht="20.100000000000001" customHeight="1" x14ac:dyDescent="0.2">
      <c r="D148" s="148" t="s">
        <v>1884</v>
      </c>
      <c r="E148" s="148" t="s">
        <v>1893</v>
      </c>
      <c r="F148" s="148" t="s">
        <v>757</v>
      </c>
      <c r="G148" s="148">
        <v>1</v>
      </c>
      <c r="H148" s="148"/>
      <c r="I148" s="148"/>
      <c r="J148" s="148"/>
      <c r="K148" s="148">
        <v>12</v>
      </c>
      <c r="L148" s="148">
        <v>5.2</v>
      </c>
      <c r="M148" s="148">
        <v>29.9</v>
      </c>
      <c r="N148" s="148">
        <v>1</v>
      </c>
      <c r="O148" s="148" t="s">
        <v>725</v>
      </c>
      <c r="P148" s="148">
        <v>0.29899999999999999</v>
      </c>
      <c r="Q148" s="148" t="s">
        <v>1776</v>
      </c>
      <c r="R148" s="148">
        <v>0.10100000000000001</v>
      </c>
      <c r="S148" s="148" t="s">
        <v>1781</v>
      </c>
      <c r="T148" s="148">
        <v>5.1999999999999998E-2</v>
      </c>
      <c r="U148" s="148" t="s">
        <v>1774</v>
      </c>
      <c r="V148" s="148">
        <v>1.9E-2</v>
      </c>
      <c r="W148" s="148" t="s">
        <v>726</v>
      </c>
      <c r="X148" s="148">
        <v>0.01</v>
      </c>
      <c r="Y148" s="148" t="s">
        <v>1826</v>
      </c>
      <c r="Z148" s="148">
        <v>6.0000000000000001E-3</v>
      </c>
      <c r="AA148" s="148" t="s">
        <v>1829</v>
      </c>
      <c r="AB148" s="148">
        <v>6.9999999999999999E-4</v>
      </c>
      <c r="AC148" s="148" t="s">
        <v>1828</v>
      </c>
      <c r="AD148" s="148">
        <v>4.0000000000000002E-4</v>
      </c>
      <c r="AE148" s="148" t="s">
        <v>1827</v>
      </c>
      <c r="AF148" s="148">
        <v>2.5000000000000001E-4</v>
      </c>
      <c r="AG148" s="148" t="s">
        <v>1831</v>
      </c>
      <c r="AH148" s="148">
        <v>2.5000000000000001E-4</v>
      </c>
      <c r="AK148" s="1"/>
      <c r="AL148" s="1"/>
      <c r="AM148" s="1"/>
    </row>
    <row r="149" spans="1:39" ht="20.100000000000001" customHeight="1" x14ac:dyDescent="0.2">
      <c r="D149" s="148" t="s">
        <v>1884</v>
      </c>
      <c r="E149" s="148" t="s">
        <v>1894</v>
      </c>
      <c r="F149" s="148" t="s">
        <v>757</v>
      </c>
      <c r="G149" s="148">
        <v>1</v>
      </c>
      <c r="H149" s="148"/>
      <c r="I149" s="148"/>
      <c r="J149" s="148"/>
      <c r="K149" s="148">
        <v>18</v>
      </c>
      <c r="L149" s="148">
        <v>7.9</v>
      </c>
      <c r="M149" s="148">
        <v>14.9</v>
      </c>
      <c r="N149" s="148">
        <v>2</v>
      </c>
      <c r="O149" s="148" t="s">
        <v>725</v>
      </c>
      <c r="P149" s="148">
        <v>0.14899999999999999</v>
      </c>
      <c r="Q149" s="148" t="s">
        <v>713</v>
      </c>
      <c r="R149" s="148">
        <v>0.21304300000000001</v>
      </c>
      <c r="S149" s="148" t="s">
        <v>1781</v>
      </c>
      <c r="T149" s="148">
        <v>7.9000000000000001E-2</v>
      </c>
      <c r="U149" s="148" t="s">
        <v>1776</v>
      </c>
      <c r="V149" s="148">
        <v>4.9000000000000002E-2</v>
      </c>
      <c r="W149" s="148" t="s">
        <v>1774</v>
      </c>
      <c r="X149" s="148">
        <v>3.3000000000000002E-2</v>
      </c>
      <c r="Y149" s="148" t="s">
        <v>726</v>
      </c>
      <c r="Z149" s="148">
        <v>0.02</v>
      </c>
      <c r="AA149" s="148" t="s">
        <v>1826</v>
      </c>
      <c r="AB149" s="148">
        <v>1.7999999999999999E-2</v>
      </c>
      <c r="AC149" s="148" t="s">
        <v>1829</v>
      </c>
      <c r="AD149" s="148">
        <v>6.9999999999999999E-4</v>
      </c>
      <c r="AE149" s="148" t="s">
        <v>1828</v>
      </c>
      <c r="AF149" s="148">
        <v>4.0000000000000002E-4</v>
      </c>
      <c r="AG149" s="148" t="s">
        <v>1827</v>
      </c>
      <c r="AH149" s="148">
        <v>2.5000000000000001E-4</v>
      </c>
      <c r="AK149" s="1"/>
      <c r="AL149" s="1"/>
      <c r="AM149" s="1"/>
    </row>
    <row r="150" spans="1:39" ht="20.100000000000001" customHeight="1" x14ac:dyDescent="0.2">
      <c r="D150" s="148" t="s">
        <v>1884</v>
      </c>
      <c r="E150" s="148" t="s">
        <v>1895</v>
      </c>
      <c r="F150" s="148" t="s">
        <v>757</v>
      </c>
      <c r="G150" s="148">
        <v>1</v>
      </c>
      <c r="H150" s="148"/>
      <c r="I150" s="148"/>
      <c r="J150" s="148"/>
      <c r="K150" s="148">
        <v>21</v>
      </c>
      <c r="L150" s="148">
        <v>7.4</v>
      </c>
      <c r="M150" s="148">
        <v>2.5</v>
      </c>
      <c r="N150" s="148">
        <v>4</v>
      </c>
      <c r="O150" s="148" t="s">
        <v>1776</v>
      </c>
      <c r="P150" s="148">
        <v>0.105</v>
      </c>
      <c r="Q150" s="148" t="s">
        <v>1774</v>
      </c>
      <c r="R150" s="148">
        <v>0.105</v>
      </c>
      <c r="S150" s="148" t="s">
        <v>1781</v>
      </c>
      <c r="T150" s="148">
        <v>7.3999999999999996E-2</v>
      </c>
      <c r="U150" s="148" t="s">
        <v>726</v>
      </c>
      <c r="V150" s="148">
        <v>0.04</v>
      </c>
      <c r="W150" s="148" t="s">
        <v>725</v>
      </c>
      <c r="X150" s="148">
        <v>2.5000000000000001E-2</v>
      </c>
      <c r="Y150" s="148" t="s">
        <v>1826</v>
      </c>
      <c r="Z150" s="148">
        <v>4.0000000000000001E-3</v>
      </c>
      <c r="AA150" s="148" t="s">
        <v>1827</v>
      </c>
      <c r="AB150" s="148">
        <v>1.5E-3</v>
      </c>
      <c r="AC150" s="148"/>
      <c r="AD150" s="148"/>
      <c r="AE150" s="148"/>
      <c r="AF150" s="148"/>
      <c r="AG150" s="148"/>
      <c r="AH150" s="148"/>
      <c r="AK150" s="1"/>
      <c r="AL150" s="1"/>
      <c r="AM150" s="1"/>
    </row>
    <row r="151" spans="1:39" ht="20.100000000000001" customHeight="1" x14ac:dyDescent="0.2">
      <c r="D151" s="148" t="s">
        <v>1884</v>
      </c>
      <c r="E151" s="148" t="s">
        <v>1896</v>
      </c>
      <c r="F151" s="148" t="s">
        <v>757</v>
      </c>
      <c r="G151" s="148">
        <v>1</v>
      </c>
      <c r="H151" s="148"/>
      <c r="I151" s="148"/>
      <c r="J151" s="148"/>
      <c r="K151" s="148">
        <v>7.5</v>
      </c>
      <c r="L151" s="148"/>
      <c r="M151" s="148">
        <v>29.9</v>
      </c>
      <c r="N151" s="148">
        <v>4</v>
      </c>
      <c r="O151" s="148" t="s">
        <v>725</v>
      </c>
      <c r="P151" s="148">
        <v>0.29899999999999999</v>
      </c>
      <c r="Q151" s="148" t="s">
        <v>1776</v>
      </c>
      <c r="R151" s="148">
        <v>5.1999999999999998E-2</v>
      </c>
      <c r="S151" s="148" t="s">
        <v>726</v>
      </c>
      <c r="T151" s="148">
        <v>0.04</v>
      </c>
      <c r="U151" s="148" t="s">
        <v>1826</v>
      </c>
      <c r="V151" s="148">
        <v>2.7E-2</v>
      </c>
      <c r="W151" s="148" t="s">
        <v>1774</v>
      </c>
      <c r="X151" s="148">
        <v>2.3E-2</v>
      </c>
      <c r="Y151" s="148"/>
      <c r="Z151" s="148"/>
      <c r="AA151" s="148"/>
      <c r="AB151" s="148"/>
      <c r="AC151" s="148"/>
      <c r="AD151" s="148"/>
      <c r="AE151" s="148"/>
      <c r="AF151" s="148"/>
      <c r="AG151" s="148"/>
      <c r="AH151" s="148"/>
      <c r="AK151" s="1"/>
      <c r="AL151" s="1"/>
      <c r="AM151" s="1"/>
    </row>
    <row r="152" spans="1:39" ht="20.100000000000001" customHeight="1" x14ac:dyDescent="0.2">
      <c r="D152" s="148" t="s">
        <v>1814</v>
      </c>
      <c r="E152" s="148" t="s">
        <v>1897</v>
      </c>
      <c r="F152" s="148" t="s">
        <v>757</v>
      </c>
      <c r="G152" s="148">
        <v>1</v>
      </c>
      <c r="H152" s="148"/>
      <c r="I152" s="148"/>
      <c r="J152" s="148"/>
      <c r="K152" s="148">
        <v>10</v>
      </c>
      <c r="L152" s="148">
        <v>21.9</v>
      </c>
      <c r="M152" s="148"/>
      <c r="N152" s="148"/>
      <c r="O152" s="148" t="s">
        <v>1765</v>
      </c>
      <c r="P152" s="148">
        <v>1</v>
      </c>
      <c r="Q152" s="148"/>
      <c r="R152" s="148"/>
      <c r="S152" s="148"/>
      <c r="T152" s="148"/>
      <c r="U152" s="148"/>
      <c r="V152" s="148"/>
      <c r="W152" s="148"/>
      <c r="X152" s="148"/>
      <c r="Y152" s="148"/>
      <c r="Z152" s="148"/>
      <c r="AA152" s="148"/>
      <c r="AB152" s="148"/>
      <c r="AC152" s="148"/>
      <c r="AD152" s="148"/>
      <c r="AE152" s="148"/>
      <c r="AF152" s="148"/>
      <c r="AG152" s="148"/>
      <c r="AH152" s="148"/>
      <c r="AK152" s="1"/>
      <c r="AL152" s="1"/>
      <c r="AM152" s="1"/>
    </row>
    <row r="153" spans="1:39" ht="20.100000000000001" customHeight="1" x14ac:dyDescent="0.2">
      <c r="D153" s="148" t="s">
        <v>1814</v>
      </c>
      <c r="E153" s="148" t="s">
        <v>1898</v>
      </c>
      <c r="F153" s="148" t="s">
        <v>757</v>
      </c>
      <c r="G153" s="148">
        <v>1</v>
      </c>
      <c r="H153" s="148"/>
      <c r="I153" s="148"/>
      <c r="J153" s="148"/>
      <c r="K153" s="148">
        <v>21</v>
      </c>
      <c r="L153" s="148"/>
      <c r="M153" s="148"/>
      <c r="N153" s="148">
        <v>24</v>
      </c>
      <c r="O153" s="148" t="s">
        <v>1769</v>
      </c>
      <c r="P153" s="148">
        <v>1</v>
      </c>
      <c r="Q153" s="148"/>
      <c r="R153" s="148"/>
      <c r="S153" s="148"/>
      <c r="T153" s="148"/>
      <c r="U153" s="148"/>
      <c r="V153" s="148"/>
      <c r="W153" s="148"/>
      <c r="X153" s="148"/>
      <c r="Y153" s="148"/>
      <c r="Z153" s="148"/>
      <c r="AA153" s="148"/>
      <c r="AB153" s="148"/>
      <c r="AC153" s="148"/>
      <c r="AD153" s="148"/>
      <c r="AE153" s="148"/>
      <c r="AF153" s="148"/>
      <c r="AG153" s="148"/>
      <c r="AH153" s="148"/>
      <c r="AK153" s="1"/>
      <c r="AL153" s="1"/>
      <c r="AM153" s="1"/>
    </row>
    <row r="154" spans="1:39" ht="20.100000000000001" customHeight="1" x14ac:dyDescent="0.2">
      <c r="D154" s="148" t="s">
        <v>1814</v>
      </c>
      <c r="E154" s="148" t="s">
        <v>1899</v>
      </c>
      <c r="F154" s="148" t="s">
        <v>757</v>
      </c>
      <c r="G154" s="148">
        <v>1</v>
      </c>
      <c r="H154" s="148"/>
      <c r="I154" s="148"/>
      <c r="J154" s="148"/>
      <c r="K154" s="148">
        <v>12</v>
      </c>
      <c r="L154" s="148">
        <v>5</v>
      </c>
      <c r="M154" s="148">
        <v>14</v>
      </c>
      <c r="N154" s="148">
        <v>9.6999999999999993</v>
      </c>
      <c r="O154" s="148" t="s">
        <v>725</v>
      </c>
      <c r="P154" s="148">
        <v>0.14000000000000001</v>
      </c>
      <c r="Q154" s="148" t="s">
        <v>726</v>
      </c>
      <c r="R154" s="148">
        <v>9.7000000000000003E-2</v>
      </c>
      <c r="S154" s="148" t="s">
        <v>1776</v>
      </c>
      <c r="T154" s="148">
        <v>0.06</v>
      </c>
      <c r="U154" s="148" t="s">
        <v>1774</v>
      </c>
      <c r="V154" s="148">
        <v>0.06</v>
      </c>
      <c r="W154" s="148" t="s">
        <v>1781</v>
      </c>
      <c r="X154" s="148">
        <v>0.05</v>
      </c>
      <c r="Y154" s="148" t="s">
        <v>1819</v>
      </c>
      <c r="Z154" s="148">
        <v>3.1E-2</v>
      </c>
      <c r="AA154" s="148" t="s">
        <v>1826</v>
      </c>
      <c r="AB154" s="148">
        <v>1.2E-2</v>
      </c>
      <c r="AC154" s="148" t="s">
        <v>1827</v>
      </c>
      <c r="AD154" s="148">
        <v>1E-3</v>
      </c>
      <c r="AE154" s="148" t="s">
        <v>1831</v>
      </c>
      <c r="AF154" s="148">
        <v>2.0000000000000001E-4</v>
      </c>
      <c r="AG154" s="148"/>
      <c r="AH154" s="148"/>
      <c r="AK154" s="1"/>
    </row>
    <row r="155" spans="1:39" ht="20.100000000000001" customHeight="1" x14ac:dyDescent="0.2">
      <c r="D155" s="148" t="s">
        <v>1814</v>
      </c>
      <c r="E155" s="148" t="s">
        <v>1900</v>
      </c>
      <c r="F155" s="148" t="s">
        <v>757</v>
      </c>
      <c r="G155" s="148">
        <v>1</v>
      </c>
      <c r="H155" s="148"/>
      <c r="I155" s="148"/>
      <c r="J155" s="148"/>
      <c r="K155" s="148">
        <v>10</v>
      </c>
      <c r="L155" s="148">
        <v>11</v>
      </c>
      <c r="M155" s="148">
        <v>10</v>
      </c>
      <c r="N155" s="148">
        <v>6</v>
      </c>
      <c r="O155" s="148" t="s">
        <v>1781</v>
      </c>
      <c r="P155" s="148">
        <v>0.11</v>
      </c>
      <c r="Q155" s="148" t="s">
        <v>725</v>
      </c>
      <c r="R155" s="148">
        <v>0.1</v>
      </c>
      <c r="S155" s="148" t="s">
        <v>726</v>
      </c>
      <c r="T155" s="148">
        <v>0.06</v>
      </c>
      <c r="U155" s="148" t="s">
        <v>1776</v>
      </c>
      <c r="V155" s="148">
        <v>0.05</v>
      </c>
      <c r="W155" s="148" t="s">
        <v>1774</v>
      </c>
      <c r="X155" s="148">
        <v>0.05</v>
      </c>
      <c r="Y155" s="148" t="s">
        <v>1819</v>
      </c>
      <c r="Z155" s="148">
        <v>4.2999999999999997E-2</v>
      </c>
      <c r="AA155" s="148" t="s">
        <v>1826</v>
      </c>
      <c r="AB155" s="148">
        <v>1.2E-2</v>
      </c>
      <c r="AC155" s="148" t="s">
        <v>1827</v>
      </c>
      <c r="AD155" s="148">
        <v>3.5999999999999999E-3</v>
      </c>
      <c r="AE155" s="148" t="s">
        <v>1831</v>
      </c>
      <c r="AF155" s="148">
        <v>1E-3</v>
      </c>
      <c r="AG155" s="148"/>
      <c r="AH155" s="148"/>
      <c r="AK155" s="1"/>
    </row>
    <row r="156" spans="1:39" ht="20.100000000000001" customHeight="1" x14ac:dyDescent="0.2">
      <c r="D156" s="148" t="s">
        <v>1814</v>
      </c>
      <c r="E156" s="148" t="s">
        <v>1901</v>
      </c>
      <c r="F156" s="148" t="s">
        <v>757</v>
      </c>
      <c r="G156" s="148">
        <v>1</v>
      </c>
      <c r="H156" s="148"/>
      <c r="I156" s="148"/>
      <c r="J156" s="148"/>
      <c r="K156" s="148">
        <v>11</v>
      </c>
      <c r="L156" s="148">
        <v>2.6</v>
      </c>
      <c r="M156" s="148">
        <v>20.8</v>
      </c>
      <c r="N156" s="148">
        <v>4</v>
      </c>
      <c r="O156" s="148" t="s">
        <v>1776</v>
      </c>
      <c r="P156" s="148">
        <v>5.5E-2</v>
      </c>
      <c r="Q156" s="148" t="s">
        <v>1774</v>
      </c>
      <c r="R156" s="148">
        <v>5.5E-2</v>
      </c>
      <c r="S156" s="148" t="s">
        <v>1781</v>
      </c>
      <c r="T156" s="148">
        <v>2.5999999999999999E-2</v>
      </c>
      <c r="U156" s="148" t="s">
        <v>725</v>
      </c>
      <c r="V156" s="148">
        <v>0.20799999999999999</v>
      </c>
      <c r="W156" s="148" t="s">
        <v>726</v>
      </c>
      <c r="X156" s="148">
        <v>0.04</v>
      </c>
      <c r="Y156" s="148" t="s">
        <v>1826</v>
      </c>
      <c r="Z156" s="148">
        <v>2.4E-2</v>
      </c>
      <c r="AA156" s="148"/>
      <c r="AB156" s="148"/>
      <c r="AC156" s="148"/>
      <c r="AD156" s="148"/>
      <c r="AE156" s="148"/>
      <c r="AF156" s="148"/>
      <c r="AG156" s="148"/>
      <c r="AH156" s="148"/>
      <c r="AK156" s="1"/>
    </row>
    <row r="157" spans="1:39" ht="20.100000000000001" customHeight="1" x14ac:dyDescent="0.2">
      <c r="D157" s="148" t="s">
        <v>1814</v>
      </c>
      <c r="E157" s="148" t="s">
        <v>1902</v>
      </c>
      <c r="F157" s="148" t="s">
        <v>757</v>
      </c>
      <c r="G157" s="148">
        <v>1</v>
      </c>
      <c r="H157" s="148"/>
      <c r="I157" s="148"/>
      <c r="J157" s="148"/>
      <c r="K157" s="148">
        <v>12</v>
      </c>
      <c r="L157" s="148">
        <v>5.2</v>
      </c>
      <c r="M157" s="148">
        <v>14.1</v>
      </c>
      <c r="N157" s="148">
        <v>9.6</v>
      </c>
      <c r="O157" s="148" t="s">
        <v>725</v>
      </c>
      <c r="P157" s="148">
        <v>0.14099999999999999</v>
      </c>
      <c r="Q157" s="148" t="s">
        <v>726</v>
      </c>
      <c r="R157" s="148">
        <v>9.6000000000000002E-2</v>
      </c>
      <c r="S157" s="148" t="s">
        <v>1776</v>
      </c>
      <c r="T157" s="148">
        <v>0.06</v>
      </c>
      <c r="U157" s="148" t="s">
        <v>1774</v>
      </c>
      <c r="V157" s="148">
        <v>0.06</v>
      </c>
      <c r="W157" s="148" t="s">
        <v>1781</v>
      </c>
      <c r="X157" s="148">
        <v>5.1999999999999998E-2</v>
      </c>
      <c r="Y157" s="148" t="s">
        <v>1826</v>
      </c>
      <c r="Z157" s="148">
        <v>1.2E-2</v>
      </c>
      <c r="AA157" s="148" t="s">
        <v>1827</v>
      </c>
      <c r="AB157" s="148">
        <v>8.0000000000000004E-4</v>
      </c>
      <c r="AC157" s="148" t="s">
        <v>1829</v>
      </c>
      <c r="AD157" s="148">
        <v>6.9999999999999999E-4</v>
      </c>
      <c r="AE157" s="148" t="s">
        <v>1828</v>
      </c>
      <c r="AF157" s="148">
        <v>5.9999999999999995E-4</v>
      </c>
      <c r="AG157" s="148" t="s">
        <v>1831</v>
      </c>
      <c r="AH157" s="148">
        <v>2.0000000000000001E-4</v>
      </c>
      <c r="AK157" s="1"/>
    </row>
    <row r="158" spans="1:39" ht="20.100000000000001" customHeight="1" x14ac:dyDescent="0.2">
      <c r="A158" s="79" t="str">
        <f>HYPERLINK("#A1", "▲ Back to top")</f>
        <v>▲ Back to top</v>
      </c>
      <c r="D158" s="148" t="s">
        <v>1814</v>
      </c>
      <c r="E158" s="148" t="s">
        <v>1903</v>
      </c>
      <c r="F158" s="148" t="s">
        <v>757</v>
      </c>
      <c r="G158" s="148">
        <v>1</v>
      </c>
      <c r="H158" s="148"/>
      <c r="I158" s="148"/>
      <c r="J158" s="148"/>
      <c r="K158" s="148">
        <v>25</v>
      </c>
      <c r="L158" s="148"/>
      <c r="M158" s="148"/>
      <c r="N158" s="148">
        <v>12.8</v>
      </c>
      <c r="O158" s="148" t="s">
        <v>1769</v>
      </c>
      <c r="P158" s="148">
        <v>0.53333299999999995</v>
      </c>
      <c r="Q158" s="148" t="s">
        <v>1771</v>
      </c>
      <c r="R158" s="148">
        <v>0.40949600000000003</v>
      </c>
      <c r="S158" s="148" t="s">
        <v>1827</v>
      </c>
      <c r="T158" s="148">
        <v>1E-3</v>
      </c>
      <c r="U158" s="148" t="s">
        <v>1828</v>
      </c>
      <c r="V158" s="148">
        <v>1E-3</v>
      </c>
      <c r="W158" s="148" t="s">
        <v>1831</v>
      </c>
      <c r="X158" s="148">
        <v>1E-4</v>
      </c>
      <c r="Y158" s="148" t="s">
        <v>1874</v>
      </c>
      <c r="Z158" s="256">
        <v>1.0000000000000001E-5</v>
      </c>
      <c r="AA158" s="148"/>
      <c r="AB158" s="148"/>
      <c r="AC158" s="148"/>
      <c r="AD158" s="148"/>
      <c r="AE158" s="148"/>
      <c r="AF158" s="148"/>
      <c r="AG158" s="148"/>
      <c r="AH158" s="148"/>
      <c r="AK158" s="1"/>
    </row>
    <row r="159" spans="1:39" ht="20.100000000000001" customHeight="1" x14ac:dyDescent="0.2">
      <c r="D159" s="148" t="s">
        <v>1904</v>
      </c>
      <c r="E159" s="148" t="s">
        <v>1905</v>
      </c>
      <c r="F159" s="148" t="s">
        <v>757</v>
      </c>
      <c r="G159" s="148">
        <v>1</v>
      </c>
      <c r="H159" s="148"/>
      <c r="I159" s="148"/>
      <c r="J159" s="148"/>
      <c r="K159" s="148"/>
      <c r="L159" s="148">
        <v>8.8000000000000007</v>
      </c>
      <c r="M159" s="148"/>
      <c r="N159" s="148">
        <v>11</v>
      </c>
      <c r="O159" s="148" t="s">
        <v>1789</v>
      </c>
      <c r="P159" s="148">
        <v>1</v>
      </c>
      <c r="Q159" s="148"/>
      <c r="R159" s="148"/>
      <c r="S159" s="148"/>
      <c r="T159" s="148"/>
      <c r="U159" s="148"/>
      <c r="V159" s="148"/>
      <c r="W159" s="148"/>
      <c r="X159" s="148"/>
      <c r="Y159" s="148"/>
      <c r="Z159" s="148"/>
      <c r="AA159" s="148"/>
      <c r="AB159" s="148"/>
      <c r="AC159" s="148"/>
      <c r="AD159" s="148"/>
      <c r="AE159" s="148"/>
      <c r="AF159" s="148"/>
      <c r="AG159" s="148"/>
      <c r="AH159" s="148"/>
      <c r="AK159" s="1"/>
    </row>
    <row r="160" spans="1:39" ht="20.100000000000001" customHeight="1" x14ac:dyDescent="0.2">
      <c r="D160" s="148" t="s">
        <v>1843</v>
      </c>
      <c r="E160" s="148" t="s">
        <v>1906</v>
      </c>
      <c r="F160" s="148" t="s">
        <v>757</v>
      </c>
      <c r="G160" s="148">
        <v>1</v>
      </c>
      <c r="H160" s="148"/>
      <c r="I160" s="148"/>
      <c r="J160" s="148"/>
      <c r="K160" s="148">
        <v>10</v>
      </c>
      <c r="L160" s="148">
        <v>21.9</v>
      </c>
      <c r="M160" s="148">
        <v>0</v>
      </c>
      <c r="N160" s="148">
        <v>2</v>
      </c>
      <c r="O160" s="148" t="s">
        <v>1765</v>
      </c>
      <c r="P160" s="148">
        <v>1</v>
      </c>
      <c r="Q160" s="148" t="s">
        <v>1827</v>
      </c>
      <c r="R160" s="148">
        <v>0.01</v>
      </c>
      <c r="S160" s="148"/>
      <c r="T160" s="148"/>
      <c r="U160" s="148"/>
      <c r="V160" s="148"/>
      <c r="W160" s="148"/>
      <c r="X160" s="148"/>
      <c r="Y160" s="148"/>
      <c r="Z160" s="148"/>
      <c r="AA160" s="148"/>
      <c r="AB160" s="148"/>
      <c r="AC160" s="148"/>
      <c r="AD160" s="148"/>
      <c r="AE160" s="148"/>
      <c r="AF160" s="148"/>
      <c r="AG160" s="148"/>
      <c r="AH160" s="148"/>
      <c r="AK160" s="1"/>
    </row>
    <row r="161" spans="4:37" ht="20.100000000000001" customHeight="1" x14ac:dyDescent="0.2">
      <c r="D161" s="148" t="s">
        <v>1907</v>
      </c>
      <c r="E161" s="148" t="s">
        <v>1908</v>
      </c>
      <c r="F161" s="148" t="s">
        <v>757</v>
      </c>
      <c r="G161" s="148">
        <v>1</v>
      </c>
      <c r="H161" s="148"/>
      <c r="I161" s="148"/>
      <c r="J161" s="148"/>
      <c r="K161" s="148">
        <v>21</v>
      </c>
      <c r="L161" s="148">
        <v>0.86</v>
      </c>
      <c r="M161" s="148">
        <v>5.8</v>
      </c>
      <c r="N161" s="148">
        <v>4.2</v>
      </c>
      <c r="O161" s="148" t="s">
        <v>1779</v>
      </c>
      <c r="P161" s="148">
        <v>0.21</v>
      </c>
      <c r="Q161" s="148" t="s">
        <v>725</v>
      </c>
      <c r="R161" s="148">
        <v>5.8000000000000003E-2</v>
      </c>
      <c r="S161" s="148" t="s">
        <v>726</v>
      </c>
      <c r="T161" s="148">
        <v>4.2000000000000003E-2</v>
      </c>
      <c r="U161" s="148" t="s">
        <v>1781</v>
      </c>
      <c r="V161" s="148">
        <v>8.6E-3</v>
      </c>
      <c r="W161" s="148"/>
      <c r="X161" s="148"/>
      <c r="Y161" s="148"/>
      <c r="Z161" s="148"/>
      <c r="AA161" s="148"/>
      <c r="AB161" s="148"/>
      <c r="AC161" s="148"/>
      <c r="AD161" s="148"/>
      <c r="AE161" s="148"/>
      <c r="AF161" s="148"/>
      <c r="AG161" s="148"/>
      <c r="AH161" s="148"/>
      <c r="AK161" s="1"/>
    </row>
    <row r="162" spans="4:37" ht="20.100000000000001" customHeight="1" x14ac:dyDescent="0.2">
      <c r="D162" s="148" t="s">
        <v>1845</v>
      </c>
      <c r="E162" s="148" t="s">
        <v>1909</v>
      </c>
      <c r="F162" s="148" t="s">
        <v>757</v>
      </c>
      <c r="G162" s="148">
        <v>1</v>
      </c>
      <c r="H162" s="148"/>
      <c r="I162" s="148"/>
      <c r="J162" s="148"/>
      <c r="K162" s="148"/>
      <c r="L162" s="148">
        <v>8.8000000000000007</v>
      </c>
      <c r="M162" s="148"/>
      <c r="N162" s="148">
        <v>11</v>
      </c>
      <c r="O162" s="148" t="s">
        <v>1789</v>
      </c>
      <c r="P162" s="148">
        <v>1</v>
      </c>
      <c r="Q162" s="148"/>
      <c r="R162" s="148"/>
      <c r="S162" s="148"/>
      <c r="T162" s="148"/>
      <c r="U162" s="148"/>
      <c r="V162" s="148"/>
      <c r="W162" s="148"/>
      <c r="X162" s="148"/>
      <c r="Y162" s="148"/>
      <c r="Z162" s="148"/>
      <c r="AA162" s="148"/>
      <c r="AB162" s="148"/>
      <c r="AC162" s="148"/>
      <c r="AD162" s="148"/>
      <c r="AE162" s="148"/>
      <c r="AF162" s="148"/>
      <c r="AG162" s="148"/>
      <c r="AH162" s="148"/>
      <c r="AK162" s="1"/>
    </row>
    <row r="163" spans="4:37" ht="20.100000000000001" customHeight="1" x14ac:dyDescent="0.2">
      <c r="D163" s="148" t="s">
        <v>1910</v>
      </c>
      <c r="E163" s="148" t="s">
        <v>1911</v>
      </c>
      <c r="F163" s="148" t="s">
        <v>757</v>
      </c>
      <c r="G163" s="148">
        <v>1</v>
      </c>
      <c r="H163" s="148"/>
      <c r="I163" s="148"/>
      <c r="J163" s="148"/>
      <c r="K163" s="148">
        <v>82.35</v>
      </c>
      <c r="L163" s="148"/>
      <c r="M163" s="148"/>
      <c r="N163" s="148"/>
      <c r="O163" s="148" t="s">
        <v>729</v>
      </c>
      <c r="P163" s="148">
        <v>1</v>
      </c>
      <c r="Q163" s="148"/>
      <c r="R163" s="148"/>
      <c r="S163" s="148"/>
      <c r="T163" s="148"/>
      <c r="U163" s="148"/>
      <c r="V163" s="148"/>
      <c r="W163" s="148"/>
      <c r="X163" s="148"/>
      <c r="Y163" s="148"/>
      <c r="Z163" s="148"/>
      <c r="AA163" s="148"/>
      <c r="AB163" s="148"/>
      <c r="AC163" s="148"/>
      <c r="AD163" s="148"/>
      <c r="AE163" s="148"/>
      <c r="AF163" s="148"/>
      <c r="AG163" s="148"/>
      <c r="AH163" s="148"/>
      <c r="AK163" s="1"/>
    </row>
    <row r="164" spans="4:37" ht="20.100000000000001" customHeight="1" x14ac:dyDescent="0.2">
      <c r="D164" s="148" t="s">
        <v>1845</v>
      </c>
      <c r="E164" s="148" t="s">
        <v>1912</v>
      </c>
      <c r="F164" s="148" t="s">
        <v>757</v>
      </c>
      <c r="G164" s="148">
        <v>1</v>
      </c>
      <c r="H164" s="148" t="s">
        <v>1864</v>
      </c>
      <c r="I164" s="148"/>
      <c r="J164" s="148"/>
      <c r="K164" s="148">
        <v>46</v>
      </c>
      <c r="L164" s="148"/>
      <c r="M164" s="148"/>
      <c r="N164" s="148"/>
      <c r="O164" s="148" t="s">
        <v>713</v>
      </c>
      <c r="P164" s="148">
        <v>1</v>
      </c>
      <c r="Q164" s="148"/>
      <c r="R164" s="148"/>
      <c r="S164" s="148"/>
      <c r="T164" s="148"/>
      <c r="U164" s="148"/>
      <c r="V164" s="148"/>
      <c r="W164" s="148"/>
      <c r="X164" s="148"/>
      <c r="Y164" s="148"/>
      <c r="Z164" s="148"/>
      <c r="AA164" s="148"/>
      <c r="AB164" s="148"/>
      <c r="AC164" s="148"/>
      <c r="AD164" s="148"/>
      <c r="AE164" s="148"/>
      <c r="AF164" s="148"/>
      <c r="AG164" s="148"/>
      <c r="AH164" s="148"/>
      <c r="AK164" s="1"/>
    </row>
    <row r="165" spans="4:37" ht="20.100000000000001" customHeight="1" x14ac:dyDescent="0.2">
      <c r="D165" s="148" t="s">
        <v>1913</v>
      </c>
      <c r="E165" s="148" t="s">
        <v>1914</v>
      </c>
      <c r="F165" s="148" t="s">
        <v>757</v>
      </c>
      <c r="G165" s="148">
        <v>1</v>
      </c>
      <c r="H165" s="148" t="s">
        <v>1864</v>
      </c>
      <c r="I165" s="148"/>
      <c r="J165" s="148"/>
      <c r="K165" s="148">
        <v>45.54</v>
      </c>
      <c r="L165" s="148"/>
      <c r="M165" s="148"/>
      <c r="N165" s="148"/>
      <c r="O165" s="148" t="s">
        <v>713</v>
      </c>
      <c r="P165" s="148">
        <v>0.99</v>
      </c>
      <c r="Q165" s="148" t="s">
        <v>1915</v>
      </c>
      <c r="R165" s="148">
        <v>0.01</v>
      </c>
      <c r="S165" s="148"/>
      <c r="T165" s="148"/>
      <c r="U165" s="148"/>
      <c r="V165" s="148"/>
      <c r="W165" s="148"/>
      <c r="X165" s="148"/>
      <c r="Y165" s="148"/>
      <c r="Z165" s="148"/>
      <c r="AA165" s="148"/>
      <c r="AB165" s="148"/>
      <c r="AC165" s="148"/>
      <c r="AD165" s="148"/>
      <c r="AE165" s="148"/>
      <c r="AF165" s="148"/>
      <c r="AG165" s="148"/>
      <c r="AH165" s="148"/>
      <c r="AK165" s="1"/>
    </row>
    <row r="166" spans="4:37" ht="20.100000000000001" customHeight="1" x14ac:dyDescent="0.2">
      <c r="D166" s="148" t="s">
        <v>1916</v>
      </c>
      <c r="E166" s="148" t="s">
        <v>1917</v>
      </c>
      <c r="F166" s="148" t="s">
        <v>757</v>
      </c>
      <c r="G166" s="148">
        <v>1</v>
      </c>
      <c r="H166" s="148"/>
      <c r="I166" s="148"/>
      <c r="J166" s="148"/>
      <c r="K166" s="148"/>
      <c r="L166" s="148"/>
      <c r="M166" s="148">
        <v>50</v>
      </c>
      <c r="N166" s="148"/>
      <c r="O166" s="148" t="s">
        <v>1787</v>
      </c>
      <c r="P166" s="148">
        <v>1</v>
      </c>
      <c r="Q166" s="148"/>
      <c r="R166" s="148"/>
      <c r="S166" s="148"/>
      <c r="T166" s="148"/>
      <c r="U166" s="148"/>
      <c r="V166" s="148"/>
      <c r="W166" s="148"/>
      <c r="X166" s="148"/>
      <c r="Y166" s="148"/>
      <c r="Z166" s="148"/>
      <c r="AA166" s="148"/>
      <c r="AB166" s="148"/>
      <c r="AC166" s="148"/>
      <c r="AD166" s="148"/>
      <c r="AE166" s="148"/>
      <c r="AF166" s="148"/>
      <c r="AG166" s="148"/>
      <c r="AH166" s="148"/>
      <c r="AK166" s="1"/>
    </row>
    <row r="167" spans="4:37" ht="20.100000000000001" customHeight="1" x14ac:dyDescent="0.2">
      <c r="D167" s="148" t="s">
        <v>1918</v>
      </c>
      <c r="E167" s="148" t="s">
        <v>1919</v>
      </c>
      <c r="F167" s="148" t="s">
        <v>757</v>
      </c>
      <c r="G167" s="148">
        <v>1</v>
      </c>
      <c r="H167" s="148"/>
      <c r="I167" s="148"/>
      <c r="J167" s="148"/>
      <c r="K167" s="148">
        <v>10</v>
      </c>
      <c r="L167" s="148">
        <v>21.9</v>
      </c>
      <c r="M167" s="148"/>
      <c r="N167" s="148"/>
      <c r="O167" s="148" t="s">
        <v>1765</v>
      </c>
      <c r="P167" s="148">
        <v>1</v>
      </c>
      <c r="Q167" s="148"/>
      <c r="R167" s="148"/>
      <c r="S167" s="148"/>
      <c r="T167" s="148"/>
      <c r="U167" s="148"/>
      <c r="V167" s="148"/>
      <c r="W167" s="148"/>
      <c r="X167" s="148"/>
      <c r="Y167" s="148"/>
      <c r="Z167" s="148"/>
      <c r="AA167" s="148"/>
      <c r="AB167" s="148"/>
      <c r="AC167" s="148"/>
      <c r="AD167" s="148"/>
      <c r="AE167" s="148"/>
      <c r="AF167" s="148"/>
      <c r="AG167" s="148"/>
      <c r="AH167" s="148"/>
      <c r="AK167" s="1"/>
    </row>
    <row r="168" spans="4:37" ht="20.100000000000001" customHeight="1" x14ac:dyDescent="0.2">
      <c r="D168" s="148" t="s">
        <v>1814</v>
      </c>
      <c r="E168" s="148" t="s">
        <v>1920</v>
      </c>
      <c r="F168" s="148" t="s">
        <v>757</v>
      </c>
      <c r="G168" s="148">
        <v>1</v>
      </c>
      <c r="H168" s="148"/>
      <c r="I168" s="148"/>
      <c r="J168" s="148"/>
      <c r="K168" s="148">
        <v>26</v>
      </c>
      <c r="L168" s="148"/>
      <c r="M168" s="148"/>
      <c r="N168" s="148">
        <v>13</v>
      </c>
      <c r="O168" s="148" t="s">
        <v>1769</v>
      </c>
      <c r="P168" s="148">
        <v>0.54166700000000001</v>
      </c>
      <c r="Q168" s="148" t="s">
        <v>1771</v>
      </c>
      <c r="R168" s="148">
        <v>0.43397599999999997</v>
      </c>
      <c r="S168" s="148"/>
      <c r="T168" s="148"/>
      <c r="U168" s="148"/>
      <c r="V168" s="148"/>
      <c r="W168" s="148"/>
      <c r="X168" s="148"/>
      <c r="Y168" s="148"/>
      <c r="Z168" s="148"/>
      <c r="AA168" s="148"/>
      <c r="AB168" s="148"/>
      <c r="AC168" s="148"/>
      <c r="AD168" s="148"/>
      <c r="AE168" s="148"/>
      <c r="AF168" s="148"/>
      <c r="AG168" s="148"/>
      <c r="AH168" s="148"/>
      <c r="AK168" s="1"/>
    </row>
    <row r="169" spans="4:37" ht="20.100000000000001" customHeight="1" x14ac:dyDescent="0.2">
      <c r="D169" s="148" t="s">
        <v>1921</v>
      </c>
      <c r="E169" s="148" t="s">
        <v>1922</v>
      </c>
      <c r="F169" s="148" t="s">
        <v>662</v>
      </c>
      <c r="G169" s="148">
        <v>1.2350000000000001</v>
      </c>
      <c r="H169" s="148"/>
      <c r="I169" s="148"/>
      <c r="J169" s="148"/>
      <c r="K169" s="148">
        <v>26.6</v>
      </c>
      <c r="L169" s="148"/>
      <c r="M169" s="148"/>
      <c r="N169" s="148">
        <v>6.7</v>
      </c>
      <c r="O169" s="148" t="s">
        <v>713</v>
      </c>
      <c r="P169" s="148">
        <v>0.45081500000000002</v>
      </c>
      <c r="Q169" s="148" t="s">
        <v>1769</v>
      </c>
      <c r="R169" s="148">
        <v>0.279167</v>
      </c>
      <c r="S169" s="148"/>
      <c r="T169" s="148"/>
      <c r="U169" s="148"/>
      <c r="V169" s="148"/>
      <c r="W169" s="148"/>
      <c r="X169" s="148"/>
      <c r="Y169" s="148"/>
      <c r="Z169" s="148"/>
      <c r="AA169" s="148"/>
      <c r="AB169" s="148"/>
      <c r="AC169" s="148"/>
      <c r="AD169" s="148"/>
      <c r="AE169" s="148"/>
      <c r="AF169" s="148"/>
      <c r="AG169" s="148"/>
      <c r="AH169" s="148"/>
      <c r="AK169" s="1"/>
    </row>
    <row r="170" spans="4:37" ht="20.100000000000001" customHeight="1" x14ac:dyDescent="0.2">
      <c r="D170" s="148" t="s">
        <v>1921</v>
      </c>
      <c r="E170" s="148" t="s">
        <v>1923</v>
      </c>
      <c r="F170" s="148" t="s">
        <v>662</v>
      </c>
      <c r="G170" s="148">
        <v>1.28</v>
      </c>
      <c r="H170" s="148"/>
      <c r="I170" s="148"/>
      <c r="J170" s="148"/>
      <c r="K170" s="148">
        <v>0</v>
      </c>
      <c r="L170" s="148"/>
      <c r="M170" s="148"/>
      <c r="N170" s="148"/>
      <c r="O170" s="148" t="s">
        <v>713</v>
      </c>
      <c r="P170" s="148">
        <v>0.65217400000000003</v>
      </c>
      <c r="Q170" s="148"/>
      <c r="R170" s="148"/>
      <c r="S170" s="148"/>
      <c r="T170" s="148"/>
      <c r="U170" s="148"/>
      <c r="V170" s="148"/>
      <c r="W170" s="148"/>
      <c r="X170" s="148"/>
      <c r="Y170" s="148"/>
      <c r="Z170" s="148"/>
      <c r="AA170" s="148"/>
      <c r="AB170" s="148"/>
      <c r="AC170" s="148"/>
      <c r="AD170" s="148"/>
      <c r="AE170" s="148"/>
      <c r="AF170" s="148"/>
      <c r="AG170" s="148"/>
      <c r="AH170" s="148"/>
      <c r="AK170" s="1"/>
    </row>
    <row r="171" spans="4:37" ht="20.100000000000001" customHeight="1" x14ac:dyDescent="0.2">
      <c r="D171" s="148" t="s">
        <v>1924</v>
      </c>
      <c r="E171" s="148" t="s">
        <v>1925</v>
      </c>
      <c r="F171" s="148" t="s">
        <v>757</v>
      </c>
      <c r="G171" s="148">
        <v>1</v>
      </c>
      <c r="H171" s="148"/>
      <c r="I171" s="148"/>
      <c r="J171" s="148"/>
      <c r="K171" s="148">
        <v>36</v>
      </c>
      <c r="L171" s="148"/>
      <c r="M171" s="148"/>
      <c r="N171" s="148">
        <v>9.6</v>
      </c>
      <c r="O171" s="148" t="s">
        <v>1779</v>
      </c>
      <c r="P171" s="148">
        <v>0.36</v>
      </c>
      <c r="Q171" s="148" t="s">
        <v>726</v>
      </c>
      <c r="R171" s="148">
        <v>9.6000000000000002E-2</v>
      </c>
      <c r="S171" s="148"/>
      <c r="T171" s="148"/>
      <c r="U171" s="148"/>
      <c r="V171" s="148"/>
      <c r="W171" s="148"/>
      <c r="X171" s="148"/>
      <c r="Y171" s="148"/>
      <c r="Z171" s="148"/>
      <c r="AA171" s="148"/>
      <c r="AB171" s="148"/>
      <c r="AC171" s="148"/>
      <c r="AD171" s="148"/>
      <c r="AE171" s="148"/>
      <c r="AF171" s="148"/>
      <c r="AG171" s="148"/>
      <c r="AH171" s="148"/>
      <c r="AK171" s="1"/>
    </row>
    <row r="172" spans="4:37" ht="20.100000000000001" customHeight="1" x14ac:dyDescent="0.2">
      <c r="D172" s="148" t="s">
        <v>1839</v>
      </c>
      <c r="E172" s="148" t="s">
        <v>1926</v>
      </c>
      <c r="F172" s="148" t="s">
        <v>662</v>
      </c>
      <c r="G172" s="148">
        <v>1.3</v>
      </c>
      <c r="H172" s="148"/>
      <c r="I172" s="148"/>
      <c r="J172" s="148"/>
      <c r="K172" s="148">
        <v>20</v>
      </c>
      <c r="L172" s="148">
        <v>8.73</v>
      </c>
      <c r="M172" s="148">
        <v>16.600000000000001</v>
      </c>
      <c r="N172" s="148"/>
      <c r="O172" s="148" t="s">
        <v>1779</v>
      </c>
      <c r="P172" s="148">
        <v>0.2</v>
      </c>
      <c r="Q172" s="148" t="s">
        <v>1781</v>
      </c>
      <c r="R172" s="148">
        <v>8.7279999999999996E-2</v>
      </c>
      <c r="S172" s="148" t="s">
        <v>725</v>
      </c>
      <c r="T172" s="148">
        <v>0.16602</v>
      </c>
      <c r="U172" s="148"/>
      <c r="V172" s="148"/>
      <c r="W172" s="148"/>
      <c r="X172" s="148"/>
      <c r="Y172" s="148"/>
      <c r="Z172" s="148"/>
      <c r="AA172" s="148"/>
      <c r="AB172" s="148"/>
      <c r="AC172" s="148"/>
      <c r="AD172" s="148"/>
      <c r="AE172" s="148"/>
      <c r="AF172" s="148"/>
      <c r="AG172" s="148"/>
      <c r="AH172" s="148"/>
      <c r="AK172" s="1"/>
    </row>
    <row r="173" spans="4:37" ht="20.100000000000001" customHeight="1" x14ac:dyDescent="0.2">
      <c r="D173" s="148" t="s">
        <v>1927</v>
      </c>
      <c r="E173" s="148" t="s">
        <v>1928</v>
      </c>
      <c r="F173" s="148" t="s">
        <v>757</v>
      </c>
      <c r="G173" s="148">
        <v>1</v>
      </c>
      <c r="H173" s="148"/>
      <c r="I173" s="148"/>
      <c r="J173" s="148"/>
      <c r="K173" s="148">
        <v>15</v>
      </c>
      <c r="L173" s="148"/>
      <c r="M173" s="148">
        <v>9.9600000000000009</v>
      </c>
      <c r="N173" s="148"/>
      <c r="O173" s="148" t="s">
        <v>1776</v>
      </c>
      <c r="P173" s="148">
        <v>8.4737000000000007E-2</v>
      </c>
      <c r="Q173" s="148" t="s">
        <v>725</v>
      </c>
      <c r="R173" s="148">
        <v>9.9612000000000006E-2</v>
      </c>
      <c r="S173" s="148" t="s">
        <v>723</v>
      </c>
      <c r="T173" s="148">
        <v>0.42105300000000001</v>
      </c>
      <c r="U173" s="148" t="s">
        <v>1826</v>
      </c>
      <c r="V173" s="148">
        <v>5.0000000000000001E-3</v>
      </c>
      <c r="W173" s="148" t="s">
        <v>1831</v>
      </c>
      <c r="X173" s="148">
        <v>2.0000000000000001E-4</v>
      </c>
      <c r="Y173" s="148"/>
      <c r="Z173" s="148"/>
      <c r="AA173" s="148"/>
      <c r="AB173" s="148"/>
      <c r="AC173" s="148"/>
      <c r="AD173" s="148"/>
      <c r="AE173" s="148"/>
      <c r="AF173" s="148"/>
      <c r="AG173" s="148"/>
      <c r="AH173" s="148"/>
      <c r="AK173" s="1"/>
    </row>
    <row r="174" spans="4:37" ht="20.100000000000001" customHeight="1" x14ac:dyDescent="0.2">
      <c r="D174" s="148" t="s">
        <v>1845</v>
      </c>
      <c r="E174" s="148" t="s">
        <v>1929</v>
      </c>
      <c r="F174" s="148" t="s">
        <v>757</v>
      </c>
      <c r="G174" s="148">
        <v>1</v>
      </c>
      <c r="H174" s="148"/>
      <c r="I174" s="148"/>
      <c r="J174" s="148"/>
      <c r="K174" s="148">
        <v>15.1</v>
      </c>
      <c r="L174" s="148">
        <v>4.4000000000000004</v>
      </c>
      <c r="M174" s="148">
        <v>11.5</v>
      </c>
      <c r="N174" s="148">
        <v>13.6</v>
      </c>
      <c r="O174" s="148" t="s">
        <v>1779</v>
      </c>
      <c r="P174" s="148">
        <v>0.151</v>
      </c>
      <c r="Q174" s="148" t="s">
        <v>1781</v>
      </c>
      <c r="R174" s="148">
        <v>4.3999999999999997E-2</v>
      </c>
      <c r="S174" s="148" t="s">
        <v>725</v>
      </c>
      <c r="T174" s="148">
        <v>0.115</v>
      </c>
      <c r="U174" s="148" t="s">
        <v>726</v>
      </c>
      <c r="V174" s="148">
        <v>0.13600000000000001</v>
      </c>
      <c r="W174" s="148"/>
      <c r="X174" s="148"/>
      <c r="Y174" s="148"/>
      <c r="Z174" s="148"/>
      <c r="AA174" s="148"/>
      <c r="AB174" s="148"/>
      <c r="AC174" s="148"/>
      <c r="AD174" s="148"/>
      <c r="AE174" s="148"/>
      <c r="AF174" s="148"/>
      <c r="AG174" s="148"/>
      <c r="AH174" s="148"/>
      <c r="AK174" s="1"/>
    </row>
    <row r="175" spans="4:37" ht="20.100000000000001" customHeight="1" x14ac:dyDescent="0.2">
      <c r="D175" s="148" t="s">
        <v>1845</v>
      </c>
      <c r="E175" s="148" t="s">
        <v>1930</v>
      </c>
      <c r="F175" s="148" t="s">
        <v>757</v>
      </c>
      <c r="G175" s="148">
        <v>1</v>
      </c>
      <c r="H175" s="148"/>
      <c r="I175" s="148"/>
      <c r="J175" s="148"/>
      <c r="K175" s="148">
        <v>14.6</v>
      </c>
      <c r="L175" s="148">
        <v>12.1</v>
      </c>
      <c r="M175" s="148"/>
      <c r="N175" s="148">
        <v>11.6</v>
      </c>
      <c r="O175" s="148" t="s">
        <v>1779</v>
      </c>
      <c r="P175" s="148">
        <v>0.14599999999999999</v>
      </c>
      <c r="Q175" s="148" t="s">
        <v>1781</v>
      </c>
      <c r="R175" s="148">
        <v>0.121</v>
      </c>
      <c r="S175" s="148" t="s">
        <v>726</v>
      </c>
      <c r="T175" s="148">
        <v>0.11600000000000001</v>
      </c>
      <c r="U175" s="148"/>
      <c r="V175" s="148"/>
      <c r="W175" s="148"/>
      <c r="X175" s="148"/>
      <c r="Y175" s="148"/>
      <c r="Z175" s="148"/>
      <c r="AA175" s="148"/>
      <c r="AB175" s="148"/>
      <c r="AC175" s="148"/>
      <c r="AD175" s="148"/>
      <c r="AE175" s="148"/>
      <c r="AF175" s="148"/>
      <c r="AG175" s="148"/>
      <c r="AH175" s="148"/>
      <c r="AK175" s="1"/>
    </row>
    <row r="176" spans="4:37" ht="20.100000000000001" customHeight="1" x14ac:dyDescent="0.2">
      <c r="D176" s="148" t="s">
        <v>1845</v>
      </c>
      <c r="E176" s="148" t="s">
        <v>1931</v>
      </c>
      <c r="F176" s="148" t="s">
        <v>757</v>
      </c>
      <c r="G176" s="148">
        <v>1</v>
      </c>
      <c r="H176" s="148"/>
      <c r="I176" s="148"/>
      <c r="J176" s="148"/>
      <c r="K176" s="148">
        <v>19</v>
      </c>
      <c r="L176" s="148">
        <v>13</v>
      </c>
      <c r="M176" s="148">
        <v>0</v>
      </c>
      <c r="N176" s="148">
        <v>9</v>
      </c>
      <c r="O176" s="148" t="s">
        <v>1779</v>
      </c>
      <c r="P176" s="148">
        <v>0.19</v>
      </c>
      <c r="Q176" s="148" t="s">
        <v>1781</v>
      </c>
      <c r="R176" s="148">
        <v>0.13</v>
      </c>
      <c r="S176" s="148" t="s">
        <v>726</v>
      </c>
      <c r="T176" s="148">
        <v>0.09</v>
      </c>
      <c r="U176" s="148"/>
      <c r="V176" s="148"/>
      <c r="W176" s="148"/>
      <c r="X176" s="148"/>
      <c r="Y176" s="148"/>
      <c r="Z176" s="148"/>
      <c r="AA176" s="148"/>
      <c r="AB176" s="148"/>
      <c r="AC176" s="148"/>
      <c r="AD176" s="148"/>
      <c r="AE176" s="148"/>
      <c r="AF176" s="148"/>
      <c r="AG176" s="148"/>
      <c r="AH176" s="148"/>
      <c r="AK176" s="1"/>
    </row>
    <row r="177" spans="1:37" ht="20.100000000000001" customHeight="1" x14ac:dyDescent="0.2">
      <c r="D177" s="148" t="s">
        <v>1845</v>
      </c>
      <c r="E177" s="148" t="s">
        <v>1932</v>
      </c>
      <c r="F177" s="148" t="s">
        <v>757</v>
      </c>
      <c r="G177" s="148">
        <v>1</v>
      </c>
      <c r="H177" s="148"/>
      <c r="I177" s="148"/>
      <c r="J177" s="148"/>
      <c r="K177" s="148">
        <v>23.8</v>
      </c>
      <c r="L177" s="148">
        <v>3.7</v>
      </c>
      <c r="M177" s="148">
        <v>13</v>
      </c>
      <c r="N177" s="148">
        <v>4.0999999999999996</v>
      </c>
      <c r="O177" s="148" t="s">
        <v>1779</v>
      </c>
      <c r="P177" s="148">
        <v>0.23799999999999999</v>
      </c>
      <c r="Q177" s="148" t="s">
        <v>1781</v>
      </c>
      <c r="R177" s="148">
        <v>3.6999999999999998E-2</v>
      </c>
      <c r="S177" s="148" t="s">
        <v>725</v>
      </c>
      <c r="T177" s="148">
        <v>0.13</v>
      </c>
      <c r="U177" s="148" t="s">
        <v>726</v>
      </c>
      <c r="V177" s="148">
        <v>4.1000000000000002E-2</v>
      </c>
      <c r="W177" s="148"/>
      <c r="X177" s="148"/>
      <c r="Y177" s="148"/>
      <c r="Z177" s="148"/>
      <c r="AA177" s="148"/>
      <c r="AB177" s="148"/>
      <c r="AC177" s="148"/>
      <c r="AD177" s="148"/>
      <c r="AE177" s="148"/>
      <c r="AF177" s="148"/>
      <c r="AG177" s="148"/>
      <c r="AH177" s="148"/>
      <c r="AK177" s="1"/>
    </row>
    <row r="178" spans="1:37" ht="20.100000000000001" customHeight="1" x14ac:dyDescent="0.2">
      <c r="D178" s="148" t="s">
        <v>1845</v>
      </c>
      <c r="E178" s="148" t="s">
        <v>1933</v>
      </c>
      <c r="F178" s="148" t="s">
        <v>757</v>
      </c>
      <c r="G178" s="148">
        <v>1</v>
      </c>
      <c r="H178" s="148"/>
      <c r="I178" s="148"/>
      <c r="J178" s="148"/>
      <c r="K178" s="148">
        <v>32.799999999999997</v>
      </c>
      <c r="L178" s="148"/>
      <c r="M178" s="148">
        <v>11</v>
      </c>
      <c r="N178" s="148">
        <v>2.9</v>
      </c>
      <c r="O178" s="148" t="s">
        <v>713</v>
      </c>
      <c r="P178" s="148">
        <v>0.66086999999999996</v>
      </c>
      <c r="Q178" s="148" t="s">
        <v>1774</v>
      </c>
      <c r="R178" s="148">
        <v>2.4E-2</v>
      </c>
      <c r="S178" s="148" t="s">
        <v>725</v>
      </c>
      <c r="T178" s="148">
        <v>0.11</v>
      </c>
      <c r="U178" s="148" t="s">
        <v>726</v>
      </c>
      <c r="V178" s="148">
        <v>2.9000000000000001E-2</v>
      </c>
      <c r="W178" s="148"/>
      <c r="X178" s="148"/>
      <c r="Y178" s="148"/>
      <c r="Z178" s="148"/>
      <c r="AA178" s="148"/>
      <c r="AB178" s="148"/>
      <c r="AC178" s="148"/>
      <c r="AD178" s="148"/>
      <c r="AE178" s="148"/>
      <c r="AF178" s="148"/>
      <c r="AG178" s="148"/>
      <c r="AH178" s="148"/>
      <c r="AK178" s="1"/>
    </row>
    <row r="179" spans="1:37" ht="20.100000000000001" customHeight="1" x14ac:dyDescent="0.2">
      <c r="D179" s="148" t="s">
        <v>1845</v>
      </c>
      <c r="E179" s="148" t="s">
        <v>1934</v>
      </c>
      <c r="F179" s="148" t="s">
        <v>757</v>
      </c>
      <c r="G179" s="148">
        <v>1</v>
      </c>
      <c r="H179" s="148"/>
      <c r="I179" s="148"/>
      <c r="J179" s="148"/>
      <c r="K179" s="148">
        <v>11.7</v>
      </c>
      <c r="L179" s="148">
        <v>4.7</v>
      </c>
      <c r="M179" s="148">
        <v>23.9</v>
      </c>
      <c r="N179" s="148">
        <v>4.5999999999999996</v>
      </c>
      <c r="O179" s="148" t="s">
        <v>1779</v>
      </c>
      <c r="P179" s="148">
        <v>0.11700000000000001</v>
      </c>
      <c r="Q179" s="148" t="s">
        <v>1781</v>
      </c>
      <c r="R179" s="148">
        <v>4.7E-2</v>
      </c>
      <c r="S179" s="148" t="s">
        <v>725</v>
      </c>
      <c r="T179" s="148">
        <v>0.23899999999999999</v>
      </c>
      <c r="U179" s="148" t="s">
        <v>726</v>
      </c>
      <c r="V179" s="148">
        <v>4.5999999999999999E-2</v>
      </c>
      <c r="W179" s="148"/>
      <c r="X179" s="148"/>
      <c r="Y179" s="148"/>
      <c r="Z179" s="148"/>
      <c r="AA179" s="148"/>
      <c r="AB179" s="148"/>
      <c r="AC179" s="148"/>
      <c r="AD179" s="148"/>
      <c r="AE179" s="148"/>
      <c r="AF179" s="148"/>
      <c r="AG179" s="148"/>
      <c r="AH179" s="148"/>
      <c r="AK179" s="1"/>
    </row>
    <row r="180" spans="1:37" ht="20.100000000000001" customHeight="1" x14ac:dyDescent="0.2">
      <c r="D180" s="148" t="s">
        <v>1843</v>
      </c>
      <c r="E180" s="148" t="s">
        <v>1935</v>
      </c>
      <c r="F180" s="148" t="s">
        <v>757</v>
      </c>
      <c r="G180" s="148">
        <v>1</v>
      </c>
      <c r="H180" s="148"/>
      <c r="I180" s="148"/>
      <c r="J180" s="148"/>
      <c r="K180" s="148"/>
      <c r="L180" s="148">
        <v>4.4000000000000004</v>
      </c>
      <c r="M180" s="148">
        <v>25</v>
      </c>
      <c r="N180" s="148">
        <v>5.5</v>
      </c>
      <c r="O180" s="148" t="s">
        <v>1789</v>
      </c>
      <c r="P180" s="148">
        <v>0.5</v>
      </c>
      <c r="Q180" s="148" t="s">
        <v>1787</v>
      </c>
      <c r="R180" s="148">
        <v>0.5</v>
      </c>
      <c r="S180" s="148"/>
      <c r="T180" s="148"/>
      <c r="U180" s="148"/>
      <c r="V180" s="148"/>
      <c r="W180" s="148"/>
      <c r="X180" s="148"/>
      <c r="Y180" s="148"/>
      <c r="Z180" s="148"/>
      <c r="AA180" s="148"/>
      <c r="AB180" s="148"/>
      <c r="AC180" s="148"/>
      <c r="AD180" s="148"/>
      <c r="AE180" s="148"/>
      <c r="AF180" s="148"/>
      <c r="AG180" s="148"/>
      <c r="AH180" s="148"/>
    </row>
    <row r="181" spans="1:37" ht="20.100000000000001" customHeight="1" x14ac:dyDescent="0.2">
      <c r="D181" s="148" t="s">
        <v>1843</v>
      </c>
      <c r="E181" s="148" t="s">
        <v>1936</v>
      </c>
      <c r="F181" s="148" t="s">
        <v>757</v>
      </c>
      <c r="G181" s="148">
        <v>1</v>
      </c>
      <c r="H181" s="148"/>
      <c r="I181" s="148"/>
      <c r="J181" s="148"/>
      <c r="K181" s="148"/>
      <c r="L181" s="148">
        <v>5.84</v>
      </c>
      <c r="M181" s="148">
        <v>16.8</v>
      </c>
      <c r="N181" s="148">
        <v>7.29</v>
      </c>
      <c r="O181" s="148" t="s">
        <v>1789</v>
      </c>
      <c r="P181" s="148">
        <v>0.66315800000000003</v>
      </c>
      <c r="Q181" s="148" t="s">
        <v>1787</v>
      </c>
      <c r="R181" s="148">
        <v>0.33600000000000002</v>
      </c>
      <c r="S181" s="148"/>
      <c r="T181" s="148"/>
      <c r="U181" s="148"/>
      <c r="V181" s="148"/>
      <c r="W181" s="148"/>
      <c r="X181" s="148"/>
      <c r="Y181" s="148"/>
      <c r="Z181" s="148"/>
      <c r="AA181" s="148"/>
      <c r="AB181" s="148"/>
      <c r="AC181" s="148"/>
      <c r="AD181" s="148"/>
      <c r="AE181" s="148"/>
      <c r="AF181" s="148"/>
      <c r="AG181" s="148"/>
      <c r="AH181" s="148"/>
    </row>
    <row r="182" spans="1:37" ht="20.100000000000001" customHeight="1" x14ac:dyDescent="0.2">
      <c r="D182" s="148" t="s">
        <v>1843</v>
      </c>
      <c r="E182" s="148" t="s">
        <v>1937</v>
      </c>
      <c r="F182" s="148" t="s">
        <v>757</v>
      </c>
      <c r="G182" s="148">
        <v>1</v>
      </c>
      <c r="H182" s="148"/>
      <c r="I182" s="148"/>
      <c r="J182" s="148"/>
      <c r="K182" s="148"/>
      <c r="L182" s="148">
        <v>6.58</v>
      </c>
      <c r="M182" s="148">
        <v>12.5</v>
      </c>
      <c r="N182" s="148">
        <v>8.2200000000000006</v>
      </c>
      <c r="O182" s="148" t="s">
        <v>1789</v>
      </c>
      <c r="P182" s="148">
        <v>0.74736800000000003</v>
      </c>
      <c r="Q182" s="148" t="s">
        <v>1787</v>
      </c>
      <c r="R182" s="148">
        <v>0.25</v>
      </c>
      <c r="S182" s="148"/>
      <c r="T182" s="148"/>
      <c r="U182" s="148"/>
      <c r="V182" s="148"/>
      <c r="W182" s="148"/>
      <c r="X182" s="148"/>
      <c r="Y182" s="148"/>
      <c r="Z182" s="148"/>
      <c r="AA182" s="148"/>
      <c r="AB182" s="148"/>
      <c r="AC182" s="148"/>
      <c r="AD182" s="148"/>
      <c r="AE182" s="148"/>
      <c r="AF182" s="148"/>
      <c r="AG182" s="148"/>
      <c r="AH182" s="148"/>
    </row>
    <row r="183" spans="1:37" ht="20.100000000000001" customHeight="1" x14ac:dyDescent="0.2">
      <c r="D183" s="148" t="s">
        <v>1843</v>
      </c>
      <c r="E183" s="148" t="s">
        <v>1938</v>
      </c>
      <c r="F183" s="148" t="s">
        <v>757</v>
      </c>
      <c r="G183" s="148">
        <v>1</v>
      </c>
      <c r="H183" s="148"/>
      <c r="I183" s="148"/>
      <c r="J183" s="148"/>
      <c r="K183" s="148"/>
      <c r="L183" s="148">
        <v>7.04</v>
      </c>
      <c r="M183" s="148">
        <v>10</v>
      </c>
      <c r="N183" s="148">
        <v>8.8000000000000007</v>
      </c>
      <c r="O183" s="148" t="s">
        <v>1789</v>
      </c>
      <c r="P183" s="148">
        <v>0.8</v>
      </c>
      <c r="Q183" s="148" t="s">
        <v>1787</v>
      </c>
      <c r="R183" s="148">
        <v>0.2</v>
      </c>
      <c r="S183" s="148"/>
      <c r="T183" s="148"/>
      <c r="U183" s="148"/>
      <c r="V183" s="148"/>
      <c r="W183" s="148"/>
      <c r="X183" s="148"/>
      <c r="Y183" s="148"/>
      <c r="Z183" s="148"/>
      <c r="AA183" s="148"/>
      <c r="AB183" s="148"/>
      <c r="AC183" s="148"/>
      <c r="AD183" s="148"/>
      <c r="AE183" s="148"/>
      <c r="AF183" s="148"/>
      <c r="AG183" s="148"/>
      <c r="AH183" s="148"/>
    </row>
    <row r="184" spans="1:37" ht="20.100000000000001" customHeight="1" x14ac:dyDescent="0.2">
      <c r="D184" s="148" t="s">
        <v>1843</v>
      </c>
      <c r="E184" s="148" t="s">
        <v>1939</v>
      </c>
      <c r="F184" s="148" t="s">
        <v>757</v>
      </c>
      <c r="G184" s="148">
        <v>1</v>
      </c>
      <c r="H184" s="148"/>
      <c r="I184" s="148"/>
      <c r="J184" s="148"/>
      <c r="K184" s="148"/>
      <c r="L184" s="148">
        <v>7.32</v>
      </c>
      <c r="M184" s="148">
        <v>8.4</v>
      </c>
      <c r="N184" s="148">
        <v>9.15</v>
      </c>
      <c r="O184" s="148" t="s">
        <v>1789</v>
      </c>
      <c r="P184" s="148">
        <v>0.83157899999999996</v>
      </c>
      <c r="Q184" s="148" t="s">
        <v>1787</v>
      </c>
      <c r="R184" s="148">
        <v>0.16800000000000001</v>
      </c>
      <c r="S184" s="148"/>
      <c r="T184" s="148"/>
      <c r="U184" s="148"/>
      <c r="V184" s="148"/>
      <c r="W184" s="148"/>
      <c r="X184" s="148"/>
      <c r="Y184" s="148"/>
      <c r="Z184" s="148"/>
      <c r="AA184" s="148"/>
      <c r="AB184" s="148"/>
      <c r="AC184" s="148"/>
      <c r="AD184" s="148"/>
      <c r="AE184" s="148"/>
      <c r="AF184" s="148"/>
      <c r="AG184" s="148"/>
      <c r="AH184" s="148"/>
    </row>
    <row r="185" spans="1:37" ht="20.100000000000001" customHeight="1" x14ac:dyDescent="0.2">
      <c r="D185" s="148" t="s">
        <v>1940</v>
      </c>
      <c r="E185" s="148" t="s">
        <v>1941</v>
      </c>
      <c r="F185" s="148" t="s">
        <v>757</v>
      </c>
      <c r="G185" s="148">
        <v>1</v>
      </c>
      <c r="H185" s="148"/>
      <c r="I185" s="148"/>
      <c r="J185" s="148"/>
      <c r="K185" s="148">
        <v>23.9</v>
      </c>
      <c r="L185" s="148"/>
      <c r="M185" s="148"/>
      <c r="N185" s="148">
        <v>10.8</v>
      </c>
      <c r="O185" s="148" t="s">
        <v>1776</v>
      </c>
      <c r="P185" s="148">
        <v>7.3999999999999996E-2</v>
      </c>
      <c r="Q185" s="148" t="s">
        <v>1774</v>
      </c>
      <c r="R185" s="148">
        <v>0.16500000000000001</v>
      </c>
      <c r="S185" s="148" t="s">
        <v>726</v>
      </c>
      <c r="T185" s="148">
        <v>0.108</v>
      </c>
      <c r="U185" s="148" t="s">
        <v>1819</v>
      </c>
      <c r="V185" s="148">
        <v>4.3999999999999997E-2</v>
      </c>
      <c r="W185" s="148"/>
      <c r="X185" s="148"/>
      <c r="Y185" s="148"/>
      <c r="Z185" s="148"/>
      <c r="AA185" s="148"/>
      <c r="AB185" s="148"/>
      <c r="AC185" s="148"/>
      <c r="AD185" s="148"/>
      <c r="AE185" s="148"/>
      <c r="AF185" s="148"/>
      <c r="AG185" s="148"/>
      <c r="AH185" s="148"/>
    </row>
    <row r="186" spans="1:37" ht="20.100000000000001" customHeight="1" x14ac:dyDescent="0.2">
      <c r="D186" s="148" t="s">
        <v>1940</v>
      </c>
      <c r="E186" s="148" t="s">
        <v>715</v>
      </c>
      <c r="F186" s="148" t="s">
        <v>757</v>
      </c>
      <c r="G186" s="148">
        <v>1</v>
      </c>
      <c r="H186" s="148"/>
      <c r="I186" s="148"/>
      <c r="J186" s="148"/>
      <c r="K186" s="148">
        <v>17.899999999999999</v>
      </c>
      <c r="L186" s="148"/>
      <c r="M186" s="148">
        <v>15</v>
      </c>
      <c r="N186" s="148">
        <v>3.6</v>
      </c>
      <c r="O186" s="148" t="s">
        <v>1776</v>
      </c>
      <c r="P186" s="148">
        <v>5.5E-2</v>
      </c>
      <c r="Q186" s="148" t="s">
        <v>1774</v>
      </c>
      <c r="R186" s="148">
        <v>0.124</v>
      </c>
      <c r="S186" s="148" t="s">
        <v>725</v>
      </c>
      <c r="T186" s="148">
        <v>0.15</v>
      </c>
      <c r="U186" s="148" t="s">
        <v>726</v>
      </c>
      <c r="V186" s="148">
        <v>3.5999999999999997E-2</v>
      </c>
      <c r="W186" s="148" t="s">
        <v>1819</v>
      </c>
      <c r="X186" s="148">
        <v>4.3999999999999997E-2</v>
      </c>
      <c r="Y186" s="148"/>
      <c r="Z186" s="148"/>
      <c r="AA186" s="148"/>
      <c r="AB186" s="148"/>
      <c r="AC186" s="148"/>
      <c r="AD186" s="148"/>
      <c r="AE186" s="148"/>
      <c r="AF186" s="148"/>
      <c r="AG186" s="148"/>
      <c r="AH186" s="148"/>
    </row>
    <row r="187" spans="1:37" ht="20.100000000000001" customHeight="1" x14ac:dyDescent="0.2">
      <c r="D187" s="148" t="s">
        <v>1940</v>
      </c>
      <c r="E187" s="148" t="s">
        <v>1942</v>
      </c>
      <c r="F187" s="148" t="s">
        <v>757</v>
      </c>
      <c r="G187" s="148">
        <v>1</v>
      </c>
      <c r="H187" s="148"/>
      <c r="I187" s="148"/>
      <c r="J187" s="148"/>
      <c r="K187" s="148">
        <v>16.899999999999999</v>
      </c>
      <c r="L187" s="148"/>
      <c r="M187" s="148">
        <v>14.4</v>
      </c>
      <c r="N187" s="148">
        <v>8.6999999999999993</v>
      </c>
      <c r="O187" s="148" t="s">
        <v>1776</v>
      </c>
      <c r="P187" s="148">
        <v>5.1999999999999998E-2</v>
      </c>
      <c r="Q187" s="148" t="s">
        <v>1774</v>
      </c>
      <c r="R187" s="148">
        <v>0.11700000000000001</v>
      </c>
      <c r="S187" s="148" t="s">
        <v>725</v>
      </c>
      <c r="T187" s="148">
        <v>0.14399999999999999</v>
      </c>
      <c r="U187" s="148" t="s">
        <v>726</v>
      </c>
      <c r="V187" s="148">
        <v>8.6999999999999994E-2</v>
      </c>
      <c r="W187" s="148" t="s">
        <v>1819</v>
      </c>
      <c r="X187" s="148">
        <v>4.3999999999999997E-2</v>
      </c>
      <c r="Y187" s="148"/>
      <c r="Z187" s="148"/>
      <c r="AA187" s="148"/>
      <c r="AB187" s="148"/>
      <c r="AC187" s="148"/>
      <c r="AD187" s="148"/>
      <c r="AE187" s="148"/>
      <c r="AF187" s="148"/>
      <c r="AG187" s="148"/>
      <c r="AH187" s="148"/>
    </row>
    <row r="188" spans="1:37" ht="20.100000000000001" customHeight="1" x14ac:dyDescent="0.2">
      <c r="A188" s="79" t="str">
        <f>HYPERLINK("#A1", "▲ Back to top")</f>
        <v>▲ Back to top</v>
      </c>
      <c r="D188" s="148" t="s">
        <v>1940</v>
      </c>
      <c r="E188" s="148" t="s">
        <v>1943</v>
      </c>
      <c r="F188" s="148" t="s">
        <v>757</v>
      </c>
      <c r="G188" s="148">
        <v>1</v>
      </c>
      <c r="H188" s="148"/>
      <c r="I188" s="148"/>
      <c r="J188" s="148"/>
      <c r="K188" s="148">
        <v>18.8</v>
      </c>
      <c r="L188" s="148">
        <v>1</v>
      </c>
      <c r="M188" s="148">
        <v>12.5</v>
      </c>
      <c r="N188" s="148">
        <v>3.7</v>
      </c>
      <c r="O188" s="148" t="s">
        <v>1776</v>
      </c>
      <c r="P188" s="148">
        <v>5.8000000000000003E-2</v>
      </c>
      <c r="Q188" s="148" t="s">
        <v>1774</v>
      </c>
      <c r="R188" s="148">
        <v>0.13</v>
      </c>
      <c r="S188" s="148" t="s">
        <v>1781</v>
      </c>
      <c r="T188" s="148">
        <v>0.01</v>
      </c>
      <c r="U188" s="148" t="s">
        <v>725</v>
      </c>
      <c r="V188" s="148">
        <v>0.125</v>
      </c>
      <c r="W188" s="148" t="s">
        <v>726</v>
      </c>
      <c r="X188" s="148">
        <v>3.6999999999999998E-2</v>
      </c>
      <c r="Y188" s="148" t="s">
        <v>1819</v>
      </c>
      <c r="Z188" s="148">
        <v>4.3999999999999997E-2</v>
      </c>
      <c r="AA188" s="148"/>
      <c r="AB188" s="148"/>
      <c r="AC188" s="148"/>
      <c r="AD188" s="148"/>
      <c r="AE188" s="148"/>
      <c r="AF188" s="148"/>
      <c r="AG188" s="148"/>
      <c r="AH188" s="148"/>
    </row>
    <row r="189" spans="1:37" ht="20.100000000000001" customHeight="1" x14ac:dyDescent="0.2">
      <c r="D189" s="148" t="s">
        <v>1940</v>
      </c>
      <c r="E189" s="148" t="s">
        <v>1944</v>
      </c>
      <c r="F189" s="148" t="s">
        <v>757</v>
      </c>
      <c r="G189" s="148">
        <v>1</v>
      </c>
      <c r="H189" s="148"/>
      <c r="I189" s="148"/>
      <c r="J189" s="148"/>
      <c r="K189" s="148">
        <v>18.600000000000001</v>
      </c>
      <c r="L189" s="148">
        <v>3</v>
      </c>
      <c r="M189" s="148">
        <v>12.5</v>
      </c>
      <c r="N189" s="148">
        <v>1.4</v>
      </c>
      <c r="O189" s="148" t="s">
        <v>1776</v>
      </c>
      <c r="P189" s="148">
        <v>5.8000000000000003E-2</v>
      </c>
      <c r="Q189" s="148" t="s">
        <v>1774</v>
      </c>
      <c r="R189" s="148">
        <v>0.128</v>
      </c>
      <c r="S189" s="148" t="s">
        <v>1781</v>
      </c>
      <c r="T189" s="148">
        <v>0.03</v>
      </c>
      <c r="U189" s="148" t="s">
        <v>725</v>
      </c>
      <c r="V189" s="148">
        <v>0.125</v>
      </c>
      <c r="W189" s="148" t="s">
        <v>726</v>
      </c>
      <c r="X189" s="148">
        <v>1.4E-2</v>
      </c>
      <c r="Y189" s="148" t="s">
        <v>1819</v>
      </c>
      <c r="Z189" s="148">
        <v>4.3999999999999997E-2</v>
      </c>
      <c r="AA189" s="148"/>
      <c r="AB189" s="148"/>
      <c r="AC189" s="148"/>
      <c r="AD189" s="148"/>
      <c r="AE189" s="148"/>
      <c r="AF189" s="148"/>
      <c r="AG189" s="148"/>
      <c r="AH189" s="148"/>
    </row>
    <row r="190" spans="1:37" ht="20.100000000000001" customHeight="1" x14ac:dyDescent="0.2">
      <c r="D190" s="148" t="s">
        <v>1940</v>
      </c>
      <c r="E190" s="148" t="s">
        <v>1945</v>
      </c>
      <c r="F190" s="148" t="s">
        <v>757</v>
      </c>
      <c r="G190" s="148">
        <v>1</v>
      </c>
      <c r="H190" s="148"/>
      <c r="I190" s="148"/>
      <c r="J190" s="148"/>
      <c r="K190" s="148">
        <v>15.8</v>
      </c>
      <c r="L190" s="148"/>
      <c r="M190" s="148">
        <v>19</v>
      </c>
      <c r="N190" s="148">
        <v>3.2</v>
      </c>
      <c r="O190" s="148" t="s">
        <v>1776</v>
      </c>
      <c r="P190" s="148">
        <v>4.9000000000000002E-2</v>
      </c>
      <c r="Q190" s="148" t="s">
        <v>1774</v>
      </c>
      <c r="R190" s="148">
        <v>0.109</v>
      </c>
      <c r="S190" s="148" t="s">
        <v>725</v>
      </c>
      <c r="T190" s="148">
        <v>0.19</v>
      </c>
      <c r="U190" s="148" t="s">
        <v>726</v>
      </c>
      <c r="V190" s="148">
        <v>3.2000000000000001E-2</v>
      </c>
      <c r="W190" s="148" t="s">
        <v>1819</v>
      </c>
      <c r="X190" s="148">
        <v>3.9E-2</v>
      </c>
      <c r="Y190" s="148"/>
      <c r="Z190" s="148"/>
      <c r="AA190" s="148"/>
      <c r="AB190" s="148"/>
      <c r="AC190" s="148"/>
      <c r="AD190" s="148"/>
      <c r="AE190" s="148"/>
      <c r="AF190" s="148"/>
      <c r="AG190" s="148"/>
      <c r="AH190" s="148"/>
    </row>
    <row r="191" spans="1:37" ht="20.100000000000001" customHeight="1" x14ac:dyDescent="0.2">
      <c r="D191" s="148" t="s">
        <v>1845</v>
      </c>
      <c r="E191" s="148" t="s">
        <v>1946</v>
      </c>
      <c r="F191" s="148" t="s">
        <v>757</v>
      </c>
      <c r="G191" s="148">
        <v>1</v>
      </c>
      <c r="H191" s="148"/>
      <c r="I191" s="148"/>
      <c r="J191" s="148"/>
      <c r="K191" s="148">
        <v>25.9</v>
      </c>
      <c r="L191" s="148">
        <v>3.9</v>
      </c>
      <c r="M191" s="148">
        <v>15.9</v>
      </c>
      <c r="N191" s="148">
        <v>0.3</v>
      </c>
      <c r="O191" s="148" t="s">
        <v>1779</v>
      </c>
      <c r="P191" s="148">
        <v>0.25900000000000001</v>
      </c>
      <c r="Q191" s="148" t="s">
        <v>1781</v>
      </c>
      <c r="R191" s="148">
        <v>3.9E-2</v>
      </c>
      <c r="S191" s="148" t="s">
        <v>725</v>
      </c>
      <c r="T191" s="148">
        <v>0.159</v>
      </c>
      <c r="U191" s="148" t="s">
        <v>726</v>
      </c>
      <c r="V191" s="148">
        <v>3.0000000000000001E-3</v>
      </c>
      <c r="W191" s="148"/>
      <c r="X191" s="148"/>
      <c r="Y191" s="148"/>
      <c r="Z191" s="148"/>
      <c r="AA191" s="148"/>
      <c r="AB191" s="148"/>
      <c r="AC191" s="148"/>
      <c r="AD191" s="148"/>
      <c r="AE191" s="148"/>
      <c r="AF191" s="148"/>
      <c r="AG191" s="148"/>
      <c r="AH191" s="148"/>
    </row>
    <row r="192" spans="1:37" ht="20.100000000000001" customHeight="1" x14ac:dyDescent="0.2">
      <c r="D192" s="148" t="s">
        <v>1884</v>
      </c>
      <c r="E192" s="148" t="s">
        <v>1947</v>
      </c>
      <c r="F192" s="148" t="s">
        <v>757</v>
      </c>
      <c r="G192" s="148">
        <v>1</v>
      </c>
      <c r="H192" s="148"/>
      <c r="I192" s="148"/>
      <c r="J192" s="148"/>
      <c r="K192" s="148">
        <v>15.6</v>
      </c>
      <c r="L192" s="148">
        <v>6.37</v>
      </c>
      <c r="M192" s="148">
        <v>12.45</v>
      </c>
      <c r="N192" s="148">
        <v>2.6</v>
      </c>
      <c r="O192" s="148" t="s">
        <v>1776</v>
      </c>
      <c r="P192" s="148">
        <v>5.8000000000000003E-2</v>
      </c>
      <c r="Q192" s="148" t="s">
        <v>1774</v>
      </c>
      <c r="R192" s="148">
        <v>9.8000000000000004E-2</v>
      </c>
      <c r="S192" s="148" t="s">
        <v>1781</v>
      </c>
      <c r="T192" s="148">
        <v>6.3714000000000007E-2</v>
      </c>
      <c r="U192" s="148" t="s">
        <v>725</v>
      </c>
      <c r="V192" s="148">
        <v>0.124515</v>
      </c>
      <c r="W192" s="148" t="s">
        <v>726</v>
      </c>
      <c r="X192" s="148">
        <v>2.5999999999999999E-2</v>
      </c>
      <c r="Y192" s="148"/>
      <c r="Z192" s="148"/>
      <c r="AA192" s="148"/>
      <c r="AB192" s="148"/>
      <c r="AC192" s="148"/>
      <c r="AD192" s="148"/>
      <c r="AE192" s="148"/>
      <c r="AF192" s="148"/>
      <c r="AG192" s="148"/>
      <c r="AH192" s="148"/>
    </row>
    <row r="193" spans="4:34" ht="20.100000000000001" customHeight="1" x14ac:dyDescent="0.2">
      <c r="D193" s="148" t="s">
        <v>1948</v>
      </c>
      <c r="E193" s="148" t="s">
        <v>1949</v>
      </c>
      <c r="F193" s="148" t="s">
        <v>757</v>
      </c>
      <c r="G193" s="148">
        <v>1</v>
      </c>
      <c r="H193" s="148"/>
      <c r="I193" s="148"/>
      <c r="J193" s="148"/>
      <c r="K193" s="148">
        <v>11.15</v>
      </c>
      <c r="L193" s="148">
        <v>17.52</v>
      </c>
      <c r="M193" s="148"/>
      <c r="N193" s="148">
        <v>3.6</v>
      </c>
      <c r="O193" s="148" t="s">
        <v>1765</v>
      </c>
      <c r="P193" s="148">
        <v>0.8</v>
      </c>
      <c r="Q193" s="148" t="s">
        <v>1769</v>
      </c>
      <c r="R193" s="148">
        <v>0.15</v>
      </c>
      <c r="S193" s="148" t="s">
        <v>1830</v>
      </c>
      <c r="T193" s="148" t="s">
        <v>351</v>
      </c>
      <c r="U193" s="148" t="s">
        <v>1874</v>
      </c>
      <c r="V193" s="148" t="s">
        <v>351</v>
      </c>
      <c r="W193" s="148" t="s">
        <v>1827</v>
      </c>
      <c r="X193" s="148" t="s">
        <v>351</v>
      </c>
      <c r="Y193" s="148"/>
      <c r="Z193" s="148"/>
      <c r="AA193" s="148"/>
      <c r="AB193" s="148"/>
      <c r="AC193" s="148"/>
      <c r="AD193" s="148"/>
      <c r="AE193" s="148"/>
      <c r="AF193" s="148"/>
      <c r="AG193" s="148"/>
      <c r="AH193" s="148"/>
    </row>
    <row r="194" spans="4:34" ht="20.100000000000001" customHeight="1" x14ac:dyDescent="0.2">
      <c r="D194" s="148" t="s">
        <v>1948</v>
      </c>
      <c r="E194" s="148" t="s">
        <v>1950</v>
      </c>
      <c r="F194" s="148" t="s">
        <v>757</v>
      </c>
      <c r="G194" s="148">
        <v>1</v>
      </c>
      <c r="H194" s="148"/>
      <c r="I194" s="148"/>
      <c r="J194" s="148"/>
      <c r="K194" s="148"/>
      <c r="L194" s="148">
        <v>5.5</v>
      </c>
      <c r="M194" s="148">
        <v>15</v>
      </c>
      <c r="N194" s="148">
        <v>6.88</v>
      </c>
      <c r="O194" s="148" t="s">
        <v>1789</v>
      </c>
      <c r="P194" s="148">
        <v>0.625</v>
      </c>
      <c r="Q194" s="148" t="s">
        <v>1787</v>
      </c>
      <c r="R194" s="148">
        <v>0.3</v>
      </c>
      <c r="S194" s="148"/>
      <c r="T194" s="148"/>
      <c r="U194" s="148"/>
      <c r="V194" s="148"/>
      <c r="W194" s="148"/>
      <c r="X194" s="148"/>
      <c r="Y194" s="148"/>
      <c r="Z194" s="148"/>
      <c r="AA194" s="148"/>
      <c r="AB194" s="148"/>
      <c r="AC194" s="148"/>
      <c r="AD194" s="148"/>
      <c r="AE194" s="148"/>
      <c r="AF194" s="148"/>
      <c r="AG194" s="148"/>
      <c r="AH194" s="148"/>
    </row>
    <row r="195" spans="4:34" ht="20.100000000000001" customHeight="1" x14ac:dyDescent="0.2">
      <c r="D195" s="148" t="s">
        <v>1951</v>
      </c>
      <c r="E195" s="148" t="s">
        <v>1952</v>
      </c>
      <c r="F195" s="148" t="s">
        <v>757</v>
      </c>
      <c r="G195" s="148">
        <v>1</v>
      </c>
      <c r="H195" s="148"/>
      <c r="I195" s="148"/>
      <c r="J195" s="148"/>
      <c r="K195" s="148">
        <v>27</v>
      </c>
      <c r="L195" s="148"/>
      <c r="M195" s="148"/>
      <c r="N195" s="148"/>
      <c r="O195" s="148" t="s">
        <v>1773</v>
      </c>
      <c r="P195" s="148">
        <v>1</v>
      </c>
      <c r="Q195" s="148"/>
      <c r="R195" s="148"/>
      <c r="S195" s="148"/>
      <c r="T195" s="148"/>
      <c r="U195" s="148"/>
      <c r="V195" s="148"/>
      <c r="W195" s="148"/>
      <c r="X195" s="148"/>
      <c r="Y195" s="148"/>
      <c r="Z195" s="148"/>
      <c r="AA195" s="148"/>
      <c r="AB195" s="148"/>
      <c r="AC195" s="148"/>
      <c r="AD195" s="148"/>
      <c r="AE195" s="148"/>
      <c r="AF195" s="148"/>
      <c r="AG195" s="148"/>
      <c r="AH195" s="148"/>
    </row>
    <row r="196" spans="4:34" ht="20.100000000000001" customHeight="1" x14ac:dyDescent="0.2">
      <c r="D196" s="148" t="s">
        <v>1845</v>
      </c>
      <c r="E196" s="148" t="s">
        <v>1953</v>
      </c>
      <c r="F196" s="148" t="s">
        <v>757</v>
      </c>
      <c r="G196" s="148">
        <v>1</v>
      </c>
      <c r="H196" s="148"/>
      <c r="I196" s="148"/>
      <c r="J196" s="148"/>
      <c r="K196" s="148">
        <v>20.6</v>
      </c>
      <c r="L196" s="148">
        <v>3</v>
      </c>
      <c r="M196" s="148">
        <v>7.5</v>
      </c>
      <c r="N196" s="148">
        <v>3.8</v>
      </c>
      <c r="O196" s="148" t="s">
        <v>1776</v>
      </c>
      <c r="P196" s="148">
        <v>6.4000000000000001E-2</v>
      </c>
      <c r="Q196" s="148" t="s">
        <v>1774</v>
      </c>
      <c r="R196" s="148">
        <v>0.14199999999999999</v>
      </c>
      <c r="S196" s="148" t="s">
        <v>1781</v>
      </c>
      <c r="T196" s="148">
        <v>0.03</v>
      </c>
      <c r="U196" s="148" t="s">
        <v>725</v>
      </c>
      <c r="V196" s="148">
        <v>7.4999999999999997E-2</v>
      </c>
      <c r="W196" s="148" t="s">
        <v>726</v>
      </c>
      <c r="X196" s="148">
        <v>3.7999999999999999E-2</v>
      </c>
      <c r="Y196" s="148" t="s">
        <v>1819</v>
      </c>
      <c r="Z196" s="148">
        <v>4.3999999999999997E-2</v>
      </c>
      <c r="AA196" s="148"/>
      <c r="AB196" s="148"/>
      <c r="AC196" s="148"/>
      <c r="AD196" s="148"/>
      <c r="AE196" s="148"/>
      <c r="AF196" s="148"/>
      <c r="AG196" s="148"/>
      <c r="AH196" s="148"/>
    </row>
    <row r="197" spans="4:34" ht="20.100000000000001" customHeight="1" x14ac:dyDescent="0.2">
      <c r="D197" s="148" t="s">
        <v>1845</v>
      </c>
      <c r="E197" s="148" t="s">
        <v>1954</v>
      </c>
      <c r="F197" s="148" t="s">
        <v>757</v>
      </c>
      <c r="G197" s="148">
        <v>1</v>
      </c>
      <c r="H197" s="148"/>
      <c r="I197" s="148"/>
      <c r="J197" s="148"/>
      <c r="K197" s="148">
        <v>17.8</v>
      </c>
      <c r="L197" s="148">
        <v>1</v>
      </c>
      <c r="M197" s="148">
        <v>15</v>
      </c>
      <c r="N197" s="148">
        <v>2.5</v>
      </c>
      <c r="O197" s="148" t="s">
        <v>1776</v>
      </c>
      <c r="P197" s="148">
        <v>5.5E-2</v>
      </c>
      <c r="Q197" s="148" t="s">
        <v>1774</v>
      </c>
      <c r="R197" s="148">
        <v>0.123</v>
      </c>
      <c r="S197" s="148" t="s">
        <v>1781</v>
      </c>
      <c r="T197" s="148">
        <v>0.01</v>
      </c>
      <c r="U197" s="148" t="s">
        <v>725</v>
      </c>
      <c r="V197" s="148">
        <v>0.15</v>
      </c>
      <c r="W197" s="148" t="s">
        <v>726</v>
      </c>
      <c r="X197" s="148">
        <v>2.5000000000000001E-2</v>
      </c>
      <c r="Y197" s="148" t="s">
        <v>1819</v>
      </c>
      <c r="Z197" s="148">
        <v>4.3999999999999997E-2</v>
      </c>
      <c r="AA197" s="148"/>
      <c r="AB197" s="148"/>
      <c r="AC197" s="148"/>
      <c r="AD197" s="148"/>
      <c r="AE197" s="148"/>
      <c r="AF197" s="148"/>
      <c r="AG197" s="148"/>
      <c r="AH197" s="148"/>
    </row>
    <row r="198" spans="4:34" ht="20.100000000000001" customHeight="1" x14ac:dyDescent="0.2">
      <c r="D198" s="148" t="s">
        <v>1955</v>
      </c>
      <c r="E198" s="148" t="s">
        <v>1956</v>
      </c>
      <c r="F198" s="148" t="s">
        <v>757</v>
      </c>
      <c r="G198" s="148">
        <v>1</v>
      </c>
      <c r="H198" s="148"/>
      <c r="I198" s="148"/>
      <c r="J198" s="148"/>
      <c r="K198" s="148">
        <v>10</v>
      </c>
      <c r="L198" s="148">
        <v>22</v>
      </c>
      <c r="M198" s="148"/>
      <c r="N198" s="148">
        <v>1.5</v>
      </c>
      <c r="O198" s="148" t="s">
        <v>1779</v>
      </c>
      <c r="P198" s="148">
        <v>0.1</v>
      </c>
      <c r="Q198" s="148" t="s">
        <v>1781</v>
      </c>
      <c r="R198" s="148">
        <v>0.22</v>
      </c>
      <c r="S198" s="148" t="s">
        <v>726</v>
      </c>
      <c r="T198" s="148">
        <v>1.4999999999999999E-2</v>
      </c>
      <c r="U198" s="148" t="s">
        <v>1827</v>
      </c>
      <c r="V198" s="148">
        <v>0.01</v>
      </c>
      <c r="W198" s="148"/>
      <c r="X198" s="148"/>
      <c r="Y198" s="148"/>
      <c r="Z198" s="148"/>
      <c r="AA198" s="148"/>
      <c r="AB198" s="148"/>
      <c r="AC198" s="148"/>
      <c r="AD198" s="148"/>
      <c r="AE198" s="148"/>
      <c r="AF198" s="148"/>
      <c r="AG198" s="148"/>
      <c r="AH198" s="148"/>
    </row>
    <row r="199" spans="4:34" ht="20.100000000000001" customHeight="1" x14ac:dyDescent="0.2">
      <c r="D199" s="148" t="s">
        <v>1955</v>
      </c>
      <c r="E199" s="148" t="s">
        <v>1957</v>
      </c>
      <c r="F199" s="148" t="s">
        <v>757</v>
      </c>
      <c r="G199" s="148">
        <v>1</v>
      </c>
      <c r="H199" s="148"/>
      <c r="I199" s="148"/>
      <c r="J199" s="148"/>
      <c r="K199" s="148"/>
      <c r="L199" s="148">
        <v>15.7</v>
      </c>
      <c r="M199" s="148"/>
      <c r="N199" s="148">
        <v>4.5999999999999996</v>
      </c>
      <c r="O199" s="148" t="s">
        <v>1781</v>
      </c>
      <c r="P199" s="148">
        <v>0.157</v>
      </c>
      <c r="Q199" s="148" t="s">
        <v>726</v>
      </c>
      <c r="R199" s="148">
        <v>4.5999999999999999E-2</v>
      </c>
      <c r="S199" s="148" t="s">
        <v>1819</v>
      </c>
      <c r="T199" s="148">
        <v>0.14000000000000001</v>
      </c>
      <c r="U199" s="148"/>
      <c r="V199" s="148"/>
      <c r="W199" s="148"/>
      <c r="X199" s="148"/>
      <c r="Y199" s="148"/>
      <c r="Z199" s="148"/>
      <c r="AA199" s="148"/>
      <c r="AB199" s="148"/>
      <c r="AC199" s="148"/>
      <c r="AD199" s="148"/>
      <c r="AE199" s="148"/>
      <c r="AF199" s="148"/>
      <c r="AG199" s="148"/>
      <c r="AH199" s="148"/>
    </row>
    <row r="200" spans="4:34" ht="20.100000000000001" customHeight="1" x14ac:dyDescent="0.2">
      <c r="D200" s="148" t="s">
        <v>1955</v>
      </c>
      <c r="E200" s="148" t="s">
        <v>1958</v>
      </c>
      <c r="F200" s="148" t="s">
        <v>757</v>
      </c>
      <c r="G200" s="148">
        <v>1</v>
      </c>
      <c r="H200" s="148"/>
      <c r="I200" s="148"/>
      <c r="J200" s="148"/>
      <c r="K200" s="148"/>
      <c r="L200" s="148"/>
      <c r="M200" s="148"/>
      <c r="N200" s="148">
        <v>90</v>
      </c>
      <c r="O200" s="148" t="s">
        <v>726</v>
      </c>
      <c r="P200" s="148">
        <v>0.9</v>
      </c>
      <c r="Q200" s="148"/>
      <c r="R200" s="148"/>
      <c r="S200" s="148"/>
      <c r="T200" s="148"/>
      <c r="U200" s="148"/>
      <c r="V200" s="148"/>
      <c r="W200" s="148"/>
      <c r="X200" s="148"/>
      <c r="Y200" s="148"/>
      <c r="Z200" s="148"/>
      <c r="AA200" s="148"/>
      <c r="AB200" s="148"/>
      <c r="AC200" s="148"/>
      <c r="AD200" s="148"/>
      <c r="AE200" s="148"/>
      <c r="AF200" s="148"/>
      <c r="AG200" s="148"/>
      <c r="AH200" s="148"/>
    </row>
    <row r="201" spans="4:34" ht="20.100000000000001" customHeight="1" x14ac:dyDescent="0.2">
      <c r="D201" s="148" t="s">
        <v>1955</v>
      </c>
      <c r="E201" s="148" t="s">
        <v>1959</v>
      </c>
      <c r="F201" s="148" t="s">
        <v>757</v>
      </c>
      <c r="G201" s="148">
        <v>1</v>
      </c>
      <c r="H201" s="148"/>
      <c r="I201" s="148"/>
      <c r="J201" s="148"/>
      <c r="K201" s="148">
        <v>19.5</v>
      </c>
      <c r="L201" s="148">
        <v>0.7</v>
      </c>
      <c r="M201" s="148"/>
      <c r="N201" s="148">
        <v>23</v>
      </c>
      <c r="O201" s="148" t="s">
        <v>1779</v>
      </c>
      <c r="P201" s="148">
        <v>0.19500000000000001</v>
      </c>
      <c r="Q201" s="148" t="s">
        <v>1781</v>
      </c>
      <c r="R201" s="148">
        <v>7.0000000000000001E-3</v>
      </c>
      <c r="S201" s="148" t="s">
        <v>726</v>
      </c>
      <c r="T201" s="148">
        <v>0.23</v>
      </c>
      <c r="U201" s="148"/>
      <c r="V201" s="148"/>
      <c r="W201" s="148"/>
      <c r="X201" s="148"/>
      <c r="Y201" s="148"/>
      <c r="Z201" s="148"/>
      <c r="AA201" s="148"/>
      <c r="AB201" s="148"/>
      <c r="AC201" s="148"/>
      <c r="AD201" s="148"/>
      <c r="AE201" s="148"/>
      <c r="AF201" s="148"/>
      <c r="AG201" s="148"/>
      <c r="AH201" s="148"/>
    </row>
    <row r="202" spans="4:34" ht="20.100000000000001" customHeight="1" x14ac:dyDescent="0.2">
      <c r="D202" s="148" t="s">
        <v>1955</v>
      </c>
      <c r="E202" s="148" t="s">
        <v>1960</v>
      </c>
      <c r="F202" s="148" t="s">
        <v>757</v>
      </c>
      <c r="G202" s="148">
        <v>1</v>
      </c>
      <c r="H202" s="148"/>
      <c r="I202" s="148"/>
      <c r="J202" s="148"/>
      <c r="K202" s="148">
        <v>10</v>
      </c>
      <c r="L202" s="148">
        <v>18</v>
      </c>
      <c r="M202" s="148"/>
      <c r="N202" s="148">
        <v>8</v>
      </c>
      <c r="O202" s="148" t="s">
        <v>1779</v>
      </c>
      <c r="P202" s="148">
        <v>0.1</v>
      </c>
      <c r="Q202" s="148" t="s">
        <v>1781</v>
      </c>
      <c r="R202" s="148">
        <v>0.18</v>
      </c>
      <c r="S202" s="148" t="s">
        <v>726</v>
      </c>
      <c r="T202" s="148">
        <v>0.08</v>
      </c>
      <c r="U202" s="148" t="s">
        <v>1827</v>
      </c>
      <c r="V202" s="148">
        <v>5.0000000000000001E-3</v>
      </c>
      <c r="W202" s="148"/>
      <c r="X202" s="148"/>
      <c r="Y202" s="148"/>
      <c r="Z202" s="148"/>
      <c r="AA202" s="148"/>
      <c r="AB202" s="148"/>
      <c r="AC202" s="148"/>
      <c r="AD202" s="148"/>
      <c r="AE202" s="148"/>
      <c r="AF202" s="148"/>
      <c r="AG202" s="148"/>
      <c r="AH202" s="148"/>
    </row>
    <row r="203" spans="4:34" ht="20.100000000000001" customHeight="1" x14ac:dyDescent="0.2">
      <c r="D203" s="148" t="s">
        <v>1955</v>
      </c>
      <c r="E203" s="148" t="s">
        <v>1961</v>
      </c>
      <c r="F203" s="148" t="s">
        <v>757</v>
      </c>
      <c r="G203" s="148">
        <v>1</v>
      </c>
      <c r="H203" s="148"/>
      <c r="I203" s="148"/>
      <c r="J203" s="148"/>
      <c r="K203" s="148">
        <v>9</v>
      </c>
      <c r="L203" s="148">
        <v>19.8</v>
      </c>
      <c r="M203" s="148">
        <v>0</v>
      </c>
      <c r="N203" s="148">
        <v>10.4</v>
      </c>
      <c r="O203" s="148" t="s">
        <v>1779</v>
      </c>
      <c r="P203" s="148">
        <v>0.09</v>
      </c>
      <c r="Q203" s="148" t="s">
        <v>1781</v>
      </c>
      <c r="R203" s="148">
        <v>0.19800000000000001</v>
      </c>
      <c r="S203" s="148" t="s">
        <v>726</v>
      </c>
      <c r="T203" s="148">
        <v>0.104</v>
      </c>
      <c r="U203" s="148"/>
      <c r="V203" s="148"/>
      <c r="W203" s="148"/>
      <c r="X203" s="148"/>
      <c r="Y203" s="148"/>
      <c r="Z203" s="148"/>
      <c r="AA203" s="148"/>
      <c r="AB203" s="148"/>
      <c r="AC203" s="148"/>
      <c r="AD203" s="148"/>
      <c r="AE203" s="148"/>
      <c r="AF203" s="148"/>
      <c r="AG203" s="148"/>
      <c r="AH203" s="148"/>
    </row>
    <row r="204" spans="4:34" ht="20.100000000000001" customHeight="1" x14ac:dyDescent="0.2">
      <c r="D204" s="148" t="s">
        <v>1955</v>
      </c>
      <c r="E204" s="148" t="s">
        <v>1962</v>
      </c>
      <c r="F204" s="148" t="s">
        <v>757</v>
      </c>
      <c r="G204" s="148">
        <v>1</v>
      </c>
      <c r="H204" s="148"/>
      <c r="I204" s="148"/>
      <c r="J204" s="148"/>
      <c r="K204" s="148">
        <v>15.2</v>
      </c>
      <c r="L204" s="148">
        <v>16.899999999999999</v>
      </c>
      <c r="M204" s="148">
        <v>0</v>
      </c>
      <c r="N204" s="148">
        <v>15.2</v>
      </c>
      <c r="O204" s="148" t="s">
        <v>1779</v>
      </c>
      <c r="P204" s="148">
        <v>0.152</v>
      </c>
      <c r="Q204" s="148" t="s">
        <v>1781</v>
      </c>
      <c r="R204" s="148">
        <v>0.16900000000000001</v>
      </c>
      <c r="S204" s="148" t="s">
        <v>726</v>
      </c>
      <c r="T204" s="148">
        <v>0.152</v>
      </c>
      <c r="U204" s="148"/>
      <c r="V204" s="148"/>
      <c r="W204" s="148"/>
      <c r="X204" s="148"/>
      <c r="Y204" s="148"/>
      <c r="Z204" s="148"/>
      <c r="AA204" s="148"/>
      <c r="AB204" s="148"/>
      <c r="AC204" s="148"/>
      <c r="AD204" s="148"/>
      <c r="AE204" s="148"/>
      <c r="AF204" s="148"/>
      <c r="AG204" s="148"/>
      <c r="AH204" s="148"/>
    </row>
    <row r="205" spans="4:34" ht="20.100000000000001" customHeight="1" x14ac:dyDescent="0.2">
      <c r="D205" s="148" t="s">
        <v>1955</v>
      </c>
      <c r="E205" s="148" t="s">
        <v>1963</v>
      </c>
      <c r="F205" s="148" t="s">
        <v>757</v>
      </c>
      <c r="G205" s="148">
        <v>1</v>
      </c>
      <c r="H205" s="148"/>
      <c r="I205" s="148"/>
      <c r="J205" s="148"/>
      <c r="K205" s="148">
        <v>16.2</v>
      </c>
      <c r="L205" s="148">
        <v>18</v>
      </c>
      <c r="M205" s="148">
        <v>0</v>
      </c>
      <c r="N205" s="148">
        <v>10.4</v>
      </c>
      <c r="O205" s="148" t="s">
        <v>1779</v>
      </c>
      <c r="P205" s="148">
        <v>0.16200000000000001</v>
      </c>
      <c r="Q205" s="148" t="s">
        <v>1781</v>
      </c>
      <c r="R205" s="148">
        <v>0.18</v>
      </c>
      <c r="S205" s="148" t="s">
        <v>726</v>
      </c>
      <c r="T205" s="148">
        <v>0.104</v>
      </c>
      <c r="U205" s="148"/>
      <c r="V205" s="148"/>
      <c r="W205" s="148"/>
      <c r="X205" s="148"/>
      <c r="Y205" s="148"/>
      <c r="Z205" s="148"/>
      <c r="AA205" s="148"/>
      <c r="AB205" s="148"/>
      <c r="AC205" s="148"/>
      <c r="AD205" s="148"/>
      <c r="AE205" s="148"/>
      <c r="AF205" s="148"/>
      <c r="AG205" s="148"/>
      <c r="AH205" s="148"/>
    </row>
    <row r="206" spans="4:34" ht="20.100000000000001" customHeight="1" x14ac:dyDescent="0.2">
      <c r="D206" s="148" t="s">
        <v>1955</v>
      </c>
      <c r="E206" s="148" t="s">
        <v>1964</v>
      </c>
      <c r="F206" s="148" t="s">
        <v>757</v>
      </c>
      <c r="G206" s="148">
        <v>1</v>
      </c>
      <c r="H206" s="148"/>
      <c r="I206" s="148"/>
      <c r="J206" s="148"/>
      <c r="K206" s="148">
        <v>5</v>
      </c>
      <c r="L206" s="148">
        <v>15.4</v>
      </c>
      <c r="M206" s="148">
        <v>0</v>
      </c>
      <c r="N206" s="148">
        <v>6.3</v>
      </c>
      <c r="O206" s="148" t="s">
        <v>1779</v>
      </c>
      <c r="P206" s="148">
        <v>0.05</v>
      </c>
      <c r="Q206" s="148" t="s">
        <v>1781</v>
      </c>
      <c r="R206" s="148">
        <v>0.154</v>
      </c>
      <c r="S206" s="148" t="s">
        <v>726</v>
      </c>
      <c r="T206" s="148">
        <v>6.3E-2</v>
      </c>
      <c r="U206" s="148"/>
      <c r="V206" s="148"/>
      <c r="W206" s="148"/>
      <c r="X206" s="148"/>
      <c r="Y206" s="148"/>
      <c r="Z206" s="148"/>
      <c r="AA206" s="148"/>
      <c r="AB206" s="148"/>
      <c r="AC206" s="148"/>
      <c r="AD206" s="148"/>
      <c r="AE206" s="148"/>
      <c r="AF206" s="148"/>
      <c r="AG206" s="148"/>
      <c r="AH206" s="148"/>
    </row>
    <row r="207" spans="4:34" ht="20.100000000000001" customHeight="1" x14ac:dyDescent="0.2">
      <c r="D207" s="148" t="s">
        <v>1955</v>
      </c>
      <c r="E207" s="148" t="s">
        <v>1965</v>
      </c>
      <c r="F207" s="148" t="s">
        <v>757</v>
      </c>
      <c r="G207" s="148">
        <v>1</v>
      </c>
      <c r="H207" s="148"/>
      <c r="I207" s="148"/>
      <c r="J207" s="148"/>
      <c r="K207" s="148">
        <v>9</v>
      </c>
      <c r="L207" s="148">
        <v>19.8</v>
      </c>
      <c r="M207" s="148">
        <v>0</v>
      </c>
      <c r="N207" s="148">
        <v>10.4</v>
      </c>
      <c r="O207" s="148" t="s">
        <v>1779</v>
      </c>
      <c r="P207" s="148">
        <v>0.09</v>
      </c>
      <c r="Q207" s="148" t="s">
        <v>1781</v>
      </c>
      <c r="R207" s="148">
        <v>0.19800000000000001</v>
      </c>
      <c r="S207" s="148" t="s">
        <v>726</v>
      </c>
      <c r="T207" s="148">
        <v>0.104</v>
      </c>
      <c r="U207" s="148" t="s">
        <v>1827</v>
      </c>
      <c r="V207" s="148">
        <v>8.9999999999999993E-3</v>
      </c>
      <c r="W207" s="148"/>
      <c r="X207" s="148"/>
      <c r="Y207" s="148"/>
      <c r="Z207" s="148"/>
      <c r="AA207" s="148"/>
      <c r="AB207" s="148"/>
      <c r="AC207" s="148"/>
      <c r="AD207" s="148"/>
      <c r="AE207" s="148"/>
      <c r="AF207" s="148"/>
      <c r="AG207" s="148"/>
      <c r="AH207" s="148"/>
    </row>
    <row r="208" spans="4:34" ht="20.100000000000001" customHeight="1" x14ac:dyDescent="0.2">
      <c r="D208" s="148" t="s">
        <v>1955</v>
      </c>
      <c r="E208" s="148" t="s">
        <v>1966</v>
      </c>
      <c r="F208" s="148" t="s">
        <v>757</v>
      </c>
      <c r="G208" s="148">
        <v>1</v>
      </c>
      <c r="H208" s="148"/>
      <c r="I208" s="148"/>
      <c r="J208" s="148"/>
      <c r="K208" s="148">
        <v>11.9</v>
      </c>
      <c r="L208" s="148">
        <v>17.600000000000001</v>
      </c>
      <c r="M208" s="148">
        <v>0</v>
      </c>
      <c r="N208" s="148">
        <v>5.9</v>
      </c>
      <c r="O208" s="148" t="s">
        <v>1779</v>
      </c>
      <c r="P208" s="148">
        <v>0.11899999999999999</v>
      </c>
      <c r="Q208" s="148" t="s">
        <v>1781</v>
      </c>
      <c r="R208" s="148">
        <v>0.17599999999999999</v>
      </c>
      <c r="S208" s="148" t="s">
        <v>726</v>
      </c>
      <c r="T208" s="148">
        <v>5.8999999999999997E-2</v>
      </c>
      <c r="U208" s="148" t="s">
        <v>1827</v>
      </c>
      <c r="V208" s="148">
        <v>8.0000000000000002E-3</v>
      </c>
      <c r="W208" s="148"/>
      <c r="X208" s="148"/>
      <c r="Y208" s="148"/>
      <c r="Z208" s="148"/>
      <c r="AA208" s="148"/>
      <c r="AB208" s="148"/>
      <c r="AC208" s="148"/>
      <c r="AD208" s="148"/>
      <c r="AE208" s="148"/>
      <c r="AF208" s="148"/>
      <c r="AG208" s="148"/>
      <c r="AH208" s="148"/>
    </row>
    <row r="209" spans="1:34" ht="20.100000000000001" customHeight="1" x14ac:dyDescent="0.2">
      <c r="D209" s="148" t="s">
        <v>1955</v>
      </c>
      <c r="E209" s="148" t="s">
        <v>1967</v>
      </c>
      <c r="F209" s="148" t="s">
        <v>757</v>
      </c>
      <c r="G209" s="148">
        <v>1</v>
      </c>
      <c r="H209" s="148"/>
      <c r="I209" s="148"/>
      <c r="J209" s="148"/>
      <c r="K209" s="148">
        <v>14.1</v>
      </c>
      <c r="L209" s="148">
        <v>12.8</v>
      </c>
      <c r="M209" s="148">
        <v>0</v>
      </c>
      <c r="N209" s="148">
        <v>10.7</v>
      </c>
      <c r="O209" s="148" t="s">
        <v>1779</v>
      </c>
      <c r="P209" s="148">
        <v>0.14099999999999999</v>
      </c>
      <c r="Q209" s="148" t="s">
        <v>1781</v>
      </c>
      <c r="R209" s="148">
        <v>0.128</v>
      </c>
      <c r="S209" s="148" t="s">
        <v>726</v>
      </c>
      <c r="T209" s="148">
        <v>0.107</v>
      </c>
      <c r="U209" s="148" t="s">
        <v>1827</v>
      </c>
      <c r="V209" s="148">
        <v>6.0000000000000001E-3</v>
      </c>
      <c r="W209" s="148"/>
      <c r="X209" s="148"/>
      <c r="Y209" s="148"/>
      <c r="Z209" s="148"/>
      <c r="AA209" s="148"/>
      <c r="AB209" s="148"/>
      <c r="AC209" s="148"/>
      <c r="AD209" s="148"/>
      <c r="AE209" s="148"/>
      <c r="AF209" s="148"/>
      <c r="AG209" s="148"/>
      <c r="AH209" s="148"/>
    </row>
    <row r="210" spans="1:34" ht="20.100000000000001" customHeight="1" x14ac:dyDescent="0.2">
      <c r="D210" s="148" t="s">
        <v>1955</v>
      </c>
      <c r="E210" s="148" t="s">
        <v>1968</v>
      </c>
      <c r="F210" s="148" t="s">
        <v>757</v>
      </c>
      <c r="G210" s="148">
        <v>1</v>
      </c>
      <c r="H210" s="148"/>
      <c r="I210" s="148"/>
      <c r="J210" s="148"/>
      <c r="K210" s="148">
        <v>18.600000000000001</v>
      </c>
      <c r="L210" s="148">
        <v>12.7</v>
      </c>
      <c r="M210" s="148">
        <v>0</v>
      </c>
      <c r="N210" s="148">
        <v>6.8</v>
      </c>
      <c r="O210" s="148" t="s">
        <v>1779</v>
      </c>
      <c r="P210" s="148">
        <v>0.186</v>
      </c>
      <c r="Q210" s="148" t="s">
        <v>1781</v>
      </c>
      <c r="R210" s="148">
        <v>0.127</v>
      </c>
      <c r="S210" s="148" t="s">
        <v>726</v>
      </c>
      <c r="T210" s="148">
        <v>6.8000000000000005E-2</v>
      </c>
      <c r="U210" s="148" t="s">
        <v>1827</v>
      </c>
      <c r="V210" s="148">
        <v>6.0000000000000001E-3</v>
      </c>
      <c r="W210" s="148"/>
      <c r="X210" s="148"/>
      <c r="Y210" s="148"/>
      <c r="Z210" s="148"/>
      <c r="AA210" s="148"/>
      <c r="AB210" s="148"/>
      <c r="AC210" s="148"/>
      <c r="AD210" s="148"/>
      <c r="AE210" s="148"/>
      <c r="AF210" s="148"/>
      <c r="AG210" s="148"/>
      <c r="AH210" s="148"/>
    </row>
    <row r="211" spans="1:34" ht="20.100000000000001" customHeight="1" x14ac:dyDescent="0.2">
      <c r="D211" s="148" t="s">
        <v>1955</v>
      </c>
      <c r="E211" s="148" t="s">
        <v>1969</v>
      </c>
      <c r="F211" s="148" t="s">
        <v>757</v>
      </c>
      <c r="G211" s="148">
        <v>1</v>
      </c>
      <c r="H211" s="148"/>
      <c r="I211" s="148"/>
      <c r="J211" s="148"/>
      <c r="K211" s="148">
        <v>32</v>
      </c>
      <c r="L211" s="148">
        <v>0</v>
      </c>
      <c r="M211" s="148">
        <v>11</v>
      </c>
      <c r="N211" s="148">
        <v>3</v>
      </c>
      <c r="O211" s="148" t="s">
        <v>1779</v>
      </c>
      <c r="P211" s="148">
        <v>0.32</v>
      </c>
      <c r="Q211" s="148" t="s">
        <v>725</v>
      </c>
      <c r="R211" s="148">
        <v>0.11</v>
      </c>
      <c r="S211" s="148" t="s">
        <v>726</v>
      </c>
      <c r="T211" s="148">
        <v>0.03</v>
      </c>
      <c r="U211" s="148"/>
      <c r="V211" s="148"/>
      <c r="W211" s="148"/>
      <c r="X211" s="148"/>
      <c r="Y211" s="148"/>
      <c r="Z211" s="148"/>
      <c r="AA211" s="148"/>
      <c r="AB211" s="148"/>
      <c r="AC211" s="148"/>
      <c r="AD211" s="148"/>
      <c r="AE211" s="148"/>
      <c r="AF211" s="148"/>
      <c r="AG211" s="148"/>
      <c r="AH211" s="148"/>
    </row>
    <row r="212" spans="1:34" ht="20.100000000000001" customHeight="1" x14ac:dyDescent="0.2">
      <c r="D212" s="148" t="s">
        <v>1955</v>
      </c>
      <c r="E212" s="148" t="s">
        <v>1970</v>
      </c>
      <c r="F212" s="148" t="s">
        <v>757</v>
      </c>
      <c r="G212" s="148">
        <v>1</v>
      </c>
      <c r="H212" s="148"/>
      <c r="I212" s="148"/>
      <c r="J212" s="148"/>
      <c r="K212" s="148">
        <v>31</v>
      </c>
      <c r="L212" s="148">
        <v>6</v>
      </c>
      <c r="M212" s="148">
        <v>0</v>
      </c>
      <c r="N212" s="148">
        <v>6</v>
      </c>
      <c r="O212" s="148" t="s">
        <v>1779</v>
      </c>
      <c r="P212" s="148">
        <v>0.31</v>
      </c>
      <c r="Q212" s="148" t="s">
        <v>1781</v>
      </c>
      <c r="R212" s="148">
        <v>0.06</v>
      </c>
      <c r="S212" s="148" t="s">
        <v>726</v>
      </c>
      <c r="T212" s="148">
        <v>0.06</v>
      </c>
      <c r="U212" s="148"/>
      <c r="V212" s="148"/>
      <c r="W212" s="148"/>
      <c r="X212" s="148"/>
      <c r="Y212" s="148"/>
      <c r="Z212" s="148"/>
      <c r="AA212" s="148"/>
      <c r="AB212" s="148"/>
      <c r="AC212" s="148"/>
      <c r="AD212" s="148"/>
      <c r="AE212" s="148"/>
      <c r="AF212" s="148"/>
      <c r="AG212" s="148"/>
      <c r="AH212" s="148"/>
    </row>
    <row r="213" spans="1:34" ht="20.100000000000001" customHeight="1" x14ac:dyDescent="0.2">
      <c r="D213" s="148" t="s">
        <v>1955</v>
      </c>
      <c r="E213" s="148" t="s">
        <v>1971</v>
      </c>
      <c r="F213" s="148" t="s">
        <v>757</v>
      </c>
      <c r="G213" s="148">
        <v>1</v>
      </c>
      <c r="H213" s="148"/>
      <c r="I213" s="148"/>
      <c r="J213" s="148"/>
      <c r="K213" s="148">
        <v>21</v>
      </c>
      <c r="L213" s="148">
        <v>4</v>
      </c>
      <c r="M213" s="148">
        <v>8</v>
      </c>
      <c r="N213" s="148">
        <v>7</v>
      </c>
      <c r="O213" s="148" t="s">
        <v>1779</v>
      </c>
      <c r="P213" s="148">
        <v>0.21</v>
      </c>
      <c r="Q213" s="148" t="s">
        <v>1781</v>
      </c>
      <c r="R213" s="148">
        <v>0.04</v>
      </c>
      <c r="S213" s="148" t="s">
        <v>725</v>
      </c>
      <c r="T213" s="148">
        <v>0.08</v>
      </c>
      <c r="U213" s="148" t="s">
        <v>726</v>
      </c>
      <c r="V213" s="148">
        <v>7.0000000000000007E-2</v>
      </c>
      <c r="W213" s="148"/>
      <c r="X213" s="148"/>
      <c r="Y213" s="148"/>
      <c r="Z213" s="148"/>
      <c r="AA213" s="148"/>
      <c r="AB213" s="148"/>
      <c r="AC213" s="148"/>
      <c r="AD213" s="148"/>
      <c r="AE213" s="148"/>
      <c r="AF213" s="148"/>
      <c r="AG213" s="148"/>
      <c r="AH213" s="148"/>
    </row>
    <row r="214" spans="1:34" ht="20.100000000000001" customHeight="1" x14ac:dyDescent="0.2">
      <c r="D214" s="148" t="s">
        <v>1955</v>
      </c>
      <c r="E214" s="148" t="s">
        <v>1972</v>
      </c>
      <c r="F214" s="148" t="s">
        <v>757</v>
      </c>
      <c r="G214" s="148">
        <v>1</v>
      </c>
      <c r="H214" s="148"/>
      <c r="I214" s="148"/>
      <c r="J214" s="148"/>
      <c r="K214" s="148">
        <v>23</v>
      </c>
      <c r="L214" s="148">
        <v>0</v>
      </c>
      <c r="M214" s="148">
        <v>25</v>
      </c>
      <c r="N214" s="148">
        <v>0</v>
      </c>
      <c r="O214" s="148" t="s">
        <v>1779</v>
      </c>
      <c r="P214" s="148">
        <v>0.23</v>
      </c>
      <c r="Q214" s="148" t="s">
        <v>725</v>
      </c>
      <c r="R214" s="148">
        <v>0.25</v>
      </c>
      <c r="S214" s="148"/>
      <c r="T214" s="148"/>
      <c r="U214" s="148"/>
      <c r="V214" s="148"/>
      <c r="W214" s="148"/>
      <c r="X214" s="148"/>
      <c r="Y214" s="148"/>
      <c r="Z214" s="148"/>
      <c r="AA214" s="148"/>
      <c r="AB214" s="148"/>
      <c r="AC214" s="148"/>
      <c r="AD214" s="148"/>
      <c r="AE214" s="148"/>
      <c r="AF214" s="148"/>
      <c r="AG214" s="148"/>
      <c r="AH214" s="148"/>
    </row>
    <row r="215" spans="1:34" ht="20.100000000000001" customHeight="1" x14ac:dyDescent="0.2">
      <c r="D215" s="148" t="s">
        <v>1955</v>
      </c>
      <c r="E215" s="148" t="s">
        <v>1973</v>
      </c>
      <c r="F215" s="148" t="s">
        <v>757</v>
      </c>
      <c r="G215" s="148">
        <v>1</v>
      </c>
      <c r="H215" s="148"/>
      <c r="I215" s="148"/>
      <c r="J215" s="148"/>
      <c r="K215" s="148">
        <v>25</v>
      </c>
      <c r="L215" s="148">
        <v>4</v>
      </c>
      <c r="M215" s="148">
        <v>13</v>
      </c>
      <c r="N215" s="148">
        <v>4</v>
      </c>
      <c r="O215" s="148" t="s">
        <v>1779</v>
      </c>
      <c r="P215" s="148">
        <v>0.25</v>
      </c>
      <c r="Q215" s="148" t="s">
        <v>1781</v>
      </c>
      <c r="R215" s="148">
        <v>0.04</v>
      </c>
      <c r="S215" s="148" t="s">
        <v>725</v>
      </c>
      <c r="T215" s="148">
        <v>0.13</v>
      </c>
      <c r="U215" s="148" t="s">
        <v>726</v>
      </c>
      <c r="V215" s="148">
        <v>0.04</v>
      </c>
      <c r="W215" s="148"/>
      <c r="X215" s="148"/>
      <c r="Y215" s="148"/>
      <c r="Z215" s="148"/>
      <c r="AA215" s="148"/>
      <c r="AB215" s="148"/>
      <c r="AC215" s="148"/>
      <c r="AD215" s="148"/>
      <c r="AE215" s="148"/>
      <c r="AF215" s="148"/>
      <c r="AG215" s="148"/>
      <c r="AH215" s="148"/>
    </row>
    <row r="216" spans="1:34" ht="20.100000000000001" customHeight="1" x14ac:dyDescent="0.2">
      <c r="D216" s="148" t="s">
        <v>1955</v>
      </c>
      <c r="E216" s="148" t="s">
        <v>1974</v>
      </c>
      <c r="F216" s="148" t="s">
        <v>757</v>
      </c>
      <c r="G216" s="148">
        <v>1</v>
      </c>
      <c r="H216" s="148"/>
      <c r="I216" s="148"/>
      <c r="J216" s="148"/>
      <c r="K216" s="148">
        <v>13</v>
      </c>
      <c r="L216" s="148">
        <v>5</v>
      </c>
      <c r="M216" s="148">
        <v>24</v>
      </c>
      <c r="N216" s="148">
        <v>5</v>
      </c>
      <c r="O216" s="148" t="s">
        <v>1779</v>
      </c>
      <c r="P216" s="148">
        <v>0.13</v>
      </c>
      <c r="Q216" s="148" t="s">
        <v>1781</v>
      </c>
      <c r="R216" s="148">
        <v>0.05</v>
      </c>
      <c r="S216" s="148" t="s">
        <v>725</v>
      </c>
      <c r="T216" s="148">
        <v>0.24</v>
      </c>
      <c r="U216" s="148" t="s">
        <v>726</v>
      </c>
      <c r="V216" s="148">
        <v>0.05</v>
      </c>
      <c r="W216" s="148"/>
      <c r="X216" s="148"/>
      <c r="Y216" s="148"/>
      <c r="Z216" s="148"/>
      <c r="AA216" s="148"/>
      <c r="AB216" s="148"/>
      <c r="AC216" s="148"/>
      <c r="AD216" s="148"/>
      <c r="AE216" s="148"/>
      <c r="AF216" s="148"/>
      <c r="AG216" s="148"/>
      <c r="AH216" s="148"/>
    </row>
    <row r="217" spans="1:34" ht="20.100000000000001" customHeight="1" x14ac:dyDescent="0.2">
      <c r="D217" s="148" t="s">
        <v>1955</v>
      </c>
      <c r="E217" s="148" t="s">
        <v>1975</v>
      </c>
      <c r="F217" s="148" t="s">
        <v>757</v>
      </c>
      <c r="G217" s="148">
        <v>1</v>
      </c>
      <c r="H217" s="148"/>
      <c r="I217" s="148"/>
      <c r="J217" s="148"/>
      <c r="K217" s="148">
        <v>11</v>
      </c>
      <c r="L217" s="148">
        <v>5</v>
      </c>
      <c r="M217" s="148">
        <v>24</v>
      </c>
      <c r="N217" s="148">
        <v>4</v>
      </c>
      <c r="O217" s="148" t="s">
        <v>1779</v>
      </c>
      <c r="P217" s="148">
        <v>0.11</v>
      </c>
      <c r="Q217" s="148" t="s">
        <v>1781</v>
      </c>
      <c r="R217" s="148">
        <v>0.05</v>
      </c>
      <c r="S217" s="148" t="s">
        <v>725</v>
      </c>
      <c r="T217" s="148">
        <v>0.24</v>
      </c>
      <c r="U217" s="148" t="s">
        <v>726</v>
      </c>
      <c r="V217" s="148">
        <v>0.04</v>
      </c>
      <c r="W217" s="148"/>
      <c r="X217" s="148"/>
      <c r="Y217" s="148"/>
      <c r="Z217" s="148"/>
      <c r="AA217" s="148"/>
      <c r="AB217" s="148"/>
      <c r="AC217" s="148"/>
      <c r="AD217" s="148"/>
      <c r="AE217" s="148"/>
      <c r="AF217" s="148"/>
      <c r="AG217" s="148"/>
      <c r="AH217" s="148"/>
    </row>
    <row r="218" spans="1:34" ht="20.100000000000001" customHeight="1" x14ac:dyDescent="0.2">
      <c r="A218" s="79" t="str">
        <f>HYPERLINK("#A1", "▲ Back to top")</f>
        <v>▲ Back to top</v>
      </c>
      <c r="D218" s="148" t="s">
        <v>1955</v>
      </c>
      <c r="E218" s="148" t="s">
        <v>1976</v>
      </c>
      <c r="F218" s="148" t="s">
        <v>757</v>
      </c>
      <c r="G218" s="148">
        <v>1</v>
      </c>
      <c r="H218" s="148"/>
      <c r="I218" s="148"/>
      <c r="J218" s="148"/>
      <c r="K218" s="148">
        <v>11</v>
      </c>
      <c r="L218" s="148">
        <v>8</v>
      </c>
      <c r="M218" s="148">
        <v>20</v>
      </c>
      <c r="N218" s="148">
        <v>6</v>
      </c>
      <c r="O218" s="148" t="s">
        <v>1779</v>
      </c>
      <c r="P218" s="148">
        <v>0.11</v>
      </c>
      <c r="Q218" s="148" t="s">
        <v>1781</v>
      </c>
      <c r="R218" s="148">
        <v>0.08</v>
      </c>
      <c r="S218" s="148" t="s">
        <v>725</v>
      </c>
      <c r="T218" s="148">
        <v>0.2</v>
      </c>
      <c r="U218" s="148" t="s">
        <v>726</v>
      </c>
      <c r="V218" s="148">
        <v>0.06</v>
      </c>
      <c r="W218" s="148"/>
      <c r="X218" s="148"/>
      <c r="Y218" s="148"/>
      <c r="Z218" s="148"/>
      <c r="AA218" s="148"/>
      <c r="AB218" s="148"/>
      <c r="AC218" s="148"/>
      <c r="AD218" s="148"/>
      <c r="AE218" s="148"/>
      <c r="AF218" s="148"/>
      <c r="AG218" s="148"/>
      <c r="AH218" s="148"/>
    </row>
    <row r="219" spans="1:34" ht="20.100000000000001" customHeight="1" x14ac:dyDescent="0.2">
      <c r="D219" s="148" t="s">
        <v>1955</v>
      </c>
      <c r="E219" s="148" t="s">
        <v>1977</v>
      </c>
      <c r="F219" s="148" t="s">
        <v>757</v>
      </c>
      <c r="G219" s="148">
        <v>1</v>
      </c>
      <c r="H219" s="148"/>
      <c r="I219" s="148"/>
      <c r="J219" s="148"/>
      <c r="K219" s="148">
        <v>9</v>
      </c>
      <c r="L219" s="148">
        <v>4</v>
      </c>
      <c r="M219" s="148">
        <v>5</v>
      </c>
      <c r="N219" s="148">
        <v>15</v>
      </c>
      <c r="O219" s="148" t="s">
        <v>1779</v>
      </c>
      <c r="P219" s="148">
        <v>0.09</v>
      </c>
      <c r="Q219" s="148" t="s">
        <v>1781</v>
      </c>
      <c r="R219" s="148">
        <v>0.04</v>
      </c>
      <c r="S219" s="148" t="s">
        <v>725</v>
      </c>
      <c r="T219" s="148">
        <v>0.05</v>
      </c>
      <c r="U219" s="148" t="s">
        <v>726</v>
      </c>
      <c r="V219" s="148">
        <v>0.15</v>
      </c>
      <c r="W219" s="148"/>
      <c r="X219" s="148"/>
      <c r="Y219" s="148"/>
      <c r="Z219" s="148"/>
      <c r="AA219" s="148"/>
      <c r="AB219" s="148"/>
      <c r="AC219" s="148"/>
      <c r="AD219" s="148"/>
      <c r="AE219" s="148"/>
      <c r="AF219" s="148"/>
      <c r="AG219" s="148"/>
      <c r="AH219" s="148"/>
    </row>
    <row r="220" spans="1:34" ht="20.100000000000001" customHeight="1" x14ac:dyDescent="0.2">
      <c r="D220" s="148" t="s">
        <v>1948</v>
      </c>
      <c r="E220" s="148" t="s">
        <v>1978</v>
      </c>
      <c r="F220" s="148" t="s">
        <v>757</v>
      </c>
      <c r="G220" s="148">
        <v>1</v>
      </c>
      <c r="H220" s="148"/>
      <c r="I220" s="148"/>
      <c r="J220" s="148"/>
      <c r="K220" s="148">
        <v>10.73</v>
      </c>
      <c r="L220" s="148">
        <v>10.95</v>
      </c>
      <c r="M220" s="148">
        <v>11.35</v>
      </c>
      <c r="N220" s="148">
        <v>6.55</v>
      </c>
      <c r="O220" s="148" t="s">
        <v>1765</v>
      </c>
      <c r="P220" s="148">
        <v>0.5</v>
      </c>
      <c r="Q220" s="148" t="s">
        <v>1769</v>
      </c>
      <c r="R220" s="148">
        <v>0.27300000000000002</v>
      </c>
      <c r="S220" s="148" t="s">
        <v>1787</v>
      </c>
      <c r="T220" s="148">
        <v>0.22700000000000001</v>
      </c>
      <c r="U220" s="148" t="s">
        <v>1830</v>
      </c>
      <c r="V220" s="148" t="s">
        <v>351</v>
      </c>
      <c r="W220" s="148" t="s">
        <v>1827</v>
      </c>
      <c r="X220" s="148" t="s">
        <v>351</v>
      </c>
      <c r="Y220" s="148"/>
      <c r="Z220" s="148"/>
      <c r="AA220" s="148"/>
      <c r="AB220" s="148"/>
      <c r="AC220" s="148"/>
      <c r="AD220" s="148"/>
      <c r="AE220" s="148"/>
      <c r="AF220" s="148"/>
      <c r="AG220" s="148"/>
      <c r="AH220" s="148"/>
    </row>
    <row r="221" spans="1:34" ht="20.100000000000001" customHeight="1" x14ac:dyDescent="0.2">
      <c r="D221" s="148" t="s">
        <v>1948</v>
      </c>
      <c r="E221" s="148" t="s">
        <v>1979</v>
      </c>
      <c r="F221" s="148" t="s">
        <v>757</v>
      </c>
      <c r="G221" s="148">
        <v>1</v>
      </c>
      <c r="H221" s="148"/>
      <c r="I221" s="148"/>
      <c r="J221" s="148"/>
      <c r="K221" s="148">
        <v>16.95</v>
      </c>
      <c r="L221" s="148">
        <v>8.06</v>
      </c>
      <c r="M221" s="148"/>
      <c r="N221" s="148">
        <v>15.17</v>
      </c>
      <c r="O221" s="148" t="s">
        <v>1769</v>
      </c>
      <c r="P221" s="148">
        <v>0.63200000000000001</v>
      </c>
      <c r="Q221" s="148" t="s">
        <v>1765</v>
      </c>
      <c r="R221" s="148">
        <v>0.36799999999999999</v>
      </c>
      <c r="S221" s="148" t="s">
        <v>1827</v>
      </c>
      <c r="T221" s="148" t="s">
        <v>351</v>
      </c>
      <c r="U221" s="148" t="s">
        <v>1830</v>
      </c>
      <c r="V221" s="148" t="s">
        <v>351</v>
      </c>
      <c r="W221" s="148" t="s">
        <v>1874</v>
      </c>
      <c r="X221" s="148" t="s">
        <v>351</v>
      </c>
      <c r="Y221" s="148" t="s">
        <v>1980</v>
      </c>
      <c r="Z221" s="148" t="s">
        <v>351</v>
      </c>
      <c r="AA221" s="148"/>
      <c r="AB221" s="148"/>
      <c r="AC221" s="148"/>
      <c r="AD221" s="148"/>
      <c r="AE221" s="148"/>
      <c r="AF221" s="148"/>
      <c r="AG221" s="148"/>
      <c r="AH221" s="148"/>
    </row>
    <row r="222" spans="1:34" ht="20.100000000000001" customHeight="1" x14ac:dyDescent="0.2">
      <c r="D222" s="148" t="s">
        <v>1948</v>
      </c>
      <c r="E222" s="148" t="s">
        <v>1981</v>
      </c>
      <c r="F222" s="148" t="s">
        <v>757</v>
      </c>
      <c r="G222" s="148">
        <v>1</v>
      </c>
      <c r="H222" s="148"/>
      <c r="I222" s="148"/>
      <c r="J222" s="148"/>
      <c r="K222" s="148"/>
      <c r="L222" s="148">
        <v>8.8000000000000007</v>
      </c>
      <c r="M222" s="148"/>
      <c r="N222" s="148">
        <v>11</v>
      </c>
      <c r="O222" s="148" t="s">
        <v>1789</v>
      </c>
      <c r="P222" s="148">
        <v>1</v>
      </c>
      <c r="Q222" s="148" t="s">
        <v>1830</v>
      </c>
      <c r="R222" s="148">
        <v>6.0000000000000001E-3</v>
      </c>
      <c r="S222" s="148" t="s">
        <v>1827</v>
      </c>
      <c r="T222" s="148">
        <v>3.0000000000000001E-3</v>
      </c>
      <c r="U222" s="148" t="s">
        <v>1874</v>
      </c>
      <c r="V222" s="148">
        <v>5.9999999999999995E-4</v>
      </c>
      <c r="W222" s="148"/>
      <c r="X222" s="148"/>
      <c r="Y222" s="148"/>
      <c r="Z222" s="148"/>
      <c r="AA222" s="148"/>
      <c r="AB222" s="148"/>
      <c r="AC222" s="148"/>
      <c r="AD222" s="148"/>
      <c r="AE222" s="148"/>
      <c r="AF222" s="148"/>
      <c r="AG222" s="148"/>
      <c r="AH222" s="148"/>
    </row>
    <row r="223" spans="1:34" ht="20.100000000000001" customHeight="1" x14ac:dyDescent="0.2">
      <c r="D223" s="148" t="s">
        <v>1948</v>
      </c>
      <c r="E223" s="148" t="s">
        <v>1982</v>
      </c>
      <c r="F223" s="148" t="s">
        <v>662</v>
      </c>
      <c r="G223" s="148">
        <v>1.32</v>
      </c>
      <c r="H223" s="148"/>
      <c r="I223" s="148"/>
      <c r="J223" s="148"/>
      <c r="K223" s="148">
        <v>32</v>
      </c>
      <c r="L223" s="148"/>
      <c r="M223" s="148"/>
      <c r="N223" s="148"/>
      <c r="O223" s="148" t="s">
        <v>1770</v>
      </c>
      <c r="P223" s="148">
        <v>1</v>
      </c>
      <c r="Q223" s="148"/>
      <c r="R223" s="148"/>
      <c r="S223" s="148"/>
      <c r="T223" s="148"/>
      <c r="U223" s="148"/>
      <c r="V223" s="148"/>
      <c r="W223" s="148"/>
      <c r="X223" s="148"/>
      <c r="Y223" s="148"/>
      <c r="Z223" s="148"/>
      <c r="AA223" s="148"/>
      <c r="AB223" s="148"/>
      <c r="AC223" s="148"/>
      <c r="AD223" s="148"/>
      <c r="AE223" s="148"/>
      <c r="AF223" s="148"/>
      <c r="AG223" s="148"/>
      <c r="AH223" s="148"/>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3A63A-D209-4B3F-9994-E143EA3709A5}">
  <sheetPr>
    <tabColor theme="2" tint="-0.499984740745262"/>
  </sheetPr>
  <dimension ref="A1:AI162"/>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0" customFormat="1" ht="30" customHeight="1" x14ac:dyDescent="0.35">
      <c r="A1" s="10" t="e" vm="1">
        <v>#VALUE!</v>
      </c>
      <c r="C1" s="20" t="s">
        <v>637</v>
      </c>
      <c r="AG1"/>
      <c r="AH1"/>
      <c r="AI1"/>
    </row>
    <row r="2" spans="1:35" s="3" customFormat="1" ht="20.100000000000001" customHeight="1" x14ac:dyDescent="0.2">
      <c r="A2"/>
      <c r="AG2"/>
      <c r="AH2"/>
      <c r="AI2"/>
    </row>
    <row r="3" spans="1:35"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
        <v>1983</v>
      </c>
      <c r="E5" s="154"/>
      <c r="F5" s="154"/>
      <c r="G5" s="154"/>
      <c r="H5" s="154"/>
      <c r="I5" s="154"/>
      <c r="J5" s="154"/>
      <c r="K5" s="154"/>
      <c r="L5" s="154"/>
    </row>
    <row r="6" spans="1:35" ht="20.100000000000001" customHeight="1" x14ac:dyDescent="0.2">
      <c r="D6" s="1" t="s">
        <v>1984</v>
      </c>
      <c r="E6" s="154"/>
      <c r="F6" s="154"/>
      <c r="G6" s="154"/>
      <c r="H6" s="154"/>
      <c r="I6" s="154"/>
      <c r="J6" s="154"/>
      <c r="K6" s="154"/>
      <c r="L6" s="154"/>
    </row>
    <row r="7" spans="1:35" ht="20.100000000000001" customHeight="1" x14ac:dyDescent="0.2">
      <c r="D7" s="17" t="s">
        <v>1985</v>
      </c>
      <c r="E7" s="154"/>
      <c r="F7" s="154"/>
      <c r="G7" s="154"/>
      <c r="H7" s="154"/>
      <c r="I7" s="154"/>
      <c r="J7" s="154"/>
      <c r="K7" s="154"/>
      <c r="L7" s="154"/>
    </row>
    <row r="8" spans="1:35" ht="20.100000000000001" customHeight="1" x14ac:dyDescent="0.2">
      <c r="A8" s="7" t="s">
        <v>0</v>
      </c>
      <c r="D8" s="25" t="str" cm="1">
        <f t="array" ref="D8">"⚠️" &amp; Fuel_SourceData.Fuel_Scope1Scope3EmissionFactorsTransport_Variation()</f>
        <v>⚠️VARIATION OF SOURCE DATA: 'NE' values returned as zero for calculations.</v>
      </c>
      <c r="E8" s="154"/>
      <c r="F8" s="154"/>
      <c r="G8" s="154"/>
      <c r="H8" s="154"/>
      <c r="I8" s="154"/>
      <c r="J8" s="154"/>
      <c r="K8" s="154"/>
      <c r="L8" s="154"/>
    </row>
    <row r="9" spans="1:35" ht="20.100000000000001" customHeight="1" x14ac:dyDescent="0.2">
      <c r="A9" s="5" t="str">
        <f>HYPERLINK("#'Input - Enterprise'!A1", "Enterprise")</f>
        <v>Enterprise</v>
      </c>
      <c r="D9" s="181" t="s">
        <v>638</v>
      </c>
      <c r="E9" s="181" t="s">
        <v>639</v>
      </c>
      <c r="F9" s="181" t="s">
        <v>640</v>
      </c>
      <c r="G9" s="181" t="s">
        <v>641</v>
      </c>
      <c r="H9" s="181" t="s">
        <v>642</v>
      </c>
      <c r="I9" s="181" t="s">
        <v>643</v>
      </c>
      <c r="J9" s="181" t="s">
        <v>644</v>
      </c>
      <c r="K9" s="181" t="s">
        <v>645</v>
      </c>
      <c r="L9" s="181" t="s">
        <v>646</v>
      </c>
    </row>
    <row r="10" spans="1:35" ht="20.100000000000001" customHeight="1" x14ac:dyDescent="0.2">
      <c r="A10" s="5" t="str">
        <f>HYPERLINK("#'Input - Site'!A1", "Site")</f>
        <v>Site</v>
      </c>
      <c r="D10" s="182" t="s">
        <v>601</v>
      </c>
      <c r="E10" s="182" t="s">
        <v>1986</v>
      </c>
      <c r="F10" s="182">
        <v>34.200000000000003</v>
      </c>
      <c r="G10" s="182" t="s">
        <v>1987</v>
      </c>
      <c r="H10" s="182">
        <v>67.400000000000006</v>
      </c>
      <c r="I10" s="182">
        <v>0.02</v>
      </c>
      <c r="J10" s="182">
        <v>0.2</v>
      </c>
      <c r="K10" s="182">
        <v>67.62</v>
      </c>
      <c r="L10" s="182">
        <v>17.2</v>
      </c>
    </row>
    <row r="11" spans="1:35" ht="20.100000000000001" customHeight="1" x14ac:dyDescent="0.2">
      <c r="A11" s="5" t="str">
        <f>HYPERLINK("#'Input - Poultry'!A1", "Poultry")</f>
        <v>Poultry</v>
      </c>
      <c r="D11" s="182" t="s">
        <v>601</v>
      </c>
      <c r="E11" s="182" t="s">
        <v>1988</v>
      </c>
      <c r="F11" s="182">
        <v>38.6</v>
      </c>
      <c r="G11" s="182" t="s">
        <v>1987</v>
      </c>
      <c r="H11" s="182">
        <v>69.900000000000006</v>
      </c>
      <c r="I11" s="182">
        <v>0.01</v>
      </c>
      <c r="J11" s="182">
        <v>0.5</v>
      </c>
      <c r="K11" s="182">
        <v>70.41</v>
      </c>
      <c r="L11" s="182">
        <v>17.3</v>
      </c>
    </row>
    <row r="12" spans="1:35" ht="20.100000000000001" customHeight="1" x14ac:dyDescent="0.2">
      <c r="A12" s="5" t="str">
        <f>HYPERLINK("#'Input - Livestock sales'!A1", "Livestock sales")</f>
        <v>Livestock sales</v>
      </c>
      <c r="D12" s="182" t="s">
        <v>601</v>
      </c>
      <c r="E12" s="182" t="s">
        <v>663</v>
      </c>
      <c r="F12" s="182">
        <v>26.2</v>
      </c>
      <c r="G12" s="182" t="s">
        <v>1987</v>
      </c>
      <c r="H12" s="182">
        <v>60.2</v>
      </c>
      <c r="I12" s="182">
        <v>0.5</v>
      </c>
      <c r="J12" s="182">
        <v>0.3</v>
      </c>
      <c r="K12" s="182">
        <v>61</v>
      </c>
      <c r="L12" s="182">
        <v>20.2</v>
      </c>
    </row>
    <row r="13" spans="1:35" ht="20.100000000000001" customHeight="1" x14ac:dyDescent="0.2">
      <c r="A13" s="5" t="str">
        <f>HYPERLINK("#'Input - Poultry purchases'!A1", "Poultry purchases")</f>
        <v>Poultry purchases</v>
      </c>
      <c r="D13" s="182" t="s">
        <v>601</v>
      </c>
      <c r="E13" s="182" t="s">
        <v>605</v>
      </c>
      <c r="F13" s="182">
        <v>39.700000000000003</v>
      </c>
      <c r="G13" s="182" t="s">
        <v>1987</v>
      </c>
      <c r="H13" s="182">
        <v>73.599999999999994</v>
      </c>
      <c r="I13" s="182">
        <v>0.08</v>
      </c>
      <c r="J13" s="182">
        <v>0.5</v>
      </c>
      <c r="K13" s="182">
        <v>74.180000000000007</v>
      </c>
      <c r="L13" s="182">
        <v>18</v>
      </c>
    </row>
    <row r="14" spans="1:35" ht="20.100000000000001" customHeight="1" x14ac:dyDescent="0.2">
      <c r="A14" s="5" t="str">
        <f>HYPERLINK("#'Input - Fuel'!A1", "Fuel")</f>
        <v>Fuel</v>
      </c>
      <c r="D14" s="182" t="s">
        <v>601</v>
      </c>
      <c r="E14" s="182" t="s">
        <v>665</v>
      </c>
      <c r="F14" s="182">
        <v>23.4</v>
      </c>
      <c r="G14" s="182" t="s">
        <v>1987</v>
      </c>
      <c r="H14" s="182">
        <v>0</v>
      </c>
      <c r="I14" s="182">
        <v>0.2</v>
      </c>
      <c r="J14" s="182">
        <v>0.2</v>
      </c>
      <c r="K14" s="182">
        <v>0.4</v>
      </c>
      <c r="L14" s="182" t="s">
        <v>1989</v>
      </c>
    </row>
    <row r="15" spans="1:35" ht="20.100000000000001" customHeight="1" x14ac:dyDescent="0.2">
      <c r="A15" s="5" t="str">
        <f>HYPERLINK("#'Input - Electricity'!A1", "Electricity")</f>
        <v>Electricity</v>
      </c>
      <c r="D15" s="182" t="s">
        <v>601</v>
      </c>
      <c r="E15" s="182" t="s">
        <v>664</v>
      </c>
      <c r="F15" s="182">
        <v>34.6</v>
      </c>
      <c r="G15" s="182" t="s">
        <v>1987</v>
      </c>
      <c r="H15" s="182">
        <v>0</v>
      </c>
      <c r="I15" s="182">
        <v>0.8</v>
      </c>
      <c r="J15" s="182">
        <v>1.7</v>
      </c>
      <c r="K15" s="182">
        <v>2.5</v>
      </c>
      <c r="L15" s="182" t="s">
        <v>1989</v>
      </c>
    </row>
    <row r="16" spans="1:35" ht="20.100000000000001" customHeight="1" x14ac:dyDescent="0.2">
      <c r="A16" s="5" t="str">
        <f>HYPERLINK("#'Input - Common farm inputs'!A1", "Common farm inputs")</f>
        <v>Common farm inputs</v>
      </c>
      <c r="D16" s="182" t="s">
        <v>601</v>
      </c>
      <c r="E16" s="182" t="s">
        <v>667</v>
      </c>
      <c r="F16" s="182">
        <v>38.6</v>
      </c>
      <c r="G16" s="182" t="s">
        <v>1987</v>
      </c>
      <c r="H16" s="182">
        <v>0</v>
      </c>
      <c r="I16" s="182">
        <v>0.01</v>
      </c>
      <c r="J16" s="182">
        <v>0.5</v>
      </c>
      <c r="K16" s="182">
        <v>0.51</v>
      </c>
      <c r="L16" s="182" t="s">
        <v>1989</v>
      </c>
    </row>
    <row r="17" spans="1:12" ht="20.100000000000001" customHeight="1" x14ac:dyDescent="0.2">
      <c r="A17" s="5" t="str">
        <f>HYPERLINK("#'Input - Livestock farm Inputs'!A1", "Livestock farm Inputs")</f>
        <v>Livestock farm Inputs</v>
      </c>
      <c r="D17" s="182" t="s">
        <v>601</v>
      </c>
      <c r="E17" s="182" t="s">
        <v>666</v>
      </c>
      <c r="F17" s="182">
        <v>23.4</v>
      </c>
      <c r="G17" s="182" t="s">
        <v>1987</v>
      </c>
      <c r="H17" s="182">
        <v>0</v>
      </c>
      <c r="I17" s="182">
        <v>0.8</v>
      </c>
      <c r="J17" s="182">
        <v>1.7</v>
      </c>
      <c r="K17" s="182">
        <v>2.5</v>
      </c>
      <c r="L17" s="182" t="s">
        <v>1989</v>
      </c>
    </row>
    <row r="18" spans="1:12" ht="20.100000000000001" customHeight="1" x14ac:dyDescent="0.2">
      <c r="A18" s="5" t="str">
        <f>HYPERLINK("#'Input - Freight'!A1", "Freight")</f>
        <v>Freight</v>
      </c>
      <c r="D18" s="182" t="s">
        <v>1990</v>
      </c>
      <c r="E18" s="182" t="s">
        <v>1991</v>
      </c>
      <c r="F18" s="182">
        <v>3.9300000000000002E-2</v>
      </c>
      <c r="G18" s="182" t="s">
        <v>1446</v>
      </c>
      <c r="H18" s="182">
        <v>51.4</v>
      </c>
      <c r="I18" s="182">
        <v>7.3</v>
      </c>
      <c r="J18" s="182">
        <v>0.3</v>
      </c>
      <c r="K18" s="182">
        <v>59</v>
      </c>
      <c r="L18" s="182">
        <v>18</v>
      </c>
    </row>
    <row r="19" spans="1:12" ht="20.100000000000001" customHeight="1" x14ac:dyDescent="0.2">
      <c r="A19" s="5" t="str">
        <f>HYPERLINK("#'Input - Solid waste'!A1", "Solid waste")</f>
        <v>Solid waste</v>
      </c>
      <c r="D19" s="182" t="s">
        <v>1990</v>
      </c>
      <c r="E19" s="182" t="s">
        <v>1992</v>
      </c>
      <c r="F19" s="182">
        <v>25.3</v>
      </c>
      <c r="G19" s="182" t="s">
        <v>1987</v>
      </c>
      <c r="H19" s="182">
        <v>51.4</v>
      </c>
      <c r="I19" s="182">
        <v>7.3</v>
      </c>
      <c r="J19" s="182">
        <v>0.3</v>
      </c>
      <c r="K19" s="182">
        <v>59</v>
      </c>
      <c r="L19" s="182">
        <v>18</v>
      </c>
    </row>
    <row r="20" spans="1:12" ht="20.100000000000001" customHeight="1" x14ac:dyDescent="0.2">
      <c r="A20" s="5" t="str">
        <f>HYPERLINK("#'Input - Manure sent off-site'!A1", "Manure sent off-site")</f>
        <v>Manure sent off-site</v>
      </c>
      <c r="D20" s="182" t="s">
        <v>1993</v>
      </c>
      <c r="E20" s="182" t="s">
        <v>1991</v>
      </c>
      <c r="F20" s="182">
        <v>3.9300000000000002E-2</v>
      </c>
      <c r="G20" s="182" t="s">
        <v>1446</v>
      </c>
      <c r="H20" s="182">
        <v>51.4</v>
      </c>
      <c r="I20" s="182">
        <v>2.8</v>
      </c>
      <c r="J20" s="182">
        <v>0.3</v>
      </c>
      <c r="K20" s="182">
        <v>54.5</v>
      </c>
      <c r="L20" s="182">
        <v>18</v>
      </c>
    </row>
    <row r="21" spans="1:12" ht="20.100000000000001" customHeight="1" x14ac:dyDescent="0.2">
      <c r="A21" s="5" t="str">
        <f>HYPERLINK("#'Input - Data quality'!A1", "Data quality")</f>
        <v>Data quality</v>
      </c>
      <c r="D21" s="182" t="s">
        <v>1993</v>
      </c>
      <c r="E21" s="182" t="s">
        <v>1992</v>
      </c>
      <c r="F21" s="182">
        <v>25.3</v>
      </c>
      <c r="G21" s="182" t="s">
        <v>1987</v>
      </c>
      <c r="H21" s="182">
        <v>51.4</v>
      </c>
      <c r="I21" s="182">
        <v>2.8</v>
      </c>
      <c r="J21" s="182">
        <v>0.3</v>
      </c>
      <c r="K21" s="182">
        <v>54.5</v>
      </c>
      <c r="L21" s="182">
        <v>18</v>
      </c>
    </row>
    <row r="22" spans="1:12" ht="20.100000000000001" customHeight="1" x14ac:dyDescent="0.2">
      <c r="A22" s="5" t="str">
        <f>HYPERLINK("#'Input - Fert Prod System'!A1", "Fert Prod System")</f>
        <v>Fert Prod System</v>
      </c>
      <c r="D22" s="182" t="s">
        <v>1993</v>
      </c>
      <c r="E22" s="182" t="s">
        <v>1994</v>
      </c>
      <c r="F22" s="182">
        <v>38.6</v>
      </c>
      <c r="G22" s="182" t="s">
        <v>1987</v>
      </c>
      <c r="H22" s="182">
        <v>69.900000000000006</v>
      </c>
      <c r="I22" s="182">
        <v>7.0000000000000007E-2</v>
      </c>
      <c r="J22" s="182">
        <v>0.4</v>
      </c>
      <c r="K22" s="182">
        <v>70.37</v>
      </c>
      <c r="L22" s="182">
        <v>17.3</v>
      </c>
    </row>
    <row r="23" spans="1:12" ht="20.100000000000001" customHeight="1" x14ac:dyDescent="0.2">
      <c r="A23" s="5" t="str">
        <f>HYPERLINK("#'Input - Fertiliser'!A1", "Fertiliser")</f>
        <v>Fertiliser</v>
      </c>
      <c r="D23" s="182" t="s">
        <v>1993</v>
      </c>
      <c r="E23" s="182" t="s">
        <v>1995</v>
      </c>
      <c r="F23" s="182">
        <v>38.6</v>
      </c>
      <c r="G23" s="182" t="s">
        <v>1987</v>
      </c>
      <c r="H23" s="182">
        <v>69.900000000000006</v>
      </c>
      <c r="I23" s="182">
        <v>0.1</v>
      </c>
      <c r="J23" s="182">
        <v>0.4</v>
      </c>
      <c r="K23" s="182">
        <v>70.400000000000006</v>
      </c>
      <c r="L23" s="182">
        <v>17.3</v>
      </c>
    </row>
    <row r="24" spans="1:12" ht="20.100000000000001" customHeight="1" x14ac:dyDescent="0.2">
      <c r="D24" s="182" t="s">
        <v>1993</v>
      </c>
      <c r="E24" s="182" t="s">
        <v>1996</v>
      </c>
      <c r="F24" s="182">
        <v>38.6</v>
      </c>
      <c r="G24" s="182" t="s">
        <v>1987</v>
      </c>
      <c r="H24" s="182">
        <v>69.900000000000006</v>
      </c>
      <c r="I24" s="182">
        <v>0.2</v>
      </c>
      <c r="J24" s="182">
        <v>0.4</v>
      </c>
      <c r="K24" s="182">
        <v>70.5</v>
      </c>
      <c r="L24" s="182">
        <v>17.3</v>
      </c>
    </row>
    <row r="25" spans="1:12" ht="20.100000000000001" customHeight="1" x14ac:dyDescent="0.2">
      <c r="D25" s="182" t="s">
        <v>1993</v>
      </c>
      <c r="E25" s="182" t="s">
        <v>675</v>
      </c>
      <c r="F25" s="182">
        <v>38.6</v>
      </c>
      <c r="G25" s="182" t="s">
        <v>1987</v>
      </c>
      <c r="H25" s="182">
        <v>0</v>
      </c>
      <c r="I25" s="182">
        <v>7.0000000000000007E-2</v>
      </c>
      <c r="J25" s="182">
        <v>0.4</v>
      </c>
      <c r="K25" s="182">
        <v>0.47</v>
      </c>
      <c r="L25" s="182" t="s">
        <v>1989</v>
      </c>
    </row>
    <row r="26" spans="1:12" ht="20.100000000000001" customHeight="1" x14ac:dyDescent="0.2">
      <c r="A26" s="6" t="s">
        <v>2</v>
      </c>
      <c r="D26" s="182" t="s">
        <v>1993</v>
      </c>
      <c r="E26" s="182" t="s">
        <v>676</v>
      </c>
      <c r="F26" s="182">
        <v>38.6</v>
      </c>
      <c r="G26" s="182" t="s">
        <v>1987</v>
      </c>
      <c r="H26" s="182">
        <v>0</v>
      </c>
      <c r="I26" s="182">
        <v>0.1</v>
      </c>
      <c r="J26" s="182">
        <v>0.4</v>
      </c>
      <c r="K26" s="182">
        <v>0.5</v>
      </c>
      <c r="L26" s="182" t="s">
        <v>1989</v>
      </c>
    </row>
    <row r="27" spans="1:12" ht="20.100000000000001" customHeight="1" x14ac:dyDescent="0.2">
      <c r="A27" s="5" t="str">
        <f>HYPERLINK("#'4.6.1.1-2 Methane'!A1", "4.6.1.1-2 Manure Methane")</f>
        <v>4.6.1.1-2 Manure Methane</v>
      </c>
      <c r="D27" s="182" t="s">
        <v>1993</v>
      </c>
      <c r="E27" s="182" t="s">
        <v>677</v>
      </c>
      <c r="F27" s="182">
        <v>38.6</v>
      </c>
      <c r="G27" s="182" t="s">
        <v>1987</v>
      </c>
      <c r="H27" s="182">
        <v>0</v>
      </c>
      <c r="I27" s="182">
        <v>0.2</v>
      </c>
      <c r="J27" s="182">
        <v>0.4</v>
      </c>
      <c r="K27" s="182">
        <v>0.6</v>
      </c>
      <c r="L27" s="182" t="s">
        <v>1989</v>
      </c>
    </row>
    <row r="28" spans="1:12" ht="20.100000000000001" customHeight="1" x14ac:dyDescent="0.2">
      <c r="A28" s="5" t="str">
        <f>HYPERLINK("#'4.6.1.3-4 Direct N20'!A1", "4.6.1.3-4 Manure Direct N2O")</f>
        <v>4.6.1.3-4 Manure Direct N2O</v>
      </c>
      <c r="D28" s="182" t="s">
        <v>658</v>
      </c>
      <c r="E28" s="182" t="s">
        <v>1997</v>
      </c>
      <c r="F28" s="182">
        <v>33.1</v>
      </c>
      <c r="G28" s="182" t="s">
        <v>1987</v>
      </c>
      <c r="H28" s="182">
        <v>67</v>
      </c>
      <c r="I28" s="182">
        <v>0.06</v>
      </c>
      <c r="J28" s="182">
        <v>0.6</v>
      </c>
      <c r="K28" s="182">
        <v>67.66</v>
      </c>
      <c r="L28" s="182">
        <v>18</v>
      </c>
    </row>
    <row r="29" spans="1:12" ht="20.100000000000001" customHeight="1" x14ac:dyDescent="0.2">
      <c r="A29" s="5" t="str">
        <f>HYPERLINK("#'4.6.1.5-6 Atmos Dep'!A1", "4.6.1.5-6 Manure Atmos Dep")</f>
        <v>4.6.1.5-6 Manure Atmos Dep</v>
      </c>
      <c r="D29" s="182" t="s">
        <v>658</v>
      </c>
      <c r="E29" s="182" t="s">
        <v>1998</v>
      </c>
      <c r="F29" s="182">
        <v>36.799999999999997</v>
      </c>
      <c r="G29" s="182" t="s">
        <v>1987</v>
      </c>
      <c r="H29" s="182">
        <v>69.599999999999994</v>
      </c>
      <c r="I29" s="182">
        <v>0.01</v>
      </c>
      <c r="J29" s="182">
        <v>0.6</v>
      </c>
      <c r="K29" s="182">
        <v>70.209999999999994</v>
      </c>
      <c r="L29" s="182">
        <v>18</v>
      </c>
    </row>
    <row r="30" spans="1:12" ht="20.100000000000001" customHeight="1" x14ac:dyDescent="0.2">
      <c r="A30" s="5" t="str">
        <f>HYPERLINK("#'4.6.1.7-8 Leaching and runoff'!A1", "4.6.1.7-8 Manure Leaching and runoff")</f>
        <v>4.6.1.7-8 Manure Leaching and runoff</v>
      </c>
      <c r="D30" s="182" t="s">
        <v>658</v>
      </c>
      <c r="E30" s="182" t="s">
        <v>670</v>
      </c>
      <c r="F30" s="182">
        <v>36.799999999999997</v>
      </c>
      <c r="G30" s="182" t="s">
        <v>1987</v>
      </c>
      <c r="H30" s="182">
        <v>0</v>
      </c>
      <c r="I30" s="182">
        <v>0.01</v>
      </c>
      <c r="J30" s="182">
        <v>0.6</v>
      </c>
      <c r="K30" s="182">
        <v>0.61</v>
      </c>
      <c r="L30" s="182" t="s">
        <v>1989</v>
      </c>
    </row>
    <row r="31" spans="1:12" ht="20.100000000000001" customHeight="1" x14ac:dyDescent="0.2">
      <c r="A31" s="5" t="str">
        <f>HYPERLINK("#'4.6.1.9 Manure applied to soils'!A1", "4.6.1.9 Manure applied to soils")</f>
        <v>4.6.1.9 Manure applied to soils</v>
      </c>
      <c r="D31" s="182" t="s">
        <v>604</v>
      </c>
      <c r="E31" s="182" t="s">
        <v>1986</v>
      </c>
      <c r="F31" s="182">
        <v>34.200000000000003</v>
      </c>
      <c r="G31" s="182" t="s">
        <v>661</v>
      </c>
      <c r="H31" s="182">
        <v>67.400000000000006</v>
      </c>
      <c r="I31" s="182">
        <v>10.1</v>
      </c>
      <c r="J31" s="182">
        <v>0.3</v>
      </c>
      <c r="K31" s="182"/>
      <c r="L31" s="182">
        <v>17.2</v>
      </c>
    </row>
    <row r="32" spans="1:12" ht="20.100000000000001" customHeight="1" x14ac:dyDescent="0.2">
      <c r="A32" s="5" t="str">
        <f>HYPERLINK("#'4.6.1.10-11 Soil direct N2O'!A1", "4.6.1.10-11 Soil direct N2O")</f>
        <v>4.6.1.10-11 Soil direct N2O</v>
      </c>
      <c r="D32" s="183" t="s">
        <v>604</v>
      </c>
      <c r="E32" s="183" t="s">
        <v>1988</v>
      </c>
      <c r="F32" s="183">
        <v>38.6</v>
      </c>
      <c r="G32" s="183" t="s">
        <v>661</v>
      </c>
      <c r="H32" s="183">
        <v>69.900000000000006</v>
      </c>
      <c r="I32" s="183">
        <v>0.2</v>
      </c>
      <c r="J32" s="183">
        <v>0.5</v>
      </c>
      <c r="K32" s="183"/>
      <c r="L32" s="183">
        <v>17.3</v>
      </c>
    </row>
    <row r="33" spans="1:12" ht="20.100000000000001" customHeight="1" x14ac:dyDescent="0.2">
      <c r="A33" s="5" t="str">
        <f>HYPERLINK("#'4.6.1.12-13 Soil atmos dep'!A1", "4.6.1.12-13 Soil atmos dep")</f>
        <v>4.6.1.12-13 Soil atmos dep</v>
      </c>
      <c r="D33" s="183" t="s">
        <v>604</v>
      </c>
      <c r="E33" s="183" t="s">
        <v>1999</v>
      </c>
      <c r="F33" s="183">
        <v>39.700000000000003</v>
      </c>
      <c r="G33" s="183" t="s">
        <v>661</v>
      </c>
      <c r="H33" s="183">
        <v>73.599999999999994</v>
      </c>
      <c r="I33" s="183">
        <v>0.2</v>
      </c>
      <c r="J33" s="183">
        <v>0.5</v>
      </c>
      <c r="K33" s="183"/>
      <c r="L33" s="183">
        <v>18</v>
      </c>
    </row>
    <row r="34" spans="1:12" ht="20.100000000000001" customHeight="1" x14ac:dyDescent="0.2">
      <c r="A34" s="5" t="str">
        <f>HYPERLINK("#'4.6.1.14-15 Soil leach runoff'!A1", "4.6.1.14-15 Soil leach runoff")</f>
        <v>4.6.1.14-15 Soil leach runoff</v>
      </c>
      <c r="D34" s="183" t="s">
        <v>603</v>
      </c>
      <c r="E34" s="183" t="s">
        <v>1988</v>
      </c>
      <c r="F34" s="183">
        <v>38.6</v>
      </c>
      <c r="G34" s="183" t="s">
        <v>661</v>
      </c>
      <c r="H34" s="183">
        <v>69.900000000000006</v>
      </c>
      <c r="I34" s="183">
        <v>0.3</v>
      </c>
      <c r="J34" s="183">
        <v>0.5</v>
      </c>
      <c r="K34" s="183"/>
      <c r="L34" s="183">
        <v>17.3</v>
      </c>
    </row>
    <row r="35" spans="1:12" ht="20.100000000000001" customHeight="1" x14ac:dyDescent="0.2">
      <c r="A35" s="5" t="str">
        <f>HYPERLINK("#'8.1.1.1-2 Transport fuel'!A1", "8.1.1.1-2 Transport fuel")</f>
        <v>8.1.1.1-2 Transport fuel</v>
      </c>
    </row>
    <row r="36" spans="1:12" ht="20.100000000000001" customHeight="1" x14ac:dyDescent="0.2">
      <c r="A36" s="5" t="str">
        <f>HYPERLINK("#'8.2.1.1-2 Stationary fuel'!A1", "8.2.1.1-2 Stationary fuel")</f>
        <v>8.2.1.1-2 Stationary fuel</v>
      </c>
    </row>
    <row r="37" spans="1:12" ht="20.100000000000001" customHeight="1" x14ac:dyDescent="0.2">
      <c r="A37" s="5" t="str">
        <f>HYPERLINK("#'10.1.1-2 Solid waste treatment'!A1", "10.1.1.1-2 Solid waste")</f>
        <v>10.1.1.1-2 Solid waste</v>
      </c>
      <c r="D37" s="2" t="s">
        <v>2000</v>
      </c>
    </row>
    <row r="38" spans="1:12" ht="20.100000000000001" customHeight="1" x14ac:dyDescent="0.2">
      <c r="A38" s="5" t="str">
        <f>HYPERLINK("#'14.1.1-2 Purchased electricity'!A1", "14.1.1-2 Purchased electricity")</f>
        <v>14.1.1-2 Purchased electricity</v>
      </c>
      <c r="D38" s="17" t="s">
        <v>2001</v>
      </c>
    </row>
    <row r="39" spans="1:12" ht="20.100000000000001" customHeight="1" x14ac:dyDescent="0.2">
      <c r="A39" s="5" t="str">
        <f>HYPERLINK("#'15 Scope 3'!A1", "15 Scope 3")</f>
        <v>15 Scope 3</v>
      </c>
      <c r="D39" s="19" t="s">
        <v>647</v>
      </c>
      <c r="E39" s="19" t="s">
        <v>648</v>
      </c>
      <c r="F39" s="19" t="s">
        <v>649</v>
      </c>
      <c r="G39" s="19" t="s">
        <v>650</v>
      </c>
      <c r="H39" s="19" t="s">
        <v>651</v>
      </c>
      <c r="I39" s="19" t="s">
        <v>652</v>
      </c>
      <c r="J39" s="19" t="s">
        <v>653</v>
      </c>
    </row>
    <row r="40" spans="1:12" ht="20.100000000000001" customHeight="1" x14ac:dyDescent="0.2">
      <c r="A40" s="5" t="str">
        <f>HYPERLINK("#'Calcs - Manure sent off-site'!A1", "Calcs - Manure sent off-site")</f>
        <v>Calcs - Manure sent off-site</v>
      </c>
      <c r="D40" s="19" t="s">
        <v>2002</v>
      </c>
      <c r="E40" s="19" t="s">
        <v>600</v>
      </c>
      <c r="F40" s="19">
        <v>34.200000000000003</v>
      </c>
      <c r="G40" s="19">
        <v>67.400000000000006</v>
      </c>
      <c r="H40" s="19">
        <v>10.1</v>
      </c>
      <c r="I40" s="19">
        <v>0.3</v>
      </c>
      <c r="J40" s="19">
        <v>17.2</v>
      </c>
    </row>
    <row r="41" spans="1:12" ht="20.100000000000001" customHeight="1" x14ac:dyDescent="0.2">
      <c r="A41" s="5" t="str">
        <f>HYPERLINK("#'5.1.1.1-2 Inorganic fert N2O'!A1", "5.1.1.1-2 Inorganic fert N2O")</f>
        <v>5.1.1.1-2 Inorganic fert N2O</v>
      </c>
      <c r="D41" s="1" t="s">
        <v>2002</v>
      </c>
      <c r="E41" s="19" t="s">
        <v>602</v>
      </c>
      <c r="F41" s="19">
        <v>38.6</v>
      </c>
      <c r="G41" s="19">
        <v>69.900000000000006</v>
      </c>
      <c r="H41" s="19">
        <v>0.2</v>
      </c>
      <c r="I41" s="19">
        <v>0.5</v>
      </c>
      <c r="J41" s="19">
        <v>17.3</v>
      </c>
    </row>
    <row r="42" spans="1:12" ht="20.100000000000001" customHeight="1" x14ac:dyDescent="0.2">
      <c r="A42" s="5" t="str">
        <f>HYPERLINK("#'5.1.1.3-4 Inorganic fert CO2'!A1", "5.1.1.3-4 Inorganic fert CO2")</f>
        <v>5.1.1.3-4 Inorganic fert CO2</v>
      </c>
      <c r="D42" s="1" t="s">
        <v>2002</v>
      </c>
      <c r="E42" s="19" t="s">
        <v>1999</v>
      </c>
      <c r="F42" s="19">
        <v>39.700000000000003</v>
      </c>
      <c r="G42" s="19">
        <v>73.599999999999994</v>
      </c>
      <c r="H42" s="19">
        <v>0.2</v>
      </c>
      <c r="I42" s="19">
        <v>0.5</v>
      </c>
      <c r="J42" s="19">
        <v>18</v>
      </c>
    </row>
    <row r="43" spans="1:12" ht="20.100000000000001" customHeight="1" x14ac:dyDescent="0.2">
      <c r="A43" s="5" t="str">
        <f>HYPERLINK("#'5.2.1.1-2 Organic Fert N2O'!A1", "5.2.1.1-2 Organic Fert N2O")</f>
        <v>5.2.1.1-2 Organic Fert N2O</v>
      </c>
      <c r="D43" s="1" t="s">
        <v>603</v>
      </c>
      <c r="E43" s="19" t="s">
        <v>602</v>
      </c>
      <c r="F43" s="19">
        <v>38.6</v>
      </c>
      <c r="G43" s="19">
        <v>69.900000000000006</v>
      </c>
      <c r="H43" s="19">
        <v>0.3</v>
      </c>
      <c r="I43" s="19">
        <v>0.5</v>
      </c>
      <c r="J43" s="19">
        <v>17.3</v>
      </c>
    </row>
    <row r="44" spans="1:12" ht="20.100000000000001" customHeight="1" x14ac:dyDescent="0.2">
      <c r="A44" s="5" t="str">
        <f>HYPERLINK("#'5.3.1.1-2 Lime CO2'!A1", "5.3.1.1-2 Lime CO2")</f>
        <v>5.3.1.1-2 Lime CO2</v>
      </c>
    </row>
    <row r="45" spans="1:12" ht="20.100000000000001" customHeight="1" x14ac:dyDescent="0.2">
      <c r="A45" s="5" t="str">
        <f>HYPERLINK("#'5.4.1.1-4 Atmos deposition'!A1", "5.4.1.1-4 Atmos deposition")</f>
        <v>5.4.1.1-4 Atmos deposition</v>
      </c>
    </row>
    <row r="46" spans="1:12" ht="20.100000000000001" customHeight="1" x14ac:dyDescent="0.2">
      <c r="A46" s="5" t="str">
        <f>HYPERLINK("#'5.5.1.1-2 Leaching and runoff'!A1", "5.5.1.1-2 Leaching and runoff")</f>
        <v>5.5.1.1-2 Leaching and runoff</v>
      </c>
    </row>
    <row r="49" spans="1:12" ht="20.100000000000001" customHeight="1" x14ac:dyDescent="0.2">
      <c r="A49" s="80" t="s">
        <v>1</v>
      </c>
      <c r="D49" s="2" t="s">
        <v>2003</v>
      </c>
      <c r="E49" s="154"/>
      <c r="F49" s="154"/>
      <c r="G49" s="154"/>
      <c r="H49" s="154"/>
      <c r="I49" s="154"/>
      <c r="J49" s="154"/>
      <c r="K49" s="154"/>
      <c r="L49" s="154"/>
    </row>
    <row r="50" spans="1:12" ht="20.100000000000001" customHeight="1" x14ac:dyDescent="0.2">
      <c r="A50" s="5" t="str">
        <f>HYPERLINK("#'Constants - Poultry'!A1", "Constants - Poultry")</f>
        <v>Constants - Poultry</v>
      </c>
      <c r="D50" s="1" t="s">
        <v>2004</v>
      </c>
      <c r="E50" s="154"/>
      <c r="F50" s="154"/>
      <c r="G50" s="154"/>
      <c r="H50" s="154"/>
      <c r="I50" s="154"/>
      <c r="J50" s="154"/>
      <c r="K50" s="154"/>
      <c r="L50" s="154"/>
    </row>
    <row r="51" spans="1:12" ht="20.100000000000001" customHeight="1" x14ac:dyDescent="0.2">
      <c r="A51" s="5" t="str">
        <f>HYPERLINK("#'Constants - Common livestock'!A1", "Constants - Common Livestock")</f>
        <v>Constants - Common Livestock</v>
      </c>
      <c r="D51" s="17" t="s">
        <v>2005</v>
      </c>
      <c r="E51" s="154"/>
      <c r="F51" s="154"/>
      <c r="G51" s="154"/>
      <c r="H51" s="154"/>
      <c r="I51" s="154"/>
      <c r="J51" s="154"/>
      <c r="K51" s="154"/>
      <c r="L51" s="154"/>
    </row>
    <row r="52" spans="1:12" ht="20.100000000000001" customHeight="1" x14ac:dyDescent="0.2">
      <c r="A52" s="5" t="str">
        <f>HYPERLINK("#'Constants - Electricity'!A1", "Constants - Electricity")</f>
        <v>Constants - Electricity</v>
      </c>
      <c r="D52" s="25" t="str" cm="1">
        <f t="array" ref="D52">"⚠️" &amp; Fuel_SourceData.Fuel_Scope1Scope3EmissionFactorsStationaryLiquid_Variation()</f>
        <v>⚠️VARIATION OF SOURCE DATA: 'NE' values returned as zero for calculations.</v>
      </c>
      <c r="E52" s="154"/>
      <c r="F52" s="154"/>
      <c r="G52" s="154"/>
      <c r="H52" s="154"/>
      <c r="I52" s="154"/>
      <c r="J52" s="154"/>
      <c r="K52" s="154"/>
      <c r="L52" s="154"/>
    </row>
    <row r="53" spans="1:12" ht="20.100000000000001" customHeight="1" x14ac:dyDescent="0.2">
      <c r="A53" s="5" t="str">
        <f>HYPERLINK("#'Constants - Fertiliser'!A1", "Constants - Fertiliser")</f>
        <v>Constants - Fertiliser</v>
      </c>
      <c r="D53" s="147" t="s">
        <v>639</v>
      </c>
      <c r="E53" s="181" t="s">
        <v>640</v>
      </c>
      <c r="F53" s="147" t="s">
        <v>641</v>
      </c>
      <c r="G53" s="181" t="s">
        <v>642</v>
      </c>
      <c r="H53" s="181" t="s">
        <v>643</v>
      </c>
      <c r="I53" s="181" t="s">
        <v>644</v>
      </c>
      <c r="J53" s="181" t="s">
        <v>645</v>
      </c>
      <c r="K53" s="181" t="s">
        <v>646</v>
      </c>
      <c r="L53" s="154"/>
    </row>
    <row r="54" spans="1:12" ht="20.100000000000001" customHeight="1" x14ac:dyDescent="0.2">
      <c r="A54" s="81" t="str">
        <f>HYPERLINK("#'Constants - Fuel'!A1", "Constants - Fuel")</f>
        <v>Constants - Fuel</v>
      </c>
      <c r="D54" s="182" t="s">
        <v>2006</v>
      </c>
      <c r="E54" s="182">
        <v>38.799999999999997</v>
      </c>
      <c r="F54" s="182" t="s">
        <v>1987</v>
      </c>
      <c r="G54" s="182">
        <v>13.9</v>
      </c>
      <c r="H54" s="182">
        <v>0</v>
      </c>
      <c r="I54" s="182">
        <v>0</v>
      </c>
      <c r="J54" s="182">
        <v>13.9</v>
      </c>
      <c r="K54" s="182">
        <v>18</v>
      </c>
      <c r="L54" s="154"/>
    </row>
    <row r="55" spans="1:12" ht="20.100000000000001" customHeight="1" x14ac:dyDescent="0.2">
      <c r="A55" s="5" t="str">
        <f>HYPERLINK("#'Constants - Scope 3'!A1", "Constants - Scope 3")</f>
        <v>Constants - Scope 3</v>
      </c>
      <c r="D55" s="182" t="s">
        <v>2007</v>
      </c>
      <c r="E55" s="182">
        <v>38.799999999999997</v>
      </c>
      <c r="F55" s="182" t="s">
        <v>1987</v>
      </c>
      <c r="G55" s="182">
        <v>3.5</v>
      </c>
      <c r="H55" s="182">
        <v>0</v>
      </c>
      <c r="I55" s="182">
        <v>0</v>
      </c>
      <c r="J55" s="182">
        <v>3.5</v>
      </c>
      <c r="K55" s="182">
        <v>18</v>
      </c>
      <c r="L55" s="154"/>
    </row>
    <row r="56" spans="1:12" ht="20.100000000000001" customHeight="1" x14ac:dyDescent="0.2">
      <c r="A56" s="5" t="str">
        <f>HYPERLINK("#'Constants - Solid Waste'!A1", "Constants - Solid Waste")</f>
        <v>Constants - Solid Waste</v>
      </c>
      <c r="D56" s="182" t="s">
        <v>2008</v>
      </c>
      <c r="E56" s="182">
        <v>45.3</v>
      </c>
      <c r="F56" s="182" t="s">
        <v>1438</v>
      </c>
      <c r="G56" s="182">
        <v>69.599999999999994</v>
      </c>
      <c r="H56" s="182">
        <v>0.08</v>
      </c>
      <c r="I56" s="182">
        <v>0.2</v>
      </c>
      <c r="J56" s="182">
        <v>69.88</v>
      </c>
      <c r="K56" s="182" t="s">
        <v>1989</v>
      </c>
      <c r="L56" s="154"/>
    </row>
    <row r="57" spans="1:12" ht="20.100000000000001" customHeight="1" x14ac:dyDescent="0.2">
      <c r="A57" s="5" t="str">
        <f>HYPERLINK("#'Constants - Common'!A1", "Constants - Common")</f>
        <v>Constants - Common</v>
      </c>
      <c r="D57" s="182" t="s">
        <v>2009</v>
      </c>
      <c r="E57" s="182">
        <v>46.5</v>
      </c>
      <c r="F57" s="182" t="s">
        <v>1438</v>
      </c>
      <c r="G57" s="182">
        <v>61</v>
      </c>
      <c r="H57" s="182">
        <v>0.08</v>
      </c>
      <c r="I57" s="182">
        <v>0.2</v>
      </c>
      <c r="J57" s="182">
        <v>61.28</v>
      </c>
      <c r="K57" s="182" t="s">
        <v>1989</v>
      </c>
      <c r="L57" s="154"/>
    </row>
    <row r="58" spans="1:12" ht="20.100000000000001" customHeight="1" x14ac:dyDescent="0.2">
      <c r="D58" s="182" t="s">
        <v>2010</v>
      </c>
      <c r="E58" s="182">
        <v>34.200000000000003</v>
      </c>
      <c r="F58" s="182" t="s">
        <v>661</v>
      </c>
      <c r="G58" s="182">
        <v>67.400000000000006</v>
      </c>
      <c r="H58" s="182">
        <v>0.2</v>
      </c>
      <c r="I58" s="182">
        <v>0.2</v>
      </c>
      <c r="J58" s="182">
        <v>67.8</v>
      </c>
      <c r="K58" s="182">
        <v>17.2</v>
      </c>
      <c r="L58" s="154"/>
    </row>
    <row r="59" spans="1:12" ht="20.100000000000001" customHeight="1" x14ac:dyDescent="0.2">
      <c r="D59" s="182" t="s">
        <v>2011</v>
      </c>
      <c r="E59" s="182">
        <v>33.1</v>
      </c>
      <c r="F59" s="182" t="s">
        <v>661</v>
      </c>
      <c r="G59" s="182">
        <v>67</v>
      </c>
      <c r="H59" s="182">
        <v>0.2</v>
      </c>
      <c r="I59" s="182">
        <v>0.2</v>
      </c>
      <c r="J59" s="182">
        <v>67.400000000000006</v>
      </c>
      <c r="K59" s="182">
        <v>18</v>
      </c>
      <c r="L59" s="154"/>
    </row>
    <row r="60" spans="1:12" ht="20.100000000000001" customHeight="1" x14ac:dyDescent="0.2">
      <c r="D60" s="182" t="s">
        <v>2012</v>
      </c>
      <c r="E60" s="182">
        <v>37.5</v>
      </c>
      <c r="F60" s="182" t="s">
        <v>661</v>
      </c>
      <c r="G60" s="182">
        <v>68.900000000000006</v>
      </c>
      <c r="H60" s="182">
        <v>0.01</v>
      </c>
      <c r="I60" s="182">
        <v>0.2</v>
      </c>
      <c r="J60" s="182">
        <v>69.11</v>
      </c>
      <c r="K60" s="182">
        <v>18</v>
      </c>
      <c r="L60" s="154"/>
    </row>
    <row r="61" spans="1:12" ht="20.100000000000001" customHeight="1" x14ac:dyDescent="0.2">
      <c r="D61" s="182" t="s">
        <v>2013</v>
      </c>
      <c r="E61" s="182">
        <v>36.799999999999997</v>
      </c>
      <c r="F61" s="182" t="s">
        <v>661</v>
      </c>
      <c r="G61" s="182">
        <v>69.599999999999994</v>
      </c>
      <c r="H61" s="182">
        <v>0.02</v>
      </c>
      <c r="I61" s="182">
        <v>0.2</v>
      </c>
      <c r="J61" s="182">
        <v>69.819999999999993</v>
      </c>
      <c r="K61" s="182">
        <v>18</v>
      </c>
      <c r="L61" s="154"/>
    </row>
    <row r="62" spans="1:12" ht="20.100000000000001" customHeight="1" x14ac:dyDescent="0.2">
      <c r="D62" s="182" t="s">
        <v>2014</v>
      </c>
      <c r="E62" s="182">
        <v>37.299999999999997</v>
      </c>
      <c r="F62" s="182" t="s">
        <v>661</v>
      </c>
      <c r="G62" s="182">
        <v>69.5</v>
      </c>
      <c r="H62" s="182">
        <v>0.03</v>
      </c>
      <c r="I62" s="182">
        <v>0.2</v>
      </c>
      <c r="J62" s="182">
        <v>69.73</v>
      </c>
      <c r="K62" s="182">
        <v>18</v>
      </c>
      <c r="L62" s="154"/>
    </row>
    <row r="63" spans="1:12" ht="20.100000000000001" customHeight="1" x14ac:dyDescent="0.2">
      <c r="D63" s="182" t="s">
        <v>1988</v>
      </c>
      <c r="E63" s="182">
        <v>38.6</v>
      </c>
      <c r="F63" s="182" t="s">
        <v>661</v>
      </c>
      <c r="G63" s="182">
        <v>69.900000000000006</v>
      </c>
      <c r="H63" s="182">
        <v>0.1</v>
      </c>
      <c r="I63" s="182">
        <v>0.2</v>
      </c>
      <c r="J63" s="182">
        <v>70.2</v>
      </c>
      <c r="K63" s="182">
        <v>17.3</v>
      </c>
      <c r="L63" s="154"/>
    </row>
    <row r="64" spans="1:12" ht="20.100000000000001" customHeight="1" x14ac:dyDescent="0.2">
      <c r="D64" s="182" t="s">
        <v>605</v>
      </c>
      <c r="E64" s="182">
        <v>39.700000000000003</v>
      </c>
      <c r="F64" s="182" t="s">
        <v>661</v>
      </c>
      <c r="G64" s="182">
        <v>73.599999999999994</v>
      </c>
      <c r="H64" s="182">
        <v>0.04</v>
      </c>
      <c r="I64" s="182">
        <v>0.2</v>
      </c>
      <c r="J64" s="182">
        <v>73.84</v>
      </c>
      <c r="K64" s="182">
        <v>18</v>
      </c>
      <c r="L64" s="154"/>
    </row>
    <row r="65" spans="1:13" ht="20.100000000000001" customHeight="1" x14ac:dyDescent="0.2">
      <c r="D65" s="182" t="s">
        <v>2015</v>
      </c>
      <c r="E65" s="182">
        <v>34.4</v>
      </c>
      <c r="F65" s="182" t="s">
        <v>661</v>
      </c>
      <c r="G65" s="182">
        <v>69.7</v>
      </c>
      <c r="H65" s="182">
        <v>0.03</v>
      </c>
      <c r="I65" s="182">
        <v>0.2</v>
      </c>
      <c r="J65" s="182">
        <v>69.930000000000007</v>
      </c>
      <c r="K65" s="182">
        <v>18</v>
      </c>
      <c r="L65" s="154"/>
    </row>
    <row r="66" spans="1:13" ht="20.100000000000001" customHeight="1" x14ac:dyDescent="0.2">
      <c r="D66" s="182" t="s">
        <v>2016</v>
      </c>
      <c r="E66" s="182">
        <v>34.4</v>
      </c>
      <c r="F66" s="182" t="s">
        <v>661</v>
      </c>
      <c r="G66" s="182">
        <v>69.7</v>
      </c>
      <c r="H66" s="182">
        <v>0.03</v>
      </c>
      <c r="I66" s="182">
        <v>0.2</v>
      </c>
      <c r="J66" s="182">
        <v>69.930000000000007</v>
      </c>
      <c r="K66" s="182">
        <v>18</v>
      </c>
      <c r="L66" s="154"/>
    </row>
    <row r="67" spans="1:13" ht="20.100000000000001" customHeight="1" x14ac:dyDescent="0.2">
      <c r="D67" s="182" t="s">
        <v>663</v>
      </c>
      <c r="E67" s="182">
        <v>25.7</v>
      </c>
      <c r="F67" s="182" t="s">
        <v>661</v>
      </c>
      <c r="G67" s="182">
        <v>60.2</v>
      </c>
      <c r="H67" s="182">
        <v>0.2</v>
      </c>
      <c r="I67" s="182">
        <v>0.2</v>
      </c>
      <c r="J67" s="182">
        <v>60.6</v>
      </c>
      <c r="K67" s="182">
        <v>20.2</v>
      </c>
      <c r="L67" s="154"/>
    </row>
    <row r="68" spans="1:13" ht="20.100000000000001" customHeight="1" x14ac:dyDescent="0.2">
      <c r="A68" s="79" t="str">
        <f>HYPERLINK("#A1", "▲ Back to top")</f>
        <v>▲ Back to top</v>
      </c>
      <c r="D68" s="182" t="s">
        <v>2017</v>
      </c>
      <c r="E68" s="182">
        <v>31.4</v>
      </c>
      <c r="F68" s="182" t="s">
        <v>661</v>
      </c>
      <c r="G68" s="182">
        <v>69.8</v>
      </c>
      <c r="H68" s="182">
        <v>0.01</v>
      </c>
      <c r="I68" s="182">
        <v>0.01</v>
      </c>
      <c r="J68" s="182">
        <v>69.819999999999993</v>
      </c>
      <c r="K68" s="182">
        <v>18</v>
      </c>
      <c r="L68" s="154"/>
    </row>
    <row r="69" spans="1:13" ht="20.100000000000001" customHeight="1" x14ac:dyDescent="0.2">
      <c r="D69" s="182" t="s">
        <v>2018</v>
      </c>
      <c r="E69" s="182">
        <v>34.200000000000003</v>
      </c>
      <c r="F69" s="182" t="s">
        <v>1438</v>
      </c>
      <c r="G69" s="182">
        <v>92.6</v>
      </c>
      <c r="H69" s="182">
        <v>0.08</v>
      </c>
      <c r="I69" s="182">
        <v>0.2</v>
      </c>
      <c r="J69" s="182">
        <v>92.88</v>
      </c>
      <c r="K69" s="182">
        <v>18</v>
      </c>
      <c r="L69" s="154"/>
    </row>
    <row r="70" spans="1:13" ht="20.100000000000001" customHeight="1" x14ac:dyDescent="0.2">
      <c r="D70" s="182" t="s">
        <v>2019</v>
      </c>
      <c r="E70" s="182">
        <v>42.9</v>
      </c>
      <c r="F70" s="182" t="s">
        <v>1438</v>
      </c>
      <c r="G70" s="182">
        <v>54.7</v>
      </c>
      <c r="H70" s="182">
        <v>0.03</v>
      </c>
      <c r="I70" s="182">
        <v>0.03</v>
      </c>
      <c r="J70" s="182">
        <v>54.76</v>
      </c>
      <c r="K70" s="182">
        <v>18</v>
      </c>
      <c r="L70" s="154"/>
    </row>
    <row r="71" spans="1:13" ht="20.100000000000001" customHeight="1" x14ac:dyDescent="0.2">
      <c r="D71" s="182" t="s">
        <v>2020</v>
      </c>
      <c r="E71" s="182">
        <v>34.200000000000003</v>
      </c>
      <c r="F71" s="182" t="s">
        <v>1438</v>
      </c>
      <c r="G71" s="182">
        <v>92.6</v>
      </c>
      <c r="H71" s="182">
        <v>0.08</v>
      </c>
      <c r="I71" s="182">
        <v>0.2</v>
      </c>
      <c r="J71" s="182">
        <v>92.88</v>
      </c>
      <c r="K71" s="182">
        <v>18</v>
      </c>
      <c r="L71" s="154"/>
    </row>
    <row r="72" spans="1:13" ht="20.100000000000001" customHeight="1" x14ac:dyDescent="0.2">
      <c r="D72" s="182" t="s">
        <v>2021</v>
      </c>
      <c r="E72" s="182">
        <v>34.4</v>
      </c>
      <c r="F72" s="182" t="s">
        <v>661</v>
      </c>
      <c r="G72" s="182">
        <v>69.8</v>
      </c>
      <c r="H72" s="182">
        <v>0.02</v>
      </c>
      <c r="I72" s="182">
        <v>0.1</v>
      </c>
      <c r="J72" s="182">
        <v>69.92</v>
      </c>
      <c r="K72" s="182">
        <v>18</v>
      </c>
      <c r="L72" s="154"/>
    </row>
    <row r="73" spans="1:13" ht="20.100000000000001" customHeight="1" x14ac:dyDescent="0.2">
      <c r="D73" s="182" t="s">
        <v>664</v>
      </c>
      <c r="E73" s="182">
        <v>34.6</v>
      </c>
      <c r="F73" s="182" t="s">
        <v>661</v>
      </c>
      <c r="G73" s="182">
        <v>0</v>
      </c>
      <c r="H73" s="182">
        <v>0.08</v>
      </c>
      <c r="I73" s="182">
        <v>0.2</v>
      </c>
      <c r="J73" s="182">
        <v>0.28000000000000003</v>
      </c>
      <c r="K73" s="182" t="s">
        <v>1989</v>
      </c>
      <c r="L73" s="154"/>
    </row>
    <row r="74" spans="1:13" ht="20.100000000000001" customHeight="1" x14ac:dyDescent="0.2">
      <c r="D74" s="182" t="s">
        <v>2022</v>
      </c>
      <c r="E74" s="182">
        <v>23.4</v>
      </c>
      <c r="F74" s="182" t="s">
        <v>661</v>
      </c>
      <c r="G74" s="182">
        <v>0</v>
      </c>
      <c r="H74" s="182">
        <v>0.08</v>
      </c>
      <c r="I74" s="182">
        <v>0.2</v>
      </c>
      <c r="J74" s="182">
        <v>0.28000000000000003</v>
      </c>
      <c r="K74" s="182" t="s">
        <v>1989</v>
      </c>
      <c r="L74" s="154"/>
    </row>
    <row r="75" spans="1:13" ht="20.100000000000001" customHeight="1" x14ac:dyDescent="0.2">
      <c r="D75" s="182" t="s">
        <v>2023</v>
      </c>
      <c r="E75" s="182">
        <v>23.4</v>
      </c>
      <c r="F75" s="182" t="s">
        <v>661</v>
      </c>
      <c r="G75" s="182">
        <v>0</v>
      </c>
      <c r="H75" s="182">
        <v>0.08</v>
      </c>
      <c r="I75" s="182">
        <v>0.2</v>
      </c>
      <c r="J75" s="182">
        <v>0.28000000000000003</v>
      </c>
      <c r="K75" s="182" t="s">
        <v>1989</v>
      </c>
      <c r="L75" s="154"/>
    </row>
    <row r="76" spans="1:13" ht="20.100000000000001" customHeight="1" x14ac:dyDescent="0.2">
      <c r="D76" s="182" t="s">
        <v>670</v>
      </c>
      <c r="E76" s="182">
        <v>36.799999999999997</v>
      </c>
      <c r="F76" s="182" t="s">
        <v>661</v>
      </c>
      <c r="G76" s="182">
        <v>0</v>
      </c>
      <c r="H76" s="182">
        <v>0.02</v>
      </c>
      <c r="I76" s="182">
        <v>0.2</v>
      </c>
      <c r="J76" s="182">
        <v>0.22</v>
      </c>
      <c r="K76" s="182" t="s">
        <v>1989</v>
      </c>
      <c r="L76" s="154"/>
    </row>
    <row r="77" spans="1:13" ht="20.100000000000001" customHeight="1" x14ac:dyDescent="0.2">
      <c r="D77" s="182" t="s">
        <v>667</v>
      </c>
      <c r="E77" s="182">
        <v>38.6</v>
      </c>
      <c r="F77" s="182" t="s">
        <v>661</v>
      </c>
      <c r="G77" s="182">
        <v>0</v>
      </c>
      <c r="H77" s="182">
        <v>0.1</v>
      </c>
      <c r="I77" s="182">
        <v>0.2</v>
      </c>
      <c r="J77" s="182">
        <v>0.3</v>
      </c>
      <c r="K77" s="182" t="s">
        <v>1989</v>
      </c>
      <c r="L77" s="154"/>
    </row>
    <row r="78" spans="1:13" ht="20.100000000000001" customHeight="1" x14ac:dyDescent="0.2">
      <c r="D78" s="154"/>
      <c r="E78" s="154"/>
      <c r="F78" s="154"/>
      <c r="G78" s="154"/>
      <c r="H78" s="154"/>
      <c r="I78" s="154"/>
      <c r="J78" s="154"/>
      <c r="K78" s="154"/>
      <c r="L78" s="154"/>
    </row>
    <row r="79" spans="1:13" ht="20.100000000000001" customHeight="1" x14ac:dyDescent="0.2">
      <c r="D79" s="154"/>
      <c r="E79" s="154"/>
      <c r="F79" s="154"/>
      <c r="G79" s="154"/>
      <c r="H79" s="154"/>
      <c r="I79" s="154"/>
      <c r="J79" s="154"/>
      <c r="K79" s="154"/>
      <c r="L79" s="154"/>
      <c r="M79" s="154"/>
    </row>
    <row r="80" spans="1:13" ht="20.100000000000001" customHeight="1" x14ac:dyDescent="0.2">
      <c r="D80" s="154"/>
      <c r="E80" s="154"/>
      <c r="F80" s="154"/>
      <c r="G80" s="154"/>
      <c r="H80" s="154"/>
      <c r="I80" s="154"/>
      <c r="J80" s="154"/>
      <c r="K80" s="154"/>
      <c r="L80" s="154"/>
      <c r="M80" s="154"/>
    </row>
    <row r="81" spans="4:12" ht="20.100000000000001" customHeight="1" x14ac:dyDescent="0.2">
      <c r="D81" s="2" t="s">
        <v>2024</v>
      </c>
      <c r="E81" s="154"/>
      <c r="F81" s="154"/>
      <c r="G81" s="154"/>
      <c r="H81" s="154"/>
      <c r="I81" s="154"/>
      <c r="J81" s="154"/>
      <c r="K81" s="154"/>
      <c r="L81" s="154"/>
    </row>
    <row r="82" spans="4:12" ht="20.100000000000001" customHeight="1" x14ac:dyDescent="0.2">
      <c r="D82" s="1" t="s">
        <v>2025</v>
      </c>
      <c r="E82" s="154"/>
      <c r="F82" s="154"/>
      <c r="G82" s="154"/>
      <c r="H82" s="154"/>
      <c r="I82" s="154"/>
      <c r="J82" s="154"/>
      <c r="K82" s="154"/>
      <c r="L82" s="154"/>
    </row>
    <row r="83" spans="4:12" ht="20.100000000000001" customHeight="1" x14ac:dyDescent="0.2">
      <c r="D83" s="17" t="s">
        <v>2026</v>
      </c>
      <c r="E83" s="154"/>
      <c r="F83" s="154"/>
      <c r="G83" s="154"/>
      <c r="H83" s="154"/>
      <c r="I83" s="154"/>
      <c r="J83" s="154"/>
      <c r="K83" s="154"/>
      <c r="L83" s="154"/>
    </row>
    <row r="84" spans="4:12" ht="20.100000000000001" customHeight="1" x14ac:dyDescent="0.2">
      <c r="D84" s="25"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54"/>
      <c r="F84" s="154"/>
      <c r="G84" s="154"/>
      <c r="H84" s="154"/>
      <c r="I84" s="154"/>
      <c r="J84" s="154"/>
      <c r="K84" s="154"/>
      <c r="L84" s="154"/>
    </row>
    <row r="85" spans="4:12" ht="20.100000000000001" customHeight="1" x14ac:dyDescent="0.2">
      <c r="D85" s="154"/>
      <c r="E85" s="154"/>
      <c r="F85" s="154"/>
      <c r="G85" s="154"/>
      <c r="H85" s="154"/>
      <c r="I85" s="154"/>
      <c r="J85" s="154"/>
      <c r="K85" s="154"/>
      <c r="L85" s="154"/>
    </row>
    <row r="86" spans="4:12" ht="20.100000000000001" customHeight="1" x14ac:dyDescent="0.2">
      <c r="D86" s="147" t="s">
        <v>639</v>
      </c>
      <c r="E86" s="181" t="s">
        <v>640</v>
      </c>
      <c r="F86" s="147" t="s">
        <v>641</v>
      </c>
      <c r="G86" s="181" t="s">
        <v>642</v>
      </c>
      <c r="H86" s="181" t="s">
        <v>643</v>
      </c>
      <c r="I86" s="181" t="s">
        <v>644</v>
      </c>
      <c r="J86" s="181" t="s">
        <v>645</v>
      </c>
      <c r="K86" s="154"/>
      <c r="L86" s="154"/>
    </row>
    <row r="87" spans="4:12" ht="20.100000000000001" customHeight="1" x14ac:dyDescent="0.2">
      <c r="D87" s="182" t="s">
        <v>2027</v>
      </c>
      <c r="E87" s="182">
        <v>3.9300000000000002E-2</v>
      </c>
      <c r="F87" s="182" t="s">
        <v>1446</v>
      </c>
      <c r="G87" s="182">
        <v>51.4</v>
      </c>
      <c r="H87" s="182">
        <v>0.1</v>
      </c>
      <c r="I87" s="182">
        <v>0.03</v>
      </c>
      <c r="J87" s="182">
        <v>51.53</v>
      </c>
      <c r="K87" s="154"/>
      <c r="L87" s="154"/>
    </row>
    <row r="88" spans="4:12" ht="20.100000000000001" customHeight="1" x14ac:dyDescent="0.2">
      <c r="D88" s="182" t="s">
        <v>2028</v>
      </c>
      <c r="E88" s="182">
        <v>3.7699999999999997E-2</v>
      </c>
      <c r="F88" s="182" t="s">
        <v>1446</v>
      </c>
      <c r="G88" s="182">
        <v>51.4</v>
      </c>
      <c r="H88" s="182">
        <v>0.2</v>
      </c>
      <c r="I88" s="182">
        <v>0.03</v>
      </c>
      <c r="J88" s="182">
        <v>51.63</v>
      </c>
      <c r="K88" s="154"/>
      <c r="L88" s="154"/>
    </row>
    <row r="89" spans="4:12" ht="20.100000000000001" customHeight="1" x14ac:dyDescent="0.2">
      <c r="D89" s="182" t="s">
        <v>2029</v>
      </c>
      <c r="E89" s="182">
        <v>3.7699999999999997E-2</v>
      </c>
      <c r="F89" s="182" t="s">
        <v>1446</v>
      </c>
      <c r="G89" s="182">
        <v>51.9</v>
      </c>
      <c r="H89" s="182">
        <v>4.5999999999999996</v>
      </c>
      <c r="I89" s="182">
        <v>0.3</v>
      </c>
      <c r="J89" s="182">
        <v>56.8</v>
      </c>
      <c r="K89" s="154"/>
      <c r="L89" s="154"/>
    </row>
    <row r="90" spans="4:12" ht="20.100000000000001" customHeight="1" x14ac:dyDescent="0.2">
      <c r="D90" s="182" t="s">
        <v>2030</v>
      </c>
      <c r="E90" s="182">
        <v>3.9300000000000002E-2</v>
      </c>
      <c r="F90" s="182" t="s">
        <v>1446</v>
      </c>
      <c r="G90" s="182">
        <v>51.4</v>
      </c>
      <c r="H90" s="182">
        <v>0.1</v>
      </c>
      <c r="I90" s="182">
        <v>0.03</v>
      </c>
      <c r="J90" s="182">
        <v>51.53</v>
      </c>
      <c r="K90" s="154"/>
      <c r="L90" s="154"/>
    </row>
    <row r="91" spans="4:12" ht="20.100000000000001" customHeight="1" x14ac:dyDescent="0.2">
      <c r="D91" s="182" t="s">
        <v>2031</v>
      </c>
      <c r="E91" s="182">
        <v>3.9300000000000002E-2</v>
      </c>
      <c r="F91" s="182" t="s">
        <v>1446</v>
      </c>
      <c r="G91" s="182">
        <v>51.4</v>
      </c>
      <c r="H91" s="182">
        <v>0.1</v>
      </c>
      <c r="I91" s="182">
        <v>0.03</v>
      </c>
      <c r="J91" s="182">
        <v>51.53</v>
      </c>
      <c r="K91" s="154"/>
      <c r="L91" s="154"/>
    </row>
    <row r="92" spans="4:12" ht="20.100000000000001" customHeight="1" x14ac:dyDescent="0.2">
      <c r="D92" s="182" t="s">
        <v>2032</v>
      </c>
      <c r="E92" s="182">
        <v>6.2899999999999998E-2</v>
      </c>
      <c r="F92" s="182" t="s">
        <v>1446</v>
      </c>
      <c r="G92" s="182">
        <v>56.5</v>
      </c>
      <c r="H92" s="182">
        <v>0.03</v>
      </c>
      <c r="I92" s="182">
        <v>0.03</v>
      </c>
      <c r="J92" s="182">
        <v>56.56</v>
      </c>
      <c r="K92" s="154"/>
      <c r="L92" s="154"/>
    </row>
    <row r="93" spans="4:12" ht="20.100000000000001" customHeight="1" x14ac:dyDescent="0.2">
      <c r="D93" s="182" t="s">
        <v>2033</v>
      </c>
      <c r="E93" s="182">
        <v>1.8100000000000002E-2</v>
      </c>
      <c r="F93" s="182" t="s">
        <v>1446</v>
      </c>
      <c r="G93" s="182">
        <v>37</v>
      </c>
      <c r="H93" s="182">
        <v>0.03</v>
      </c>
      <c r="I93" s="182">
        <v>0.05</v>
      </c>
      <c r="J93" s="182">
        <v>37.08</v>
      </c>
      <c r="K93" s="154"/>
      <c r="L93" s="154"/>
    </row>
    <row r="94" spans="4:12" ht="20.100000000000001" customHeight="1" x14ac:dyDescent="0.2">
      <c r="D94" s="182" t="s">
        <v>2034</v>
      </c>
      <c r="E94" s="182">
        <v>4.0000000000000001E-3</v>
      </c>
      <c r="F94" s="182" t="s">
        <v>1446</v>
      </c>
      <c r="G94" s="182">
        <v>234</v>
      </c>
      <c r="H94" s="182">
        <v>0.03</v>
      </c>
      <c r="I94" s="182">
        <v>0.02</v>
      </c>
      <c r="J94" s="182">
        <v>234.05</v>
      </c>
      <c r="K94" s="154"/>
      <c r="L94" s="154"/>
    </row>
    <row r="95" spans="4:12" ht="20.100000000000001" customHeight="1" x14ac:dyDescent="0.2">
      <c r="D95" s="182" t="s">
        <v>2035</v>
      </c>
      <c r="E95" s="182">
        <v>3.9E-2</v>
      </c>
      <c r="F95" s="182" t="s">
        <v>1446</v>
      </c>
      <c r="G95" s="182">
        <v>60.2</v>
      </c>
      <c r="H95" s="182">
        <v>0.04</v>
      </c>
      <c r="I95" s="182">
        <v>0.03</v>
      </c>
      <c r="J95" s="182">
        <v>60.27</v>
      </c>
      <c r="K95" s="154"/>
      <c r="L95" s="154"/>
    </row>
    <row r="96" spans="4:12" ht="20.100000000000001" customHeight="1" x14ac:dyDescent="0.2">
      <c r="D96" s="182" t="s">
        <v>1992</v>
      </c>
      <c r="E96" s="182">
        <v>25.3</v>
      </c>
      <c r="F96" s="182" t="s">
        <v>661</v>
      </c>
      <c r="G96" s="182">
        <v>51.4</v>
      </c>
      <c r="H96" s="182">
        <v>0.1</v>
      </c>
      <c r="I96" s="182">
        <v>0.03</v>
      </c>
      <c r="J96" s="182">
        <v>51.53</v>
      </c>
      <c r="K96" s="154"/>
      <c r="L96" s="154"/>
    </row>
    <row r="97" spans="1:13" ht="20.100000000000001" customHeight="1" x14ac:dyDescent="0.2">
      <c r="D97" s="182" t="s">
        <v>2036</v>
      </c>
      <c r="E97" s="182">
        <v>3.9E-2</v>
      </c>
      <c r="F97" s="182" t="s">
        <v>1446</v>
      </c>
      <c r="G97" s="182">
        <v>51.4</v>
      </c>
      <c r="H97" s="182">
        <v>0.1</v>
      </c>
      <c r="I97" s="182">
        <v>0.03</v>
      </c>
      <c r="J97" s="182">
        <v>51.53</v>
      </c>
      <c r="K97" s="154"/>
      <c r="L97" s="154"/>
    </row>
    <row r="98" spans="1:13" ht="20.100000000000001" customHeight="1" x14ac:dyDescent="0.2">
      <c r="A98" s="79" t="str">
        <f>HYPERLINK("#A1", "▲ Back to top")</f>
        <v>▲ Back to top</v>
      </c>
      <c r="D98" s="182" t="s">
        <v>2037</v>
      </c>
      <c r="E98" s="182">
        <v>3.7699999999999997E-2</v>
      </c>
      <c r="F98" s="182" t="s">
        <v>1446</v>
      </c>
      <c r="G98" s="182">
        <v>0</v>
      </c>
      <c r="H98" s="182">
        <v>6.4</v>
      </c>
      <c r="I98" s="182">
        <v>0.03</v>
      </c>
      <c r="J98" s="182">
        <v>6.43</v>
      </c>
      <c r="K98" s="154"/>
      <c r="L98" s="154"/>
    </row>
    <row r="99" spans="1:13" ht="20.100000000000001" customHeight="1" x14ac:dyDescent="0.2">
      <c r="D99" s="182" t="s">
        <v>2038</v>
      </c>
      <c r="E99" s="182">
        <v>3.7699999999999997E-2</v>
      </c>
      <c r="F99" s="182" t="s">
        <v>1446</v>
      </c>
      <c r="G99" s="182">
        <v>0</v>
      </c>
      <c r="H99" s="182">
        <v>6.4</v>
      </c>
      <c r="I99" s="182">
        <v>0.03</v>
      </c>
      <c r="J99" s="182">
        <v>6.43</v>
      </c>
      <c r="K99" s="154"/>
      <c r="L99" s="154"/>
    </row>
    <row r="100" spans="1:13" ht="20.100000000000001" customHeight="1" x14ac:dyDescent="0.2">
      <c r="D100" s="182" t="s">
        <v>2039</v>
      </c>
      <c r="E100" s="182">
        <v>3.6999999999999998E-2</v>
      </c>
      <c r="F100" s="182" t="s">
        <v>1446</v>
      </c>
      <c r="G100" s="182">
        <v>0</v>
      </c>
      <c r="H100" s="182">
        <v>6.4</v>
      </c>
      <c r="I100" s="182">
        <v>0.03</v>
      </c>
      <c r="J100" s="182">
        <v>6.43</v>
      </c>
      <c r="K100" s="154"/>
      <c r="L100" s="154"/>
    </row>
    <row r="101" spans="1:13" ht="20.100000000000001" customHeight="1" x14ac:dyDescent="0.2">
      <c r="D101" s="182" t="s">
        <v>2040</v>
      </c>
      <c r="E101" s="182">
        <v>3.9300000000000002E-2</v>
      </c>
      <c r="F101" s="182" t="s">
        <v>1446</v>
      </c>
      <c r="G101" s="182">
        <v>0</v>
      </c>
      <c r="H101" s="182">
        <v>0.1</v>
      </c>
      <c r="I101" s="182">
        <v>0.03</v>
      </c>
      <c r="J101" s="182">
        <v>0.13</v>
      </c>
      <c r="K101" s="154"/>
      <c r="L101" s="154"/>
    </row>
    <row r="102" spans="1:13" ht="20.100000000000001" customHeight="1" x14ac:dyDescent="0.2">
      <c r="D102" s="182" t="s">
        <v>2041</v>
      </c>
      <c r="E102" s="182">
        <v>1.2200000000000001E-2</v>
      </c>
      <c r="F102" s="182" t="s">
        <v>1446</v>
      </c>
      <c r="G102" s="182">
        <v>0</v>
      </c>
      <c r="H102" s="182">
        <v>0</v>
      </c>
      <c r="I102" s="182">
        <v>0.5</v>
      </c>
      <c r="J102" s="182">
        <v>0.5</v>
      </c>
      <c r="K102" s="154"/>
      <c r="L102" s="154"/>
    </row>
    <row r="103" spans="1:13" ht="20.100000000000001" customHeight="1" x14ac:dyDescent="0.2">
      <c r="D103" s="182" t="s">
        <v>2042</v>
      </c>
      <c r="E103" s="182">
        <v>1</v>
      </c>
      <c r="F103" s="182" t="s">
        <v>679</v>
      </c>
      <c r="G103" s="182">
        <v>51.4</v>
      </c>
      <c r="H103" s="182">
        <v>0.1</v>
      </c>
      <c r="I103" s="182">
        <v>0.03</v>
      </c>
      <c r="J103" s="182">
        <v>51.53</v>
      </c>
      <c r="K103" s="154"/>
      <c r="L103" s="154"/>
    </row>
    <row r="104" spans="1:13" ht="20.100000000000001" customHeight="1" x14ac:dyDescent="0.2">
      <c r="D104" s="182" t="s">
        <v>2043</v>
      </c>
      <c r="E104" s="182">
        <v>1</v>
      </c>
      <c r="F104" s="182" t="s">
        <v>679</v>
      </c>
      <c r="G104" s="182">
        <v>60.2</v>
      </c>
      <c r="H104" s="182">
        <v>0.04</v>
      </c>
      <c r="I104" s="182">
        <v>0.03</v>
      </c>
      <c r="J104" s="182">
        <v>60.27</v>
      </c>
      <c r="K104" s="154"/>
      <c r="L104" s="154"/>
    </row>
    <row r="105" spans="1:13" ht="20.100000000000001" customHeight="1" x14ac:dyDescent="0.2">
      <c r="D105" s="154"/>
      <c r="E105" s="154"/>
      <c r="F105" s="154"/>
      <c r="G105" s="154"/>
      <c r="H105" s="154"/>
      <c r="I105" s="154"/>
      <c r="J105" s="154"/>
      <c r="K105" s="154"/>
      <c r="L105" s="154"/>
      <c r="M105" s="154"/>
    </row>
    <row r="106" spans="1:13" ht="20.100000000000001" customHeight="1" x14ac:dyDescent="0.2">
      <c r="D106" s="154"/>
      <c r="E106" s="154"/>
      <c r="F106" s="154"/>
      <c r="G106" s="154"/>
      <c r="H106" s="154"/>
      <c r="I106" s="154"/>
      <c r="J106" s="154"/>
      <c r="K106" s="154"/>
      <c r="L106" s="154"/>
      <c r="M106" s="154"/>
    </row>
    <row r="107" spans="1:13" ht="20.100000000000001" customHeight="1" x14ac:dyDescent="0.2">
      <c r="D107" s="2" t="s">
        <v>2044</v>
      </c>
      <c r="E107" s="154"/>
      <c r="F107" s="154"/>
      <c r="G107" s="154"/>
      <c r="H107" s="154"/>
      <c r="I107" s="154"/>
      <c r="J107" s="154"/>
      <c r="K107" s="154"/>
      <c r="L107" s="154"/>
    </row>
    <row r="108" spans="1:13" ht="20.100000000000001" customHeight="1" x14ac:dyDescent="0.2">
      <c r="D108" s="1" t="s">
        <v>2045</v>
      </c>
      <c r="E108" s="154"/>
      <c r="F108" s="154"/>
      <c r="G108" s="154"/>
      <c r="H108" s="154"/>
      <c r="I108" s="154"/>
      <c r="J108" s="154"/>
      <c r="K108" s="154"/>
      <c r="L108" s="154"/>
    </row>
    <row r="109" spans="1:13" ht="20.100000000000001" customHeight="1" x14ac:dyDescent="0.2">
      <c r="D109" s="17" t="s">
        <v>2046</v>
      </c>
      <c r="E109" s="154"/>
      <c r="F109" s="154"/>
      <c r="G109" s="154"/>
      <c r="H109" s="154"/>
      <c r="I109" s="154"/>
      <c r="J109" s="154"/>
      <c r="K109" s="154"/>
      <c r="L109" s="154"/>
    </row>
    <row r="110" spans="1:13" ht="20.100000000000001" customHeight="1" x14ac:dyDescent="0.2">
      <c r="D110" s="25"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54"/>
      <c r="F110" s="154"/>
      <c r="G110" s="154"/>
      <c r="H110" s="154"/>
      <c r="I110" s="154"/>
      <c r="J110" s="154"/>
      <c r="K110" s="154"/>
      <c r="L110" s="154"/>
    </row>
    <row r="111" spans="1:13" ht="20.100000000000001" customHeight="1" x14ac:dyDescent="0.2">
      <c r="D111" s="154"/>
      <c r="E111" s="154"/>
      <c r="F111" s="154"/>
      <c r="G111" s="154"/>
      <c r="H111" s="154"/>
      <c r="I111" s="154"/>
      <c r="J111" s="154"/>
      <c r="K111" s="154"/>
      <c r="L111" s="154"/>
    </row>
    <row r="112" spans="1:13" ht="20.100000000000001" customHeight="1" x14ac:dyDescent="0.2">
      <c r="D112" s="147" t="s">
        <v>654</v>
      </c>
      <c r="E112" s="181" t="s">
        <v>589</v>
      </c>
      <c r="F112" s="181" t="s">
        <v>655</v>
      </c>
      <c r="G112" s="191" t="s">
        <v>2048</v>
      </c>
      <c r="H112" s="75" t="s">
        <v>656</v>
      </c>
      <c r="I112" s="154"/>
      <c r="J112" s="154"/>
      <c r="K112" s="154"/>
      <c r="L112" s="154"/>
    </row>
    <row r="113" spans="1:13" ht="20.100000000000001" customHeight="1" x14ac:dyDescent="0.2">
      <c r="D113" s="184" t="s">
        <v>1735</v>
      </c>
      <c r="E113" s="184">
        <v>13.1</v>
      </c>
      <c r="F113" s="184">
        <v>14</v>
      </c>
      <c r="G113" s="185" t="s">
        <v>2047</v>
      </c>
      <c r="H113" s="1" t="s">
        <v>2049</v>
      </c>
      <c r="I113" s="154"/>
      <c r="J113" s="154"/>
      <c r="K113" s="154"/>
      <c r="L113" s="154"/>
    </row>
    <row r="114" spans="1:13" ht="20.100000000000001" customHeight="1" x14ac:dyDescent="0.2">
      <c r="D114" s="184" t="s">
        <v>522</v>
      </c>
      <c r="E114" s="184">
        <v>13.1</v>
      </c>
      <c r="F114" s="184">
        <v>14</v>
      </c>
      <c r="G114" s="185"/>
      <c r="H114" s="1" t="s">
        <v>2050</v>
      </c>
      <c r="I114" s="154"/>
      <c r="J114" s="154"/>
      <c r="K114" s="154"/>
      <c r="L114" s="154"/>
    </row>
    <row r="115" spans="1:13" ht="20.100000000000001" customHeight="1" x14ac:dyDescent="0.2">
      <c r="D115" s="184" t="s">
        <v>1736</v>
      </c>
      <c r="E115" s="184">
        <v>4</v>
      </c>
      <c r="F115" s="184">
        <v>4</v>
      </c>
      <c r="G115" s="185"/>
      <c r="H115" s="1" t="s">
        <v>2051</v>
      </c>
      <c r="I115" s="154"/>
      <c r="J115" s="154"/>
      <c r="K115" s="154"/>
      <c r="L115" s="154"/>
    </row>
    <row r="116" spans="1:13" ht="20.100000000000001" customHeight="1" x14ac:dyDescent="0.2">
      <c r="D116" s="184" t="s">
        <v>1737</v>
      </c>
      <c r="E116" s="184">
        <v>8.8000000000000007</v>
      </c>
      <c r="F116" s="184">
        <v>7.9</v>
      </c>
      <c r="G116" s="185" t="s">
        <v>2047</v>
      </c>
      <c r="H116" s="1" t="s">
        <v>2052</v>
      </c>
      <c r="I116" s="154"/>
      <c r="J116" s="154"/>
      <c r="K116" s="154"/>
      <c r="L116" s="154"/>
    </row>
    <row r="117" spans="1:13" ht="20.100000000000001" customHeight="1" x14ac:dyDescent="0.2">
      <c r="D117" s="184" t="s">
        <v>1738</v>
      </c>
      <c r="E117" s="184">
        <v>10.7</v>
      </c>
      <c r="F117" s="184">
        <v>10.6</v>
      </c>
      <c r="G117" s="185"/>
      <c r="H117" s="1" t="s">
        <v>2053</v>
      </c>
      <c r="I117" s="154"/>
      <c r="J117" s="154"/>
      <c r="K117" s="154"/>
      <c r="L117" s="154"/>
    </row>
    <row r="118" spans="1:13" ht="20.100000000000001" customHeight="1" x14ac:dyDescent="0.2">
      <c r="D118" s="184" t="s">
        <v>99</v>
      </c>
      <c r="E118" s="184">
        <v>4.0999999999999996</v>
      </c>
      <c r="F118" s="184">
        <v>4</v>
      </c>
      <c r="G118" s="185" t="s">
        <v>2047</v>
      </c>
      <c r="H118" s="1" t="s">
        <v>2054</v>
      </c>
      <c r="I118" s="154"/>
      <c r="J118" s="154"/>
      <c r="K118" s="154"/>
      <c r="L118" s="154"/>
    </row>
    <row r="119" spans="1:13" ht="20.100000000000001" customHeight="1" x14ac:dyDescent="0.2">
      <c r="D119" s="184" t="s">
        <v>1740</v>
      </c>
      <c r="E119" s="184">
        <v>4</v>
      </c>
      <c r="F119" s="184">
        <v>4</v>
      </c>
      <c r="G119" s="185" t="s">
        <v>2047</v>
      </c>
      <c r="H119" s="1" t="s">
        <v>2055</v>
      </c>
      <c r="I119" s="154"/>
      <c r="J119" s="154"/>
      <c r="K119" s="154"/>
      <c r="L119" s="154"/>
    </row>
    <row r="120" spans="1:13" ht="20.100000000000001" customHeight="1" x14ac:dyDescent="0.2">
      <c r="D120" s="184" t="s">
        <v>2061</v>
      </c>
      <c r="E120" s="184">
        <v>4.0999999999999996</v>
      </c>
      <c r="F120" s="184">
        <v>4</v>
      </c>
      <c r="G120" s="185" t="s">
        <v>2047</v>
      </c>
      <c r="H120" s="1" t="s">
        <v>2056</v>
      </c>
      <c r="I120" s="154"/>
      <c r="J120" s="154"/>
      <c r="K120" s="154"/>
      <c r="L120" s="154"/>
    </row>
    <row r="121" spans="1:13" ht="20.100000000000001" customHeight="1" x14ac:dyDescent="0.2">
      <c r="D121" s="8"/>
      <c r="E121" s="8"/>
      <c r="F121" s="8"/>
      <c r="G121" s="185"/>
      <c r="H121" s="1" t="s">
        <v>2057</v>
      </c>
      <c r="I121" s="154"/>
      <c r="J121" s="154"/>
      <c r="K121" s="154"/>
      <c r="L121" s="154"/>
    </row>
    <row r="122" spans="1:13" ht="20.100000000000001" customHeight="1" x14ac:dyDescent="0.2">
      <c r="D122" s="154"/>
      <c r="F122" s="186"/>
      <c r="G122" s="185"/>
      <c r="H122" s="1" t="s">
        <v>2058</v>
      </c>
      <c r="I122" s="154"/>
      <c r="J122" s="154"/>
      <c r="K122" s="154"/>
      <c r="L122" s="154"/>
    </row>
    <row r="123" spans="1:13" ht="20.100000000000001" customHeight="1" x14ac:dyDescent="0.2">
      <c r="D123" s="187"/>
      <c r="F123" s="186"/>
      <c r="G123" s="185" t="s">
        <v>2047</v>
      </c>
      <c r="H123" s="1" t="s">
        <v>2059</v>
      </c>
      <c r="I123" s="154"/>
      <c r="J123" s="154"/>
      <c r="K123" s="154"/>
      <c r="L123" s="154"/>
    </row>
    <row r="124" spans="1:13" ht="20.100000000000001" customHeight="1" x14ac:dyDescent="0.2">
      <c r="D124" s="187"/>
      <c r="F124" s="186"/>
      <c r="G124" s="154"/>
      <c r="H124" s="1" t="s">
        <v>2060</v>
      </c>
      <c r="I124" s="154"/>
      <c r="J124" s="154"/>
      <c r="K124" s="154"/>
      <c r="L124" s="154"/>
    </row>
    <row r="125" spans="1:13" ht="20.100000000000001" customHeight="1" x14ac:dyDescent="0.2">
      <c r="D125" s="187"/>
      <c r="F125" s="186"/>
      <c r="G125" s="154"/>
      <c r="H125" s="154"/>
      <c r="I125" s="154"/>
      <c r="J125" s="154"/>
      <c r="K125" s="154"/>
      <c r="L125" s="154"/>
    </row>
    <row r="126" spans="1:13" ht="20.100000000000001" customHeight="1" x14ac:dyDescent="0.2">
      <c r="D126" s="154"/>
      <c r="E126" s="154"/>
      <c r="F126" s="154"/>
      <c r="G126" s="154"/>
      <c r="H126" s="154"/>
      <c r="I126" s="154"/>
      <c r="J126" s="154"/>
      <c r="K126" s="154"/>
      <c r="L126" s="154"/>
      <c r="M126" s="154"/>
    </row>
    <row r="127" spans="1:13" ht="20.100000000000001" customHeight="1" x14ac:dyDescent="0.2">
      <c r="D127" s="154"/>
      <c r="E127" s="154"/>
      <c r="F127" s="154"/>
      <c r="G127" s="154"/>
      <c r="H127" s="154"/>
      <c r="I127" s="154"/>
      <c r="J127" s="154"/>
      <c r="K127" s="154"/>
      <c r="L127" s="154"/>
      <c r="M127" s="154"/>
    </row>
    <row r="128" spans="1:13" ht="20.100000000000001" customHeight="1" x14ac:dyDescent="0.2">
      <c r="A128" s="79" t="str">
        <f>HYPERLINK("#A1", "▲ Back to top")</f>
        <v>▲ Back to top</v>
      </c>
      <c r="D128" s="154"/>
      <c r="E128" s="154"/>
      <c r="F128" s="154"/>
      <c r="G128" s="154"/>
      <c r="H128" s="154"/>
      <c r="I128" s="154"/>
      <c r="J128" s="154"/>
      <c r="K128" s="154"/>
      <c r="L128" s="154"/>
      <c r="M128" s="154"/>
    </row>
    <row r="129" spans="4:33" ht="20.100000000000001" customHeight="1" x14ac:dyDescent="0.2">
      <c r="D129" s="188"/>
      <c r="E129" s="154"/>
      <c r="F129" s="154"/>
      <c r="G129" s="154"/>
      <c r="H129" s="154"/>
      <c r="I129" s="154"/>
      <c r="J129" s="154"/>
      <c r="K129" s="154"/>
      <c r="L129" s="154"/>
    </row>
    <row r="130" spans="4:33" ht="20.100000000000001" customHeight="1" x14ac:dyDescent="0.2">
      <c r="D130" s="189" t="s">
        <v>657</v>
      </c>
      <c r="E130" s="189" t="s">
        <v>598</v>
      </c>
      <c r="F130" s="189" t="s">
        <v>658</v>
      </c>
      <c r="G130" s="189" t="s">
        <v>601</v>
      </c>
      <c r="H130" s="189" t="s">
        <v>603</v>
      </c>
      <c r="I130" s="189" t="s">
        <v>604</v>
      </c>
      <c r="J130" s="154"/>
      <c r="K130" s="154"/>
      <c r="L130" s="154"/>
    </row>
    <row r="131" spans="4:33" ht="20.100000000000001" customHeight="1" x14ac:dyDescent="0.2">
      <c r="D131" s="190" t="str">
        <f>$D$143</f>
        <v>Petrol</v>
      </c>
      <c r="E131" s="190" t="str">
        <f>$D$143</f>
        <v>Petrol</v>
      </c>
      <c r="F131" s="190" t="str">
        <f>$D$150</f>
        <v>Avgas</v>
      </c>
      <c r="G131" s="190" t="str">
        <f>$D$143</f>
        <v>Petrol</v>
      </c>
      <c r="H131" s="190" t="str">
        <f>$D$144</f>
        <v>Diesel</v>
      </c>
      <c r="I131" s="190" t="str">
        <f>$D$143</f>
        <v>Petrol</v>
      </c>
      <c r="J131" s="154"/>
      <c r="K131" s="154"/>
      <c r="L131" s="154"/>
    </row>
    <row r="132" spans="4:33" ht="20.100000000000001" customHeight="1" x14ac:dyDescent="0.2">
      <c r="D132" s="190" t="str">
        <f>$D$144</f>
        <v>Diesel</v>
      </c>
      <c r="E132" s="190" t="str">
        <f>$D$144</f>
        <v>Diesel</v>
      </c>
      <c r="F132" s="190" t="str">
        <f>$D$151</f>
        <v>Jet A1, Jet B</v>
      </c>
      <c r="G132" s="190" t="str">
        <f>$D$144</f>
        <v>Diesel</v>
      </c>
      <c r="H132" s="190"/>
      <c r="I132" s="190" t="str">
        <f>$D$144</f>
        <v>Diesel</v>
      </c>
      <c r="J132" s="154"/>
      <c r="K132" s="154"/>
      <c r="L132" s="154"/>
    </row>
    <row r="133" spans="4:33" ht="20.100000000000001" customHeight="1" x14ac:dyDescent="0.2">
      <c r="D133" s="190" t="str">
        <f>$D$145</f>
        <v>Liquefied petroleum gas (LPG)</v>
      </c>
      <c r="E133" s="190" t="str">
        <f>$D$145</f>
        <v>Liquefied petroleum gas (LPG)</v>
      </c>
      <c r="F133" s="190" t="str">
        <f>$D$152</f>
        <v>Renewable aviation kerosene</v>
      </c>
      <c r="G133" s="190" t="str">
        <f>$D$145</f>
        <v>Liquefied petroleum gas (LPG)</v>
      </c>
      <c r="H133" s="190"/>
      <c r="I133" s="190" t="s">
        <v>605</v>
      </c>
      <c r="J133" s="154"/>
      <c r="K133" s="154"/>
      <c r="L133" s="154"/>
    </row>
    <row r="134" spans="4:33" ht="20.100000000000001" customHeight="1" x14ac:dyDescent="0.2">
      <c r="D134" s="190" t="str">
        <f>$D$146</f>
        <v>Biodiesel</v>
      </c>
      <c r="E134" s="190" t="str">
        <f>$D$146</f>
        <v>Biodiesel</v>
      </c>
      <c r="F134" s="189"/>
      <c r="G134" s="190" t="str">
        <f>$D$160</f>
        <v>Fuel oil</v>
      </c>
      <c r="H134" s="190"/>
      <c r="I134" s="190"/>
      <c r="J134" s="154"/>
      <c r="K134" s="154"/>
      <c r="L134" s="154"/>
    </row>
    <row r="135" spans="4:33" ht="20.100000000000001" customHeight="1" x14ac:dyDescent="0.2">
      <c r="D135" s="190" t="str">
        <f>$D$147</f>
        <v>Ethanol</v>
      </c>
      <c r="E135" s="190" t="str">
        <f>$D$147</f>
        <v>Ethanol</v>
      </c>
      <c r="F135" s="189"/>
      <c r="G135" s="190" t="str">
        <f>$D$147</f>
        <v>Ethanol</v>
      </c>
      <c r="H135" s="190"/>
      <c r="I135" s="190"/>
      <c r="J135" s="154"/>
      <c r="K135" s="154"/>
      <c r="L135" s="154"/>
    </row>
    <row r="136" spans="4:33" ht="20.100000000000001" customHeight="1" x14ac:dyDescent="0.2">
      <c r="D136" s="190" t="str">
        <f>$D$148</f>
        <v>Other biofuels</v>
      </c>
      <c r="E136" s="190" t="str">
        <f>$D$148</f>
        <v>Other biofuels</v>
      </c>
      <c r="F136" s="189"/>
      <c r="G136" s="190" t="str">
        <f>$D$146</f>
        <v>Biodiesel</v>
      </c>
      <c r="H136" s="190"/>
      <c r="I136" s="190"/>
      <c r="J136" s="154"/>
      <c r="K136" s="154"/>
      <c r="L136" s="154"/>
    </row>
    <row r="137" spans="4:33" ht="20.100000000000001" customHeight="1" x14ac:dyDescent="0.2">
      <c r="D137" s="190" t="str">
        <f>$D$149</f>
        <v>Renewable diesel</v>
      </c>
      <c r="E137" s="190" t="str">
        <f>$D$149</f>
        <v>Renewable diesel</v>
      </c>
      <c r="F137" s="189"/>
      <c r="G137" s="190" t="str">
        <f>$D$149</f>
        <v>Renewable diesel</v>
      </c>
      <c r="H137" s="190"/>
      <c r="I137" s="190"/>
      <c r="J137" s="154"/>
      <c r="K137" s="154"/>
      <c r="L137" s="154"/>
    </row>
    <row r="138" spans="4:33" ht="20.100000000000001" customHeight="1" x14ac:dyDescent="0.2">
      <c r="D138" s="189"/>
      <c r="E138" s="191" t="str">
        <f>$D$161</f>
        <v>Natural gas (via pipeline) in GJ</v>
      </c>
      <c r="F138" s="191"/>
      <c r="G138" s="190" t="str">
        <f>$D$148</f>
        <v>Other biofuels</v>
      </c>
      <c r="H138" s="190"/>
      <c r="I138" s="190"/>
      <c r="J138" s="154"/>
      <c r="K138" s="154"/>
      <c r="L138" s="154"/>
    </row>
    <row r="139" spans="4:33" ht="20.100000000000001" customHeight="1" x14ac:dyDescent="0.2">
      <c r="D139" s="191"/>
      <c r="E139" s="191" t="str">
        <f>$D$162</f>
        <v>Town gas in GJ</v>
      </c>
      <c r="F139" s="191"/>
      <c r="G139" s="191"/>
      <c r="H139" s="191"/>
      <c r="I139" s="191"/>
      <c r="J139" s="154"/>
      <c r="K139" s="154"/>
      <c r="L139" s="154"/>
    </row>
    <row r="140" spans="4:33" ht="20.100000000000001" customHeight="1" x14ac:dyDescent="0.2">
      <c r="D140" s="154"/>
      <c r="E140" s="154"/>
      <c r="F140" s="154"/>
      <c r="G140" s="154"/>
      <c r="H140" s="154"/>
      <c r="I140" s="154"/>
      <c r="J140" s="154"/>
      <c r="K140" s="154"/>
      <c r="L140" s="154"/>
    </row>
    <row r="141" spans="4:33" ht="20.100000000000001" customHeight="1" x14ac:dyDescent="0.2">
      <c r="D141" s="154"/>
      <c r="E141" s="154"/>
      <c r="F141" s="154"/>
      <c r="G141" s="154"/>
      <c r="H141" s="154"/>
      <c r="I141" s="154"/>
      <c r="J141" s="154"/>
      <c r="K141" s="154"/>
      <c r="L141" s="154"/>
    </row>
    <row r="142" spans="4:33" ht="20.100000000000001" customHeight="1" x14ac:dyDescent="0.2">
      <c r="D142" t="s">
        <v>659</v>
      </c>
      <c r="E142" t="s">
        <v>118</v>
      </c>
      <c r="F142" t="s">
        <v>660</v>
      </c>
      <c r="G142" s="154"/>
      <c r="H142" s="154"/>
      <c r="I142" s="154"/>
      <c r="J142" s="154"/>
      <c r="K142" s="154"/>
      <c r="L142" s="154"/>
      <c r="M142" s="154"/>
      <c r="AG142" s="1"/>
    </row>
    <row r="143" spans="4:33" ht="20.100000000000001" customHeight="1" x14ac:dyDescent="0.2">
      <c r="D143" s="190" t="s">
        <v>600</v>
      </c>
      <c r="E143" t="s">
        <v>661</v>
      </c>
      <c r="F143" t="s">
        <v>662</v>
      </c>
      <c r="G143" s="154"/>
      <c r="H143" s="154"/>
      <c r="I143" s="154"/>
      <c r="J143" s="154"/>
      <c r="K143" s="154"/>
      <c r="L143" s="154"/>
      <c r="M143" s="154"/>
      <c r="AG143" s="1"/>
    </row>
    <row r="144" spans="4:33" ht="20.100000000000001" customHeight="1" x14ac:dyDescent="0.2">
      <c r="D144" s="190" t="s">
        <v>602</v>
      </c>
      <c r="E144" t="s">
        <v>661</v>
      </c>
      <c r="F144" t="s">
        <v>662</v>
      </c>
      <c r="G144" s="154"/>
      <c r="H144" s="154"/>
      <c r="I144" s="154"/>
      <c r="J144" s="154"/>
      <c r="K144" s="154"/>
      <c r="L144" s="154"/>
      <c r="M144" s="154"/>
      <c r="AG144" s="1"/>
    </row>
    <row r="145" spans="1:33" ht="20.100000000000001" customHeight="1" x14ac:dyDescent="0.2">
      <c r="D145" s="190" t="s">
        <v>663</v>
      </c>
      <c r="E145" t="s">
        <v>661</v>
      </c>
      <c r="F145" t="s">
        <v>662</v>
      </c>
      <c r="G145" s="154"/>
      <c r="H145" s="154"/>
      <c r="I145" s="154"/>
      <c r="J145" s="154"/>
      <c r="K145" s="154"/>
      <c r="L145" s="154"/>
      <c r="M145" s="154"/>
      <c r="AG145" s="1"/>
    </row>
    <row r="146" spans="1:33" ht="20.100000000000001" customHeight="1" x14ac:dyDescent="0.2">
      <c r="D146" s="190" t="s">
        <v>664</v>
      </c>
      <c r="E146" t="s">
        <v>661</v>
      </c>
      <c r="F146" t="s">
        <v>662</v>
      </c>
      <c r="G146" s="154"/>
      <c r="H146" s="154"/>
      <c r="I146" s="154"/>
      <c r="J146" s="154"/>
      <c r="K146" s="154"/>
      <c r="L146" s="154"/>
      <c r="M146" s="154"/>
      <c r="AG146" s="1"/>
    </row>
    <row r="147" spans="1:33" ht="20.100000000000001" customHeight="1" x14ac:dyDescent="0.2">
      <c r="D147" s="190" t="s">
        <v>665</v>
      </c>
      <c r="E147" t="s">
        <v>661</v>
      </c>
      <c r="F147" t="s">
        <v>662</v>
      </c>
      <c r="G147" s="154"/>
      <c r="H147" s="154"/>
      <c r="I147" s="154"/>
      <c r="J147" s="154"/>
      <c r="K147" s="154"/>
      <c r="L147" s="154"/>
      <c r="M147" s="154"/>
      <c r="AG147" s="1"/>
    </row>
    <row r="148" spans="1:33" ht="20.100000000000001" customHeight="1" x14ac:dyDescent="0.2">
      <c r="D148" s="190" t="s">
        <v>666</v>
      </c>
      <c r="E148" t="s">
        <v>661</v>
      </c>
      <c r="F148" t="s">
        <v>662</v>
      </c>
      <c r="G148" s="154"/>
      <c r="H148" s="154"/>
      <c r="I148" s="154"/>
      <c r="J148" s="154"/>
      <c r="K148" s="154"/>
      <c r="L148" s="154"/>
      <c r="M148" s="154"/>
      <c r="AG148" s="1"/>
    </row>
    <row r="149" spans="1:33" ht="20.100000000000001" customHeight="1" x14ac:dyDescent="0.2">
      <c r="D149" s="190" t="s">
        <v>667</v>
      </c>
      <c r="E149" t="s">
        <v>661</v>
      </c>
      <c r="F149" t="s">
        <v>662</v>
      </c>
      <c r="G149" s="154"/>
      <c r="H149" s="154"/>
      <c r="I149" s="154"/>
      <c r="J149" s="154"/>
      <c r="K149" s="154"/>
      <c r="L149" s="154"/>
      <c r="M149" s="154"/>
      <c r="AG149" s="1"/>
    </row>
    <row r="150" spans="1:33" ht="20.100000000000001" customHeight="1" x14ac:dyDescent="0.2">
      <c r="D150" s="190" t="s">
        <v>668</v>
      </c>
      <c r="E150" t="s">
        <v>661</v>
      </c>
      <c r="F150" t="s">
        <v>662</v>
      </c>
      <c r="G150" s="154"/>
      <c r="H150" s="154"/>
      <c r="I150" s="154"/>
      <c r="J150" s="154"/>
      <c r="K150" s="154"/>
      <c r="L150" s="154"/>
      <c r="M150" s="154"/>
      <c r="AG150" s="1"/>
    </row>
    <row r="151" spans="1:33" ht="20.100000000000001" customHeight="1" x14ac:dyDescent="0.2">
      <c r="D151" s="190" t="s">
        <v>669</v>
      </c>
      <c r="E151" t="s">
        <v>661</v>
      </c>
      <c r="F151" t="s">
        <v>662</v>
      </c>
      <c r="G151" s="154"/>
      <c r="H151" s="154"/>
      <c r="I151" s="154"/>
      <c r="J151" s="154"/>
      <c r="K151" s="154"/>
      <c r="L151" s="154"/>
      <c r="M151" s="154"/>
      <c r="AG151" s="1"/>
    </row>
    <row r="152" spans="1:33" ht="20.100000000000001" customHeight="1" x14ac:dyDescent="0.2">
      <c r="D152" s="192" t="s">
        <v>670</v>
      </c>
      <c r="E152" s="8" t="s">
        <v>661</v>
      </c>
      <c r="F152" t="s">
        <v>662</v>
      </c>
      <c r="G152" s="154"/>
      <c r="H152" s="154"/>
      <c r="I152" s="154"/>
      <c r="J152" s="154"/>
      <c r="K152" s="154"/>
      <c r="L152" s="154"/>
      <c r="M152" s="154"/>
      <c r="AG152" s="1"/>
    </row>
    <row r="153" spans="1:33" ht="20.100000000000001" customHeight="1" x14ac:dyDescent="0.2">
      <c r="D153" s="192" t="s">
        <v>671</v>
      </c>
      <c r="E153" s="8" t="s">
        <v>661</v>
      </c>
      <c r="F153" t="s">
        <v>662</v>
      </c>
      <c r="G153" s="154"/>
      <c r="H153" s="154"/>
      <c r="I153" s="154"/>
      <c r="J153" s="154"/>
      <c r="K153" s="154"/>
      <c r="L153" s="154"/>
      <c r="M153" s="154"/>
      <c r="AG153" s="1"/>
    </row>
    <row r="154" spans="1:33" ht="20.100000000000001" customHeight="1" x14ac:dyDescent="0.2">
      <c r="D154" s="192" t="s">
        <v>672</v>
      </c>
      <c r="E154" s="8" t="s">
        <v>661</v>
      </c>
      <c r="F154" t="s">
        <v>662</v>
      </c>
      <c r="G154" s="154"/>
      <c r="H154" s="154"/>
      <c r="I154" s="154"/>
      <c r="J154" s="154"/>
      <c r="K154" s="154"/>
      <c r="L154" s="154"/>
      <c r="M154" s="154"/>
      <c r="AG154" s="1"/>
    </row>
    <row r="155" spans="1:33" ht="20.100000000000001" customHeight="1" x14ac:dyDescent="0.2">
      <c r="D155" s="192" t="s">
        <v>673</v>
      </c>
      <c r="E155" s="8" t="s">
        <v>661</v>
      </c>
      <c r="F155" t="s">
        <v>662</v>
      </c>
      <c r="G155" s="154"/>
      <c r="H155" s="154"/>
      <c r="I155" s="154"/>
      <c r="J155" s="154"/>
      <c r="K155" s="154"/>
      <c r="L155" s="154"/>
      <c r="M155" s="154"/>
      <c r="AG155" s="1"/>
    </row>
    <row r="156" spans="1:33" ht="20.100000000000001" customHeight="1" x14ac:dyDescent="0.2">
      <c r="D156" s="192" t="s">
        <v>674</v>
      </c>
      <c r="E156" s="8" t="s">
        <v>661</v>
      </c>
      <c r="F156" t="s">
        <v>662</v>
      </c>
      <c r="G156" s="154"/>
      <c r="H156" s="154"/>
      <c r="I156" s="154"/>
      <c r="J156" s="154"/>
      <c r="K156" s="154"/>
      <c r="L156" s="154"/>
      <c r="M156" s="154"/>
      <c r="AG156" s="1"/>
    </row>
    <row r="157" spans="1:33" ht="20.100000000000001" customHeight="1" x14ac:dyDescent="0.2">
      <c r="D157" s="192" t="s">
        <v>675</v>
      </c>
      <c r="E157" s="8" t="s">
        <v>661</v>
      </c>
      <c r="F157" t="s">
        <v>662</v>
      </c>
      <c r="G157" s="154"/>
      <c r="H157" s="154"/>
      <c r="I157" s="154"/>
      <c r="J157" s="154"/>
      <c r="K157" s="154"/>
      <c r="L157" s="154"/>
      <c r="M157" s="154"/>
      <c r="AG157" s="1"/>
    </row>
    <row r="158" spans="1:33" ht="20.100000000000001" customHeight="1" x14ac:dyDescent="0.2">
      <c r="A158" s="79" t="str">
        <f>HYPERLINK("#A1", "▲ Back to top")</f>
        <v>▲ Back to top</v>
      </c>
      <c r="D158" s="192" t="s">
        <v>676</v>
      </c>
      <c r="E158" s="8" t="s">
        <v>661</v>
      </c>
      <c r="F158" t="s">
        <v>662</v>
      </c>
      <c r="G158" s="154"/>
      <c r="H158" s="154"/>
      <c r="I158" s="154"/>
      <c r="J158" s="154"/>
      <c r="K158" s="154"/>
      <c r="L158" s="154"/>
      <c r="M158" s="154"/>
      <c r="AG158" s="1"/>
    </row>
    <row r="159" spans="1:33" ht="20.100000000000001" customHeight="1" x14ac:dyDescent="0.2">
      <c r="D159" s="192" t="s">
        <v>677</v>
      </c>
      <c r="E159" s="8" t="s">
        <v>661</v>
      </c>
      <c r="F159" t="s">
        <v>662</v>
      </c>
      <c r="G159" s="154"/>
      <c r="H159" s="154"/>
      <c r="I159" s="154"/>
      <c r="J159" s="154"/>
      <c r="K159" s="154"/>
      <c r="L159" s="154"/>
      <c r="M159" s="154"/>
      <c r="AG159" s="1"/>
    </row>
    <row r="160" spans="1:33" ht="20.100000000000001" customHeight="1" x14ac:dyDescent="0.2">
      <c r="D160" s="192" t="s">
        <v>605</v>
      </c>
      <c r="E160" s="8" t="s">
        <v>661</v>
      </c>
      <c r="F160" t="s">
        <v>662</v>
      </c>
      <c r="G160" s="154"/>
      <c r="H160" s="154"/>
      <c r="I160" s="154"/>
      <c r="J160" s="154"/>
      <c r="K160" s="154"/>
      <c r="L160" s="154"/>
      <c r="M160" s="154"/>
      <c r="AG160" s="1"/>
    </row>
    <row r="161" spans="4:33" ht="20.100000000000001" customHeight="1" x14ac:dyDescent="0.2">
      <c r="D161" s="191" t="s">
        <v>678</v>
      </c>
      <c r="E161" s="154" t="s">
        <v>679</v>
      </c>
      <c r="F161" s="154" t="s">
        <v>679</v>
      </c>
      <c r="G161" s="154"/>
      <c r="H161" s="154"/>
      <c r="I161" s="154"/>
      <c r="J161" s="154"/>
      <c r="K161" s="154"/>
      <c r="L161" s="154"/>
      <c r="M161" s="154"/>
      <c r="AG161" s="1"/>
    </row>
    <row r="162" spans="4:33" ht="20.100000000000001" customHeight="1" x14ac:dyDescent="0.2">
      <c r="D162" s="154" t="s">
        <v>599</v>
      </c>
      <c r="E162" s="154" t="s">
        <v>679</v>
      </c>
      <c r="F162" s="154" t="s">
        <v>679</v>
      </c>
      <c r="G162" s="154"/>
      <c r="H162" s="154"/>
      <c r="I162" s="154"/>
      <c r="J162" s="154"/>
      <c r="K162" s="154"/>
      <c r="L162" s="154"/>
      <c r="M162" s="154"/>
      <c r="AG162" s="1"/>
    </row>
  </sheetData>
  <pageMargins left="0.7" right="0.7" top="0.75" bottom="0.75" header="0.3" footer="0.3"/>
  <tableParts count="7">
    <tablePart r:id="rId1"/>
    <tablePart r:id="rId2"/>
    <tablePart r:id="rId3"/>
    <tablePart r:id="rId4"/>
    <tablePart r:id="rId5"/>
    <tablePart r:id="rId6"/>
    <tablePart r:id="rId7"/>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EBF52-833B-414C-AA2C-947CA6687EFD}">
  <sheetPr>
    <tabColor theme="2" tint="-0.499984740745262"/>
  </sheetPr>
  <dimension ref="A1:R247"/>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5703125" customWidth="1"/>
    <col min="3" max="3" width="4.5703125" style="1" customWidth="1"/>
    <col min="4" max="17" width="30.5703125" style="1" customWidth="1"/>
  </cols>
  <sheetData>
    <row r="1" spans="1:17" ht="30" customHeight="1" x14ac:dyDescent="0.35">
      <c r="A1" s="10" t="e" vm="1">
        <v>#VALUE!</v>
      </c>
      <c r="C1"/>
      <c r="D1"/>
      <c r="E1"/>
      <c r="F1"/>
      <c r="G1"/>
      <c r="H1"/>
      <c r="I1"/>
      <c r="J1"/>
      <c r="K1"/>
      <c r="L1"/>
      <c r="M1"/>
      <c r="N1"/>
      <c r="O1"/>
      <c r="P1"/>
      <c r="Q1"/>
    </row>
    <row r="2" spans="1:17" ht="20.100000000000001" customHeight="1" x14ac:dyDescent="0.2">
      <c r="C2"/>
      <c r="D2"/>
      <c r="E2"/>
      <c r="F2"/>
      <c r="G2"/>
      <c r="H2"/>
      <c r="I2"/>
      <c r="J2"/>
      <c r="K2"/>
      <c r="L2"/>
      <c r="M2"/>
      <c r="N2"/>
      <c r="O2"/>
      <c r="P2"/>
      <c r="Q2"/>
    </row>
    <row r="3" spans="1:17" ht="20.100000000000001" customHeight="1" x14ac:dyDescent="0.2">
      <c r="A3" s="5" t="str">
        <f>HYPERLINK("#'Home'!A1", "Home")</f>
        <v>Home</v>
      </c>
    </row>
    <row r="4" spans="1:17" ht="20.100000000000001" customHeight="1" x14ac:dyDescent="0.2">
      <c r="A4" s="5" t="str">
        <f>HYPERLINK("#'Results - Activity period'!A1", "Results - Activity period")</f>
        <v>Results - Activity period</v>
      </c>
    </row>
    <row r="5" spans="1:17" ht="20.100000000000001" customHeight="1" x14ac:dyDescent="0.2">
      <c r="A5" s="5" t="str">
        <f>HYPERLINK("#'Results - Product EI'!A1", "Results - Product Emissions Intensity")</f>
        <v>Results - Product Emissions Intensity</v>
      </c>
    </row>
    <row r="8" spans="1:17" ht="20.100000000000001" customHeight="1" x14ac:dyDescent="0.2">
      <c r="A8" s="7" t="s">
        <v>0</v>
      </c>
    </row>
    <row r="9" spans="1:17" ht="20.100000000000001" customHeight="1" x14ac:dyDescent="0.2">
      <c r="A9" s="5" t="str">
        <f>HYPERLINK("#'Input - Enterprise'!A1", "Enterprise")</f>
        <v>Enterprise</v>
      </c>
    </row>
    <row r="10" spans="1:17" ht="20.100000000000001" customHeight="1" x14ac:dyDescent="0.2">
      <c r="A10" s="5" t="str">
        <f>HYPERLINK("#'Input - Site'!A1", "Site")</f>
        <v>Site</v>
      </c>
    </row>
    <row r="11" spans="1:17" ht="20.100000000000001" customHeight="1" x14ac:dyDescent="0.2">
      <c r="A11" s="5" t="str">
        <f>HYPERLINK("#'Input - Poultry'!A1", "Poultry")</f>
        <v>Poultry</v>
      </c>
    </row>
    <row r="12" spans="1:17" ht="20.100000000000001" customHeight="1" x14ac:dyDescent="0.2">
      <c r="A12" s="5" t="str">
        <f>HYPERLINK("#'Input - Livestock sales'!A1", "Livestock sales")</f>
        <v>Livestock sales</v>
      </c>
    </row>
    <row r="13" spans="1:17" ht="20.100000000000001" customHeight="1" x14ac:dyDescent="0.2">
      <c r="A13" s="5" t="str">
        <f>HYPERLINK("#'Input - Poultry purchases'!A1", "Poultry purchases")</f>
        <v>Poultry purchases</v>
      </c>
    </row>
    <row r="14" spans="1:17" ht="20.100000000000001" customHeight="1" x14ac:dyDescent="0.2">
      <c r="A14" s="5" t="str">
        <f>HYPERLINK("#'Input - Fuel'!A1", "Fuel")</f>
        <v>Fuel</v>
      </c>
    </row>
    <row r="15" spans="1:17" ht="20.100000000000001" customHeight="1" x14ac:dyDescent="0.2">
      <c r="A15" s="5" t="str">
        <f>HYPERLINK("#'Input - Electricity'!A1", "Electricity")</f>
        <v>Electricity</v>
      </c>
    </row>
    <row r="16" spans="1:17" ht="20.100000000000001" customHeight="1" x14ac:dyDescent="0.2">
      <c r="A16" s="5" t="str">
        <f>HYPERLINK("#'Input - Common farm inputs'!A1", "Common farm inputs")</f>
        <v>Common farm inputs</v>
      </c>
    </row>
    <row r="17" spans="1:12" ht="20.100000000000001" customHeight="1" x14ac:dyDescent="0.2">
      <c r="A17" s="5" t="str">
        <f>HYPERLINK("#'Input - Livestock farm Inputs'!A1", "Livestock farm Inputs")</f>
        <v>Livestock farm Inputs</v>
      </c>
    </row>
    <row r="18" spans="1:12" ht="20.100000000000001" customHeight="1" x14ac:dyDescent="0.2">
      <c r="A18" s="5" t="str">
        <f>HYPERLINK("#'Input - Freight'!A1", "Freight")</f>
        <v>Freight</v>
      </c>
    </row>
    <row r="19" spans="1:12" ht="20.100000000000001" customHeight="1" x14ac:dyDescent="0.2">
      <c r="A19" s="5" t="str">
        <f>HYPERLINK("#'Input - Solid waste'!A1", "Solid waste")</f>
        <v>Solid waste</v>
      </c>
    </row>
    <row r="20" spans="1:12" ht="20.100000000000001" customHeight="1" x14ac:dyDescent="0.2">
      <c r="A20" s="5" t="str">
        <f>HYPERLINK("#'Input - Manure sent off-site'!A1", "Manure sent off-site")</f>
        <v>Manure sent off-site</v>
      </c>
    </row>
    <row r="21" spans="1:12" ht="20.100000000000001" customHeight="1" x14ac:dyDescent="0.2">
      <c r="A21" s="5" t="str">
        <f>HYPERLINK("#'Input - Data quality'!A1", "Data quality")</f>
        <v>Data quality</v>
      </c>
    </row>
    <row r="22" spans="1:12" ht="20.100000000000001" customHeight="1" x14ac:dyDescent="0.2">
      <c r="A22" s="5" t="str">
        <f>HYPERLINK("#'Input - Fert Prod System'!A1", "Fert Prod System")</f>
        <v>Fert Prod System</v>
      </c>
    </row>
    <row r="23" spans="1:12" ht="20.100000000000001" customHeight="1" x14ac:dyDescent="0.2">
      <c r="A23" s="5" t="str">
        <f>HYPERLINK("#'Input - Fertiliser'!A1", "Fertiliser")</f>
        <v>Fertiliser</v>
      </c>
    </row>
    <row r="26" spans="1:12" ht="20.100000000000001" customHeight="1" x14ac:dyDescent="0.2">
      <c r="A26" s="6" t="s">
        <v>2</v>
      </c>
    </row>
    <row r="27" spans="1:12" ht="20.100000000000001" customHeight="1" x14ac:dyDescent="0.2">
      <c r="A27" s="5" t="str">
        <f>HYPERLINK("#'4.6.1.1-2 Methane'!A1", "4.6.1.1-2 Manure Methane")</f>
        <v>4.6.1.1-2 Manure Methane</v>
      </c>
    </row>
    <row r="28" spans="1:12" ht="20.100000000000001" customHeight="1" x14ac:dyDescent="0.2">
      <c r="A28" s="5" t="str">
        <f>HYPERLINK("#'4.6.1.3-4 Direct N20'!A1", "4.6.1.3-4 Manure Direct N2O")</f>
        <v>4.6.1.3-4 Manure Direct N2O</v>
      </c>
    </row>
    <row r="29" spans="1:12" ht="20.100000000000001" customHeight="1" x14ac:dyDescent="0.2">
      <c r="A29" s="5" t="str">
        <f>HYPERLINK("#'4.6.1.5-6 Atmos Dep'!A1", "4.6.1.5-6 Manure Atmos Dep")</f>
        <v>4.6.1.5-6 Manure Atmos Dep</v>
      </c>
    </row>
    <row r="30" spans="1:12" ht="20.100000000000001" customHeight="1" x14ac:dyDescent="0.2">
      <c r="A30" s="5" t="str">
        <f>HYPERLINK("#'4.6.1.7-8 Leaching and runoff'!A1", "4.6.1.7-8 Manure Leaching and runoff")</f>
        <v>4.6.1.7-8 Manure Leaching and runoff</v>
      </c>
    </row>
    <row r="31" spans="1:12" ht="20.100000000000001" customHeight="1" x14ac:dyDescent="0.2">
      <c r="A31" s="5" t="str">
        <f>HYPERLINK("#'4.6.1.9 Manure applied to soils'!A1", "4.6.1.9 Manure applied to soils")</f>
        <v>4.6.1.9 Manure applied to soils</v>
      </c>
    </row>
    <row r="32" spans="1:12" ht="20.100000000000001" customHeight="1" x14ac:dyDescent="0.2">
      <c r="A32" s="5" t="str">
        <f>HYPERLINK("#'4.6.1.10-11 Soil direct N2O'!A1", "4.6.1.10-11 Soil direct N2O")</f>
        <v>4.6.1.10-11 Soil direct N2O</v>
      </c>
      <c r="D32" s="2" t="s">
        <v>1159</v>
      </c>
      <c r="L32" s="1" t="s">
        <v>1160</v>
      </c>
    </row>
    <row r="33" spans="1:13" ht="20.100000000000001" customHeight="1" x14ac:dyDescent="0.2">
      <c r="A33" s="5" t="str">
        <f>HYPERLINK("#'4.6.1.12-13 Soil atmos dep'!A1", "4.6.1.12-13 Soil atmos dep")</f>
        <v>4.6.1.12-13 Soil atmos dep</v>
      </c>
      <c r="D33" s="19" t="s">
        <v>1161</v>
      </c>
      <c r="E33" s="19" t="s">
        <v>132</v>
      </c>
      <c r="F33" s="19" t="s">
        <v>1162</v>
      </c>
      <c r="G33" s="19" t="s">
        <v>1163</v>
      </c>
      <c r="H33" s="19" t="s">
        <v>1164</v>
      </c>
      <c r="I33" s="19" t="s">
        <v>1165</v>
      </c>
      <c r="J33" s="19" t="s">
        <v>569</v>
      </c>
      <c r="L33" s="19" t="s">
        <v>1166</v>
      </c>
      <c r="M33" s="19" t="s">
        <v>1167</v>
      </c>
    </row>
    <row r="34" spans="1:13" ht="20.100000000000001" customHeight="1" x14ac:dyDescent="0.2">
      <c r="A34" s="5" t="str">
        <f>HYPERLINK("#'4.6.1.14-15 Soil leach runoff'!A1", "4.6.1.14-15 Soil leach runoff")</f>
        <v>4.6.1.14-15 Soil leach runoff</v>
      </c>
      <c r="D34" s="19" t="s">
        <v>1033</v>
      </c>
      <c r="E34" s="19" t="s">
        <v>2062</v>
      </c>
      <c r="F34" s="19" t="s">
        <v>990</v>
      </c>
      <c r="G34" s="19" t="s">
        <v>2063</v>
      </c>
      <c r="H34" s="19">
        <v>11</v>
      </c>
      <c r="I34" s="19" t="s">
        <v>2064</v>
      </c>
      <c r="J34" s="19" t="s">
        <v>1168</v>
      </c>
      <c r="L34" s="19" t="s">
        <v>522</v>
      </c>
      <c r="M34" s="19" t="s">
        <v>521</v>
      </c>
    </row>
    <row r="35" spans="1:13" ht="20.100000000000001" customHeight="1" x14ac:dyDescent="0.2">
      <c r="A35" s="5" t="str">
        <f>HYPERLINK("#'8.1.1.1-2 Transport fuel'!A1", "8.1.1.1-2 Transport fuel")</f>
        <v>8.1.1.1-2 Transport fuel</v>
      </c>
      <c r="D35" s="19" t="s">
        <v>1033</v>
      </c>
      <c r="E35" s="19" t="s">
        <v>2062</v>
      </c>
      <c r="F35" s="19" t="s">
        <v>521</v>
      </c>
      <c r="G35" s="19" t="s">
        <v>2063</v>
      </c>
      <c r="H35" s="19">
        <v>8.2100000000000009</v>
      </c>
      <c r="I35" s="19" t="s">
        <v>2064</v>
      </c>
      <c r="J35" s="19" t="s">
        <v>1168</v>
      </c>
      <c r="L35" s="19" t="s">
        <v>521</v>
      </c>
      <c r="M35" s="19" t="s">
        <v>521</v>
      </c>
    </row>
    <row r="36" spans="1:13" ht="20.100000000000001" customHeight="1" x14ac:dyDescent="0.2">
      <c r="A36" s="5" t="str">
        <f>HYPERLINK("#'8.2.1.1-2 Stationary fuel'!A1", "8.2.1.1-2 Stationary fuel")</f>
        <v>8.2.1.1-2 Stationary fuel</v>
      </c>
      <c r="D36" s="19" t="s">
        <v>1033</v>
      </c>
      <c r="E36" s="19" t="s">
        <v>2062</v>
      </c>
      <c r="F36" s="19" t="s">
        <v>524</v>
      </c>
      <c r="G36" s="19" t="s">
        <v>2063</v>
      </c>
      <c r="H36" s="19">
        <v>12.2</v>
      </c>
      <c r="I36" s="19" t="s">
        <v>2064</v>
      </c>
      <c r="J36" s="19" t="s">
        <v>1168</v>
      </c>
      <c r="L36" s="19" t="s">
        <v>526</v>
      </c>
      <c r="M36" s="19" t="s">
        <v>526</v>
      </c>
    </row>
    <row r="37" spans="1:13" ht="20.100000000000001" customHeight="1" x14ac:dyDescent="0.2">
      <c r="A37" s="5" t="str">
        <f>HYPERLINK("#'10.1.1-2 Solid waste treatment'!A1", "10.1.1.1-2 Solid waste")</f>
        <v>10.1.1.1-2 Solid waste</v>
      </c>
      <c r="D37" s="19" t="s">
        <v>1033</v>
      </c>
      <c r="E37" s="19" t="s">
        <v>2062</v>
      </c>
      <c r="F37" s="19" t="s">
        <v>523</v>
      </c>
      <c r="G37" s="19" t="s">
        <v>2063</v>
      </c>
      <c r="H37" s="19">
        <v>10.9</v>
      </c>
      <c r="I37" s="19" t="s">
        <v>2064</v>
      </c>
      <c r="J37" s="19" t="s">
        <v>1168</v>
      </c>
      <c r="L37" s="19" t="s">
        <v>528</v>
      </c>
      <c r="M37" s="19" t="s">
        <v>528</v>
      </c>
    </row>
    <row r="38" spans="1:13" ht="20.100000000000001" customHeight="1" x14ac:dyDescent="0.2">
      <c r="A38" s="5" t="str">
        <f>HYPERLINK("#'14.1.1-2 Purchased electricity'!A1", "14.1.1-2 Purchased electricity")</f>
        <v>14.1.1-2 Purchased electricity</v>
      </c>
      <c r="D38" s="19" t="s">
        <v>1033</v>
      </c>
      <c r="E38" s="19" t="s">
        <v>2062</v>
      </c>
      <c r="F38" s="19" t="s">
        <v>526</v>
      </c>
      <c r="G38" s="19" t="s">
        <v>2063</v>
      </c>
      <c r="H38" s="19">
        <v>7.63</v>
      </c>
      <c r="I38" s="19" t="s">
        <v>2064</v>
      </c>
      <c r="J38" s="19" t="s">
        <v>1168</v>
      </c>
      <c r="L38" s="19" t="s">
        <v>525</v>
      </c>
      <c r="M38" s="19" t="s">
        <v>525</v>
      </c>
    </row>
    <row r="39" spans="1:13" ht="20.100000000000001" customHeight="1" x14ac:dyDescent="0.2">
      <c r="A39" s="5" t="str">
        <f>HYPERLINK("#'15 Scope 3'!A1", "15 Scope 3")</f>
        <v>15 Scope 3</v>
      </c>
      <c r="D39" s="19" t="s">
        <v>1033</v>
      </c>
      <c r="E39" s="19" t="s">
        <v>2062</v>
      </c>
      <c r="F39" s="19" t="s">
        <v>528</v>
      </c>
      <c r="G39" s="19" t="s">
        <v>2063</v>
      </c>
      <c r="H39" s="19">
        <v>8.75</v>
      </c>
      <c r="I39" s="19" t="s">
        <v>2064</v>
      </c>
      <c r="J39" s="19" t="s">
        <v>1168</v>
      </c>
      <c r="L39" s="19" t="s">
        <v>1169</v>
      </c>
      <c r="M39" s="19" t="s">
        <v>527</v>
      </c>
    </row>
    <row r="40" spans="1:13" ht="20.100000000000001" customHeight="1" x14ac:dyDescent="0.2">
      <c r="A40" s="5" t="str">
        <f>HYPERLINK("#'Calcs - Manure sent off-site'!A1", "Calcs - Manure sent off-site")</f>
        <v>Calcs - Manure sent off-site</v>
      </c>
      <c r="D40" s="19" t="s">
        <v>1033</v>
      </c>
      <c r="E40" s="19" t="s">
        <v>2062</v>
      </c>
      <c r="F40" s="19" t="s">
        <v>525</v>
      </c>
      <c r="G40" s="19" t="s">
        <v>2063</v>
      </c>
      <c r="H40" s="19">
        <v>8.17</v>
      </c>
      <c r="I40" s="19" t="s">
        <v>2064</v>
      </c>
      <c r="J40" s="19" t="s">
        <v>1168</v>
      </c>
      <c r="L40" s="19" t="s">
        <v>1170</v>
      </c>
      <c r="M40" s="19" t="s">
        <v>527</v>
      </c>
    </row>
    <row r="41" spans="1:13" ht="20.100000000000001" customHeight="1" x14ac:dyDescent="0.2">
      <c r="A41" s="5" t="str">
        <f>HYPERLINK("#'5.1.1.1-2 Inorganic fert N2O'!A1", "5.1.1.1-2 Inorganic fert N2O")</f>
        <v>5.1.1.1-2 Inorganic fert N2O</v>
      </c>
      <c r="D41" s="19" t="s">
        <v>1033</v>
      </c>
      <c r="E41" s="19" t="s">
        <v>2062</v>
      </c>
      <c r="F41" s="19" t="s">
        <v>527</v>
      </c>
      <c r="G41" s="19" t="s">
        <v>2063</v>
      </c>
      <c r="H41" s="19">
        <v>13.1</v>
      </c>
      <c r="I41" s="19" t="s">
        <v>2064</v>
      </c>
      <c r="J41" s="19" t="s">
        <v>1168</v>
      </c>
      <c r="L41" s="19" t="s">
        <v>1171</v>
      </c>
      <c r="M41" s="19" t="s">
        <v>527</v>
      </c>
    </row>
    <row r="42" spans="1:13" ht="20.100000000000001" customHeight="1" x14ac:dyDescent="0.2">
      <c r="A42" s="5" t="str">
        <f>HYPERLINK("#'5.1.1.3-4 Inorganic fert CO2'!A1", "5.1.1.3-4 Inorganic fert CO2")</f>
        <v>5.1.1.3-4 Inorganic fert CO2</v>
      </c>
      <c r="D42" s="19" t="s">
        <v>1033</v>
      </c>
      <c r="E42" s="19" t="s">
        <v>2065</v>
      </c>
      <c r="F42" s="19" t="s">
        <v>990</v>
      </c>
      <c r="G42" s="19" t="s">
        <v>2063</v>
      </c>
      <c r="H42" s="19">
        <v>14.5</v>
      </c>
      <c r="I42" s="19" t="s">
        <v>2064</v>
      </c>
      <c r="J42" s="19" t="s">
        <v>1168</v>
      </c>
      <c r="L42" s="19" t="s">
        <v>1172</v>
      </c>
      <c r="M42" s="19" t="s">
        <v>524</v>
      </c>
    </row>
    <row r="43" spans="1:13" ht="20.100000000000001" customHeight="1" x14ac:dyDescent="0.2">
      <c r="A43" s="5" t="str">
        <f>HYPERLINK("#'5.2.1.1-2 Organic Fert N2O'!A1", "5.2.1.1-2 Organic Fert N2O")</f>
        <v>5.2.1.1-2 Organic Fert N2O</v>
      </c>
      <c r="D43" s="19" t="s">
        <v>1033</v>
      </c>
      <c r="E43" s="19" t="s">
        <v>2065</v>
      </c>
      <c r="F43" s="19" t="s">
        <v>521</v>
      </c>
      <c r="G43" s="19" t="s">
        <v>2063</v>
      </c>
      <c r="H43" s="19">
        <v>11.3</v>
      </c>
      <c r="I43" s="19" t="s">
        <v>2064</v>
      </c>
      <c r="J43" s="19" t="s">
        <v>1168</v>
      </c>
      <c r="L43" s="19" t="s">
        <v>1173</v>
      </c>
      <c r="M43" s="19" t="s">
        <v>524</v>
      </c>
    </row>
    <row r="44" spans="1:13" ht="20.100000000000001" customHeight="1" x14ac:dyDescent="0.2">
      <c r="A44" s="5" t="str">
        <f>HYPERLINK("#'5.3.1.1-2 Lime CO2'!A1", "5.3.1.1-2 Lime CO2")</f>
        <v>5.3.1.1-2 Lime CO2</v>
      </c>
      <c r="D44" s="19" t="s">
        <v>1033</v>
      </c>
      <c r="E44" s="19" t="s">
        <v>2065</v>
      </c>
      <c r="F44" s="19" t="s">
        <v>524</v>
      </c>
      <c r="G44" s="19" t="s">
        <v>2063</v>
      </c>
      <c r="H44" s="19">
        <v>18.899999999999999</v>
      </c>
      <c r="I44" s="19" t="s">
        <v>2064</v>
      </c>
      <c r="J44" s="19" t="s">
        <v>1168</v>
      </c>
      <c r="L44" s="19" t="s">
        <v>1174</v>
      </c>
      <c r="M44" s="19" t="s">
        <v>524</v>
      </c>
    </row>
    <row r="45" spans="1:13" ht="20.100000000000001" customHeight="1" x14ac:dyDescent="0.2">
      <c r="A45" s="5" t="str">
        <f>HYPERLINK("#'5.4.1.1-4 Atmos deposition'!A1", "5.4.1.1-4 Atmos deposition")</f>
        <v>5.4.1.1-4 Atmos deposition</v>
      </c>
      <c r="D45" s="19" t="s">
        <v>1033</v>
      </c>
      <c r="E45" s="19" t="s">
        <v>2065</v>
      </c>
      <c r="F45" s="19" t="s">
        <v>523</v>
      </c>
      <c r="G45" s="19" t="s">
        <v>2063</v>
      </c>
      <c r="H45" s="19">
        <v>13.9</v>
      </c>
      <c r="I45" s="19" t="s">
        <v>2064</v>
      </c>
      <c r="J45" s="19" t="s">
        <v>1168</v>
      </c>
      <c r="L45" s="19" t="s">
        <v>1175</v>
      </c>
      <c r="M45" s="19" t="s">
        <v>523</v>
      </c>
    </row>
    <row r="46" spans="1:13" ht="20.100000000000001" customHeight="1" x14ac:dyDescent="0.2">
      <c r="A46" s="5" t="str">
        <f>HYPERLINK("#'5.5.1.1-2 Leaching and runoff'!A1", "5.5.1.1-2 Leaching and runoff")</f>
        <v>5.5.1.1-2 Leaching and runoff</v>
      </c>
      <c r="D46" s="19" t="s">
        <v>1033</v>
      </c>
      <c r="E46" s="19" t="s">
        <v>2065</v>
      </c>
      <c r="F46" s="19" t="s">
        <v>526</v>
      </c>
      <c r="G46" s="19" t="s">
        <v>2063</v>
      </c>
      <c r="H46" s="19">
        <v>12.3</v>
      </c>
      <c r="I46" s="19" t="s">
        <v>2064</v>
      </c>
      <c r="J46" s="19" t="s">
        <v>1168</v>
      </c>
      <c r="L46" s="19" t="s">
        <v>1176</v>
      </c>
      <c r="M46" s="19" t="s">
        <v>523</v>
      </c>
    </row>
    <row r="47" spans="1:13" ht="20.100000000000001" customHeight="1" x14ac:dyDescent="0.2">
      <c r="D47" s="19" t="s">
        <v>1033</v>
      </c>
      <c r="E47" s="19" t="s">
        <v>2065</v>
      </c>
      <c r="F47" s="19" t="s">
        <v>528</v>
      </c>
      <c r="G47" s="19" t="s">
        <v>2063</v>
      </c>
      <c r="H47" s="19">
        <v>11.5</v>
      </c>
      <c r="I47" s="19" t="s">
        <v>2064</v>
      </c>
      <c r="J47" s="19" t="s">
        <v>1168</v>
      </c>
      <c r="L47" s="19" t="s">
        <v>1177</v>
      </c>
      <c r="M47" s="19" t="s">
        <v>523</v>
      </c>
    </row>
    <row r="48" spans="1:13" ht="20.100000000000001" customHeight="1" x14ac:dyDescent="0.2">
      <c r="D48" s="19" t="s">
        <v>1033</v>
      </c>
      <c r="E48" s="19" t="s">
        <v>2065</v>
      </c>
      <c r="F48" s="19" t="s">
        <v>525</v>
      </c>
      <c r="G48" s="19" t="s">
        <v>2063</v>
      </c>
      <c r="H48" s="19">
        <v>11.5</v>
      </c>
      <c r="I48" s="19" t="s">
        <v>2064</v>
      </c>
      <c r="J48" s="19" t="s">
        <v>1168</v>
      </c>
      <c r="L48" s="19" t="s">
        <v>1178</v>
      </c>
      <c r="M48" s="19" t="s">
        <v>523</v>
      </c>
    </row>
    <row r="49" spans="1:13" ht="20.100000000000001" customHeight="1" x14ac:dyDescent="0.2">
      <c r="A49" s="80" t="s">
        <v>1</v>
      </c>
      <c r="D49" s="19" t="s">
        <v>1033</v>
      </c>
      <c r="E49" s="19" t="s">
        <v>2065</v>
      </c>
      <c r="F49" s="19" t="s">
        <v>527</v>
      </c>
      <c r="G49" s="19" t="s">
        <v>2063</v>
      </c>
      <c r="H49" s="19">
        <v>20.8</v>
      </c>
      <c r="I49" s="19" t="s">
        <v>2064</v>
      </c>
      <c r="J49" s="19" t="s">
        <v>1168</v>
      </c>
      <c r="L49" s="1" t="s">
        <v>990</v>
      </c>
      <c r="M49" s="1" t="s">
        <v>990</v>
      </c>
    </row>
    <row r="50" spans="1:13" ht="20.100000000000001" customHeight="1" x14ac:dyDescent="0.2">
      <c r="A50" s="5" t="str">
        <f>HYPERLINK("#'Constants - Poultry'!A1", "Constants - Poultry")</f>
        <v>Constants - Poultry</v>
      </c>
      <c r="D50" s="19" t="s">
        <v>1033</v>
      </c>
      <c r="E50" s="19" t="s">
        <v>2066</v>
      </c>
      <c r="F50" s="19" t="s">
        <v>990</v>
      </c>
      <c r="G50" s="19" t="s">
        <v>2063</v>
      </c>
      <c r="H50" s="19">
        <v>15.5</v>
      </c>
      <c r="I50" s="19" t="s">
        <v>2064</v>
      </c>
      <c r="J50" s="19" t="s">
        <v>1168</v>
      </c>
    </row>
    <row r="51" spans="1:13" ht="20.100000000000001" customHeight="1" x14ac:dyDescent="0.2">
      <c r="A51" s="5" t="str">
        <f>HYPERLINK("#'Constants - Common livestock'!A1", "Constants - Common Livestock")</f>
        <v>Constants - Common Livestock</v>
      </c>
      <c r="D51" s="19" t="s">
        <v>1033</v>
      </c>
      <c r="E51" s="19" t="s">
        <v>2066</v>
      </c>
      <c r="F51" s="19" t="s">
        <v>521</v>
      </c>
      <c r="G51" s="19" t="s">
        <v>2063</v>
      </c>
      <c r="H51" s="19">
        <v>12.7</v>
      </c>
      <c r="I51" s="19" t="s">
        <v>2064</v>
      </c>
      <c r="J51" s="19" t="s">
        <v>1168</v>
      </c>
    </row>
    <row r="52" spans="1:13" ht="20.100000000000001" customHeight="1" x14ac:dyDescent="0.2">
      <c r="A52" s="5" t="str">
        <f>HYPERLINK("#'Constants - Electricity'!A1", "Constants - Electricity")</f>
        <v>Constants - Electricity</v>
      </c>
      <c r="D52" s="19" t="s">
        <v>1033</v>
      </c>
      <c r="E52" s="19" t="s">
        <v>2066</v>
      </c>
      <c r="F52" s="19" t="s">
        <v>524</v>
      </c>
      <c r="G52" s="19" t="s">
        <v>2063</v>
      </c>
      <c r="H52" s="19">
        <v>19.100000000000001</v>
      </c>
      <c r="I52" s="19" t="s">
        <v>2064</v>
      </c>
      <c r="J52" s="19" t="s">
        <v>1168</v>
      </c>
    </row>
    <row r="53" spans="1:13" ht="20.100000000000001" customHeight="1" x14ac:dyDescent="0.2">
      <c r="A53" s="5" t="str">
        <f>HYPERLINK("#'Constants - Fertiliser'!A1", "Constants - Fertiliser")</f>
        <v>Constants - Fertiliser</v>
      </c>
      <c r="D53" s="19" t="s">
        <v>1033</v>
      </c>
      <c r="E53" s="19" t="s">
        <v>2066</v>
      </c>
      <c r="F53" s="19" t="s">
        <v>523</v>
      </c>
      <c r="G53" s="19" t="s">
        <v>2063</v>
      </c>
      <c r="H53" s="19">
        <v>20.5</v>
      </c>
      <c r="I53" s="19" t="s">
        <v>2064</v>
      </c>
      <c r="J53" s="19" t="s">
        <v>1168</v>
      </c>
    </row>
    <row r="54" spans="1:13" ht="20.100000000000001" customHeight="1" x14ac:dyDescent="0.2">
      <c r="A54" s="5" t="str">
        <f>HYPERLINK("#'Constants - Fuel'!A1", "Constants - Fuel")</f>
        <v>Constants - Fuel</v>
      </c>
      <c r="D54" s="19" t="s">
        <v>1033</v>
      </c>
      <c r="E54" s="19" t="s">
        <v>2066</v>
      </c>
      <c r="F54" s="19" t="s">
        <v>526</v>
      </c>
      <c r="G54" s="19" t="s">
        <v>2063</v>
      </c>
      <c r="H54" s="19">
        <v>10.8</v>
      </c>
      <c r="I54" s="19" t="s">
        <v>2064</v>
      </c>
      <c r="J54" s="19" t="s">
        <v>1168</v>
      </c>
    </row>
    <row r="55" spans="1:13" ht="20.100000000000001" customHeight="1" x14ac:dyDescent="0.2">
      <c r="A55" s="81" t="str">
        <f>HYPERLINK("#'Constants - Scope 3'!A1", "Constants - Scope 3")</f>
        <v>Constants - Scope 3</v>
      </c>
      <c r="D55" s="19" t="s">
        <v>1033</v>
      </c>
      <c r="E55" s="19" t="s">
        <v>2066</v>
      </c>
      <c r="F55" s="19" t="s">
        <v>528</v>
      </c>
      <c r="G55" s="19" t="s">
        <v>2063</v>
      </c>
      <c r="H55" s="19">
        <v>13.4</v>
      </c>
      <c r="I55" s="19" t="s">
        <v>2064</v>
      </c>
      <c r="J55" s="19" t="s">
        <v>1168</v>
      </c>
    </row>
    <row r="56" spans="1:13" ht="20.100000000000001" customHeight="1" x14ac:dyDescent="0.2">
      <c r="A56" s="5" t="str">
        <f>HYPERLINK("#'Constants - Solid Waste'!A1", "Constants - Solid Waste")</f>
        <v>Constants - Solid Waste</v>
      </c>
      <c r="D56" s="19" t="s">
        <v>1033</v>
      </c>
      <c r="E56" s="19" t="s">
        <v>2066</v>
      </c>
      <c r="F56" s="19" t="s">
        <v>525</v>
      </c>
      <c r="G56" s="19" t="s">
        <v>2063</v>
      </c>
      <c r="H56" s="19">
        <v>12</v>
      </c>
      <c r="I56" s="19" t="s">
        <v>2064</v>
      </c>
      <c r="J56" s="19" t="s">
        <v>1168</v>
      </c>
    </row>
    <row r="57" spans="1:13" ht="20.100000000000001" customHeight="1" x14ac:dyDescent="0.2">
      <c r="A57" s="5" t="str">
        <f>HYPERLINK("#'Constants - Common'!A1", "Constants - Common")</f>
        <v>Constants - Common</v>
      </c>
      <c r="D57" s="19" t="s">
        <v>1033</v>
      </c>
      <c r="E57" s="19" t="s">
        <v>2066</v>
      </c>
      <c r="F57" s="19" t="s">
        <v>527</v>
      </c>
      <c r="G57" s="19" t="s">
        <v>2063</v>
      </c>
      <c r="H57" s="19">
        <v>12.4</v>
      </c>
      <c r="I57" s="19" t="s">
        <v>2064</v>
      </c>
      <c r="J57" s="19" t="s">
        <v>1168</v>
      </c>
    </row>
    <row r="58" spans="1:13" ht="20.100000000000001" customHeight="1" x14ac:dyDescent="0.2">
      <c r="D58" s="19" t="s">
        <v>2067</v>
      </c>
      <c r="E58" s="19" t="s">
        <v>2067</v>
      </c>
      <c r="F58" s="19" t="s">
        <v>990</v>
      </c>
      <c r="G58" s="19" t="s">
        <v>2063</v>
      </c>
      <c r="H58" s="19">
        <v>1.36</v>
      </c>
      <c r="I58" s="19" t="s">
        <v>2064</v>
      </c>
      <c r="J58" s="19" t="s">
        <v>1168</v>
      </c>
    </row>
    <row r="59" spans="1:13" ht="20.100000000000001" customHeight="1" x14ac:dyDescent="0.2">
      <c r="D59" s="19" t="s">
        <v>1052</v>
      </c>
      <c r="E59" s="19" t="s">
        <v>2068</v>
      </c>
      <c r="F59" s="19" t="s">
        <v>525</v>
      </c>
      <c r="G59" s="19" t="s">
        <v>2063</v>
      </c>
      <c r="H59" s="19">
        <v>4.41</v>
      </c>
      <c r="I59" s="19" t="s">
        <v>2064</v>
      </c>
      <c r="J59" s="19" t="s">
        <v>1168</v>
      </c>
    </row>
    <row r="60" spans="1:13" ht="20.100000000000001" customHeight="1" x14ac:dyDescent="0.2">
      <c r="D60" s="19" t="s">
        <v>1056</v>
      </c>
      <c r="E60" s="19" t="s">
        <v>1056</v>
      </c>
      <c r="F60" s="19" t="s">
        <v>990</v>
      </c>
      <c r="G60" s="19" t="s">
        <v>2063</v>
      </c>
      <c r="H60" s="19">
        <v>3.38</v>
      </c>
      <c r="I60" s="19" t="s">
        <v>2064</v>
      </c>
      <c r="J60" s="19" t="s">
        <v>1168</v>
      </c>
    </row>
    <row r="61" spans="1:13" ht="20.100000000000001" customHeight="1" x14ac:dyDescent="0.2">
      <c r="D61" s="19" t="s">
        <v>2069</v>
      </c>
      <c r="E61" s="19" t="s">
        <v>2070</v>
      </c>
      <c r="F61" s="19" t="s">
        <v>990</v>
      </c>
      <c r="G61" s="19" t="s">
        <v>2063</v>
      </c>
      <c r="H61" s="19">
        <v>6.81</v>
      </c>
      <c r="I61" s="19" t="s">
        <v>2064</v>
      </c>
      <c r="J61" s="19" t="s">
        <v>1168</v>
      </c>
    </row>
    <row r="62" spans="1:13" ht="20.100000000000001" customHeight="1" x14ac:dyDescent="0.2">
      <c r="D62" s="19" t="s">
        <v>2069</v>
      </c>
      <c r="E62" s="19" t="s">
        <v>2070</v>
      </c>
      <c r="F62" s="19" t="s">
        <v>521</v>
      </c>
      <c r="G62" s="19" t="s">
        <v>2063</v>
      </c>
      <c r="H62" s="19">
        <v>2.2599999999999998</v>
      </c>
      <c r="I62" s="19" t="s">
        <v>2064</v>
      </c>
      <c r="J62" s="19" t="s">
        <v>1168</v>
      </c>
    </row>
    <row r="63" spans="1:13" ht="20.100000000000001" customHeight="1" x14ac:dyDescent="0.2">
      <c r="D63" s="19" t="s">
        <v>2069</v>
      </c>
      <c r="E63" s="19" t="s">
        <v>2070</v>
      </c>
      <c r="F63" s="19" t="s">
        <v>523</v>
      </c>
      <c r="G63" s="19" t="s">
        <v>2063</v>
      </c>
      <c r="H63" s="19">
        <v>6.33</v>
      </c>
      <c r="I63" s="19" t="s">
        <v>2064</v>
      </c>
      <c r="J63" s="19" t="s">
        <v>1168</v>
      </c>
    </row>
    <row r="64" spans="1:13" ht="20.100000000000001" customHeight="1" x14ac:dyDescent="0.2">
      <c r="D64" s="19" t="s">
        <v>2069</v>
      </c>
      <c r="E64" s="19" t="s">
        <v>2070</v>
      </c>
      <c r="F64" s="19" t="s">
        <v>526</v>
      </c>
      <c r="G64" s="19" t="s">
        <v>2063</v>
      </c>
      <c r="H64" s="19">
        <v>6.18</v>
      </c>
      <c r="I64" s="19" t="s">
        <v>2064</v>
      </c>
      <c r="J64" s="19" t="s">
        <v>1168</v>
      </c>
    </row>
    <row r="65" spans="1:10" ht="20.100000000000001" customHeight="1" x14ac:dyDescent="0.2">
      <c r="D65" s="19" t="s">
        <v>2069</v>
      </c>
      <c r="E65" s="19" t="s">
        <v>2070</v>
      </c>
      <c r="F65" s="19" t="s">
        <v>528</v>
      </c>
      <c r="G65" s="19" t="s">
        <v>2063</v>
      </c>
      <c r="H65" s="19">
        <v>7.5</v>
      </c>
      <c r="I65" s="19" t="s">
        <v>2064</v>
      </c>
      <c r="J65" s="19" t="s">
        <v>1168</v>
      </c>
    </row>
    <row r="66" spans="1:10" ht="20.100000000000001" customHeight="1" x14ac:dyDescent="0.2">
      <c r="D66" s="19" t="s">
        <v>2069</v>
      </c>
      <c r="E66" s="19" t="s">
        <v>2070</v>
      </c>
      <c r="F66" s="19" t="s">
        <v>525</v>
      </c>
      <c r="G66" s="19" t="s">
        <v>2063</v>
      </c>
      <c r="H66" s="19">
        <v>8.08</v>
      </c>
      <c r="I66" s="19" t="s">
        <v>2064</v>
      </c>
      <c r="J66" s="19" t="s">
        <v>1168</v>
      </c>
    </row>
    <row r="67" spans="1:10" ht="20.100000000000001" customHeight="1" x14ac:dyDescent="0.2">
      <c r="D67" s="19" t="s">
        <v>2069</v>
      </c>
      <c r="E67" s="19" t="s">
        <v>2070</v>
      </c>
      <c r="F67" s="19" t="s">
        <v>527</v>
      </c>
      <c r="G67" s="19" t="s">
        <v>2063</v>
      </c>
      <c r="H67" s="19">
        <v>5.45</v>
      </c>
      <c r="I67" s="19" t="s">
        <v>2064</v>
      </c>
      <c r="J67" s="19" t="s">
        <v>1168</v>
      </c>
    </row>
    <row r="68" spans="1:10" ht="20.100000000000001" customHeight="1" x14ac:dyDescent="0.2">
      <c r="A68" s="79" t="str">
        <f>HYPERLINK("#A1", "▲ Back to top")</f>
        <v>▲ Back to top</v>
      </c>
      <c r="D68" s="19" t="s">
        <v>2069</v>
      </c>
      <c r="E68" s="19" t="s">
        <v>2071</v>
      </c>
      <c r="F68" s="19" t="s">
        <v>990</v>
      </c>
      <c r="G68" s="19" t="s">
        <v>2063</v>
      </c>
      <c r="H68" s="19">
        <v>7.15</v>
      </c>
      <c r="I68" s="19" t="s">
        <v>2064</v>
      </c>
      <c r="J68" s="19" t="s">
        <v>1168</v>
      </c>
    </row>
    <row r="69" spans="1:10" ht="20.100000000000001" customHeight="1" x14ac:dyDescent="0.2">
      <c r="D69" s="19" t="s">
        <v>2069</v>
      </c>
      <c r="E69" s="19" t="s">
        <v>2071</v>
      </c>
      <c r="F69" s="19" t="s">
        <v>521</v>
      </c>
      <c r="G69" s="19" t="s">
        <v>2063</v>
      </c>
      <c r="H69" s="19">
        <v>8.2899999999999991</v>
      </c>
      <c r="I69" s="19" t="s">
        <v>2064</v>
      </c>
      <c r="J69" s="19" t="s">
        <v>1168</v>
      </c>
    </row>
    <row r="70" spans="1:10" ht="20.100000000000001" customHeight="1" x14ac:dyDescent="0.2">
      <c r="D70" s="19" t="s">
        <v>2069</v>
      </c>
      <c r="E70" s="19" t="s">
        <v>2071</v>
      </c>
      <c r="F70" s="19" t="s">
        <v>523</v>
      </c>
      <c r="G70" s="19" t="s">
        <v>2063</v>
      </c>
      <c r="H70" s="19">
        <v>6.39</v>
      </c>
      <c r="I70" s="19" t="s">
        <v>2064</v>
      </c>
      <c r="J70" s="19" t="s">
        <v>1168</v>
      </c>
    </row>
    <row r="71" spans="1:10" ht="20.100000000000001" customHeight="1" x14ac:dyDescent="0.2">
      <c r="D71" s="19" t="s">
        <v>2069</v>
      </c>
      <c r="E71" s="19" t="s">
        <v>2071</v>
      </c>
      <c r="F71" s="19" t="s">
        <v>526</v>
      </c>
      <c r="G71" s="19" t="s">
        <v>2063</v>
      </c>
      <c r="H71" s="19">
        <v>6.87</v>
      </c>
      <c r="I71" s="19" t="s">
        <v>2064</v>
      </c>
      <c r="J71" s="19" t="s">
        <v>1168</v>
      </c>
    </row>
    <row r="72" spans="1:10" ht="20.100000000000001" customHeight="1" x14ac:dyDescent="0.2">
      <c r="D72" s="19" t="s">
        <v>2069</v>
      </c>
      <c r="E72" s="19" t="s">
        <v>2071</v>
      </c>
      <c r="F72" s="19" t="s">
        <v>528</v>
      </c>
      <c r="G72" s="19" t="s">
        <v>2063</v>
      </c>
      <c r="H72" s="19">
        <v>8.66</v>
      </c>
      <c r="I72" s="19" t="s">
        <v>2064</v>
      </c>
      <c r="J72" s="19" t="s">
        <v>1168</v>
      </c>
    </row>
    <row r="73" spans="1:10" ht="20.100000000000001" customHeight="1" x14ac:dyDescent="0.2">
      <c r="D73" s="19" t="s">
        <v>2069</v>
      </c>
      <c r="E73" s="19" t="s">
        <v>2071</v>
      </c>
      <c r="F73" s="19" t="s">
        <v>525</v>
      </c>
      <c r="G73" s="19" t="s">
        <v>2063</v>
      </c>
      <c r="H73" s="19">
        <v>10</v>
      </c>
      <c r="I73" s="19" t="s">
        <v>2064</v>
      </c>
      <c r="J73" s="19" t="s">
        <v>1168</v>
      </c>
    </row>
    <row r="74" spans="1:10" ht="20.100000000000001" customHeight="1" x14ac:dyDescent="0.2">
      <c r="D74" s="19" t="s">
        <v>2069</v>
      </c>
      <c r="E74" s="19" t="s">
        <v>2071</v>
      </c>
      <c r="F74" s="19" t="s">
        <v>527</v>
      </c>
      <c r="G74" s="19" t="s">
        <v>2063</v>
      </c>
      <c r="H74" s="19">
        <v>5.67</v>
      </c>
      <c r="I74" s="19" t="s">
        <v>2064</v>
      </c>
      <c r="J74" s="19" t="s">
        <v>1168</v>
      </c>
    </row>
    <row r="76" spans="1:10" ht="20.100000000000001" customHeight="1" x14ac:dyDescent="0.2">
      <c r="D76" s="2" t="s">
        <v>1179</v>
      </c>
    </row>
    <row r="77" spans="1:10" ht="20.100000000000001" customHeight="1" x14ac:dyDescent="0.2">
      <c r="D77" s="19" t="s">
        <v>1161</v>
      </c>
      <c r="E77" s="19" t="s">
        <v>132</v>
      </c>
      <c r="F77" s="19" t="s">
        <v>1162</v>
      </c>
      <c r="G77" s="19" t="s">
        <v>1163</v>
      </c>
      <c r="H77" s="19" t="s">
        <v>1164</v>
      </c>
      <c r="I77" s="19" t="s">
        <v>1165</v>
      </c>
      <c r="J77" s="19" t="s">
        <v>569</v>
      </c>
    </row>
    <row r="78" spans="1:10" ht="20.100000000000001" customHeight="1" x14ac:dyDescent="0.2">
      <c r="D78" s="19" t="s">
        <v>950</v>
      </c>
      <c r="E78" s="19" t="s">
        <v>957</v>
      </c>
      <c r="F78" s="19" t="s">
        <v>1792</v>
      </c>
      <c r="G78" s="19" t="s">
        <v>757</v>
      </c>
      <c r="H78" s="19">
        <v>0.72199999999999998</v>
      </c>
      <c r="I78" s="19" t="s">
        <v>2072</v>
      </c>
      <c r="J78" s="19" t="s">
        <v>1168</v>
      </c>
    </row>
    <row r="79" spans="1:10" ht="20.100000000000001" customHeight="1" x14ac:dyDescent="0.2">
      <c r="D79" s="19" t="s">
        <v>950</v>
      </c>
      <c r="E79" s="19" t="s">
        <v>959</v>
      </c>
      <c r="F79" s="19" t="s">
        <v>1792</v>
      </c>
      <c r="G79" s="19" t="s">
        <v>757</v>
      </c>
      <c r="H79" s="19">
        <v>0.80400000000000005</v>
      </c>
      <c r="I79" s="19" t="s">
        <v>2072</v>
      </c>
      <c r="J79" s="19" t="s">
        <v>1168</v>
      </c>
    </row>
    <row r="80" spans="1:10" ht="20.100000000000001" customHeight="1" x14ac:dyDescent="0.2">
      <c r="D80" s="19" t="s">
        <v>950</v>
      </c>
      <c r="E80" s="19" t="s">
        <v>955</v>
      </c>
      <c r="F80" s="19" t="s">
        <v>1792</v>
      </c>
      <c r="G80" s="19" t="s">
        <v>757</v>
      </c>
      <c r="H80" s="19">
        <v>0.90700000000000003</v>
      </c>
      <c r="I80" s="19" t="s">
        <v>2072</v>
      </c>
      <c r="J80" s="19" t="s">
        <v>1168</v>
      </c>
    </row>
    <row r="82" spans="4:17" ht="20.100000000000001" customHeight="1" x14ac:dyDescent="0.2">
      <c r="D82" s="19" t="s">
        <v>1161</v>
      </c>
      <c r="E82" s="19" t="s">
        <v>132</v>
      </c>
      <c r="F82" s="19" t="s">
        <v>1162</v>
      </c>
      <c r="G82" s="19" t="s">
        <v>1163</v>
      </c>
      <c r="H82" s="19" t="s">
        <v>1164</v>
      </c>
      <c r="I82" s="19" t="s">
        <v>1165</v>
      </c>
      <c r="J82" s="19" t="s">
        <v>569</v>
      </c>
    </row>
    <row r="83" spans="4:17" ht="20.100000000000001" customHeight="1" x14ac:dyDescent="0.2">
      <c r="D83" s="19" t="s">
        <v>2073</v>
      </c>
      <c r="E83" s="19" t="s">
        <v>1001</v>
      </c>
      <c r="F83" s="19" t="s">
        <v>1792</v>
      </c>
      <c r="G83" s="19" t="s">
        <v>2074</v>
      </c>
      <c r="H83" s="19">
        <v>5.4699999999999999E-2</v>
      </c>
      <c r="I83" s="19" t="s">
        <v>2072</v>
      </c>
      <c r="J83" s="19" t="s">
        <v>1168</v>
      </c>
    </row>
    <row r="84" spans="4:17" ht="20.100000000000001" customHeight="1" x14ac:dyDescent="0.2">
      <c r="D84" s="19" t="s">
        <v>2073</v>
      </c>
      <c r="E84" s="19" t="s">
        <v>1003</v>
      </c>
      <c r="F84" s="19" t="s">
        <v>1792</v>
      </c>
      <c r="G84" s="19" t="s">
        <v>2074</v>
      </c>
      <c r="H84" s="19">
        <v>1.4200000000000001E-2</v>
      </c>
      <c r="I84" s="19" t="s">
        <v>2072</v>
      </c>
      <c r="J84" s="19" t="s">
        <v>1168</v>
      </c>
    </row>
    <row r="85" spans="4:17" ht="20.100000000000001" customHeight="1" x14ac:dyDescent="0.2">
      <c r="D85" s="19" t="s">
        <v>2073</v>
      </c>
      <c r="E85" s="19" t="s">
        <v>1005</v>
      </c>
      <c r="F85" s="19" t="s">
        <v>1792</v>
      </c>
      <c r="G85" s="19" t="s">
        <v>2074</v>
      </c>
      <c r="H85" s="19">
        <v>1.43E-2</v>
      </c>
      <c r="I85" s="19" t="s">
        <v>2072</v>
      </c>
      <c r="J85" s="19" t="s">
        <v>1168</v>
      </c>
    </row>
    <row r="86" spans="4:17" ht="20.100000000000001" customHeight="1" x14ac:dyDescent="0.2">
      <c r="D86" s="19" t="s">
        <v>2073</v>
      </c>
      <c r="E86" s="19" t="s">
        <v>1007</v>
      </c>
      <c r="F86" s="19" t="s">
        <v>1792</v>
      </c>
      <c r="G86" s="19" t="s">
        <v>2074</v>
      </c>
      <c r="H86" s="19">
        <v>4.2599999999999999E-3</v>
      </c>
      <c r="I86" s="19" t="s">
        <v>2072</v>
      </c>
      <c r="J86" s="19" t="s">
        <v>1168</v>
      </c>
    </row>
    <row r="88" spans="4:17" ht="20.100000000000001" customHeight="1" x14ac:dyDescent="0.2">
      <c r="D88" s="2" t="s">
        <v>974</v>
      </c>
    </row>
    <row r="89" spans="4:17" ht="20.100000000000001" customHeight="1" x14ac:dyDescent="0.2">
      <c r="D89" s="19" t="s">
        <v>1161</v>
      </c>
      <c r="E89" s="19" t="s">
        <v>132</v>
      </c>
      <c r="F89" s="19" t="s">
        <v>1162</v>
      </c>
      <c r="G89" s="19" t="s">
        <v>1163</v>
      </c>
      <c r="H89" s="19" t="s">
        <v>1164</v>
      </c>
      <c r="I89" s="19" t="s">
        <v>1165</v>
      </c>
      <c r="J89" s="19" t="s">
        <v>569</v>
      </c>
      <c r="O89" s="19" t="s">
        <v>132</v>
      </c>
      <c r="P89" s="19" t="s">
        <v>1166</v>
      </c>
      <c r="Q89" s="1" t="str">
        <f>"Table_ProductRegions_" &amp; SUBSTITUTE(SUBSTITUTE(SUBSTITUTE(SUBSTITUTE(O90, " ", ""), ",", ""), "(", ""), ")", "")</f>
        <v>Table_ProductRegions_Barleygrain</v>
      </c>
    </row>
    <row r="90" spans="4:17" ht="20.100000000000001" customHeight="1" x14ac:dyDescent="0.2">
      <c r="D90" s="19" t="s">
        <v>2075</v>
      </c>
      <c r="E90" s="19" t="s">
        <v>2076</v>
      </c>
      <c r="F90" s="19" t="s">
        <v>990</v>
      </c>
      <c r="G90" s="19" t="s">
        <v>757</v>
      </c>
      <c r="H90" s="19">
        <v>0.23899999999999999</v>
      </c>
      <c r="I90" s="19" t="s">
        <v>2064</v>
      </c>
      <c r="J90" s="19" t="s">
        <v>1168</v>
      </c>
      <c r="O90" s="19" t="str">
        <f>Table_SourceData_Scope3_Feed[[#This Row],[Product]]</f>
        <v>Barley grain</v>
      </c>
      <c r="P90" s="19" t="str">
        <f>Table_SourceData_Scope3_Feed[[#This Row],[Region of origin]]</f>
        <v>Australia</v>
      </c>
    </row>
    <row r="91" spans="4:17" ht="20.100000000000001" customHeight="1" x14ac:dyDescent="0.2">
      <c r="D91" s="19" t="s">
        <v>2075</v>
      </c>
      <c r="E91" s="19" t="s">
        <v>2076</v>
      </c>
      <c r="F91" s="19" t="s">
        <v>521</v>
      </c>
      <c r="G91" s="19" t="s">
        <v>757</v>
      </c>
      <c r="H91" s="19">
        <v>0.25600000000000001</v>
      </c>
      <c r="I91" s="19" t="s">
        <v>2064</v>
      </c>
      <c r="J91" s="19" t="s">
        <v>1168</v>
      </c>
      <c r="O91" s="19" t="str">
        <f>Table_SourceData_Scope3_Feed[[#This Row],[Product]]</f>
        <v>Barley grain</v>
      </c>
      <c r="P91" s="19" t="str">
        <f>Table_SourceData_Scope3_Feed[[#This Row],[Region of origin]]</f>
        <v>NSW</v>
      </c>
    </row>
    <row r="92" spans="4:17" ht="20.100000000000001" customHeight="1" x14ac:dyDescent="0.2">
      <c r="D92" s="19" t="s">
        <v>2075</v>
      </c>
      <c r="E92" s="19" t="s">
        <v>2076</v>
      </c>
      <c r="F92" s="19" t="s">
        <v>524</v>
      </c>
      <c r="G92" s="19" t="s">
        <v>757</v>
      </c>
      <c r="H92" s="19">
        <v>0.33200000000000002</v>
      </c>
      <c r="I92" s="19" t="s">
        <v>2064</v>
      </c>
      <c r="J92" s="19" t="s">
        <v>1168</v>
      </c>
      <c r="O92" s="19" t="str">
        <f>Table_SourceData_Scope3_Feed[[#This Row],[Product]]</f>
        <v>Barley grain</v>
      </c>
      <c r="P92" s="19" t="str">
        <f>Table_SourceData_Scope3_Feed[[#This Row],[Region of origin]]</f>
        <v>NT</v>
      </c>
    </row>
    <row r="93" spans="4:17" ht="20.100000000000001" customHeight="1" x14ac:dyDescent="0.2">
      <c r="D93" s="19" t="s">
        <v>2075</v>
      </c>
      <c r="E93" s="19" t="s">
        <v>2076</v>
      </c>
      <c r="F93" s="19" t="s">
        <v>523</v>
      </c>
      <c r="G93" s="19" t="s">
        <v>757</v>
      </c>
      <c r="H93" s="19">
        <v>0.26900000000000002</v>
      </c>
      <c r="I93" s="19" t="s">
        <v>2064</v>
      </c>
      <c r="J93" s="19" t="s">
        <v>1168</v>
      </c>
      <c r="O93" s="19" t="str">
        <f>Table_SourceData_Scope3_Feed[[#This Row],[Product]]</f>
        <v>Barley grain</v>
      </c>
      <c r="P93" s="19" t="str">
        <f>Table_SourceData_Scope3_Feed[[#This Row],[Region of origin]]</f>
        <v>QLD</v>
      </c>
    </row>
    <row r="94" spans="4:17" ht="20.100000000000001" customHeight="1" x14ac:dyDescent="0.2">
      <c r="D94" s="19" t="s">
        <v>2075</v>
      </c>
      <c r="E94" s="19" t="s">
        <v>2076</v>
      </c>
      <c r="F94" s="19" t="s">
        <v>526</v>
      </c>
      <c r="G94" s="19" t="s">
        <v>757</v>
      </c>
      <c r="H94" s="19">
        <v>0.223</v>
      </c>
      <c r="I94" s="19" t="s">
        <v>2064</v>
      </c>
      <c r="J94" s="19" t="s">
        <v>1168</v>
      </c>
      <c r="O94" s="19" t="str">
        <f>Table_SourceData_Scope3_Feed[[#This Row],[Product]]</f>
        <v>Barley grain</v>
      </c>
      <c r="P94" s="19" t="str">
        <f>Table_SourceData_Scope3_Feed[[#This Row],[Region of origin]]</f>
        <v>SA</v>
      </c>
    </row>
    <row r="95" spans="4:17" ht="20.100000000000001" customHeight="1" x14ac:dyDescent="0.2">
      <c r="D95" s="19" t="s">
        <v>2075</v>
      </c>
      <c r="E95" s="19" t="s">
        <v>2076</v>
      </c>
      <c r="F95" s="19" t="s">
        <v>528</v>
      </c>
      <c r="G95" s="19" t="s">
        <v>757</v>
      </c>
      <c r="H95" s="19">
        <v>0.307</v>
      </c>
      <c r="I95" s="19" t="s">
        <v>2064</v>
      </c>
      <c r="J95" s="19" t="s">
        <v>1168</v>
      </c>
      <c r="O95" s="19" t="str">
        <f>Table_SourceData_Scope3_Feed[[#This Row],[Product]]</f>
        <v>Barley grain</v>
      </c>
      <c r="P95" s="19" t="str">
        <f>Table_SourceData_Scope3_Feed[[#This Row],[Region of origin]]</f>
        <v>TAS</v>
      </c>
    </row>
    <row r="96" spans="4:17" ht="20.100000000000001" customHeight="1" x14ac:dyDescent="0.2">
      <c r="D96" s="19" t="s">
        <v>2075</v>
      </c>
      <c r="E96" s="19" t="s">
        <v>2076</v>
      </c>
      <c r="F96" s="19" t="s">
        <v>525</v>
      </c>
      <c r="G96" s="19" t="s">
        <v>757</v>
      </c>
      <c r="H96" s="19">
        <v>0.24099999999999999</v>
      </c>
      <c r="I96" s="19" t="s">
        <v>2064</v>
      </c>
      <c r="J96" s="19" t="s">
        <v>1168</v>
      </c>
      <c r="O96" s="19" t="str">
        <f>Table_SourceData_Scope3_Feed[[#This Row],[Product]]</f>
        <v>Barley grain</v>
      </c>
      <c r="P96" s="19" t="str">
        <f>Table_SourceData_Scope3_Feed[[#This Row],[Region of origin]]</f>
        <v>VIC</v>
      </c>
    </row>
    <row r="97" spans="1:17" ht="20.100000000000001" customHeight="1" x14ac:dyDescent="0.2">
      <c r="D97" s="19" t="s">
        <v>2075</v>
      </c>
      <c r="E97" s="19" t="s">
        <v>2076</v>
      </c>
      <c r="F97" s="19" t="s">
        <v>527</v>
      </c>
      <c r="G97" s="19" t="s">
        <v>757</v>
      </c>
      <c r="H97" s="19">
        <v>0.23599999999999999</v>
      </c>
      <c r="I97" s="19" t="s">
        <v>2064</v>
      </c>
      <c r="J97" s="19" t="s">
        <v>1168</v>
      </c>
      <c r="L97" s="19" t="s">
        <v>132</v>
      </c>
      <c r="M97" s="19" t="s">
        <v>1166</v>
      </c>
      <c r="N97" s="1" t="str">
        <f>"Table_ProductRegions_" &amp; SUBSTITUTE(SUBSTITUTE(SUBSTITUTE(SUBSTITUTE(L98, " ", ""), ",", ""), "(", ""), ")", "")</f>
        <v>Table_ProductRegions_Maizegrain</v>
      </c>
      <c r="O97" s="19" t="str">
        <f>Table_SourceData_Scope3_Feed[[#This Row],[Product]]</f>
        <v>Barley grain</v>
      </c>
      <c r="P97" s="19" t="str">
        <f>Table_SourceData_Scope3_Feed[[#This Row],[Region of origin]]</f>
        <v>WA</v>
      </c>
    </row>
    <row r="98" spans="1:17" ht="20.100000000000001" customHeight="1" x14ac:dyDescent="0.2">
      <c r="A98" s="79" t="str">
        <f>HYPERLINK("#A1", "▲ Back to top")</f>
        <v>▲ Back to top</v>
      </c>
      <c r="D98" s="19" t="s">
        <v>2075</v>
      </c>
      <c r="E98" s="19" t="s">
        <v>2077</v>
      </c>
      <c r="F98" s="19" t="s">
        <v>990</v>
      </c>
      <c r="G98" s="19" t="s">
        <v>757</v>
      </c>
      <c r="H98" s="19">
        <v>0.18099999999999999</v>
      </c>
      <c r="I98" s="19" t="s">
        <v>2064</v>
      </c>
      <c r="J98" s="19" t="s">
        <v>1168</v>
      </c>
      <c r="L98" s="19" t="str">
        <f>Table_SourceData_Scope3_Feed[[#This Row],[Product]]</f>
        <v>Maize grain</v>
      </c>
      <c r="M98" s="19" t="str">
        <f>Table_SourceData_Scope3_Feed[[#This Row],[Region of origin]]</f>
        <v>Australia</v>
      </c>
    </row>
    <row r="99" spans="1:17" ht="20.100000000000001" customHeight="1" x14ac:dyDescent="0.2">
      <c r="D99" s="19" t="s">
        <v>2075</v>
      </c>
      <c r="E99" s="19" t="s">
        <v>2077</v>
      </c>
      <c r="F99" s="19" t="s">
        <v>521</v>
      </c>
      <c r="G99" s="19" t="s">
        <v>757</v>
      </c>
      <c r="H99" s="19">
        <v>0.16900000000000001</v>
      </c>
      <c r="I99" s="19" t="s">
        <v>2064</v>
      </c>
      <c r="J99" s="19" t="s">
        <v>1168</v>
      </c>
      <c r="L99" s="19" t="str">
        <f>Table_SourceData_Scope3_Feed[[#This Row],[Product]]</f>
        <v>Maize grain</v>
      </c>
      <c r="M99" s="19" t="str">
        <f>Table_SourceData_Scope3_Feed[[#This Row],[Region of origin]]</f>
        <v>NSW</v>
      </c>
    </row>
    <row r="100" spans="1:17" ht="20.100000000000001" customHeight="1" x14ac:dyDescent="0.2">
      <c r="D100" s="19" t="s">
        <v>2075</v>
      </c>
      <c r="E100" s="19" t="s">
        <v>2077</v>
      </c>
      <c r="F100" s="19" t="s">
        <v>524</v>
      </c>
      <c r="G100" s="19" t="s">
        <v>757</v>
      </c>
      <c r="H100" s="19">
        <v>0.25600000000000001</v>
      </c>
      <c r="I100" s="19" t="s">
        <v>2064</v>
      </c>
      <c r="J100" s="19" t="s">
        <v>1168</v>
      </c>
      <c r="L100" s="19" t="str">
        <f>Table_SourceData_Scope3_Feed[[#This Row],[Product]]</f>
        <v>Maize grain</v>
      </c>
      <c r="M100" s="19" t="str">
        <f>Table_SourceData_Scope3_Feed[[#This Row],[Region of origin]]</f>
        <v>NT</v>
      </c>
    </row>
    <row r="101" spans="1:17" ht="20.100000000000001" customHeight="1" x14ac:dyDescent="0.2">
      <c r="D101" s="19" t="s">
        <v>2075</v>
      </c>
      <c r="E101" s="19" t="s">
        <v>2077</v>
      </c>
      <c r="F101" s="19" t="s">
        <v>523</v>
      </c>
      <c r="G101" s="19" t="s">
        <v>757</v>
      </c>
      <c r="H101" s="19">
        <v>0.186</v>
      </c>
      <c r="I101" s="19" t="s">
        <v>2064</v>
      </c>
      <c r="J101" s="19" t="s">
        <v>1168</v>
      </c>
      <c r="L101" s="19" t="str">
        <f>Table_SourceData_Scope3_Feed[[#This Row],[Product]]</f>
        <v>Maize grain</v>
      </c>
      <c r="M101" s="19" t="str">
        <f>Table_SourceData_Scope3_Feed[[#This Row],[Region of origin]]</f>
        <v>QLD</v>
      </c>
    </row>
    <row r="102" spans="1:17" ht="20.100000000000001" customHeight="1" x14ac:dyDescent="0.2">
      <c r="D102" s="19" t="s">
        <v>2075</v>
      </c>
      <c r="E102" s="19" t="s">
        <v>2077</v>
      </c>
      <c r="F102" s="19" t="s">
        <v>526</v>
      </c>
      <c r="G102" s="19" t="s">
        <v>757</v>
      </c>
      <c r="H102" s="19">
        <v>0.17599999999999999</v>
      </c>
      <c r="I102" s="19" t="s">
        <v>2064</v>
      </c>
      <c r="J102" s="19" t="s">
        <v>1168</v>
      </c>
      <c r="L102" s="19" t="str">
        <f>Table_SourceData_Scope3_Feed[[#This Row],[Product]]</f>
        <v>Maize grain</v>
      </c>
      <c r="M102" s="19" t="str">
        <f>Table_SourceData_Scope3_Feed[[#This Row],[Region of origin]]</f>
        <v>SA</v>
      </c>
    </row>
    <row r="103" spans="1:17" ht="20.100000000000001" customHeight="1" x14ac:dyDescent="0.2">
      <c r="D103" s="19" t="s">
        <v>2075</v>
      </c>
      <c r="E103" s="19" t="s">
        <v>2077</v>
      </c>
      <c r="F103" s="19" t="s">
        <v>525</v>
      </c>
      <c r="G103" s="19" t="s">
        <v>757</v>
      </c>
      <c r="H103" s="19">
        <v>0.159</v>
      </c>
      <c r="I103" s="19" t="s">
        <v>2064</v>
      </c>
      <c r="J103" s="19" t="s">
        <v>1168</v>
      </c>
      <c r="L103" s="19" t="str">
        <f>Table_SourceData_Scope3_Feed[[#This Row],[Product]]</f>
        <v>Maize grain</v>
      </c>
      <c r="M103" s="19" t="str">
        <f>Table_SourceData_Scope3_Feed[[#This Row],[Region of origin]]</f>
        <v>VIC</v>
      </c>
    </row>
    <row r="104" spans="1:17" ht="20.100000000000001" customHeight="1" x14ac:dyDescent="0.2">
      <c r="D104" s="19" t="s">
        <v>2075</v>
      </c>
      <c r="E104" s="19" t="s">
        <v>2077</v>
      </c>
      <c r="F104" s="19" t="s">
        <v>527</v>
      </c>
      <c r="G104" s="19" t="s">
        <v>757</v>
      </c>
      <c r="H104" s="19">
        <v>0.28499999999999998</v>
      </c>
      <c r="I104" s="19" t="s">
        <v>2064</v>
      </c>
      <c r="J104" s="19" t="s">
        <v>1168</v>
      </c>
      <c r="L104" s="19" t="str">
        <f>Table_SourceData_Scope3_Feed[[#This Row],[Product]]</f>
        <v>Maize grain</v>
      </c>
      <c r="M104" s="19" t="str">
        <f>Table_SourceData_Scope3_Feed[[#This Row],[Region of origin]]</f>
        <v>WA</v>
      </c>
      <c r="O104" s="19" t="s">
        <v>132</v>
      </c>
      <c r="P104" s="19" t="s">
        <v>1166</v>
      </c>
      <c r="Q104" s="1" t="str">
        <f>"Table_ProductRegions_" &amp; SUBSTITUTE(SUBSTITUTE(SUBSTITUTE(SUBSTITUTE(O105, " ", ""), ",", ""), "(", ""), ")", "")</f>
        <v>Table_ProductRegions_Sorghumgrain</v>
      </c>
    </row>
    <row r="105" spans="1:17" ht="20.100000000000001" customHeight="1" x14ac:dyDescent="0.2">
      <c r="D105" s="19" t="s">
        <v>2075</v>
      </c>
      <c r="E105" s="19" t="s">
        <v>2078</v>
      </c>
      <c r="F105" s="19" t="s">
        <v>990</v>
      </c>
      <c r="G105" s="19" t="s">
        <v>757</v>
      </c>
      <c r="H105" s="19">
        <v>0.23200000000000001</v>
      </c>
      <c r="I105" s="19" t="s">
        <v>2064</v>
      </c>
      <c r="J105" s="19" t="s">
        <v>1168</v>
      </c>
      <c r="O105" s="19" t="str">
        <f>Table_SourceData_Scope3_Feed[[#This Row],[Product]]</f>
        <v>Sorghum grain</v>
      </c>
      <c r="P105" s="19" t="str">
        <f>Table_SourceData_Scope3_Feed[[#This Row],[Region of origin]]</f>
        <v>Australia</v>
      </c>
    </row>
    <row r="106" spans="1:17" ht="20.100000000000001" customHeight="1" x14ac:dyDescent="0.2">
      <c r="D106" s="19" t="s">
        <v>2075</v>
      </c>
      <c r="E106" s="19" t="s">
        <v>2078</v>
      </c>
      <c r="F106" s="19" t="s">
        <v>521</v>
      </c>
      <c r="G106" s="19" t="s">
        <v>757</v>
      </c>
      <c r="H106" s="19">
        <v>0.23200000000000001</v>
      </c>
      <c r="I106" s="19" t="s">
        <v>2064</v>
      </c>
      <c r="J106" s="19" t="s">
        <v>1168</v>
      </c>
      <c r="O106" s="19" t="str">
        <f>Table_SourceData_Scope3_Feed[[#This Row],[Product]]</f>
        <v>Sorghum grain</v>
      </c>
      <c r="P106" s="19" t="str">
        <f>Table_SourceData_Scope3_Feed[[#This Row],[Region of origin]]</f>
        <v>NSW</v>
      </c>
    </row>
    <row r="107" spans="1:17" ht="20.100000000000001" customHeight="1" x14ac:dyDescent="0.2">
      <c r="D107" s="19" t="s">
        <v>2075</v>
      </c>
      <c r="E107" s="19" t="s">
        <v>2078</v>
      </c>
      <c r="F107" s="19" t="s">
        <v>523</v>
      </c>
      <c r="G107" s="19" t="s">
        <v>757</v>
      </c>
      <c r="H107" s="19">
        <v>0.23100000000000001</v>
      </c>
      <c r="I107" s="19" t="s">
        <v>2064</v>
      </c>
      <c r="J107" s="19" t="s">
        <v>1168</v>
      </c>
      <c r="O107" s="19" t="str">
        <f>Table_SourceData_Scope3_Feed[[#This Row],[Product]]</f>
        <v>Sorghum grain</v>
      </c>
      <c r="P107" s="19" t="str">
        <f>Table_SourceData_Scope3_Feed[[#This Row],[Region of origin]]</f>
        <v>QLD</v>
      </c>
    </row>
    <row r="108" spans="1:17" ht="20.100000000000001" customHeight="1" x14ac:dyDescent="0.2">
      <c r="D108" s="19" t="s">
        <v>2075</v>
      </c>
      <c r="E108" s="19" t="s">
        <v>2078</v>
      </c>
      <c r="F108" s="19" t="s">
        <v>526</v>
      </c>
      <c r="G108" s="19" t="s">
        <v>757</v>
      </c>
      <c r="H108" s="19">
        <v>0.218</v>
      </c>
      <c r="I108" s="19" t="s">
        <v>2064</v>
      </c>
      <c r="J108" s="19" t="s">
        <v>1168</v>
      </c>
      <c r="O108" s="19" t="str">
        <f>Table_SourceData_Scope3_Feed[[#This Row],[Product]]</f>
        <v>Sorghum grain</v>
      </c>
      <c r="P108" s="19" t="str">
        <f>Table_SourceData_Scope3_Feed[[#This Row],[Region of origin]]</f>
        <v>SA</v>
      </c>
    </row>
    <row r="109" spans="1:17" ht="20.100000000000001" customHeight="1" x14ac:dyDescent="0.2">
      <c r="D109" s="19" t="s">
        <v>2075</v>
      </c>
      <c r="E109" s="19" t="s">
        <v>2078</v>
      </c>
      <c r="F109" s="19" t="s">
        <v>525</v>
      </c>
      <c r="G109" s="19" t="s">
        <v>757</v>
      </c>
      <c r="H109" s="19">
        <v>0.246</v>
      </c>
      <c r="I109" s="19" t="s">
        <v>2064</v>
      </c>
      <c r="J109" s="19" t="s">
        <v>1168</v>
      </c>
      <c r="L109" s="19" t="s">
        <v>132</v>
      </c>
      <c r="M109" s="19" t="s">
        <v>1166</v>
      </c>
      <c r="N109" s="1" t="str">
        <f>"Table_ProductRegions_" &amp; SUBSTITUTE(SUBSTITUTE(SUBSTITUTE(SUBSTITUTE(L110, " ", ""), ",", ""), "(", ""), ")", "")</f>
        <v>Table_ProductRegions_Wheatgrain</v>
      </c>
      <c r="O109" s="19" t="str">
        <f>Table_SourceData_Scope3_Feed[[#This Row],[Product]]</f>
        <v>Sorghum grain</v>
      </c>
      <c r="P109" s="19" t="str">
        <f>Table_SourceData_Scope3_Feed[[#This Row],[Region of origin]]</f>
        <v>VIC</v>
      </c>
    </row>
    <row r="110" spans="1:17" ht="20.100000000000001" customHeight="1" x14ac:dyDescent="0.2">
      <c r="D110" s="19" t="s">
        <v>2075</v>
      </c>
      <c r="E110" s="19" t="s">
        <v>994</v>
      </c>
      <c r="F110" s="19" t="s">
        <v>990</v>
      </c>
      <c r="G110" s="19" t="s">
        <v>757</v>
      </c>
      <c r="H110" s="19">
        <v>0.26800000000000002</v>
      </c>
      <c r="I110" s="19" t="s">
        <v>2064</v>
      </c>
      <c r="J110" s="19" t="s">
        <v>1168</v>
      </c>
      <c r="L110" s="19" t="str">
        <f>Table_SourceData_Scope3_Feed[[#This Row],[Product]]</f>
        <v>Wheat grain</v>
      </c>
      <c r="M110" s="19" t="str">
        <f>Table_SourceData_Scope3_Feed[[#This Row],[Region of origin]]</f>
        <v>Australia</v>
      </c>
    </row>
    <row r="111" spans="1:17" ht="20.100000000000001" customHeight="1" x14ac:dyDescent="0.2">
      <c r="D111" s="19" t="s">
        <v>2075</v>
      </c>
      <c r="E111" s="19" t="s">
        <v>994</v>
      </c>
      <c r="F111" s="19" t="s">
        <v>521</v>
      </c>
      <c r="G111" s="19" t="s">
        <v>757</v>
      </c>
      <c r="H111" s="19">
        <v>0.28199999999999997</v>
      </c>
      <c r="I111" s="19" t="s">
        <v>2064</v>
      </c>
      <c r="J111" s="19" t="s">
        <v>1168</v>
      </c>
      <c r="L111" s="19" t="str">
        <f>Table_SourceData_Scope3_Feed[[#This Row],[Product]]</f>
        <v>Wheat grain</v>
      </c>
      <c r="M111" s="19" t="str">
        <f>Table_SourceData_Scope3_Feed[[#This Row],[Region of origin]]</f>
        <v>NSW</v>
      </c>
    </row>
    <row r="112" spans="1:17" ht="20.100000000000001" customHeight="1" x14ac:dyDescent="0.2">
      <c r="D112" s="19" t="s">
        <v>2075</v>
      </c>
      <c r="E112" s="19" t="s">
        <v>994</v>
      </c>
      <c r="F112" s="19" t="s">
        <v>524</v>
      </c>
      <c r="G112" s="19" t="s">
        <v>757</v>
      </c>
      <c r="H112" s="19">
        <v>0.38500000000000001</v>
      </c>
      <c r="I112" s="19" t="s">
        <v>2064</v>
      </c>
      <c r="J112" s="19" t="s">
        <v>1168</v>
      </c>
      <c r="L112" s="19" t="str">
        <f>Table_SourceData_Scope3_Feed[[#This Row],[Product]]</f>
        <v>Wheat grain</v>
      </c>
      <c r="M112" s="19" t="str">
        <f>Table_SourceData_Scope3_Feed[[#This Row],[Region of origin]]</f>
        <v>NT</v>
      </c>
    </row>
    <row r="113" spans="1:17" ht="20.100000000000001" customHeight="1" x14ac:dyDescent="0.2">
      <c r="D113" s="19" t="s">
        <v>2075</v>
      </c>
      <c r="E113" s="19" t="s">
        <v>994</v>
      </c>
      <c r="F113" s="19" t="s">
        <v>523</v>
      </c>
      <c r="G113" s="19" t="s">
        <v>757</v>
      </c>
      <c r="H113" s="19">
        <v>0.29599999999999999</v>
      </c>
      <c r="I113" s="19" t="s">
        <v>2064</v>
      </c>
      <c r="J113" s="19" t="s">
        <v>1168</v>
      </c>
      <c r="L113" s="19" t="str">
        <f>Table_SourceData_Scope3_Feed[[#This Row],[Product]]</f>
        <v>Wheat grain</v>
      </c>
      <c r="M113" s="19" t="str">
        <f>Table_SourceData_Scope3_Feed[[#This Row],[Region of origin]]</f>
        <v>QLD</v>
      </c>
    </row>
    <row r="114" spans="1:17" ht="20.100000000000001" customHeight="1" x14ac:dyDescent="0.2">
      <c r="D114" s="19" t="s">
        <v>2075</v>
      </c>
      <c r="E114" s="19" t="s">
        <v>994</v>
      </c>
      <c r="F114" s="19" t="s">
        <v>526</v>
      </c>
      <c r="G114" s="19" t="s">
        <v>757</v>
      </c>
      <c r="H114" s="19">
        <v>0.24099999999999999</v>
      </c>
      <c r="I114" s="19" t="s">
        <v>2064</v>
      </c>
      <c r="J114" s="19" t="s">
        <v>1168</v>
      </c>
      <c r="L114" s="19" t="str">
        <f>Table_SourceData_Scope3_Feed[[#This Row],[Product]]</f>
        <v>Wheat grain</v>
      </c>
      <c r="M114" s="19" t="str">
        <f>Table_SourceData_Scope3_Feed[[#This Row],[Region of origin]]</f>
        <v>SA</v>
      </c>
    </row>
    <row r="115" spans="1:17" ht="20.100000000000001" customHeight="1" x14ac:dyDescent="0.2">
      <c r="D115" s="19" t="s">
        <v>2075</v>
      </c>
      <c r="E115" s="19" t="s">
        <v>994</v>
      </c>
      <c r="F115" s="19" t="s">
        <v>528</v>
      </c>
      <c r="G115" s="19" t="s">
        <v>757</v>
      </c>
      <c r="H115" s="19">
        <v>0.33800000000000002</v>
      </c>
      <c r="I115" s="19" t="s">
        <v>2064</v>
      </c>
      <c r="J115" s="19" t="s">
        <v>1168</v>
      </c>
      <c r="L115" s="19" t="str">
        <f>Table_SourceData_Scope3_Feed[[#This Row],[Product]]</f>
        <v>Wheat grain</v>
      </c>
      <c r="M115" s="19" t="str">
        <f>Table_SourceData_Scope3_Feed[[#This Row],[Region of origin]]</f>
        <v>TAS</v>
      </c>
    </row>
    <row r="116" spans="1:17" ht="20.100000000000001" customHeight="1" x14ac:dyDescent="0.2">
      <c r="D116" s="19" t="s">
        <v>2075</v>
      </c>
      <c r="E116" s="19" t="s">
        <v>994</v>
      </c>
      <c r="F116" s="19" t="s">
        <v>525</v>
      </c>
      <c r="G116" s="19" t="s">
        <v>757</v>
      </c>
      <c r="H116" s="19">
        <v>0.26600000000000001</v>
      </c>
      <c r="I116" s="19" t="s">
        <v>2064</v>
      </c>
      <c r="J116" s="19" t="s">
        <v>1168</v>
      </c>
      <c r="L116" s="19" t="str">
        <f>Table_SourceData_Scope3_Feed[[#This Row],[Product]]</f>
        <v>Wheat grain</v>
      </c>
      <c r="M116" s="19" t="str">
        <f>Table_SourceData_Scope3_Feed[[#This Row],[Region of origin]]</f>
        <v>VIC</v>
      </c>
    </row>
    <row r="117" spans="1:17" ht="20.100000000000001" customHeight="1" x14ac:dyDescent="0.2">
      <c r="D117" s="19" t="s">
        <v>2075</v>
      </c>
      <c r="E117" s="19" t="s">
        <v>994</v>
      </c>
      <c r="F117" s="19" t="s">
        <v>527</v>
      </c>
      <c r="G117" s="19" t="s">
        <v>757</v>
      </c>
      <c r="H117" s="19">
        <v>0.26100000000000001</v>
      </c>
      <c r="I117" s="19" t="s">
        <v>2064</v>
      </c>
      <c r="J117" s="19" t="s">
        <v>1168</v>
      </c>
      <c r="L117" s="19" t="str">
        <f>Table_SourceData_Scope3_Feed[[#This Row],[Product]]</f>
        <v>Wheat grain</v>
      </c>
      <c r="M117" s="19" t="str">
        <f>Table_SourceData_Scope3_Feed[[#This Row],[Region of origin]]</f>
        <v>WA</v>
      </c>
      <c r="O117" s="19" t="s">
        <v>132</v>
      </c>
      <c r="P117" s="19" t="s">
        <v>1166</v>
      </c>
      <c r="Q117" s="1" t="str">
        <f>"Table_ProductRegions_" &amp; SUBSTITUTE(SUBSTITUTE(SUBSTITUTE(SUBSTITUTE(O118, " ", ""), ",", ""), "(", ""), ")", "")</f>
        <v>Table_ProductRegions_Cerealhay</v>
      </c>
    </row>
    <row r="118" spans="1:17" ht="20.100000000000001" customHeight="1" x14ac:dyDescent="0.2">
      <c r="D118" s="19" t="s">
        <v>2079</v>
      </c>
      <c r="E118" s="19" t="s">
        <v>988</v>
      </c>
      <c r="F118" s="19" t="s">
        <v>990</v>
      </c>
      <c r="G118" s="19" t="s">
        <v>757</v>
      </c>
      <c r="H118" s="19">
        <v>0.11700000000000001</v>
      </c>
      <c r="I118" s="19" t="s">
        <v>2064</v>
      </c>
      <c r="J118" s="19" t="s">
        <v>1168</v>
      </c>
      <c r="O118" s="19" t="str">
        <f>Table_SourceData_Scope3_Feed[[#This Row],[Product]]</f>
        <v>Cereal hay</v>
      </c>
      <c r="P118" s="19" t="str">
        <f>Table_SourceData_Scope3_Feed[[#This Row],[Region of origin]]</f>
        <v>Australia</v>
      </c>
    </row>
    <row r="119" spans="1:17" ht="20.100000000000001" customHeight="1" x14ac:dyDescent="0.2">
      <c r="D119" s="19" t="s">
        <v>2079</v>
      </c>
      <c r="E119" s="19" t="s">
        <v>988</v>
      </c>
      <c r="F119" s="19" t="s">
        <v>521</v>
      </c>
      <c r="G119" s="19" t="s">
        <v>757</v>
      </c>
      <c r="H119" s="19">
        <v>0.11600000000000001</v>
      </c>
      <c r="I119" s="19" t="s">
        <v>2064</v>
      </c>
      <c r="J119" s="19" t="s">
        <v>1168</v>
      </c>
      <c r="O119" s="19" t="str">
        <f>Table_SourceData_Scope3_Feed[[#This Row],[Product]]</f>
        <v>Cereal hay</v>
      </c>
      <c r="P119" s="19" t="str">
        <f>Table_SourceData_Scope3_Feed[[#This Row],[Region of origin]]</f>
        <v>NSW</v>
      </c>
    </row>
    <row r="120" spans="1:17" ht="20.100000000000001" customHeight="1" x14ac:dyDescent="0.2">
      <c r="D120" s="19" t="s">
        <v>2079</v>
      </c>
      <c r="E120" s="19" t="s">
        <v>988</v>
      </c>
      <c r="F120" s="19" t="s">
        <v>523</v>
      </c>
      <c r="G120" s="19" t="s">
        <v>757</v>
      </c>
      <c r="H120" s="19">
        <v>0.11799999999999999</v>
      </c>
      <c r="I120" s="19" t="s">
        <v>2064</v>
      </c>
      <c r="J120" s="19" t="s">
        <v>1168</v>
      </c>
      <c r="O120" s="19" t="str">
        <f>Table_SourceData_Scope3_Feed[[#This Row],[Product]]</f>
        <v>Cereal hay</v>
      </c>
      <c r="P120" s="19" t="str">
        <f>Table_SourceData_Scope3_Feed[[#This Row],[Region of origin]]</f>
        <v>QLD</v>
      </c>
    </row>
    <row r="121" spans="1:17" ht="20.100000000000001" customHeight="1" x14ac:dyDescent="0.2">
      <c r="D121" s="19" t="s">
        <v>2079</v>
      </c>
      <c r="E121" s="19" t="s">
        <v>988</v>
      </c>
      <c r="F121" s="19" t="s">
        <v>526</v>
      </c>
      <c r="G121" s="19" t="s">
        <v>757</v>
      </c>
      <c r="H121" s="19">
        <v>0.111</v>
      </c>
      <c r="I121" s="19" t="s">
        <v>2064</v>
      </c>
      <c r="J121" s="19" t="s">
        <v>1168</v>
      </c>
      <c r="O121" s="19" t="str">
        <f>Table_SourceData_Scope3_Feed[[#This Row],[Product]]</f>
        <v>Cereal hay</v>
      </c>
      <c r="P121" s="19" t="str">
        <f>Table_SourceData_Scope3_Feed[[#This Row],[Region of origin]]</f>
        <v>SA</v>
      </c>
    </row>
    <row r="122" spans="1:17" ht="20.100000000000001" customHeight="1" x14ac:dyDescent="0.2">
      <c r="D122" s="19" t="s">
        <v>2079</v>
      </c>
      <c r="E122" s="19" t="s">
        <v>988</v>
      </c>
      <c r="F122" s="19" t="s">
        <v>528</v>
      </c>
      <c r="G122" s="19" t="s">
        <v>757</v>
      </c>
      <c r="H122" s="19">
        <v>0.13900000000000001</v>
      </c>
      <c r="I122" s="19" t="s">
        <v>2064</v>
      </c>
      <c r="J122" s="19" t="s">
        <v>1168</v>
      </c>
      <c r="O122" s="19" t="str">
        <f>Table_SourceData_Scope3_Feed[[#This Row],[Product]]</f>
        <v>Cereal hay</v>
      </c>
      <c r="P122" s="19" t="str">
        <f>Table_SourceData_Scope3_Feed[[#This Row],[Region of origin]]</f>
        <v>TAS</v>
      </c>
    </row>
    <row r="123" spans="1:17" ht="20.100000000000001" customHeight="1" x14ac:dyDescent="0.2">
      <c r="D123" s="19" t="s">
        <v>2079</v>
      </c>
      <c r="E123" s="19" t="s">
        <v>988</v>
      </c>
      <c r="F123" s="19" t="s">
        <v>525</v>
      </c>
      <c r="G123" s="19" t="s">
        <v>757</v>
      </c>
      <c r="H123" s="19">
        <v>0.11600000000000001</v>
      </c>
      <c r="I123" s="19" t="s">
        <v>2064</v>
      </c>
      <c r="J123" s="19" t="s">
        <v>1168</v>
      </c>
      <c r="O123" s="19" t="str">
        <f>Table_SourceData_Scope3_Feed[[#This Row],[Product]]</f>
        <v>Cereal hay</v>
      </c>
      <c r="P123" s="19" t="str">
        <f>Table_SourceData_Scope3_Feed[[#This Row],[Region of origin]]</f>
        <v>VIC</v>
      </c>
    </row>
    <row r="124" spans="1:17" ht="20.100000000000001" customHeight="1" x14ac:dyDescent="0.2">
      <c r="D124" s="19" t="s">
        <v>2079</v>
      </c>
      <c r="E124" s="19" t="s">
        <v>988</v>
      </c>
      <c r="F124" s="19" t="s">
        <v>527</v>
      </c>
      <c r="G124" s="19" t="s">
        <v>757</v>
      </c>
      <c r="H124" s="19">
        <v>0.122</v>
      </c>
      <c r="I124" s="19" t="s">
        <v>2064</v>
      </c>
      <c r="J124" s="19" t="s">
        <v>1168</v>
      </c>
      <c r="L124" s="19" t="s">
        <v>132</v>
      </c>
      <c r="M124" s="19" t="s">
        <v>1166</v>
      </c>
      <c r="N124" s="1" t="str">
        <f>"Table_ProductRegions_" &amp; SUBSTITUTE(SUBSTITUTE(SUBSTITUTE(SUBSTITUTE(L125, " ", ""), ",", ""), "(", ""), ")", "")</f>
        <v>Table_ProductRegions_Cerealsilage</v>
      </c>
      <c r="O124" s="19" t="str">
        <f>Table_SourceData_Scope3_Feed[[#This Row],[Product]]</f>
        <v>Cereal hay</v>
      </c>
      <c r="P124" s="19" t="str">
        <f>Table_SourceData_Scope3_Feed[[#This Row],[Region of origin]]</f>
        <v>WA</v>
      </c>
    </row>
    <row r="125" spans="1:17" ht="20.100000000000001" customHeight="1" x14ac:dyDescent="0.2">
      <c r="D125" s="19" t="s">
        <v>2079</v>
      </c>
      <c r="E125" s="19" t="s">
        <v>987</v>
      </c>
      <c r="F125" s="19" t="s">
        <v>990</v>
      </c>
      <c r="G125" s="19" t="s">
        <v>757</v>
      </c>
      <c r="H125" s="19">
        <v>7.4399999999999994E-2</v>
      </c>
      <c r="I125" s="19" t="s">
        <v>2064</v>
      </c>
      <c r="J125" s="19" t="s">
        <v>1168</v>
      </c>
      <c r="L125" s="19" t="str">
        <f>Table_SourceData_Scope3_Feed[[#This Row],[Product]]</f>
        <v>Cereal silage</v>
      </c>
      <c r="M125" s="19" t="str">
        <f>Table_SourceData_Scope3_Feed[[#This Row],[Region of origin]]</f>
        <v>Australia</v>
      </c>
    </row>
    <row r="126" spans="1:17" ht="20.100000000000001" customHeight="1" x14ac:dyDescent="0.2">
      <c r="D126" s="19" t="s">
        <v>2079</v>
      </c>
      <c r="E126" s="19" t="s">
        <v>987</v>
      </c>
      <c r="F126" s="19" t="s">
        <v>521</v>
      </c>
      <c r="G126" s="19" t="s">
        <v>757</v>
      </c>
      <c r="H126" s="19">
        <v>7.3899999999999993E-2</v>
      </c>
      <c r="I126" s="19" t="s">
        <v>2064</v>
      </c>
      <c r="J126" s="19" t="s">
        <v>1168</v>
      </c>
      <c r="L126" s="19" t="str">
        <f>Table_SourceData_Scope3_Feed[[#This Row],[Product]]</f>
        <v>Cereal silage</v>
      </c>
      <c r="M126" s="19" t="str">
        <f>Table_SourceData_Scope3_Feed[[#This Row],[Region of origin]]</f>
        <v>NSW</v>
      </c>
    </row>
    <row r="127" spans="1:17" ht="20.100000000000001" customHeight="1" x14ac:dyDescent="0.2">
      <c r="D127" s="19" t="s">
        <v>2079</v>
      </c>
      <c r="E127" s="19" t="s">
        <v>987</v>
      </c>
      <c r="F127" s="19" t="s">
        <v>523</v>
      </c>
      <c r="G127" s="19" t="s">
        <v>757</v>
      </c>
      <c r="H127" s="19">
        <v>7.9000000000000001E-2</v>
      </c>
      <c r="I127" s="19" t="s">
        <v>2064</v>
      </c>
      <c r="J127" s="19" t="s">
        <v>1168</v>
      </c>
      <c r="L127" s="19" t="str">
        <f>Table_SourceData_Scope3_Feed[[#This Row],[Product]]</f>
        <v>Cereal silage</v>
      </c>
      <c r="M127" s="19" t="str">
        <f>Table_SourceData_Scope3_Feed[[#This Row],[Region of origin]]</f>
        <v>QLD</v>
      </c>
    </row>
    <row r="128" spans="1:17" ht="20.100000000000001" customHeight="1" x14ac:dyDescent="0.2">
      <c r="A128" s="79" t="str">
        <f>HYPERLINK("#A1", "▲ Back to top")</f>
        <v>▲ Back to top</v>
      </c>
      <c r="D128" s="19" t="s">
        <v>2079</v>
      </c>
      <c r="E128" s="19" t="s">
        <v>987</v>
      </c>
      <c r="F128" s="19" t="s">
        <v>526</v>
      </c>
      <c r="G128" s="19" t="s">
        <v>757</v>
      </c>
      <c r="H128" s="19">
        <v>7.0599999999999996E-2</v>
      </c>
      <c r="I128" s="19" t="s">
        <v>2064</v>
      </c>
      <c r="J128" s="19" t="s">
        <v>1168</v>
      </c>
      <c r="L128" s="19" t="str">
        <f>Table_SourceData_Scope3_Feed[[#This Row],[Product]]</f>
        <v>Cereal silage</v>
      </c>
      <c r="M128" s="19" t="str">
        <f>Table_SourceData_Scope3_Feed[[#This Row],[Region of origin]]</f>
        <v>SA</v>
      </c>
    </row>
    <row r="129" spans="4:17" ht="20.100000000000001" customHeight="1" x14ac:dyDescent="0.2">
      <c r="D129" s="19" t="s">
        <v>2079</v>
      </c>
      <c r="E129" s="19" t="s">
        <v>987</v>
      </c>
      <c r="F129" s="19" t="s">
        <v>528</v>
      </c>
      <c r="G129" s="19" t="s">
        <v>757</v>
      </c>
      <c r="H129" s="19">
        <v>8.0799999999999997E-2</v>
      </c>
      <c r="I129" s="19" t="s">
        <v>2064</v>
      </c>
      <c r="J129" s="19" t="s">
        <v>1168</v>
      </c>
      <c r="L129" s="19" t="str">
        <f>Table_SourceData_Scope3_Feed[[#This Row],[Product]]</f>
        <v>Cereal silage</v>
      </c>
      <c r="M129" s="19" t="str">
        <f>Table_SourceData_Scope3_Feed[[#This Row],[Region of origin]]</f>
        <v>TAS</v>
      </c>
    </row>
    <row r="130" spans="4:17" ht="20.100000000000001" customHeight="1" x14ac:dyDescent="0.2">
      <c r="D130" s="19" t="s">
        <v>2079</v>
      </c>
      <c r="E130" s="19" t="s">
        <v>987</v>
      </c>
      <c r="F130" s="19" t="s">
        <v>525</v>
      </c>
      <c r="G130" s="19" t="s">
        <v>757</v>
      </c>
      <c r="H130" s="19">
        <v>7.3599999999999999E-2</v>
      </c>
      <c r="I130" s="19" t="s">
        <v>2064</v>
      </c>
      <c r="J130" s="19" t="s">
        <v>1168</v>
      </c>
      <c r="L130" s="19" t="str">
        <f>Table_SourceData_Scope3_Feed[[#This Row],[Product]]</f>
        <v>Cereal silage</v>
      </c>
      <c r="M130" s="19" t="str">
        <f>Table_SourceData_Scope3_Feed[[#This Row],[Region of origin]]</f>
        <v>VIC</v>
      </c>
      <c r="O130" s="19" t="s">
        <v>132</v>
      </c>
      <c r="P130" s="19" t="s">
        <v>1166</v>
      </c>
      <c r="Q130" s="1" t="str">
        <f>"Table_ProductRegions_" &amp; SUBSTITUTE(SUBSTITUTE(SUBSTITUTE(SUBSTITUTE(O131, " ", ""), ",", ""), "(", ""), ")", "")</f>
        <v>Table_ProductRegions_Lucernehay</v>
      </c>
    </row>
    <row r="131" spans="4:17" ht="20.100000000000001" customHeight="1" x14ac:dyDescent="0.2">
      <c r="D131" s="19" t="s">
        <v>2079</v>
      </c>
      <c r="E131" s="19" t="s">
        <v>992</v>
      </c>
      <c r="F131" s="19" t="s">
        <v>990</v>
      </c>
      <c r="G131" s="19" t="s">
        <v>757</v>
      </c>
      <c r="H131" s="19">
        <v>0.11700000000000001</v>
      </c>
      <c r="I131" s="19" t="s">
        <v>2064</v>
      </c>
      <c r="J131" s="19" t="s">
        <v>1168</v>
      </c>
      <c r="O131" s="19" t="str">
        <f>Table_SourceData_Scope3_Feed[[#This Row],[Product]]</f>
        <v>Lucerne hay</v>
      </c>
      <c r="P131" s="19" t="str">
        <f>Table_SourceData_Scope3_Feed[[#This Row],[Region of origin]]</f>
        <v>Australia</v>
      </c>
    </row>
    <row r="132" spans="4:17" ht="20.100000000000001" customHeight="1" x14ac:dyDescent="0.2">
      <c r="D132" s="19" t="s">
        <v>2079</v>
      </c>
      <c r="E132" s="19" t="s">
        <v>992</v>
      </c>
      <c r="F132" s="19" t="s">
        <v>521</v>
      </c>
      <c r="G132" s="19" t="s">
        <v>757</v>
      </c>
      <c r="H132" s="19">
        <v>0.113</v>
      </c>
      <c r="I132" s="19" t="s">
        <v>2064</v>
      </c>
      <c r="J132" s="19" t="s">
        <v>1168</v>
      </c>
      <c r="O132" s="19" t="str">
        <f>Table_SourceData_Scope3_Feed[[#This Row],[Product]]</f>
        <v>Lucerne hay</v>
      </c>
      <c r="P132" s="19" t="str">
        <f>Table_SourceData_Scope3_Feed[[#This Row],[Region of origin]]</f>
        <v>NSW</v>
      </c>
    </row>
    <row r="133" spans="4:17" ht="20.100000000000001" customHeight="1" x14ac:dyDescent="0.2">
      <c r="D133" s="19" t="s">
        <v>2079</v>
      </c>
      <c r="E133" s="19" t="s">
        <v>992</v>
      </c>
      <c r="F133" s="19" t="s">
        <v>523</v>
      </c>
      <c r="G133" s="19" t="s">
        <v>757</v>
      </c>
      <c r="H133" s="19">
        <v>0.14299999999999999</v>
      </c>
      <c r="I133" s="19" t="s">
        <v>2064</v>
      </c>
      <c r="J133" s="19" t="s">
        <v>1168</v>
      </c>
      <c r="O133" s="19" t="str">
        <f>Table_SourceData_Scope3_Feed[[#This Row],[Product]]</f>
        <v>Lucerne hay</v>
      </c>
      <c r="P133" s="19" t="str">
        <f>Table_SourceData_Scope3_Feed[[#This Row],[Region of origin]]</f>
        <v>QLD</v>
      </c>
    </row>
    <row r="134" spans="4:17" ht="20.100000000000001" customHeight="1" x14ac:dyDescent="0.2">
      <c r="D134" s="19" t="s">
        <v>2079</v>
      </c>
      <c r="E134" s="19" t="s">
        <v>992</v>
      </c>
      <c r="F134" s="19" t="s">
        <v>526</v>
      </c>
      <c r="G134" s="19" t="s">
        <v>757</v>
      </c>
      <c r="H134" s="19">
        <v>0.106</v>
      </c>
      <c r="I134" s="19" t="s">
        <v>2064</v>
      </c>
      <c r="J134" s="19" t="s">
        <v>1168</v>
      </c>
      <c r="O134" s="19" t="str">
        <f>Table_SourceData_Scope3_Feed[[#This Row],[Product]]</f>
        <v>Lucerne hay</v>
      </c>
      <c r="P134" s="19" t="str">
        <f>Table_SourceData_Scope3_Feed[[#This Row],[Region of origin]]</f>
        <v>SA</v>
      </c>
    </row>
    <row r="135" spans="4:17" ht="20.100000000000001" customHeight="1" x14ac:dyDescent="0.2">
      <c r="D135" s="19" t="s">
        <v>2079</v>
      </c>
      <c r="E135" s="19" t="s">
        <v>992</v>
      </c>
      <c r="F135" s="19" t="s">
        <v>528</v>
      </c>
      <c r="G135" s="19" t="s">
        <v>757</v>
      </c>
      <c r="H135" s="19">
        <v>0.113</v>
      </c>
      <c r="I135" s="19" t="s">
        <v>2064</v>
      </c>
      <c r="J135" s="19" t="s">
        <v>1168</v>
      </c>
      <c r="O135" s="19" t="str">
        <f>Table_SourceData_Scope3_Feed[[#This Row],[Product]]</f>
        <v>Lucerne hay</v>
      </c>
      <c r="P135" s="19" t="str">
        <f>Table_SourceData_Scope3_Feed[[#This Row],[Region of origin]]</f>
        <v>TAS</v>
      </c>
    </row>
    <row r="136" spans="4:17" ht="20.100000000000001" customHeight="1" x14ac:dyDescent="0.2">
      <c r="D136" s="19" t="s">
        <v>2079</v>
      </c>
      <c r="E136" s="19" t="s">
        <v>992</v>
      </c>
      <c r="F136" s="19" t="s">
        <v>525</v>
      </c>
      <c r="G136" s="19" t="s">
        <v>757</v>
      </c>
      <c r="H136" s="19">
        <v>0.106</v>
      </c>
      <c r="I136" s="19" t="s">
        <v>2064</v>
      </c>
      <c r="J136" s="19" t="s">
        <v>1168</v>
      </c>
      <c r="O136" s="19" t="str">
        <f>Table_SourceData_Scope3_Feed[[#This Row],[Product]]</f>
        <v>Lucerne hay</v>
      </c>
      <c r="P136" s="19" t="str">
        <f>Table_SourceData_Scope3_Feed[[#This Row],[Region of origin]]</f>
        <v>VIC</v>
      </c>
    </row>
    <row r="137" spans="4:17" ht="20.100000000000001" customHeight="1" x14ac:dyDescent="0.2">
      <c r="D137" s="19" t="s">
        <v>2079</v>
      </c>
      <c r="E137" s="19" t="s">
        <v>2080</v>
      </c>
      <c r="F137" s="19" t="s">
        <v>525</v>
      </c>
      <c r="G137" s="19" t="s">
        <v>757</v>
      </c>
      <c r="H137" s="19">
        <v>0.16300000000000001</v>
      </c>
      <c r="I137" s="19" t="s">
        <v>2064</v>
      </c>
      <c r="J137" s="19" t="s">
        <v>1168</v>
      </c>
      <c r="L137" s="19" t="s">
        <v>132</v>
      </c>
      <c r="M137" s="19" t="s">
        <v>1166</v>
      </c>
      <c r="N137" s="1" t="str">
        <f>"Table_ProductRegions_" &amp; SUBSTITUTE(SUBSTITUTE(SUBSTITUTE(SUBSTITUTE(L138, " ", ""), ",", ""), "(", ""), ")", "")</f>
        <v>Table_ProductRegions_Oatenhay</v>
      </c>
      <c r="O137" s="19" t="str">
        <f>Table_SourceData_Scope3_Feed[[#This Row],[Product]]</f>
        <v>Maize silage</v>
      </c>
      <c r="P137" s="19" t="str">
        <f>Table_SourceData_Scope3_Feed[[#This Row],[Region of origin]]</f>
        <v>VIC</v>
      </c>
    </row>
    <row r="138" spans="4:17" ht="20.100000000000001" customHeight="1" x14ac:dyDescent="0.2">
      <c r="D138" s="19" t="s">
        <v>2079</v>
      </c>
      <c r="E138" s="19" t="s">
        <v>2081</v>
      </c>
      <c r="F138" s="19" t="s">
        <v>990</v>
      </c>
      <c r="G138" s="19" t="s">
        <v>757</v>
      </c>
      <c r="H138" s="19">
        <v>0.12</v>
      </c>
      <c r="I138" s="19" t="s">
        <v>2064</v>
      </c>
      <c r="J138" s="19" t="s">
        <v>1168</v>
      </c>
      <c r="L138" s="19" t="str">
        <f>Table_SourceData_Scope3_Feed[[#This Row],[Product]]</f>
        <v>Oaten hay</v>
      </c>
      <c r="M138" s="19" t="str">
        <f>Table_SourceData_Scope3_Feed[[#This Row],[Region of origin]]</f>
        <v>Australia</v>
      </c>
    </row>
    <row r="139" spans="4:17" ht="20.100000000000001" customHeight="1" x14ac:dyDescent="0.2">
      <c r="D139" s="19" t="s">
        <v>2079</v>
      </c>
      <c r="E139" s="19" t="s">
        <v>2081</v>
      </c>
      <c r="F139" s="19" t="s">
        <v>521</v>
      </c>
      <c r="G139" s="19" t="s">
        <v>757</v>
      </c>
      <c r="H139" s="19">
        <v>0.11899999999999999</v>
      </c>
      <c r="I139" s="19" t="s">
        <v>2064</v>
      </c>
      <c r="J139" s="19" t="s">
        <v>1168</v>
      </c>
      <c r="L139" s="19" t="str">
        <f>Table_SourceData_Scope3_Feed[[#This Row],[Product]]</f>
        <v>Oaten hay</v>
      </c>
      <c r="M139" s="19" t="str">
        <f>Table_SourceData_Scope3_Feed[[#This Row],[Region of origin]]</f>
        <v>NSW</v>
      </c>
    </row>
    <row r="140" spans="4:17" ht="20.100000000000001" customHeight="1" x14ac:dyDescent="0.2">
      <c r="D140" s="19" t="s">
        <v>2079</v>
      </c>
      <c r="E140" s="19" t="s">
        <v>2081</v>
      </c>
      <c r="F140" s="19" t="s">
        <v>523</v>
      </c>
      <c r="G140" s="19" t="s">
        <v>757</v>
      </c>
      <c r="H140" s="19">
        <v>0.11700000000000001</v>
      </c>
      <c r="I140" s="19" t="s">
        <v>2064</v>
      </c>
      <c r="J140" s="19" t="s">
        <v>1168</v>
      </c>
      <c r="L140" s="19" t="str">
        <f>Table_SourceData_Scope3_Feed[[#This Row],[Product]]</f>
        <v>Oaten hay</v>
      </c>
      <c r="M140" s="19" t="str">
        <f>Table_SourceData_Scope3_Feed[[#This Row],[Region of origin]]</f>
        <v>QLD</v>
      </c>
    </row>
    <row r="141" spans="4:17" ht="20.100000000000001" customHeight="1" x14ac:dyDescent="0.2">
      <c r="D141" s="19" t="s">
        <v>2079</v>
      </c>
      <c r="E141" s="19" t="s">
        <v>2081</v>
      </c>
      <c r="F141" s="19" t="s">
        <v>526</v>
      </c>
      <c r="G141" s="19" t="s">
        <v>757</v>
      </c>
      <c r="H141" s="19">
        <v>0.114</v>
      </c>
      <c r="I141" s="19" t="s">
        <v>2064</v>
      </c>
      <c r="J141" s="19" t="s">
        <v>1168</v>
      </c>
      <c r="L141" s="19" t="str">
        <f>Table_SourceData_Scope3_Feed[[#This Row],[Product]]</f>
        <v>Oaten hay</v>
      </c>
      <c r="M141" s="19" t="str">
        <f>Table_SourceData_Scope3_Feed[[#This Row],[Region of origin]]</f>
        <v>SA</v>
      </c>
    </row>
    <row r="142" spans="4:17" ht="20.100000000000001" customHeight="1" x14ac:dyDescent="0.2">
      <c r="D142" s="19" t="s">
        <v>2079</v>
      </c>
      <c r="E142" s="19" t="s">
        <v>2081</v>
      </c>
      <c r="F142" s="19" t="s">
        <v>525</v>
      </c>
      <c r="G142" s="19" t="s">
        <v>757</v>
      </c>
      <c r="H142" s="19">
        <v>0.11799999999999999</v>
      </c>
      <c r="I142" s="19" t="s">
        <v>2064</v>
      </c>
      <c r="J142" s="19" t="s">
        <v>1168</v>
      </c>
      <c r="L142" s="19" t="str">
        <f>Table_SourceData_Scope3_Feed[[#This Row],[Product]]</f>
        <v>Oaten hay</v>
      </c>
      <c r="M142" s="19" t="str">
        <f>Table_SourceData_Scope3_Feed[[#This Row],[Region of origin]]</f>
        <v>VIC</v>
      </c>
    </row>
    <row r="143" spans="4:17" ht="20.100000000000001" customHeight="1" x14ac:dyDescent="0.2">
      <c r="D143" s="19" t="s">
        <v>2079</v>
      </c>
      <c r="E143" s="19" t="s">
        <v>2081</v>
      </c>
      <c r="F143" s="19" t="s">
        <v>527</v>
      </c>
      <c r="G143" s="19" t="s">
        <v>757</v>
      </c>
      <c r="H143" s="19">
        <v>0.124</v>
      </c>
      <c r="I143" s="19" t="s">
        <v>2064</v>
      </c>
      <c r="J143" s="19" t="s">
        <v>1168</v>
      </c>
      <c r="L143" s="19" t="str">
        <f>Table_SourceData_Scope3_Feed[[#This Row],[Product]]</f>
        <v>Oaten hay</v>
      </c>
      <c r="M143" s="19" t="str">
        <f>Table_SourceData_Scope3_Feed[[#This Row],[Region of origin]]</f>
        <v>WA</v>
      </c>
      <c r="O143" s="19" t="s">
        <v>132</v>
      </c>
      <c r="P143" s="19" t="s">
        <v>1166</v>
      </c>
      <c r="Q143" s="1" t="str">
        <f>"Table_ProductRegions_" &amp; SUBSTITUTE(SUBSTITUTE(SUBSTITUTE(SUBSTITUTE(O144, " ", ""), ",", ""), "(", ""), ")", "")</f>
        <v>Table_ProductRegions_Pasturehay</v>
      </c>
    </row>
    <row r="144" spans="4:17" ht="20.100000000000001" customHeight="1" x14ac:dyDescent="0.2">
      <c r="D144" s="19" t="s">
        <v>2079</v>
      </c>
      <c r="E144" s="19" t="s">
        <v>997</v>
      </c>
      <c r="F144" s="19" t="s">
        <v>990</v>
      </c>
      <c r="G144" s="19" t="s">
        <v>757</v>
      </c>
      <c r="H144" s="19">
        <v>0.33900000000000002</v>
      </c>
      <c r="I144" s="19" t="s">
        <v>2064</v>
      </c>
      <c r="J144" s="19" t="s">
        <v>1168</v>
      </c>
      <c r="O144" s="19" t="str">
        <f>Table_SourceData_Scope3_Feed[[#This Row],[Product]]</f>
        <v>Pasture hay</v>
      </c>
      <c r="P144" s="19" t="str">
        <f>Table_SourceData_Scope3_Feed[[#This Row],[Region of origin]]</f>
        <v>Australia</v>
      </c>
    </row>
    <row r="145" spans="1:17" ht="20.100000000000001" customHeight="1" x14ac:dyDescent="0.2">
      <c r="D145" s="19" t="s">
        <v>2079</v>
      </c>
      <c r="E145" s="19" t="s">
        <v>997</v>
      </c>
      <c r="F145" s="19" t="s">
        <v>521</v>
      </c>
      <c r="G145" s="19" t="s">
        <v>757</v>
      </c>
      <c r="H145" s="19">
        <v>0.311</v>
      </c>
      <c r="I145" s="19" t="s">
        <v>2064</v>
      </c>
      <c r="J145" s="19" t="s">
        <v>1168</v>
      </c>
      <c r="O145" s="19" t="str">
        <f>Table_SourceData_Scope3_Feed[[#This Row],[Product]]</f>
        <v>Pasture hay</v>
      </c>
      <c r="P145" s="19" t="str">
        <f>Table_SourceData_Scope3_Feed[[#This Row],[Region of origin]]</f>
        <v>NSW</v>
      </c>
    </row>
    <row r="146" spans="1:17" ht="20.100000000000001" customHeight="1" x14ac:dyDescent="0.2">
      <c r="D146" s="19" t="s">
        <v>2079</v>
      </c>
      <c r="E146" s="19" t="s">
        <v>997</v>
      </c>
      <c r="F146" s="19" t="s">
        <v>523</v>
      </c>
      <c r="G146" s="19" t="s">
        <v>757</v>
      </c>
      <c r="H146" s="19">
        <v>0.254</v>
      </c>
      <c r="I146" s="19" t="s">
        <v>2064</v>
      </c>
      <c r="J146" s="19" t="s">
        <v>1168</v>
      </c>
      <c r="O146" s="19" t="str">
        <f>Table_SourceData_Scope3_Feed[[#This Row],[Product]]</f>
        <v>Pasture hay</v>
      </c>
      <c r="P146" s="19" t="str">
        <f>Table_SourceData_Scope3_Feed[[#This Row],[Region of origin]]</f>
        <v>QLD</v>
      </c>
    </row>
    <row r="147" spans="1:17" ht="20.100000000000001" customHeight="1" x14ac:dyDescent="0.2">
      <c r="D147" s="19" t="s">
        <v>2079</v>
      </c>
      <c r="E147" s="19" t="s">
        <v>997</v>
      </c>
      <c r="F147" s="19" t="s">
        <v>526</v>
      </c>
      <c r="G147" s="19" t="s">
        <v>757</v>
      </c>
      <c r="H147" s="19">
        <v>0.313</v>
      </c>
      <c r="I147" s="19" t="s">
        <v>2064</v>
      </c>
      <c r="J147" s="19" t="s">
        <v>1168</v>
      </c>
      <c r="O147" s="19" t="str">
        <f>Table_SourceData_Scope3_Feed[[#This Row],[Product]]</f>
        <v>Pasture hay</v>
      </c>
      <c r="P147" s="19" t="str">
        <f>Table_SourceData_Scope3_Feed[[#This Row],[Region of origin]]</f>
        <v>SA</v>
      </c>
    </row>
    <row r="148" spans="1:17" ht="20.100000000000001" customHeight="1" x14ac:dyDescent="0.2">
      <c r="D148" s="19" t="s">
        <v>2079</v>
      </c>
      <c r="E148" s="19" t="s">
        <v>997</v>
      </c>
      <c r="F148" s="19" t="s">
        <v>528</v>
      </c>
      <c r="G148" s="19" t="s">
        <v>757</v>
      </c>
      <c r="H148" s="19">
        <v>0.39800000000000002</v>
      </c>
      <c r="I148" s="19" t="s">
        <v>2064</v>
      </c>
      <c r="J148" s="19" t="s">
        <v>1168</v>
      </c>
      <c r="O148" s="19" t="str">
        <f>Table_SourceData_Scope3_Feed[[#This Row],[Product]]</f>
        <v>Pasture hay</v>
      </c>
      <c r="P148" s="19" t="str">
        <f>Table_SourceData_Scope3_Feed[[#This Row],[Region of origin]]</f>
        <v>TAS</v>
      </c>
    </row>
    <row r="149" spans="1:17" ht="20.100000000000001" customHeight="1" x14ac:dyDescent="0.2">
      <c r="D149" s="19" t="s">
        <v>2079</v>
      </c>
      <c r="E149" s="19" t="s">
        <v>997</v>
      </c>
      <c r="F149" s="19" t="s">
        <v>525</v>
      </c>
      <c r="G149" s="19" t="s">
        <v>757</v>
      </c>
      <c r="H149" s="19">
        <v>0.34499999999999997</v>
      </c>
      <c r="I149" s="19" t="s">
        <v>2064</v>
      </c>
      <c r="J149" s="19" t="s">
        <v>1168</v>
      </c>
      <c r="O149" s="19" t="str">
        <f>Table_SourceData_Scope3_Feed[[#This Row],[Product]]</f>
        <v>Pasture hay</v>
      </c>
      <c r="P149" s="19" t="str">
        <f>Table_SourceData_Scope3_Feed[[#This Row],[Region of origin]]</f>
        <v>VIC</v>
      </c>
    </row>
    <row r="150" spans="1:17" ht="20.100000000000001" customHeight="1" x14ac:dyDescent="0.2">
      <c r="D150" s="19" t="s">
        <v>2079</v>
      </c>
      <c r="E150" s="19" t="s">
        <v>997</v>
      </c>
      <c r="F150" s="19" t="s">
        <v>527</v>
      </c>
      <c r="G150" s="19" t="s">
        <v>757</v>
      </c>
      <c r="H150" s="19">
        <v>0.36799999999999999</v>
      </c>
      <c r="I150" s="19" t="s">
        <v>2064</v>
      </c>
      <c r="J150" s="19" t="s">
        <v>1168</v>
      </c>
      <c r="L150" s="237" t="s">
        <v>132</v>
      </c>
      <c r="M150" s="237" t="s">
        <v>1166</v>
      </c>
      <c r="N150" s="1" t="str">
        <f>"Table_ProductRegions_" &amp; SUBSTITUTE(SUBSTITUTE(SUBSTITUTE(SUBSTITUTE(L151, " ", ""), ",", ""), "(", ""), ")", "")</f>
        <v>Table_ProductRegions_Canolameal</v>
      </c>
      <c r="O150" s="19" t="str">
        <f>Table_SourceData_Scope3_Feed[[#This Row],[Product]]</f>
        <v>Pasture hay</v>
      </c>
      <c r="P150" s="19" t="str">
        <f>Table_SourceData_Scope3_Feed[[#This Row],[Region of origin]]</f>
        <v>WA</v>
      </c>
    </row>
    <row r="151" spans="1:17" ht="20.100000000000001" customHeight="1" x14ac:dyDescent="0.2">
      <c r="D151" s="19" t="s">
        <v>2082</v>
      </c>
      <c r="E151" s="19" t="s">
        <v>2083</v>
      </c>
      <c r="F151" s="19" t="s">
        <v>990</v>
      </c>
      <c r="G151" s="19" t="s">
        <v>757</v>
      </c>
      <c r="H151" s="19">
        <v>0.24399999999999999</v>
      </c>
      <c r="I151" s="19" t="s">
        <v>2064</v>
      </c>
      <c r="J151" s="19" t="s">
        <v>1168</v>
      </c>
      <c r="L151" s="1" t="str">
        <f>Table_SourceData_Scope3_Feed[[#This Row],[Product]]</f>
        <v>Canola meal</v>
      </c>
      <c r="M151" s="1" t="str">
        <f>Table_SourceData_Scope3_Feed[[#This Row],[Region of origin]]</f>
        <v>Australia</v>
      </c>
      <c r="O151" s="19" t="s">
        <v>132</v>
      </c>
      <c r="P151" s="19" t="s">
        <v>1166</v>
      </c>
      <c r="Q151" s="1" t="str">
        <f>"Table_ProductRegions_" &amp; SUBSTITUTE(SUBSTITUTE(SUBSTITUTE(SUBSTITUTE(O152, " ", ""), ",", ""), "(", ""), ")", "")</f>
        <v>Table_ProductRegions_Meatmeal</v>
      </c>
    </row>
    <row r="152" spans="1:17" ht="20.100000000000001" customHeight="1" x14ac:dyDescent="0.2">
      <c r="D152" s="19" t="s">
        <v>2082</v>
      </c>
      <c r="E152" s="19" t="s">
        <v>2084</v>
      </c>
      <c r="F152" s="19" t="s">
        <v>990</v>
      </c>
      <c r="G152" s="19" t="s">
        <v>757</v>
      </c>
      <c r="H152" s="19">
        <v>0.40799999999999997</v>
      </c>
      <c r="I152" s="19" t="s">
        <v>2064</v>
      </c>
      <c r="J152" s="19" t="s">
        <v>1168</v>
      </c>
      <c r="L152" s="19" t="s">
        <v>132</v>
      </c>
      <c r="M152" s="19" t="s">
        <v>1166</v>
      </c>
      <c r="N152" s="1" t="str">
        <f>"Table_ProductRegions_" &amp; SUBSTITUTE(SUBSTITUTE(SUBSTITUTE(SUBSTITUTE(L153, " ", ""), ",", ""), "(", ""), ")", "")</f>
        <v>Table_ProductRegions_Soybeanmeal</v>
      </c>
      <c r="O152" s="19" t="str">
        <f>Table_SourceData_Scope3_Feed[[#This Row],[Product]]</f>
        <v>Meat meal</v>
      </c>
      <c r="P152" s="19" t="str">
        <f>Table_SourceData_Scope3_Feed[[#This Row],[Region of origin]]</f>
        <v>Australia</v>
      </c>
    </row>
    <row r="153" spans="1:17" ht="20.100000000000001" customHeight="1" x14ac:dyDescent="0.2">
      <c r="D153" s="19" t="s">
        <v>2082</v>
      </c>
      <c r="E153" s="19" t="s">
        <v>995</v>
      </c>
      <c r="F153" s="19" t="s">
        <v>996</v>
      </c>
      <c r="G153" s="19" t="s">
        <v>757</v>
      </c>
      <c r="H153" s="19">
        <v>0.42599999999999999</v>
      </c>
      <c r="I153" s="19" t="s">
        <v>2064</v>
      </c>
      <c r="J153" s="19" t="s">
        <v>1168</v>
      </c>
      <c r="L153" s="19" t="str">
        <f>Table_SourceData_Scope3_Feed[[#This Row],[Product]]</f>
        <v>Soybean meal</v>
      </c>
      <c r="M153" s="19" t="str">
        <f>Table_SourceData_Scope3_Feed[[#This Row],[Region of origin]]</f>
        <v>Brazil</v>
      </c>
      <c r="O153" s="19" t="s">
        <v>132</v>
      </c>
      <c r="P153" s="19" t="s">
        <v>1166</v>
      </c>
      <c r="Q153" s="1" t="str">
        <f>"Table_ProductRegions_" &amp; SUBSTITUTE(SUBSTITUTE(SUBSTITUTE(SUBSTITUTE(O154, " ", ""), ",", ""), "(", ""), ")", "")</f>
        <v>Table_ProductRegions_Wheatbran</v>
      </c>
    </row>
    <row r="154" spans="1:17" ht="20.100000000000001" customHeight="1" x14ac:dyDescent="0.2">
      <c r="D154" s="19" t="s">
        <v>2082</v>
      </c>
      <c r="E154" s="19" t="s">
        <v>2085</v>
      </c>
      <c r="F154" s="19" t="s">
        <v>990</v>
      </c>
      <c r="G154" s="19" t="s">
        <v>757</v>
      </c>
      <c r="H154" s="19">
        <v>0.19600000000000001</v>
      </c>
      <c r="I154" s="19" t="s">
        <v>2064</v>
      </c>
      <c r="J154" s="19" t="s">
        <v>1168</v>
      </c>
      <c r="L154" s="19" t="s">
        <v>132</v>
      </c>
      <c r="M154" s="19" t="s">
        <v>1166</v>
      </c>
      <c r="N154" s="1" t="str">
        <f>"Table_ProductRegions_" &amp; SUBSTITUTE(SUBSTITUTE(SUBSTITUTE(SUBSTITUTE(L155, " ", ""), ",", ""), "(", ""), ")", "")</f>
        <v>Table_ProductRegions_Bentonite</v>
      </c>
      <c r="O154" s="19" t="str">
        <f>Table_SourceData_Scope3_Feed[[#This Row],[Product]]</f>
        <v>Wheat bran</v>
      </c>
      <c r="P154" s="19" t="str">
        <f>Table_SourceData_Scope3_Feed[[#This Row],[Region of origin]]</f>
        <v>Australia</v>
      </c>
    </row>
    <row r="155" spans="1:17" ht="20.100000000000001" customHeight="1" x14ac:dyDescent="0.2">
      <c r="D155" s="1" t="s">
        <v>300</v>
      </c>
      <c r="E155" s="1" t="s">
        <v>2086</v>
      </c>
      <c r="F155" s="1" t="s">
        <v>990</v>
      </c>
      <c r="G155" s="1" t="s">
        <v>757</v>
      </c>
      <c r="H155" s="1">
        <v>6.5199999999999994E-2</v>
      </c>
      <c r="I155" s="1" t="s">
        <v>2064</v>
      </c>
      <c r="J155" s="19" t="s">
        <v>1168</v>
      </c>
      <c r="L155" s="19" t="str">
        <f>Table_SourceData_Scope3_Feed[[#This Row],[Product]]</f>
        <v>Bentonite</v>
      </c>
      <c r="M155" s="19" t="str">
        <f>Table_SourceData_Scope3_Feed[[#This Row],[Region of origin]]</f>
        <v>Australia</v>
      </c>
      <c r="O155" s="19" t="s">
        <v>132</v>
      </c>
      <c r="P155" s="19" t="s">
        <v>1166</v>
      </c>
      <c r="Q155" s="1" t="str">
        <f>"Table_ProductRegions_" &amp; SUBSTITUTE(SUBSTITUTE(SUBSTITUTE(SUBSTITUTE(O156, " ", ""), ",", ""), "(", ""), ")", "")</f>
        <v>Table_ProductRegions_Canolaoil</v>
      </c>
    </row>
    <row r="156" spans="1:17" ht="20.100000000000001" customHeight="1" x14ac:dyDescent="0.2">
      <c r="D156" s="1" t="s">
        <v>300</v>
      </c>
      <c r="E156" s="1" t="s">
        <v>989</v>
      </c>
      <c r="F156" s="1" t="s">
        <v>990</v>
      </c>
      <c r="G156" s="1" t="s">
        <v>757</v>
      </c>
      <c r="H156" s="1">
        <v>0.87</v>
      </c>
      <c r="I156" s="1" t="s">
        <v>2064</v>
      </c>
      <c r="J156" s="19" t="s">
        <v>1168</v>
      </c>
      <c r="L156" s="19" t="s">
        <v>132</v>
      </c>
      <c r="M156" s="19" t="s">
        <v>1166</v>
      </c>
      <c r="N156" s="1" t="str">
        <f>"Table_ProductRegions_" &amp; SUBSTITUTE(SUBSTITUTE(SUBSTITUTE(SUBSTITUTE(L157, " ", ""), ",", ""), "(", ""), ")", "")</f>
        <v>Table_ProductRegions_Cottonseed</v>
      </c>
      <c r="O156" s="19" t="str">
        <f>Table_SourceData_Scope3_Feed[[#This Row],[Product]]</f>
        <v>Canola oil</v>
      </c>
      <c r="P156" s="19" t="str">
        <f>Table_SourceData_Scope3_Feed[[#This Row],[Region of origin]]</f>
        <v>Australia</v>
      </c>
    </row>
    <row r="157" spans="1:17" ht="20.100000000000001" customHeight="1" x14ac:dyDescent="0.2">
      <c r="D157" s="1" t="s">
        <v>300</v>
      </c>
      <c r="E157" s="1" t="s">
        <v>2087</v>
      </c>
      <c r="F157" s="1" t="s">
        <v>990</v>
      </c>
      <c r="G157" s="1" t="s">
        <v>757</v>
      </c>
      <c r="H157" s="1">
        <v>0.19700000000000001</v>
      </c>
      <c r="I157" s="1" t="s">
        <v>2064</v>
      </c>
      <c r="J157" s="19" t="s">
        <v>1168</v>
      </c>
      <c r="L157" s="19" t="str">
        <f>Table_SourceData_Scope3_Feed[[#This Row],[Product]]</f>
        <v>Cotton seed</v>
      </c>
      <c r="M157" s="19" t="str">
        <f>Table_SourceData_Scope3_Feed[[#This Row],[Region of origin]]</f>
        <v>Australia</v>
      </c>
      <c r="O157" s="19" t="s">
        <v>132</v>
      </c>
      <c r="P157" s="19" t="s">
        <v>1166</v>
      </c>
      <c r="Q157" s="1" t="str">
        <f>"Table_ProductRegions_" &amp; SUBSTITUTE(SUBSTITUTE(SUBSTITUTE(SUBSTITUTE(O158, " ", ""), ",", ""), "(", ""), ")", "")</f>
        <v>Table_ProductRegions_Molasses</v>
      </c>
    </row>
    <row r="158" spans="1:17" ht="20.100000000000001" customHeight="1" x14ac:dyDescent="0.2">
      <c r="A158" s="79" t="str">
        <f>HYPERLINK("#A1", "▲ Back to top")</f>
        <v>▲ Back to top</v>
      </c>
      <c r="D158" s="19" t="s">
        <v>300</v>
      </c>
      <c r="E158" s="19" t="s">
        <v>991</v>
      </c>
      <c r="F158" s="19" t="s">
        <v>523</v>
      </c>
      <c r="G158" s="19" t="s">
        <v>757</v>
      </c>
      <c r="H158" s="19">
        <v>0.184</v>
      </c>
      <c r="I158" s="19" t="s">
        <v>2064</v>
      </c>
      <c r="J158" s="19"/>
      <c r="O158" s="19" t="str">
        <f>Table_SourceData_Scope3_Feed[[#This Row],[Product]]</f>
        <v>Molasses</v>
      </c>
      <c r="P158" s="19" t="str">
        <f>Table_SourceData_Scope3_Feed[[#This Row],[Region of origin]]</f>
        <v>QLD</v>
      </c>
    </row>
    <row r="161" spans="4:14" ht="20.100000000000001" customHeight="1" x14ac:dyDescent="0.2">
      <c r="D161" s="19" t="s">
        <v>1161</v>
      </c>
      <c r="E161" s="19" t="s">
        <v>132</v>
      </c>
      <c r="F161" s="19" t="s">
        <v>1162</v>
      </c>
      <c r="G161" s="19" t="s">
        <v>1163</v>
      </c>
      <c r="H161" s="19" t="s">
        <v>1164</v>
      </c>
      <c r="I161" s="19" t="s">
        <v>1165</v>
      </c>
      <c r="J161" s="19" t="s">
        <v>569</v>
      </c>
    </row>
    <row r="162" spans="4:14" ht="20.100000000000001" customHeight="1" x14ac:dyDescent="0.2">
      <c r="D162" s="19" t="s">
        <v>2088</v>
      </c>
      <c r="E162" s="19" t="s">
        <v>2089</v>
      </c>
      <c r="F162" s="19" t="s">
        <v>990</v>
      </c>
      <c r="G162" s="19" t="s">
        <v>757</v>
      </c>
      <c r="H162" s="19">
        <v>0.59399999999999997</v>
      </c>
      <c r="I162" s="19" t="s">
        <v>2064</v>
      </c>
      <c r="J162" s="19" t="s">
        <v>1168</v>
      </c>
    </row>
    <row r="163" spans="4:14" ht="20.100000000000001" customHeight="1" x14ac:dyDescent="0.2">
      <c r="D163" s="19" t="s">
        <v>2088</v>
      </c>
      <c r="E163" s="19" t="s">
        <v>2090</v>
      </c>
      <c r="F163" s="19" t="s">
        <v>990</v>
      </c>
      <c r="G163" s="19" t="s">
        <v>757</v>
      </c>
      <c r="H163" s="19">
        <v>0.41899999999999998</v>
      </c>
      <c r="I163" s="19" t="s">
        <v>2064</v>
      </c>
      <c r="J163" s="19" t="s">
        <v>1168</v>
      </c>
    </row>
    <row r="164" spans="4:14" ht="20.100000000000001" customHeight="1" x14ac:dyDescent="0.2">
      <c r="D164" s="19" t="s">
        <v>2088</v>
      </c>
      <c r="E164" s="19" t="s">
        <v>2091</v>
      </c>
      <c r="F164" s="19" t="s">
        <v>990</v>
      </c>
      <c r="G164" s="19" t="s">
        <v>757</v>
      </c>
      <c r="H164" s="19">
        <v>0.33300000000000002</v>
      </c>
      <c r="I164" s="19" t="s">
        <v>2064</v>
      </c>
      <c r="J164" s="19" t="s">
        <v>1168</v>
      </c>
    </row>
    <row r="165" spans="4:14" ht="20.100000000000001" customHeight="1" x14ac:dyDescent="0.2">
      <c r="D165" s="19" t="s">
        <v>2088</v>
      </c>
      <c r="E165" s="19" t="s">
        <v>2092</v>
      </c>
      <c r="F165" s="19" t="s">
        <v>990</v>
      </c>
      <c r="G165" s="19" t="s">
        <v>757</v>
      </c>
      <c r="H165" s="19">
        <v>0.40300000000000002</v>
      </c>
      <c r="I165" s="19" t="s">
        <v>2064</v>
      </c>
      <c r="J165" s="19" t="s">
        <v>1168</v>
      </c>
    </row>
    <row r="167" spans="4:14" ht="20.100000000000001" customHeight="1" x14ac:dyDescent="0.2">
      <c r="D167" s="19" t="s">
        <v>1161</v>
      </c>
      <c r="E167" s="19" t="s">
        <v>132</v>
      </c>
      <c r="F167" s="19" t="s">
        <v>1162</v>
      </c>
      <c r="G167" s="19" t="s">
        <v>1163</v>
      </c>
      <c r="H167" s="19" t="s">
        <v>1164</v>
      </c>
      <c r="I167" s="19" t="s">
        <v>1165</v>
      </c>
      <c r="J167" s="19" t="s">
        <v>569</v>
      </c>
    </row>
    <row r="168" spans="4:14" ht="20.100000000000001" customHeight="1" x14ac:dyDescent="0.2">
      <c r="D168" s="19" t="s">
        <v>300</v>
      </c>
      <c r="E168" s="19" t="s">
        <v>2093</v>
      </c>
      <c r="F168" s="19" t="s">
        <v>990</v>
      </c>
      <c r="G168" s="19" t="s">
        <v>757</v>
      </c>
      <c r="H168" s="19">
        <v>0.88100000000000001</v>
      </c>
      <c r="I168" s="19" t="s">
        <v>2064</v>
      </c>
      <c r="J168" s="19" t="s">
        <v>1168</v>
      </c>
    </row>
    <row r="169" spans="4:14" ht="20.100000000000001" customHeight="1" x14ac:dyDescent="0.2">
      <c r="D169" s="19" t="s">
        <v>300</v>
      </c>
      <c r="E169" s="19" t="s">
        <v>2094</v>
      </c>
      <c r="F169" s="19" t="s">
        <v>990</v>
      </c>
      <c r="G169" s="19" t="s">
        <v>757</v>
      </c>
      <c r="H169" s="19">
        <v>0.67700000000000005</v>
      </c>
      <c r="I169" s="19" t="s">
        <v>2064</v>
      </c>
      <c r="J169" s="19" t="s">
        <v>1168</v>
      </c>
    </row>
    <row r="170" spans="4:14" ht="20.100000000000001" customHeight="1" x14ac:dyDescent="0.2">
      <c r="D170" s="19" t="s">
        <v>300</v>
      </c>
      <c r="E170" s="19" t="s">
        <v>2095</v>
      </c>
      <c r="F170" s="19" t="s">
        <v>990</v>
      </c>
      <c r="G170" s="19" t="s">
        <v>757</v>
      </c>
      <c r="H170" s="19">
        <v>0.23100000000000001</v>
      </c>
      <c r="I170" s="19" t="s">
        <v>2064</v>
      </c>
      <c r="J170" s="19" t="s">
        <v>1168</v>
      </c>
    </row>
    <row r="172" spans="4:14" ht="20.100000000000001" customHeight="1" x14ac:dyDescent="0.2">
      <c r="D172" s="2" t="s">
        <v>1180</v>
      </c>
    </row>
    <row r="173" spans="4:14" ht="20.100000000000001" customHeight="1" x14ac:dyDescent="0.2">
      <c r="D173" s="19" t="s">
        <v>1161</v>
      </c>
      <c r="E173" s="19" t="s">
        <v>132</v>
      </c>
      <c r="F173" s="19" t="s">
        <v>1162</v>
      </c>
      <c r="G173" s="19" t="s">
        <v>818</v>
      </c>
      <c r="H173" s="19" t="s">
        <v>711</v>
      </c>
      <c r="I173" s="19" t="s">
        <v>712</v>
      </c>
      <c r="J173" s="19" t="s">
        <v>1181</v>
      </c>
      <c r="K173" s="19" t="s">
        <v>1163</v>
      </c>
      <c r="L173" s="19" t="s">
        <v>1164</v>
      </c>
      <c r="M173" s="19" t="s">
        <v>1165</v>
      </c>
      <c r="N173" s="19" t="s">
        <v>569</v>
      </c>
    </row>
    <row r="174" spans="4:14" ht="20.100000000000001" customHeight="1" x14ac:dyDescent="0.2">
      <c r="D174" s="19" t="s">
        <v>1180</v>
      </c>
      <c r="E174" s="19" t="s">
        <v>2096</v>
      </c>
      <c r="F174" s="19" t="s">
        <v>1792</v>
      </c>
      <c r="G174" s="19" t="str">
        <f>'Constants - Fertiliser'!$D$37</f>
        <v>Ammonia</v>
      </c>
      <c r="H174" s="19"/>
      <c r="I174" s="19" t="str">
        <f>'Constants - Fertiliser'!$V$20</f>
        <v>Global</v>
      </c>
      <c r="J174" s="19"/>
      <c r="K174" s="19" t="s">
        <v>757</v>
      </c>
      <c r="L174" s="19">
        <v>2.3199999999999998</v>
      </c>
      <c r="M174" s="19" t="s">
        <v>2064</v>
      </c>
      <c r="N174" s="19" t="s">
        <v>1168</v>
      </c>
    </row>
    <row r="175" spans="4:14" ht="20.100000000000001" customHeight="1" x14ac:dyDescent="0.2">
      <c r="D175" s="19" t="s">
        <v>1180</v>
      </c>
      <c r="E175" s="19" t="s">
        <v>2097</v>
      </c>
      <c r="F175" s="19" t="s">
        <v>1793</v>
      </c>
      <c r="G175" s="19" t="str">
        <f>'Constants - Fertiliser'!$D$37</f>
        <v>Ammonia</v>
      </c>
      <c r="H175" s="19"/>
      <c r="I175" s="19" t="str">
        <f>'Constants - Fertiliser'!$V$21</f>
        <v>Canada</v>
      </c>
      <c r="J175" s="19"/>
      <c r="K175" s="19" t="s">
        <v>757</v>
      </c>
      <c r="L175" s="19">
        <v>2.12</v>
      </c>
      <c r="M175" s="19" t="s">
        <v>2064</v>
      </c>
      <c r="N175" s="19" t="s">
        <v>1168</v>
      </c>
    </row>
    <row r="176" spans="4:14" ht="20.100000000000001" customHeight="1" x14ac:dyDescent="0.2">
      <c r="D176" s="19" t="s">
        <v>1180</v>
      </c>
      <c r="E176" s="19" t="s">
        <v>2098</v>
      </c>
      <c r="F176" s="19" t="s">
        <v>1794</v>
      </c>
      <c r="G176" s="19" t="str">
        <f>'Constants - Fertiliser'!$D$37</f>
        <v>Ammonia</v>
      </c>
      <c r="H176" s="19"/>
      <c r="I176" s="19" t="str">
        <f>'Constants - Fertiliser'!$V$22</f>
        <v>China</v>
      </c>
      <c r="J176" s="19"/>
      <c r="K176" s="19" t="s">
        <v>757</v>
      </c>
      <c r="L176" s="19">
        <v>4.17</v>
      </c>
      <c r="M176" s="19" t="s">
        <v>2064</v>
      </c>
      <c r="N176" s="19" t="s">
        <v>1168</v>
      </c>
    </row>
    <row r="177" spans="1:14" ht="20.100000000000001" customHeight="1" x14ac:dyDescent="0.2">
      <c r="D177" s="19" t="s">
        <v>1180</v>
      </c>
      <c r="E177" s="19" t="s">
        <v>2099</v>
      </c>
      <c r="F177" s="19" t="s">
        <v>1795</v>
      </c>
      <c r="G177" s="19" t="str">
        <f>'Constants - Fertiliser'!$D$37</f>
        <v>Ammonia</v>
      </c>
      <c r="H177" s="19"/>
      <c r="I177" s="19" t="str">
        <f>'Constants - Fertiliser'!$V$23</f>
        <v>Yemen</v>
      </c>
      <c r="J177" s="19"/>
      <c r="K177" s="19" t="s">
        <v>757</v>
      </c>
      <c r="L177" s="19">
        <v>2.2599999999999998</v>
      </c>
      <c r="M177" s="19" t="s">
        <v>2064</v>
      </c>
      <c r="N177" s="19" t="s">
        <v>1168</v>
      </c>
    </row>
    <row r="178" spans="1:14" ht="20.100000000000001" customHeight="1" x14ac:dyDescent="0.2">
      <c r="D178" s="19" t="s">
        <v>1180</v>
      </c>
      <c r="E178" s="19" t="s">
        <v>2100</v>
      </c>
      <c r="F178" s="19" t="s">
        <v>1792</v>
      </c>
      <c r="G178" s="19" t="str">
        <f>'Constants - Fertiliser'!$D$25</f>
        <v>Ammonium nitrate (AN)</v>
      </c>
      <c r="H178" s="19"/>
      <c r="I178" s="19"/>
      <c r="J178" s="19"/>
      <c r="K178" s="19" t="s">
        <v>757</v>
      </c>
      <c r="L178" s="19">
        <v>2.21</v>
      </c>
      <c r="M178" s="19" t="s">
        <v>2064</v>
      </c>
      <c r="N178" s="19" t="s">
        <v>1168</v>
      </c>
    </row>
    <row r="179" spans="1:14" ht="20.100000000000001" customHeight="1" x14ac:dyDescent="0.2">
      <c r="D179" s="19" t="s">
        <v>1180</v>
      </c>
      <c r="E179" s="19" t="s">
        <v>2101</v>
      </c>
      <c r="F179" s="19" t="s">
        <v>1792</v>
      </c>
      <c r="G179" s="19" t="str">
        <f>'Constants - Fertiliser'!$D$26</f>
        <v>Calcium ammonium nitrate (CAN)</v>
      </c>
      <c r="H179" s="19"/>
      <c r="I179" s="19"/>
      <c r="J179" s="19"/>
      <c r="K179" s="19" t="s">
        <v>757</v>
      </c>
      <c r="L179" s="19">
        <v>1.1499999999999999</v>
      </c>
      <c r="M179" s="19" t="s">
        <v>2064</v>
      </c>
      <c r="N179" s="19" t="s">
        <v>1168</v>
      </c>
    </row>
    <row r="180" spans="1:14" ht="20.100000000000001" customHeight="1" x14ac:dyDescent="0.2">
      <c r="D180" s="19" t="s">
        <v>1180</v>
      </c>
      <c r="E180" s="19" t="s">
        <v>723</v>
      </c>
      <c r="F180" s="19" t="s">
        <v>1792</v>
      </c>
      <c r="G180" s="19" t="str">
        <f>'Constants - Fertiliser'!$D$38</f>
        <v>Calcium nitrate</v>
      </c>
      <c r="H180" s="19"/>
      <c r="I180" s="19"/>
      <c r="J180" s="19"/>
      <c r="K180" s="19" t="s">
        <v>757</v>
      </c>
      <c r="L180" s="19">
        <v>0.75</v>
      </c>
      <c r="M180" s="19" t="s">
        <v>2064</v>
      </c>
      <c r="N180" s="19" t="s">
        <v>1168</v>
      </c>
    </row>
    <row r="181" spans="1:14" ht="20.100000000000001" customHeight="1" x14ac:dyDescent="0.2">
      <c r="D181" s="19" t="s">
        <v>1180</v>
      </c>
      <c r="E181" s="19" t="s">
        <v>2102</v>
      </c>
      <c r="F181" s="19" t="s">
        <v>1792</v>
      </c>
      <c r="G181" s="19" t="str">
        <f>'Constants - Fertiliser'!$D$21</f>
        <v>Diammonium phosphate (DAP)</v>
      </c>
      <c r="H181" s="19"/>
      <c r="I181" s="19"/>
      <c r="J181" s="19"/>
      <c r="K181" s="19" t="s">
        <v>757</v>
      </c>
      <c r="L181" s="19">
        <v>1.34</v>
      </c>
      <c r="M181" s="19" t="s">
        <v>2064</v>
      </c>
      <c r="N181" s="19" t="s">
        <v>1168</v>
      </c>
    </row>
    <row r="182" spans="1:14" ht="20.100000000000001" customHeight="1" x14ac:dyDescent="0.2">
      <c r="D182" s="19" t="s">
        <v>1180</v>
      </c>
      <c r="E182" s="19" t="s">
        <v>2103</v>
      </c>
      <c r="F182" s="19" t="s">
        <v>1792</v>
      </c>
      <c r="G182" s="19" t="str">
        <f>'Constants - Fertiliser'!$D$35</f>
        <v>Double superphosphate</v>
      </c>
      <c r="H182" s="19"/>
      <c r="I182" s="19"/>
      <c r="J182" s="19"/>
      <c r="K182" s="19" t="s">
        <v>757</v>
      </c>
      <c r="L182" s="19">
        <v>0.39200000000000002</v>
      </c>
      <c r="M182" s="19" t="s">
        <v>2064</v>
      </c>
      <c r="N182" s="19" t="s">
        <v>1168</v>
      </c>
    </row>
    <row r="183" spans="1:14" ht="20.100000000000001" customHeight="1" x14ac:dyDescent="0.2">
      <c r="D183" s="19" t="s">
        <v>1180</v>
      </c>
      <c r="E183" s="19" t="s">
        <v>2104</v>
      </c>
      <c r="F183" s="19" t="s">
        <v>1792</v>
      </c>
      <c r="G183" s="19" t="str">
        <f>'Constants - Fertiliser'!$D$20</f>
        <v>Monoammonium phosphate (MAP)</v>
      </c>
      <c r="H183" s="19"/>
      <c r="I183" s="19"/>
      <c r="J183" s="19"/>
      <c r="K183" s="19" t="s">
        <v>757</v>
      </c>
      <c r="L183" s="19">
        <v>0.82699999999999996</v>
      </c>
      <c r="M183" s="19" t="s">
        <v>2064</v>
      </c>
      <c r="N183" s="19" t="s">
        <v>1168</v>
      </c>
    </row>
    <row r="184" spans="1:14" ht="20.100000000000001" customHeight="1" x14ac:dyDescent="0.2">
      <c r="D184" s="19" t="s">
        <v>1180</v>
      </c>
      <c r="E184" s="19" t="s">
        <v>2105</v>
      </c>
      <c r="F184" s="19" t="s">
        <v>1792</v>
      </c>
      <c r="G184" s="19" t="str">
        <f>'Constants - Fertiliser'!$D$34</f>
        <v>Muriate of potash (MOP)</v>
      </c>
      <c r="H184" s="19"/>
      <c r="I184" s="19"/>
      <c r="J184" s="19"/>
      <c r="K184" s="19" t="s">
        <v>757</v>
      </c>
      <c r="L184" s="19">
        <v>0.54900000000000004</v>
      </c>
      <c r="M184" s="19" t="s">
        <v>2064</v>
      </c>
      <c r="N184" s="19" t="s">
        <v>1168</v>
      </c>
    </row>
    <row r="185" spans="1:14" ht="20.100000000000001" customHeight="1" x14ac:dyDescent="0.2">
      <c r="D185" s="19" t="s">
        <v>1180</v>
      </c>
      <c r="E185" s="19" t="s">
        <v>2106</v>
      </c>
      <c r="F185" s="19" t="s">
        <v>1792</v>
      </c>
      <c r="G185" s="19" t="str">
        <f>'Constants - Fertiliser'!$D$27</f>
        <v>Nitrogen - Ammoniacal</v>
      </c>
      <c r="H185" s="19"/>
      <c r="I185" s="19"/>
      <c r="J185" s="19"/>
      <c r="K185" s="19" t="s">
        <v>482</v>
      </c>
      <c r="L185" s="19">
        <v>2.83</v>
      </c>
      <c r="M185" s="19" t="s">
        <v>2064</v>
      </c>
      <c r="N185" s="19" t="s">
        <v>1168</v>
      </c>
    </row>
    <row r="186" spans="1:14" ht="20.100000000000001" customHeight="1" x14ac:dyDescent="0.2">
      <c r="D186" s="19" t="s">
        <v>1180</v>
      </c>
      <c r="E186" s="19" t="s">
        <v>2107</v>
      </c>
      <c r="F186" s="19" t="s">
        <v>1792</v>
      </c>
      <c r="G186" s="19" t="str">
        <f>'Constants - Fertiliser'!$D$29</f>
        <v>Nitrogen - Generic</v>
      </c>
      <c r="H186" s="19"/>
      <c r="I186" s="19"/>
      <c r="J186" s="19"/>
      <c r="K186" s="19" t="s">
        <v>482</v>
      </c>
      <c r="L186" s="19">
        <v>4.2</v>
      </c>
      <c r="M186" s="19" t="s">
        <v>2064</v>
      </c>
      <c r="N186" s="19" t="s">
        <v>1168</v>
      </c>
    </row>
    <row r="187" spans="1:14" ht="20.100000000000001" customHeight="1" x14ac:dyDescent="0.2">
      <c r="D187" s="19" t="s">
        <v>1180</v>
      </c>
      <c r="E187" s="19" t="s">
        <v>2108</v>
      </c>
      <c r="F187" s="19" t="s">
        <v>1792</v>
      </c>
      <c r="G187" s="19" t="str">
        <f>'Constants - Fertiliser'!$D$28</f>
        <v>Nitrogen - Nitrate</v>
      </c>
      <c r="H187" s="19"/>
      <c r="I187" s="19"/>
      <c r="J187" s="19"/>
      <c r="K187" s="19" t="s">
        <v>482</v>
      </c>
      <c r="L187" s="19">
        <v>5.47</v>
      </c>
      <c r="M187" s="19" t="s">
        <v>2064</v>
      </c>
      <c r="N187" s="19" t="s">
        <v>1168</v>
      </c>
    </row>
    <row r="188" spans="1:14" ht="20.100000000000001" customHeight="1" x14ac:dyDescent="0.2">
      <c r="A188" s="79" t="str">
        <f>HYPERLINK("#A1", "▲ Back to top")</f>
        <v>▲ Back to top</v>
      </c>
      <c r="D188" s="19" t="s">
        <v>1180</v>
      </c>
      <c r="E188" s="19" t="s">
        <v>2109</v>
      </c>
      <c r="F188" s="19" t="s">
        <v>1792</v>
      </c>
      <c r="G188" s="19" t="str">
        <f>'Constants - Fertiliser'!$D$30</f>
        <v>Phosphorus - Generic</v>
      </c>
      <c r="H188" s="19"/>
      <c r="I188" s="19"/>
      <c r="J188" s="19"/>
      <c r="K188" s="19" t="s">
        <v>2115</v>
      </c>
      <c r="L188" s="19">
        <v>3.96</v>
      </c>
      <c r="M188" s="19" t="s">
        <v>2064</v>
      </c>
      <c r="N188" s="19" t="s">
        <v>1168</v>
      </c>
    </row>
    <row r="189" spans="1:14" ht="20.100000000000001" customHeight="1" x14ac:dyDescent="0.2">
      <c r="D189" s="19" t="s">
        <v>1180</v>
      </c>
      <c r="E189" s="19" t="s">
        <v>2110</v>
      </c>
      <c r="F189" s="19" t="s">
        <v>1792</v>
      </c>
      <c r="G189" s="19" t="str">
        <f>'Constants - Fertiliser'!$D$31</f>
        <v>Potassium - Generic</v>
      </c>
      <c r="H189" s="19"/>
      <c r="I189" s="19"/>
      <c r="J189" s="19"/>
      <c r="K189" s="19" t="s">
        <v>2116</v>
      </c>
      <c r="L189" s="19">
        <v>0.90900000000000003</v>
      </c>
      <c r="M189" s="19" t="s">
        <v>2064</v>
      </c>
      <c r="N189" s="19" t="s">
        <v>1168</v>
      </c>
    </row>
    <row r="190" spans="1:14" ht="20.100000000000001" customHeight="1" x14ac:dyDescent="0.2">
      <c r="D190" s="19" t="s">
        <v>1180</v>
      </c>
      <c r="E190" s="19" t="s">
        <v>2111</v>
      </c>
      <c r="F190" s="19" t="s">
        <v>1792</v>
      </c>
      <c r="G190" s="19" t="str">
        <f>'Constants - Fertiliser'!$D$36</f>
        <v>Single superphosphate (SSP)</v>
      </c>
      <c r="H190" s="19"/>
      <c r="I190" s="19"/>
      <c r="J190" s="19"/>
      <c r="K190" s="19" t="s">
        <v>757</v>
      </c>
      <c r="L190" s="19">
        <v>0.22700000000000001</v>
      </c>
      <c r="M190" s="19" t="s">
        <v>2064</v>
      </c>
      <c r="N190" s="19" t="s">
        <v>1168</v>
      </c>
    </row>
    <row r="191" spans="1:14" ht="20.100000000000001" customHeight="1" x14ac:dyDescent="0.2">
      <c r="D191" s="19" t="s">
        <v>1180</v>
      </c>
      <c r="E191" s="19" t="s">
        <v>2112</v>
      </c>
      <c r="F191" s="19" t="s">
        <v>1792</v>
      </c>
      <c r="G191" s="19" t="str">
        <f>'Constants - Fertiliser'!$D$32</f>
        <v>Sulfur - Generic</v>
      </c>
      <c r="H191" s="19"/>
      <c r="I191" s="19"/>
      <c r="J191" s="19"/>
      <c r="K191" s="19" t="s">
        <v>2117</v>
      </c>
      <c r="L191" s="19">
        <v>2.5</v>
      </c>
      <c r="M191" s="19" t="s">
        <v>2064</v>
      </c>
      <c r="N191" s="19" t="s">
        <v>1168</v>
      </c>
    </row>
    <row r="192" spans="1:14" ht="20.100000000000001" customHeight="1" x14ac:dyDescent="0.2">
      <c r="D192" s="19" t="s">
        <v>1180</v>
      </c>
      <c r="E192" s="19" t="s">
        <v>2113</v>
      </c>
      <c r="F192" s="19" t="s">
        <v>1792</v>
      </c>
      <c r="G192" s="19" t="str">
        <f>'Constants - Fertiliser'!$D$23</f>
        <v>Sulphate of ammonia (SOA)</v>
      </c>
      <c r="H192" s="19"/>
      <c r="I192" s="19"/>
      <c r="J192" s="19"/>
      <c r="K192" s="19" t="s">
        <v>757</v>
      </c>
      <c r="L192" s="19">
        <v>0.86499999999999999</v>
      </c>
      <c r="M192" s="19" t="s">
        <v>2064</v>
      </c>
      <c r="N192" s="19" t="s">
        <v>1168</v>
      </c>
    </row>
    <row r="193" spans="4:14" ht="20.100000000000001" customHeight="1" x14ac:dyDescent="0.2">
      <c r="D193" s="19" t="s">
        <v>1180</v>
      </c>
      <c r="E193" s="19" t="s">
        <v>2114</v>
      </c>
      <c r="F193" s="19" t="s">
        <v>1792</v>
      </c>
      <c r="G193" s="19" t="str">
        <f>'Constants - Fertiliser'!$D$24</f>
        <v>Urea-ammonium nitrate (UAN)</v>
      </c>
      <c r="H193" s="19"/>
      <c r="I193" s="19"/>
      <c r="J193" s="19"/>
      <c r="K193" s="19" t="s">
        <v>757</v>
      </c>
      <c r="L193" s="19">
        <v>1.75</v>
      </c>
      <c r="M193" s="19" t="s">
        <v>2064</v>
      </c>
      <c r="N193" s="19" t="s">
        <v>1168</v>
      </c>
    </row>
    <row r="194" spans="4:14" ht="20.100000000000001" customHeight="1" x14ac:dyDescent="0.2">
      <c r="D194" s="19" t="s">
        <v>1180</v>
      </c>
      <c r="E194" s="19" t="s">
        <v>2119</v>
      </c>
      <c r="F194" s="19" t="s">
        <v>1792</v>
      </c>
      <c r="G194" s="19" t="str">
        <f>'Constants - Fertiliser'!$D$22</f>
        <v>Urea</v>
      </c>
      <c r="H194" s="19" t="str">
        <f>'Constants - Fertiliser'!$V$20</f>
        <v>Global</v>
      </c>
      <c r="I194" s="19"/>
      <c r="J194" s="19"/>
      <c r="K194" s="19" t="s">
        <v>757</v>
      </c>
      <c r="L194" s="19">
        <v>0.96799999999999997</v>
      </c>
      <c r="M194" s="19" t="s">
        <v>2064</v>
      </c>
      <c r="N194" s="19" t="s">
        <v>1168</v>
      </c>
    </row>
    <row r="195" spans="4:14" ht="20.100000000000001" customHeight="1" x14ac:dyDescent="0.2">
      <c r="D195" s="19" t="s">
        <v>1180</v>
      </c>
      <c r="E195" s="19" t="s">
        <v>2120</v>
      </c>
      <c r="F195" s="19" t="s">
        <v>1793</v>
      </c>
      <c r="G195" s="19" t="str">
        <f>'Constants - Fertiliser'!$D$22</f>
        <v>Urea</v>
      </c>
      <c r="H195" s="19" t="str">
        <f>'Constants - Fertiliser'!$V$21</f>
        <v>Canada</v>
      </c>
      <c r="I195" s="19"/>
      <c r="J195" s="19"/>
      <c r="K195" s="19" t="s">
        <v>757</v>
      </c>
      <c r="L195" s="19">
        <v>0.82299999999999995</v>
      </c>
      <c r="M195" s="19" t="s">
        <v>2064</v>
      </c>
      <c r="N195" s="19" t="s">
        <v>1168</v>
      </c>
    </row>
    <row r="196" spans="4:14" ht="20.100000000000001" customHeight="1" x14ac:dyDescent="0.2">
      <c r="D196" s="19" t="s">
        <v>1180</v>
      </c>
      <c r="E196" s="19" t="s">
        <v>2121</v>
      </c>
      <c r="F196" s="19" t="s">
        <v>1794</v>
      </c>
      <c r="G196" s="19" t="str">
        <f>'Constants - Fertiliser'!$D$22</f>
        <v>Urea</v>
      </c>
      <c r="H196" s="19" t="str">
        <f>'Constants - Fertiliser'!$V$22</f>
        <v>China</v>
      </c>
      <c r="I196" s="19"/>
      <c r="J196" s="19"/>
      <c r="K196" s="19" t="s">
        <v>757</v>
      </c>
      <c r="L196" s="19">
        <v>2.09</v>
      </c>
      <c r="M196" s="19" t="s">
        <v>2064</v>
      </c>
      <c r="N196" s="19" t="s">
        <v>1168</v>
      </c>
    </row>
    <row r="197" spans="4:14" ht="20.100000000000001" customHeight="1" x14ac:dyDescent="0.2">
      <c r="D197" s="19" t="s">
        <v>1180</v>
      </c>
      <c r="E197" s="19" t="s">
        <v>2122</v>
      </c>
      <c r="F197" s="19" t="s">
        <v>1795</v>
      </c>
      <c r="G197" s="19" t="str">
        <f>'Constants - Fertiliser'!$D$22</f>
        <v>Urea</v>
      </c>
      <c r="H197" s="19" t="str">
        <f>'Constants - Fertiliser'!$V$23</f>
        <v>Yemen</v>
      </c>
      <c r="I197" s="19"/>
      <c r="J197" s="19"/>
      <c r="K197" s="19" t="s">
        <v>757</v>
      </c>
      <c r="L197" s="19">
        <v>0.96299999999999997</v>
      </c>
      <c r="M197" s="19" t="s">
        <v>2064</v>
      </c>
      <c r="N197" s="19" t="s">
        <v>1168</v>
      </c>
    </row>
    <row r="198" spans="4:14" ht="20.100000000000001" customHeight="1" x14ac:dyDescent="0.2">
      <c r="D198" s="19" t="s">
        <v>1180</v>
      </c>
      <c r="E198" s="19" t="s">
        <v>2123</v>
      </c>
      <c r="F198" s="19" t="s">
        <v>1792</v>
      </c>
      <c r="G198" s="19" t="str">
        <f>'Constants - Fertiliser'!$D$33</f>
        <v>Zinc - Generic</v>
      </c>
      <c r="H198" s="19"/>
      <c r="I198" s="19"/>
      <c r="J198" s="19"/>
      <c r="K198" s="19" t="s">
        <v>2118</v>
      </c>
      <c r="L198" s="19">
        <v>4.82</v>
      </c>
      <c r="M198" s="19" t="s">
        <v>2064</v>
      </c>
      <c r="N198" s="19" t="s">
        <v>1168</v>
      </c>
    </row>
    <row r="200" spans="4:14" ht="20.100000000000001" customHeight="1" x14ac:dyDescent="0.2">
      <c r="D200" s="2" t="s">
        <v>1182</v>
      </c>
    </row>
    <row r="201" spans="4:14" ht="20.100000000000001" customHeight="1" x14ac:dyDescent="0.2">
      <c r="D201" s="19" t="s">
        <v>1161</v>
      </c>
      <c r="E201" s="19" t="s">
        <v>132</v>
      </c>
      <c r="F201" s="19" t="s">
        <v>1162</v>
      </c>
      <c r="G201" s="19" t="s">
        <v>1163</v>
      </c>
      <c r="H201" s="19" t="s">
        <v>1164</v>
      </c>
      <c r="I201" s="19" t="s">
        <v>1165</v>
      </c>
      <c r="J201" s="19" t="s">
        <v>569</v>
      </c>
    </row>
    <row r="202" spans="4:14" ht="20.100000000000001" customHeight="1" x14ac:dyDescent="0.2">
      <c r="D202" s="19" t="s">
        <v>300</v>
      </c>
      <c r="E202" s="19" t="s">
        <v>2124</v>
      </c>
      <c r="F202" s="19" t="s">
        <v>990</v>
      </c>
      <c r="G202" s="19" t="s">
        <v>1560</v>
      </c>
      <c r="H202" s="19">
        <v>4.24E-2</v>
      </c>
      <c r="I202" s="19" t="s">
        <v>2064</v>
      </c>
      <c r="J202" s="19" t="s">
        <v>1168</v>
      </c>
    </row>
    <row r="203" spans="4:14" ht="20.100000000000001" customHeight="1" x14ac:dyDescent="0.2">
      <c r="D203" s="19" t="s">
        <v>300</v>
      </c>
      <c r="E203" s="19" t="s">
        <v>2125</v>
      </c>
      <c r="F203" s="19" t="s">
        <v>990</v>
      </c>
      <c r="G203" s="19" t="s">
        <v>1560</v>
      </c>
      <c r="H203" s="19">
        <v>2.93E-2</v>
      </c>
      <c r="I203" s="19" t="s">
        <v>2064</v>
      </c>
      <c r="J203" s="19" t="s">
        <v>1168</v>
      </c>
    </row>
    <row r="204" spans="4:14" ht="20.100000000000001" customHeight="1" x14ac:dyDescent="0.2">
      <c r="D204" s="19" t="s">
        <v>300</v>
      </c>
      <c r="E204" s="19" t="s">
        <v>2126</v>
      </c>
      <c r="F204" s="19" t="s">
        <v>990</v>
      </c>
      <c r="G204" s="19" t="s">
        <v>757</v>
      </c>
      <c r="H204" s="19">
        <v>0.23899999999999999</v>
      </c>
      <c r="I204" s="19" t="s">
        <v>2064</v>
      </c>
      <c r="J204" s="19" t="s">
        <v>1168</v>
      </c>
    </row>
    <row r="205" spans="4:14" ht="20.100000000000001" customHeight="1" x14ac:dyDescent="0.2">
      <c r="D205" s="19" t="s">
        <v>300</v>
      </c>
      <c r="E205" s="19" t="s">
        <v>2127</v>
      </c>
      <c r="F205" s="19" t="s">
        <v>990</v>
      </c>
      <c r="G205" s="19" t="s">
        <v>757</v>
      </c>
      <c r="H205" s="19">
        <v>0.18099999999999999</v>
      </c>
      <c r="I205" s="19" t="s">
        <v>2064</v>
      </c>
      <c r="J205" s="19" t="s">
        <v>1168</v>
      </c>
    </row>
    <row r="206" spans="4:14" ht="20.100000000000001" customHeight="1" x14ac:dyDescent="0.2">
      <c r="D206" s="19" t="s">
        <v>300</v>
      </c>
      <c r="E206" s="19" t="s">
        <v>2128</v>
      </c>
      <c r="F206" s="19" t="s">
        <v>1792</v>
      </c>
      <c r="G206" s="19" t="s">
        <v>757</v>
      </c>
      <c r="H206" s="19">
        <v>9.81</v>
      </c>
      <c r="I206" s="19" t="s">
        <v>2064</v>
      </c>
      <c r="J206" s="19" t="s">
        <v>1168</v>
      </c>
    </row>
    <row r="207" spans="4:14" ht="20.100000000000001" customHeight="1" x14ac:dyDescent="0.2">
      <c r="D207" s="19" t="s">
        <v>300</v>
      </c>
      <c r="E207" s="19" t="s">
        <v>2129</v>
      </c>
      <c r="F207" s="19" t="s">
        <v>990</v>
      </c>
      <c r="G207" s="19" t="s">
        <v>757</v>
      </c>
      <c r="H207" s="19">
        <v>0.27</v>
      </c>
      <c r="I207" s="19" t="s">
        <v>2064</v>
      </c>
      <c r="J207" s="19" t="s">
        <v>1168</v>
      </c>
    </row>
    <row r="208" spans="4:14" ht="20.100000000000001" customHeight="1" x14ac:dyDescent="0.2">
      <c r="D208" s="19" t="s">
        <v>300</v>
      </c>
      <c r="E208" s="19" t="s">
        <v>2130</v>
      </c>
      <c r="F208" s="19" t="s">
        <v>990</v>
      </c>
      <c r="G208" s="19" t="s">
        <v>757</v>
      </c>
      <c r="H208" s="19">
        <v>0.23200000000000001</v>
      </c>
      <c r="I208" s="19" t="s">
        <v>2064</v>
      </c>
      <c r="J208" s="19" t="s">
        <v>1168</v>
      </c>
    </row>
    <row r="209" spans="1:10" ht="20.100000000000001" customHeight="1" x14ac:dyDescent="0.2">
      <c r="D209" s="19" t="s">
        <v>300</v>
      </c>
      <c r="E209" s="19" t="s">
        <v>2131</v>
      </c>
      <c r="F209" s="19" t="s">
        <v>990</v>
      </c>
      <c r="G209" s="19" t="s">
        <v>757</v>
      </c>
      <c r="H209" s="19">
        <v>0.26800000000000002</v>
      </c>
      <c r="I209" s="19" t="s">
        <v>2064</v>
      </c>
      <c r="J209" s="19" t="s">
        <v>1168</v>
      </c>
    </row>
    <row r="211" spans="1:10" ht="20.100000000000001" customHeight="1" x14ac:dyDescent="0.2">
      <c r="D211" s="2" t="s">
        <v>1183</v>
      </c>
    </row>
    <row r="212" spans="1:10" ht="20.100000000000001" customHeight="1" x14ac:dyDescent="0.2">
      <c r="D212" s="19" t="s">
        <v>1161</v>
      </c>
      <c r="E212" s="19" t="s">
        <v>132</v>
      </c>
      <c r="F212" s="19" t="s">
        <v>1162</v>
      </c>
      <c r="G212" s="19" t="s">
        <v>1163</v>
      </c>
      <c r="H212" s="19" t="s">
        <v>1164</v>
      </c>
      <c r="I212" s="19" t="s">
        <v>1165</v>
      </c>
      <c r="J212" s="19" t="s">
        <v>569</v>
      </c>
    </row>
    <row r="213" spans="1:10" ht="20.100000000000001" customHeight="1" x14ac:dyDescent="0.2">
      <c r="D213" s="19" t="s">
        <v>1183</v>
      </c>
      <c r="E213" s="19" t="s">
        <v>2132</v>
      </c>
      <c r="F213" s="19" t="s">
        <v>1792</v>
      </c>
      <c r="G213" s="19" t="s">
        <v>757</v>
      </c>
      <c r="H213" s="19">
        <v>1.05</v>
      </c>
      <c r="I213" s="19" t="s">
        <v>2072</v>
      </c>
      <c r="J213" s="19" t="s">
        <v>1168</v>
      </c>
    </row>
    <row r="214" spans="1:10" ht="20.100000000000001" customHeight="1" x14ac:dyDescent="0.2">
      <c r="D214" s="19" t="s">
        <v>1183</v>
      </c>
      <c r="E214" s="19" t="s">
        <v>2133</v>
      </c>
      <c r="F214" s="19" t="s">
        <v>1792</v>
      </c>
      <c r="G214" s="19" t="s">
        <v>1560</v>
      </c>
      <c r="H214" s="19">
        <v>3.99</v>
      </c>
      <c r="I214" s="19" t="s">
        <v>2072</v>
      </c>
      <c r="J214" s="19" t="s">
        <v>1168</v>
      </c>
    </row>
    <row r="215" spans="1:10" ht="20.100000000000001" customHeight="1" x14ac:dyDescent="0.2">
      <c r="D215" s="19" t="s">
        <v>1183</v>
      </c>
      <c r="E215" s="19" t="s">
        <v>2134</v>
      </c>
      <c r="F215" s="19" t="s">
        <v>1792</v>
      </c>
      <c r="G215" s="19" t="s">
        <v>757</v>
      </c>
      <c r="H215" s="19">
        <v>3.44</v>
      </c>
      <c r="I215" s="19" t="s">
        <v>2072</v>
      </c>
      <c r="J215" s="19" t="s">
        <v>1168</v>
      </c>
    </row>
    <row r="216" spans="1:10" ht="20.100000000000001" customHeight="1" x14ac:dyDescent="0.2">
      <c r="D216" s="19" t="s">
        <v>1183</v>
      </c>
      <c r="E216" s="19" t="s">
        <v>2135</v>
      </c>
      <c r="F216" s="19" t="s">
        <v>1792</v>
      </c>
      <c r="G216" s="19" t="s">
        <v>757</v>
      </c>
      <c r="H216" s="19">
        <v>3.72</v>
      </c>
      <c r="I216" s="19" t="s">
        <v>2072</v>
      </c>
      <c r="J216" s="19" t="s">
        <v>1168</v>
      </c>
    </row>
    <row r="218" spans="1:10" ht="20.100000000000001" customHeight="1" x14ac:dyDescent="0.2">
      <c r="A218" s="79" t="str">
        <f>HYPERLINK("#A1", "▲ Back to top")</f>
        <v>▲ Back to top</v>
      </c>
      <c r="D218" s="2" t="s">
        <v>1184</v>
      </c>
    </row>
    <row r="219" spans="1:10" ht="20.100000000000001" customHeight="1" x14ac:dyDescent="0.2">
      <c r="D219" s="19" t="s">
        <v>1161</v>
      </c>
      <c r="E219" s="19" t="s">
        <v>132</v>
      </c>
      <c r="F219" s="19" t="s">
        <v>1162</v>
      </c>
      <c r="G219" s="19" t="s">
        <v>1163</v>
      </c>
      <c r="H219" s="19" t="s">
        <v>1164</v>
      </c>
      <c r="I219" s="19" t="s">
        <v>1165</v>
      </c>
      <c r="J219" s="19" t="s">
        <v>569</v>
      </c>
    </row>
    <row r="220" spans="1:10" ht="20.100000000000001" customHeight="1" x14ac:dyDescent="0.2">
      <c r="D220" s="19" t="s">
        <v>1184</v>
      </c>
      <c r="E220" s="19" t="s">
        <v>2136</v>
      </c>
      <c r="F220" s="19" t="s">
        <v>1792</v>
      </c>
      <c r="G220" s="19" t="s">
        <v>2137</v>
      </c>
      <c r="H220" s="19">
        <v>5.2</v>
      </c>
      <c r="I220" s="19" t="s">
        <v>2064</v>
      </c>
      <c r="J220" s="19" t="s">
        <v>1168</v>
      </c>
    </row>
    <row r="221" spans="1:10" ht="20.100000000000001" customHeight="1" x14ac:dyDescent="0.2">
      <c r="D221" s="19" t="s">
        <v>1184</v>
      </c>
      <c r="E221" s="19" t="s">
        <v>2138</v>
      </c>
      <c r="F221" s="19" t="s">
        <v>1792</v>
      </c>
      <c r="G221" s="19" t="s">
        <v>2137</v>
      </c>
      <c r="H221" s="19">
        <v>8.3800000000000008</v>
      </c>
      <c r="I221" s="19" t="s">
        <v>2064</v>
      </c>
      <c r="J221" s="19" t="s">
        <v>1168</v>
      </c>
    </row>
    <row r="222" spans="1:10" ht="20.100000000000001" customHeight="1" x14ac:dyDescent="0.2">
      <c r="D222" s="19" t="s">
        <v>1184</v>
      </c>
      <c r="E222" s="19" t="s">
        <v>2139</v>
      </c>
      <c r="F222" s="19" t="s">
        <v>1792</v>
      </c>
      <c r="G222" s="19" t="s">
        <v>2137</v>
      </c>
      <c r="H222" s="19">
        <v>8.8000000000000007</v>
      </c>
      <c r="I222" s="19" t="s">
        <v>2064</v>
      </c>
      <c r="J222" s="19" t="s">
        <v>1168</v>
      </c>
    </row>
    <row r="223" spans="1:10" ht="20.100000000000001" customHeight="1" x14ac:dyDescent="0.2">
      <c r="D223" s="19" t="s">
        <v>1184</v>
      </c>
      <c r="E223" s="19" t="s">
        <v>2140</v>
      </c>
      <c r="F223" s="19" t="s">
        <v>1792</v>
      </c>
      <c r="G223" s="19" t="s">
        <v>2137</v>
      </c>
      <c r="H223" s="19">
        <v>10.3</v>
      </c>
      <c r="I223" s="19" t="s">
        <v>2064</v>
      </c>
      <c r="J223" s="19" t="s">
        <v>1168</v>
      </c>
    </row>
    <row r="224" spans="1:10" ht="20.100000000000001" customHeight="1" x14ac:dyDescent="0.2">
      <c r="D224" s="19" t="s">
        <v>1184</v>
      </c>
      <c r="E224" s="19" t="s">
        <v>2141</v>
      </c>
      <c r="F224" s="19" t="s">
        <v>1792</v>
      </c>
      <c r="G224" s="19" t="s">
        <v>2137</v>
      </c>
      <c r="H224" s="19">
        <v>4.55</v>
      </c>
      <c r="I224" s="19" t="s">
        <v>2064</v>
      </c>
      <c r="J224" s="19" t="s">
        <v>1168</v>
      </c>
    </row>
    <row r="225" spans="4:10" ht="20.100000000000001" customHeight="1" x14ac:dyDescent="0.2">
      <c r="D225" s="19" t="s">
        <v>1184</v>
      </c>
      <c r="E225" s="19" t="s">
        <v>2142</v>
      </c>
      <c r="F225" s="19" t="s">
        <v>1792</v>
      </c>
      <c r="G225" s="19" t="s">
        <v>2137</v>
      </c>
      <c r="H225" s="19">
        <v>5.6</v>
      </c>
      <c r="I225" s="19" t="s">
        <v>2064</v>
      </c>
      <c r="J225" s="19" t="s">
        <v>1168</v>
      </c>
    </row>
    <row r="226" spans="4:10" ht="20.100000000000001" customHeight="1" x14ac:dyDescent="0.2">
      <c r="D226" s="19" t="s">
        <v>1184</v>
      </c>
      <c r="E226" s="19" t="s">
        <v>2143</v>
      </c>
      <c r="F226" s="19" t="s">
        <v>1792</v>
      </c>
      <c r="G226" s="19" t="s">
        <v>2137</v>
      </c>
      <c r="H226" s="19">
        <v>8.06</v>
      </c>
      <c r="I226" s="19" t="s">
        <v>2064</v>
      </c>
      <c r="J226" s="19" t="s">
        <v>1168</v>
      </c>
    </row>
    <row r="227" spans="4:10" ht="20.100000000000001" customHeight="1" x14ac:dyDescent="0.2">
      <c r="D227" s="19" t="s">
        <v>1184</v>
      </c>
      <c r="E227" s="19" t="s">
        <v>2144</v>
      </c>
      <c r="F227" s="19" t="s">
        <v>1792</v>
      </c>
      <c r="G227" s="19" t="s">
        <v>2137</v>
      </c>
      <c r="H227" s="19">
        <v>8.8000000000000007</v>
      </c>
      <c r="I227" s="19" t="s">
        <v>2064</v>
      </c>
      <c r="J227" s="19" t="s">
        <v>1168</v>
      </c>
    </row>
    <row r="228" spans="4:10" ht="20.100000000000001" customHeight="1" x14ac:dyDescent="0.2">
      <c r="D228" s="19" t="s">
        <v>1184</v>
      </c>
      <c r="E228" s="19" t="s">
        <v>2145</v>
      </c>
      <c r="F228" s="19" t="s">
        <v>1792</v>
      </c>
      <c r="G228" s="19" t="s">
        <v>2137</v>
      </c>
      <c r="H228" s="19">
        <v>9.16</v>
      </c>
      <c r="I228" s="19" t="s">
        <v>2064</v>
      </c>
      <c r="J228" s="19" t="s">
        <v>1168</v>
      </c>
    </row>
    <row r="229" spans="4:10" ht="20.100000000000001" customHeight="1" x14ac:dyDescent="0.2">
      <c r="D229" s="19" t="s">
        <v>1184</v>
      </c>
      <c r="E229" s="19" t="s">
        <v>2146</v>
      </c>
      <c r="F229" s="19" t="s">
        <v>1792</v>
      </c>
      <c r="G229" s="19" t="s">
        <v>2137</v>
      </c>
      <c r="H229" s="19">
        <v>8.57</v>
      </c>
      <c r="I229" s="19" t="s">
        <v>2064</v>
      </c>
      <c r="J229" s="19" t="s">
        <v>1168</v>
      </c>
    </row>
    <row r="230" spans="4:10" ht="20.100000000000001" customHeight="1" x14ac:dyDescent="0.2">
      <c r="D230" s="19" t="s">
        <v>1184</v>
      </c>
      <c r="E230" s="19" t="s">
        <v>2147</v>
      </c>
      <c r="F230" s="19" t="s">
        <v>1792</v>
      </c>
      <c r="G230" s="19" t="s">
        <v>2137</v>
      </c>
      <c r="H230" s="19">
        <v>8.8000000000000007</v>
      </c>
      <c r="I230" s="19" t="s">
        <v>2064</v>
      </c>
      <c r="J230" s="19" t="s">
        <v>1168</v>
      </c>
    </row>
    <row r="231" spans="4:10" ht="20.100000000000001" customHeight="1" x14ac:dyDescent="0.2">
      <c r="D231" s="19" t="s">
        <v>1184</v>
      </c>
      <c r="E231" s="19" t="s">
        <v>2148</v>
      </c>
      <c r="F231" s="19" t="s">
        <v>1792</v>
      </c>
      <c r="G231" s="19" t="s">
        <v>2137</v>
      </c>
      <c r="H231" s="19">
        <v>6.16</v>
      </c>
      <c r="I231" s="19" t="s">
        <v>2064</v>
      </c>
      <c r="J231" s="19" t="s">
        <v>1168</v>
      </c>
    </row>
    <row r="233" spans="4:10" ht="20.100000000000001" customHeight="1" x14ac:dyDescent="0.2">
      <c r="D233" s="2" t="s">
        <v>1185</v>
      </c>
    </row>
    <row r="234" spans="4:10" ht="20.100000000000001" customHeight="1" x14ac:dyDescent="0.2">
      <c r="D234" s="19" t="s">
        <v>1161</v>
      </c>
      <c r="E234" s="19" t="s">
        <v>132</v>
      </c>
      <c r="F234" s="19" t="s">
        <v>1162</v>
      </c>
      <c r="G234" s="19" t="s">
        <v>1163</v>
      </c>
      <c r="H234" s="19" t="s">
        <v>1164</v>
      </c>
      <c r="I234" s="19" t="s">
        <v>1165</v>
      </c>
      <c r="J234" s="19" t="s">
        <v>569</v>
      </c>
    </row>
    <row r="235" spans="4:10" ht="20.100000000000001" customHeight="1" x14ac:dyDescent="0.2">
      <c r="D235" s="19" t="s">
        <v>1185</v>
      </c>
      <c r="E235" s="19" t="s">
        <v>2149</v>
      </c>
      <c r="F235" s="19" t="s">
        <v>990</v>
      </c>
      <c r="G235" s="19" t="s">
        <v>757</v>
      </c>
      <c r="H235" s="19">
        <v>6.5199999999999994E-2</v>
      </c>
      <c r="I235" s="19" t="s">
        <v>2064</v>
      </c>
      <c r="J235" s="19" t="s">
        <v>1168</v>
      </c>
    </row>
    <row r="236" spans="4:10" ht="20.100000000000001" customHeight="1" x14ac:dyDescent="0.2">
      <c r="D236" s="19" t="s">
        <v>1185</v>
      </c>
      <c r="E236" s="19" t="s">
        <v>1806</v>
      </c>
      <c r="F236" s="19" t="s">
        <v>990</v>
      </c>
      <c r="G236" s="19" t="s">
        <v>757</v>
      </c>
      <c r="H236" s="19">
        <v>6.5199999999999994E-2</v>
      </c>
      <c r="I236" s="19" t="s">
        <v>2064</v>
      </c>
      <c r="J236" s="19" t="s">
        <v>1168</v>
      </c>
    </row>
    <row r="237" spans="4:10" ht="20.100000000000001" customHeight="1" x14ac:dyDescent="0.2">
      <c r="D237" s="19" t="s">
        <v>1185</v>
      </c>
      <c r="E237" s="19" t="s">
        <v>2150</v>
      </c>
      <c r="F237" s="19" t="s">
        <v>990</v>
      </c>
      <c r="G237" s="19" t="s">
        <v>757</v>
      </c>
      <c r="H237" s="19">
        <v>4.8500000000000001E-2</v>
      </c>
      <c r="I237" s="19" t="s">
        <v>2064</v>
      </c>
      <c r="J237" s="19" t="s">
        <v>1168</v>
      </c>
    </row>
    <row r="240" spans="4:10" ht="20.100000000000001" customHeight="1" x14ac:dyDescent="0.2">
      <c r="D240" s="2" t="s">
        <v>1186</v>
      </c>
    </row>
    <row r="241" spans="4:18" ht="20.100000000000001" customHeight="1" x14ac:dyDescent="0.2">
      <c r="D241" s="19" t="s">
        <v>1161</v>
      </c>
      <c r="E241" s="19" t="s">
        <v>132</v>
      </c>
      <c r="F241" s="19" t="s">
        <v>1162</v>
      </c>
      <c r="G241" s="19" t="s">
        <v>1163</v>
      </c>
      <c r="H241" s="19" t="s">
        <v>1164</v>
      </c>
      <c r="I241" s="19" t="s">
        <v>1165</v>
      </c>
      <c r="J241" s="19" t="s">
        <v>569</v>
      </c>
      <c r="L241" s="19" t="s">
        <v>132</v>
      </c>
      <c r="M241" s="19" t="s">
        <v>1166</v>
      </c>
      <c r="N241" s="1" t="str">
        <f>"Table_ProductRegions_" &amp; SUBSTITUTE(SUBSTITUTE(SUBSTITUTE(SUBSTITUTE(L242, " ", ""), ",", ""), "(", ""), ")", "")</f>
        <v>Table_ProductRegions_Sardineswhole</v>
      </c>
      <c r="R241" s="1"/>
    </row>
    <row r="242" spans="4:18" ht="20.100000000000001" customHeight="1" x14ac:dyDescent="0.2">
      <c r="D242" s="19" t="s">
        <v>2151</v>
      </c>
      <c r="E242" s="19" t="s">
        <v>2152</v>
      </c>
      <c r="F242" s="19" t="s">
        <v>526</v>
      </c>
      <c r="G242" s="19" t="s">
        <v>757</v>
      </c>
      <c r="H242" s="19">
        <v>0.376</v>
      </c>
      <c r="I242" s="19" t="s">
        <v>2064</v>
      </c>
      <c r="J242" s="19" t="s">
        <v>1168</v>
      </c>
      <c r="L242" s="19" t="str">
        <f>Table_SourceData_Scope3_FishFeedAndBait[[#This Row],[Product]]</f>
        <v>Sardines (whole)</v>
      </c>
      <c r="M242" s="19" t="str">
        <f>Table_SourceData_Scope3_FishFeedAndBait[[#This Row],[Region of origin]]</f>
        <v>SA</v>
      </c>
      <c r="R242" s="1"/>
    </row>
    <row r="243" spans="4:18" ht="20.100000000000001" customHeight="1" x14ac:dyDescent="0.2">
      <c r="D243" s="19" t="s">
        <v>1186</v>
      </c>
      <c r="E243" s="19" t="s">
        <v>2152</v>
      </c>
      <c r="F243" s="19" t="s">
        <v>990</v>
      </c>
      <c r="G243" s="19" t="s">
        <v>757</v>
      </c>
      <c r="H243" s="19">
        <v>0.3</v>
      </c>
      <c r="I243" s="19" t="s">
        <v>2153</v>
      </c>
      <c r="J243" s="19" t="s">
        <v>1187</v>
      </c>
      <c r="L243" s="1" t="str">
        <f>Table_SourceData_Scope3_FishFeedAndBait[[#This Row],[Product]]</f>
        <v>Sardines (whole)</v>
      </c>
      <c r="M243" s="1" t="str">
        <f>Table_SourceData_Scope3_FishFeedAndBait[[#This Row],[Region of origin]]</f>
        <v>Australia</v>
      </c>
      <c r="R243" s="1"/>
    </row>
    <row r="244" spans="4:18" ht="20.100000000000001" customHeight="1" x14ac:dyDescent="0.2">
      <c r="D244" s="19" t="s">
        <v>1186</v>
      </c>
      <c r="E244" s="19" t="s">
        <v>2154</v>
      </c>
      <c r="F244" s="19" t="s">
        <v>990</v>
      </c>
      <c r="G244" s="19" t="s">
        <v>757</v>
      </c>
      <c r="H244" s="19">
        <v>2.2000000000000002</v>
      </c>
      <c r="I244" s="19" t="s">
        <v>2153</v>
      </c>
      <c r="J244" s="19" t="s">
        <v>1187</v>
      </c>
      <c r="R244" s="1"/>
    </row>
    <row r="245" spans="4:18" ht="20.100000000000001" customHeight="1" x14ac:dyDescent="0.2">
      <c r="D245" s="19" t="s">
        <v>1186</v>
      </c>
      <c r="E245" s="19" t="s">
        <v>2155</v>
      </c>
      <c r="F245" s="19" t="s">
        <v>990</v>
      </c>
      <c r="G245" s="19" t="s">
        <v>757</v>
      </c>
      <c r="H245" s="19">
        <v>0.3</v>
      </c>
      <c r="I245" s="19" t="s">
        <v>2153</v>
      </c>
      <c r="J245" s="19" t="s">
        <v>1187</v>
      </c>
      <c r="R245" s="1"/>
    </row>
    <row r="246" spans="4:18" ht="20.100000000000001" customHeight="1" x14ac:dyDescent="0.2">
      <c r="D246" s="19" t="s">
        <v>1186</v>
      </c>
      <c r="E246" s="19" t="s">
        <v>2156</v>
      </c>
      <c r="F246" s="19" t="s">
        <v>990</v>
      </c>
      <c r="G246" s="19" t="s">
        <v>757</v>
      </c>
      <c r="H246" s="19">
        <v>0.3</v>
      </c>
      <c r="I246" s="19" t="s">
        <v>2153</v>
      </c>
      <c r="J246" s="19" t="s">
        <v>1187</v>
      </c>
      <c r="R246" s="1"/>
    </row>
    <row r="247" spans="4:18" ht="20.100000000000001" customHeight="1" x14ac:dyDescent="0.2">
      <c r="D247" s="19" t="s">
        <v>1186</v>
      </c>
      <c r="E247" s="19" t="s">
        <v>2157</v>
      </c>
      <c r="F247" s="19" t="s">
        <v>990</v>
      </c>
      <c r="G247" s="19" t="s">
        <v>757</v>
      </c>
      <c r="H247" s="19">
        <v>0.08</v>
      </c>
      <c r="I247" s="19" t="s">
        <v>2153</v>
      </c>
      <c r="J247" s="19" t="s">
        <v>1187</v>
      </c>
    </row>
  </sheetData>
  <pageMargins left="0.7" right="0.7" top="0.75" bottom="0.75" header="0.3" footer="0.3"/>
  <tableParts count="3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93874-BCC3-4337-B734-0C3B6138BCF5}">
  <sheetPr>
    <tabColor theme="2" tint="-0.499984740745262"/>
  </sheetPr>
  <dimension ref="A1:AI68"/>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0" customFormat="1" ht="30" customHeight="1" x14ac:dyDescent="0.35">
      <c r="A1" s="10" t="e" vm="1">
        <v>#VALUE!</v>
      </c>
      <c r="C1" s="20" t="s">
        <v>930</v>
      </c>
      <c r="AG1"/>
      <c r="AH1"/>
      <c r="AI1"/>
    </row>
    <row r="2" spans="1:35" s="3" customFormat="1" ht="20.100000000000001" customHeight="1" x14ac:dyDescent="0.2">
      <c r="A2"/>
      <c r="AG2"/>
      <c r="AH2"/>
      <c r="AI2"/>
    </row>
    <row r="3" spans="1:35"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
        <v>2158</v>
      </c>
    </row>
    <row r="6" spans="1:35" ht="20.100000000000001" customHeight="1" x14ac:dyDescent="0.2">
      <c r="D6" s="17" t="s">
        <v>2159</v>
      </c>
    </row>
    <row r="7" spans="1:35" ht="20.100000000000001" customHeight="1" x14ac:dyDescent="0.2">
      <c r="D7" s="25" t="s">
        <v>1679</v>
      </c>
    </row>
    <row r="8" spans="1:35" ht="20.100000000000001" customHeight="1" x14ac:dyDescent="0.2">
      <c r="A8" s="7" t="s">
        <v>0</v>
      </c>
      <c r="D8" s="25" t="s">
        <v>2160</v>
      </c>
    </row>
    <row r="9" spans="1:35" ht="20.100000000000001" customHeight="1" x14ac:dyDescent="0.2">
      <c r="A9" s="5" t="str">
        <f>HYPERLINK("#'Input - Enterprise'!A1", "Enterprise")</f>
        <v>Enterprise</v>
      </c>
      <c r="D9" s="25" t="s">
        <v>2161</v>
      </c>
    </row>
    <row r="10" spans="1:35" ht="20.100000000000001" customHeight="1" x14ac:dyDescent="0.2">
      <c r="A10" s="5" t="str">
        <f>HYPERLINK("#'Input - Site'!A1", "Site")</f>
        <v>Site</v>
      </c>
      <c r="D10" s="25" t="s">
        <v>2162</v>
      </c>
    </row>
    <row r="11" spans="1:35" ht="20.100000000000001" customHeight="1" x14ac:dyDescent="0.2">
      <c r="A11" s="5" t="str">
        <f>HYPERLINK("#'Input - Poultry'!A1", "Poultry")</f>
        <v>Poultry</v>
      </c>
      <c r="D11" s="25" t="s">
        <v>2163</v>
      </c>
    </row>
    <row r="12" spans="1:35" ht="20.100000000000001" customHeight="1" x14ac:dyDescent="0.2">
      <c r="A12" s="5" t="str">
        <f>HYPERLINK("#'Input - Livestock sales'!A1", "Livestock sales")</f>
        <v>Livestock sales</v>
      </c>
      <c r="D12" s="25" t="s">
        <v>2164</v>
      </c>
    </row>
    <row r="13" spans="1:35" ht="20.100000000000001" customHeight="1" x14ac:dyDescent="0.2">
      <c r="A13" s="5" t="str">
        <f>HYPERLINK("#'Input - Poultry purchases'!A1", "Poultry purchases")</f>
        <v>Poultry purchases</v>
      </c>
      <c r="D13" s="25" t="s">
        <v>2165</v>
      </c>
    </row>
    <row r="14" spans="1:35" ht="20.100000000000001" customHeight="1" x14ac:dyDescent="0.2">
      <c r="A14" s="5" t="str">
        <f>HYPERLINK("#'Input - Fuel'!A1", "Fuel")</f>
        <v>Fuel</v>
      </c>
      <c r="D14" s="1" t="s">
        <v>937</v>
      </c>
    </row>
    <row r="15" spans="1:35" ht="20.100000000000001" customHeight="1" x14ac:dyDescent="0.2">
      <c r="A15" s="5" t="str">
        <f>HYPERLINK("#'Input - Electricity'!A1", "Electricity")</f>
        <v>Electricity</v>
      </c>
      <c r="D15" s="9" t="s">
        <v>2166</v>
      </c>
      <c r="I15" s="1" t="s">
        <v>931</v>
      </c>
      <c r="K15" s="1" t="s">
        <v>932</v>
      </c>
      <c r="M15" s="1" t="s">
        <v>933</v>
      </c>
      <c r="O15" s="1" t="s">
        <v>934</v>
      </c>
    </row>
    <row r="16" spans="1:35" ht="20.100000000000001" customHeight="1" x14ac:dyDescent="0.2">
      <c r="A16" s="5" t="str">
        <f>HYPERLINK("#'Input - Common farm inputs'!A1", "Common farm inputs")</f>
        <v>Common farm inputs</v>
      </c>
      <c r="D16" s="19" t="s">
        <v>935</v>
      </c>
      <c r="E16" s="19" t="s">
        <v>936</v>
      </c>
      <c r="F16" s="19" t="s">
        <v>937</v>
      </c>
      <c r="G16" s="19" t="s">
        <v>938</v>
      </c>
      <c r="I16" s="19" t="s">
        <v>936</v>
      </c>
      <c r="K16" s="237" t="s">
        <v>936</v>
      </c>
      <c r="M16" s="237" t="s">
        <v>936</v>
      </c>
      <c r="O16" s="237" t="s">
        <v>936</v>
      </c>
    </row>
    <row r="17" spans="1:15" ht="20.100000000000001" customHeight="1" x14ac:dyDescent="0.2">
      <c r="A17" s="5" t="str">
        <f>HYPERLINK("#'Input - Livestock farm Inputs'!A1", "Livestock farm Inputs")</f>
        <v>Livestock farm Inputs</v>
      </c>
      <c r="D17" s="19" t="s">
        <v>891</v>
      </c>
      <c r="E17" s="19" t="s">
        <v>888</v>
      </c>
      <c r="F17" s="19">
        <v>2.1</v>
      </c>
      <c r="G17" s="19" t="s">
        <v>2167</v>
      </c>
      <c r="I17" s="19" t="str">
        <f>Table_SourceData_WasteSolid_WasteTreatmentEFs[[#This Row],[Waste type w]]</f>
        <v>Food waste (including animal carcasses, spoiled animal feed or crop)</v>
      </c>
      <c r="K17" s="1" t="str">
        <f t="shared" ref="K17:K26" si="0">E29</f>
        <v>Food waste (including animal carcasses, spoiled animal feed or crop)</v>
      </c>
      <c r="M17" s="1" t="str">
        <f>E40</f>
        <v>Food waste (including animal carcasses, spoiled animal feed or crop)</v>
      </c>
      <c r="O17" s="1" t="str">
        <f>E46</f>
        <v>Food waste (including animal carcasses, spoiled animal feed or crop)</v>
      </c>
    </row>
    <row r="18" spans="1:15" ht="20.100000000000001" customHeight="1" x14ac:dyDescent="0.2">
      <c r="A18" s="5" t="str">
        <f>HYPERLINK("#'Input - Freight'!A1", "Freight")</f>
        <v>Freight</v>
      </c>
      <c r="D18" s="1" t="s">
        <v>891</v>
      </c>
      <c r="E18" s="19" t="s">
        <v>882</v>
      </c>
      <c r="F18" s="19">
        <v>3.3</v>
      </c>
      <c r="G18" s="19" t="s">
        <v>2167</v>
      </c>
      <c r="I18" s="19" t="str">
        <f>Table_SourceData_WasteSolid_WasteTreatmentEFs[[#This Row],[Waste type w]]</f>
        <v>Paper and cardboard</v>
      </c>
      <c r="K18" s="1" t="str">
        <f t="shared" si="0"/>
        <v>Green waste (including crop residues or prunings)</v>
      </c>
      <c r="M18" s="1" t="str">
        <f>E41</f>
        <v>Green waste (including crop residues or prunings)</v>
      </c>
      <c r="O18" s="1" t="str">
        <f>E47</f>
        <v>Green waste (including crop residues or prunings)</v>
      </c>
    </row>
    <row r="19" spans="1:15" ht="20.100000000000001" customHeight="1" x14ac:dyDescent="0.2">
      <c r="A19" s="5" t="str">
        <f>HYPERLINK("#'Input - Solid waste'!A1", "Solid waste")</f>
        <v>Solid waste</v>
      </c>
      <c r="D19" s="1" t="s">
        <v>891</v>
      </c>
      <c r="E19" s="19" t="s">
        <v>900</v>
      </c>
      <c r="F19" s="19">
        <v>1.6</v>
      </c>
      <c r="G19" s="19" t="s">
        <v>2167</v>
      </c>
      <c r="I19" s="19" t="str">
        <f>Table_SourceData_WasteSolid_WasteTreatmentEFs[[#This Row],[Waste type w]]</f>
        <v>Green waste (including crop residues or prunings)</v>
      </c>
      <c r="K19" s="1" t="str">
        <f t="shared" si="0"/>
        <v>Wood</v>
      </c>
      <c r="M19" s="1" t="str">
        <f>E42</f>
        <v>Wood</v>
      </c>
      <c r="O19" s="1" t="str">
        <f>E48</f>
        <v>Wood</v>
      </c>
    </row>
    <row r="20" spans="1:15" ht="20.100000000000001" customHeight="1" x14ac:dyDescent="0.2">
      <c r="A20" s="5" t="str">
        <f>HYPERLINK("#'Input - Manure sent off-site'!A1", "Manure sent off-site")</f>
        <v>Manure sent off-site</v>
      </c>
      <c r="D20" s="1" t="s">
        <v>891</v>
      </c>
      <c r="E20" s="19" t="s">
        <v>2168</v>
      </c>
      <c r="F20" s="19">
        <v>0.7</v>
      </c>
      <c r="G20" s="19" t="s">
        <v>2167</v>
      </c>
      <c r="I20" s="19" t="str">
        <f>Table_SourceData_WasteSolid_WasteTreatmentEFs[[#This Row],[Waste type w]]</f>
        <v>Wood</v>
      </c>
      <c r="K20" s="1" t="str">
        <f t="shared" si="0"/>
        <v>Sludge</v>
      </c>
      <c r="M20" s="1" t="str">
        <f>E43</f>
        <v>Sludge</v>
      </c>
      <c r="O20" s="1" t="str">
        <f>E49</f>
        <v>Sludge</v>
      </c>
    </row>
    <row r="21" spans="1:15" ht="20.100000000000001" customHeight="1" x14ac:dyDescent="0.2">
      <c r="A21" s="5" t="str">
        <f>HYPERLINK("#'Input - Data quality'!A1", "Data quality")</f>
        <v>Data quality</v>
      </c>
      <c r="D21" s="1" t="s">
        <v>891</v>
      </c>
      <c r="E21" s="19" t="s">
        <v>2169</v>
      </c>
      <c r="F21" s="19">
        <v>2</v>
      </c>
      <c r="G21" s="19" t="s">
        <v>2167</v>
      </c>
      <c r="I21" s="19" t="str">
        <f>Table_SourceData_WasteSolid_WasteTreatmentEFs[[#This Row],[Waste type w]]</f>
        <v>Textiles</v>
      </c>
      <c r="K21" s="1" t="str">
        <f t="shared" si="0"/>
        <v>Paper and cardboard</v>
      </c>
      <c r="M21" s="1" t="str">
        <f>E44</f>
        <v>Paper and cardboard</v>
      </c>
      <c r="O21" s="1" t="str">
        <f>E50</f>
        <v>Paper and cardboard</v>
      </c>
    </row>
    <row r="22" spans="1:15" ht="20.100000000000001" customHeight="1" x14ac:dyDescent="0.2">
      <c r="A22" s="5" t="str">
        <f>HYPERLINK("#'Input - Fert Prod System'!A1", "Fert Prod System")</f>
        <v>Fert Prod System</v>
      </c>
      <c r="D22" s="1" t="s">
        <v>891</v>
      </c>
      <c r="E22" s="19" t="s">
        <v>2170</v>
      </c>
      <c r="F22" s="19">
        <v>0.4</v>
      </c>
      <c r="G22" s="19" t="s">
        <v>2167</v>
      </c>
      <c r="I22" s="19" t="str">
        <f>Table_SourceData_WasteSolid_WasteTreatmentEFs[[#This Row],[Waste type w]]</f>
        <v>Sludge</v>
      </c>
      <c r="K22" s="1" t="str">
        <f t="shared" si="0"/>
        <v>Textiles</v>
      </c>
    </row>
    <row r="23" spans="1:15" ht="20.100000000000001" customHeight="1" x14ac:dyDescent="0.2">
      <c r="A23" s="5" t="str">
        <f>HYPERLINK("#'Input - Fertiliser'!A1", "Fertiliser")</f>
        <v>Fertiliser</v>
      </c>
      <c r="D23" s="1" t="s">
        <v>891</v>
      </c>
      <c r="E23" s="19" t="s">
        <v>2171</v>
      </c>
      <c r="F23" s="19">
        <v>3.3</v>
      </c>
      <c r="G23" s="19" t="s">
        <v>2167</v>
      </c>
      <c r="I23" s="19" t="str">
        <f>Table_SourceData_WasteSolid_WasteTreatmentEFs[[#This Row],[Waste type w]]</f>
        <v>Rubber and leather</v>
      </c>
      <c r="K23" s="1" t="str">
        <f t="shared" si="0"/>
        <v>Rubber and leather</v>
      </c>
    </row>
    <row r="24" spans="1:15" ht="20.100000000000001" customHeight="1" x14ac:dyDescent="0.2">
      <c r="D24" s="1" t="s">
        <v>891</v>
      </c>
      <c r="E24" s="19" t="s">
        <v>2172</v>
      </c>
      <c r="F24" s="19">
        <v>0</v>
      </c>
      <c r="G24" s="19" t="s">
        <v>2167</v>
      </c>
      <c r="I24" s="19" t="str">
        <f>Table_SourceData_WasteSolid_WasteTreatmentEFs[[#This Row],[Waste type w]]</f>
        <v>Inert waste (including concrete, metal, plastic or glass)</v>
      </c>
      <c r="K24" s="1" t="str">
        <f t="shared" si="0"/>
        <v>Inert waste (including concrete, metal, plastic or glass)</v>
      </c>
    </row>
    <row r="25" spans="1:15" ht="20.100000000000001" customHeight="1" x14ac:dyDescent="0.2">
      <c r="D25" s="1" t="s">
        <v>891</v>
      </c>
      <c r="E25" s="19" t="s">
        <v>2173</v>
      </c>
      <c r="F25" s="19">
        <v>1.6</v>
      </c>
      <c r="G25" s="19" t="s">
        <v>2167</v>
      </c>
      <c r="I25" s="19" t="str">
        <f>Table_SourceData_WasteSolid_WasteTreatmentEFs[[#This Row],[Waste type w]]</f>
        <v>Municipal solid waste</v>
      </c>
      <c r="K25" s="1" t="str">
        <f t="shared" si="0"/>
        <v>Municipal solid waste</v>
      </c>
    </row>
    <row r="26" spans="1:15" ht="20.100000000000001" customHeight="1" x14ac:dyDescent="0.2">
      <c r="A26" s="6" t="s">
        <v>2</v>
      </c>
      <c r="D26" s="1" t="s">
        <v>891</v>
      </c>
      <c r="E26" s="19" t="s">
        <v>2174</v>
      </c>
      <c r="F26" s="19">
        <v>1.3</v>
      </c>
      <c r="G26" s="19" t="s">
        <v>2167</v>
      </c>
      <c r="I26" s="19" t="str">
        <f>Table_SourceData_WasteSolid_WasteTreatmentEFs[[#This Row],[Waste type w]]</f>
        <v>Commercial and industrial waste</v>
      </c>
      <c r="K26" s="1" t="str">
        <f t="shared" si="0"/>
        <v>Commercial and industrial waste</v>
      </c>
    </row>
    <row r="27" spans="1:15" ht="20.100000000000001" customHeight="1" x14ac:dyDescent="0.2">
      <c r="A27" s="5" t="str">
        <f>HYPERLINK("#'4.6.1.1-2 Methane'!A1", "4.6.1.1-2 Manure Methane")</f>
        <v>4.6.1.1-2 Manure Methane</v>
      </c>
      <c r="D27" s="1" t="s">
        <v>891</v>
      </c>
      <c r="E27" s="19" t="s">
        <v>2175</v>
      </c>
      <c r="F27" s="19">
        <v>0.2</v>
      </c>
      <c r="G27" s="19" t="s">
        <v>2167</v>
      </c>
      <c r="I27" s="19" t="str">
        <f>Table_SourceData_WasteSolid_WasteTreatmentEFs[[#This Row],[Waste type w]]</f>
        <v>Construction and demolition waste</v>
      </c>
    </row>
    <row r="28" spans="1:15" ht="20.100000000000001" customHeight="1" x14ac:dyDescent="0.2">
      <c r="A28" s="5" t="str">
        <f>HYPERLINK("#'4.6.1.3-4 Direct N20'!A1", "4.6.1.3-4 Manure Direct N2O")</f>
        <v>4.6.1.3-4 Manure Direct N2O</v>
      </c>
      <c r="D28" s="1" t="s">
        <v>905</v>
      </c>
      <c r="E28" s="19" t="s">
        <v>2176</v>
      </c>
      <c r="F28" s="19">
        <v>0</v>
      </c>
      <c r="G28" s="19"/>
    </row>
    <row r="29" spans="1:15" ht="20.100000000000001" customHeight="1" x14ac:dyDescent="0.2">
      <c r="A29" s="5" t="str">
        <f>HYPERLINK("#'4.6.1.5-6 Atmos Dep'!A1", "4.6.1.5-6 Manure Atmos Dep")</f>
        <v>4.6.1.5-6 Manure Atmos Dep</v>
      </c>
      <c r="D29" s="1" t="s">
        <v>905</v>
      </c>
      <c r="E29" s="19" t="s">
        <v>888</v>
      </c>
      <c r="F29" s="19">
        <v>0</v>
      </c>
      <c r="G29" s="19"/>
    </row>
    <row r="30" spans="1:15" ht="20.100000000000001" customHeight="1" x14ac:dyDescent="0.2">
      <c r="A30" s="5" t="str">
        <f>HYPERLINK("#'4.6.1.7-8 Leaching and runoff'!A1", "4.6.1.7-8 Manure Leaching and runoff")</f>
        <v>4.6.1.7-8 Manure Leaching and runoff</v>
      </c>
      <c r="D30" s="1" t="s">
        <v>905</v>
      </c>
      <c r="E30" s="19" t="s">
        <v>900</v>
      </c>
      <c r="F30" s="19">
        <v>0</v>
      </c>
      <c r="G30" s="19"/>
    </row>
    <row r="31" spans="1:15" ht="20.100000000000001" customHeight="1" x14ac:dyDescent="0.2">
      <c r="A31" s="5" t="str">
        <f>HYPERLINK("#'4.6.1.9 Manure applied to soils'!A1", "4.6.1.9 Manure applied to soils")</f>
        <v>4.6.1.9 Manure applied to soils</v>
      </c>
      <c r="D31" s="1" t="s">
        <v>905</v>
      </c>
      <c r="E31" s="19" t="s">
        <v>2168</v>
      </c>
      <c r="F31" s="19">
        <v>0</v>
      </c>
      <c r="G31" s="19"/>
    </row>
    <row r="32" spans="1:15" ht="20.100000000000001" customHeight="1" x14ac:dyDescent="0.2">
      <c r="A32" s="5" t="str">
        <f>HYPERLINK("#'4.6.1.10-11 Soil direct N2O'!A1", "4.6.1.10-11 Soil direct N2O")</f>
        <v>4.6.1.10-11 Soil direct N2O</v>
      </c>
      <c r="D32" s="1" t="s">
        <v>905</v>
      </c>
      <c r="E32" s="19" t="s">
        <v>2170</v>
      </c>
      <c r="F32" s="19">
        <v>0</v>
      </c>
      <c r="G32" s="19"/>
    </row>
    <row r="33" spans="1:7" ht="20.100000000000001" customHeight="1" x14ac:dyDescent="0.2">
      <c r="A33" s="5" t="str">
        <f>HYPERLINK("#'4.6.1.12-13 Soil atmos dep'!A1", "4.6.1.12-13 Soil atmos dep")</f>
        <v>4.6.1.12-13 Soil atmos dep</v>
      </c>
      <c r="D33" s="1" t="s">
        <v>905</v>
      </c>
      <c r="E33" s="19" t="s">
        <v>882</v>
      </c>
      <c r="F33" s="19">
        <v>1.6899999999999998E-2</v>
      </c>
      <c r="G33" s="19"/>
    </row>
    <row r="34" spans="1:7" ht="20.100000000000001" customHeight="1" x14ac:dyDescent="0.2">
      <c r="A34" s="5" t="str">
        <f>HYPERLINK("#'4.6.1.14-15 Soil leach runoff'!A1", "4.6.1.14-15 Soil leach runoff")</f>
        <v>4.6.1.14-15 Soil leach runoff</v>
      </c>
      <c r="D34" s="1" t="s">
        <v>905</v>
      </c>
      <c r="E34" s="19" t="s">
        <v>2169</v>
      </c>
      <c r="F34" s="19">
        <v>0.36670000000000003</v>
      </c>
      <c r="G34" s="19"/>
    </row>
    <row r="35" spans="1:7" ht="20.100000000000001" customHeight="1" x14ac:dyDescent="0.2">
      <c r="A35" s="5" t="str">
        <f>HYPERLINK("#'8.1.1.1-2 Transport fuel'!A1", "8.1.1.1-2 Transport fuel")</f>
        <v>8.1.1.1-2 Transport fuel</v>
      </c>
      <c r="D35" s="1" t="s">
        <v>905</v>
      </c>
      <c r="E35" s="19" t="s">
        <v>2171</v>
      </c>
      <c r="F35" s="19">
        <v>0.4919</v>
      </c>
      <c r="G35" s="19"/>
    </row>
    <row r="36" spans="1:7" ht="20.100000000000001" customHeight="1" x14ac:dyDescent="0.2">
      <c r="A36" s="5" t="str">
        <f>HYPERLINK("#'8.2.1.1-2 Stationary fuel'!A1", "8.2.1.1-2 Stationary fuel")</f>
        <v>8.2.1.1-2 Stationary fuel</v>
      </c>
      <c r="D36" s="1" t="s">
        <v>905</v>
      </c>
      <c r="E36" s="19" t="s">
        <v>2172</v>
      </c>
      <c r="F36" s="19">
        <v>0.11</v>
      </c>
      <c r="G36" s="19"/>
    </row>
    <row r="37" spans="1:7" ht="20.100000000000001" customHeight="1" x14ac:dyDescent="0.2">
      <c r="A37" s="5" t="str">
        <f>HYPERLINK("#'10.1.1-2 Solid waste treatment'!A1", "10.1.1.1-2 Solid waste")</f>
        <v>10.1.1.1-2 Solid waste</v>
      </c>
      <c r="D37" s="1" t="s">
        <v>905</v>
      </c>
      <c r="E37" s="19" t="s">
        <v>2173</v>
      </c>
      <c r="F37" s="19">
        <v>5.3699999999999998E-2</v>
      </c>
      <c r="G37" s="238" t="s">
        <v>2177</v>
      </c>
    </row>
    <row r="38" spans="1:7" ht="20.100000000000001" customHeight="1" x14ac:dyDescent="0.2">
      <c r="A38" s="5" t="str">
        <f>HYPERLINK("#'14.1.1-2 Purchased electricity'!A1", "14.1.1-2 Purchased electricity")</f>
        <v>14.1.1-2 Purchased electricity</v>
      </c>
      <c r="D38" s="1" t="s">
        <v>905</v>
      </c>
      <c r="E38" s="19" t="s">
        <v>2174</v>
      </c>
      <c r="F38" s="19">
        <v>1.649</v>
      </c>
      <c r="G38" s="238" t="s">
        <v>2177</v>
      </c>
    </row>
    <row r="39" spans="1:7" ht="20.100000000000001" customHeight="1" x14ac:dyDescent="0.2">
      <c r="A39" s="5" t="str">
        <f>HYPERLINK("#'15 Scope 3'!A1", "15 Scope 3")</f>
        <v>15 Scope 3</v>
      </c>
      <c r="D39" s="1" t="s">
        <v>881</v>
      </c>
      <c r="E39" s="19" t="s">
        <v>2178</v>
      </c>
      <c r="F39" s="19">
        <v>4.5999999999999999E-2</v>
      </c>
      <c r="G39" s="238" t="s">
        <v>2179</v>
      </c>
    </row>
    <row r="40" spans="1:7" ht="20.100000000000001" customHeight="1" x14ac:dyDescent="0.2">
      <c r="A40" s="5" t="str">
        <f>HYPERLINK("#'Calcs - Manure sent off-site'!A1", "Calcs - Manure sent off-site")</f>
        <v>Calcs - Manure sent off-site</v>
      </c>
      <c r="D40" s="1" t="s">
        <v>881</v>
      </c>
      <c r="E40" s="19" t="s">
        <v>888</v>
      </c>
      <c r="F40" s="19">
        <v>4.5999999999999999E-2</v>
      </c>
      <c r="G40" s="238"/>
    </row>
    <row r="41" spans="1:7" ht="20.100000000000001" customHeight="1" x14ac:dyDescent="0.2">
      <c r="A41" s="5" t="str">
        <f>HYPERLINK("#'5.1.1.1-2 Inorganic fert N2O'!A1", "5.1.1.1-2 Inorganic fert N2O")</f>
        <v>5.1.1.1-2 Inorganic fert N2O</v>
      </c>
      <c r="D41" s="1" t="s">
        <v>881</v>
      </c>
      <c r="E41" s="19" t="s">
        <v>900</v>
      </c>
      <c r="F41" s="19">
        <v>4.5999999999999999E-2</v>
      </c>
      <c r="G41" s="238"/>
    </row>
    <row r="42" spans="1:7" ht="20.100000000000001" customHeight="1" x14ac:dyDescent="0.2">
      <c r="A42" s="5" t="str">
        <f>HYPERLINK("#'5.1.1.3-4 Inorganic fert CO2'!A1", "5.1.1.3-4 Inorganic fert CO2")</f>
        <v>5.1.1.3-4 Inorganic fert CO2</v>
      </c>
      <c r="D42" s="1" t="s">
        <v>881</v>
      </c>
      <c r="E42" s="19" t="s">
        <v>2168</v>
      </c>
      <c r="F42" s="19">
        <v>4.5999999999999999E-2</v>
      </c>
      <c r="G42" s="238"/>
    </row>
    <row r="43" spans="1:7" ht="20.100000000000001" customHeight="1" x14ac:dyDescent="0.2">
      <c r="A43" s="5" t="str">
        <f>HYPERLINK("#'5.2.1.1-2 Organic Fert N2O'!A1", "5.2.1.1-2 Organic Fert N2O")</f>
        <v>5.2.1.1-2 Organic Fert N2O</v>
      </c>
      <c r="D43" s="1" t="s">
        <v>881</v>
      </c>
      <c r="E43" s="19" t="s">
        <v>2170</v>
      </c>
      <c r="F43" s="19">
        <v>4.5999999999999999E-2</v>
      </c>
      <c r="G43" s="238"/>
    </row>
    <row r="44" spans="1:7" ht="20.100000000000001" customHeight="1" x14ac:dyDescent="0.2">
      <c r="A44" s="5" t="str">
        <f>HYPERLINK("#'5.3.1.1-2 Lime CO2'!A1", "5.3.1.1-2 Lime CO2")</f>
        <v>5.3.1.1-2 Lime CO2</v>
      </c>
      <c r="D44" s="1" t="s">
        <v>881</v>
      </c>
      <c r="E44" s="19" t="s">
        <v>882</v>
      </c>
      <c r="F44" s="19">
        <v>4.5999999999999999E-2</v>
      </c>
      <c r="G44" s="238"/>
    </row>
    <row r="45" spans="1:7" ht="20.100000000000001" customHeight="1" x14ac:dyDescent="0.2">
      <c r="A45" s="5" t="str">
        <f>HYPERLINK("#'5.4.1.1-4 Atmos deposition'!A1", "5.4.1.1-4 Atmos deposition")</f>
        <v>5.4.1.1-4 Atmos deposition</v>
      </c>
      <c r="D45" s="1" t="s">
        <v>2180</v>
      </c>
      <c r="E45" s="19" t="s">
        <v>2178</v>
      </c>
      <c r="F45" s="19">
        <v>2.8000000000000001E-2</v>
      </c>
      <c r="G45" s="238" t="s">
        <v>2179</v>
      </c>
    </row>
    <row r="46" spans="1:7" ht="20.100000000000001" customHeight="1" x14ac:dyDescent="0.2">
      <c r="A46" s="5" t="str">
        <f>HYPERLINK("#'5.5.1.1-2 Leaching and runoff'!A1", "5.5.1.1-2 Leaching and runoff")</f>
        <v>5.5.1.1-2 Leaching and runoff</v>
      </c>
      <c r="D46" s="1" t="s">
        <v>2180</v>
      </c>
      <c r="E46" s="19" t="s">
        <v>888</v>
      </c>
      <c r="F46" s="19">
        <v>2.8000000000000001E-2</v>
      </c>
      <c r="G46" s="238"/>
    </row>
    <row r="47" spans="1:7" ht="20.100000000000001" customHeight="1" x14ac:dyDescent="0.2">
      <c r="D47" s="1" t="s">
        <v>2180</v>
      </c>
      <c r="E47" s="19" t="s">
        <v>900</v>
      </c>
      <c r="F47" s="19">
        <v>2.8000000000000001E-2</v>
      </c>
      <c r="G47" s="238"/>
    </row>
    <row r="48" spans="1:7" ht="20.100000000000001" customHeight="1" x14ac:dyDescent="0.2">
      <c r="D48" s="1" t="s">
        <v>2180</v>
      </c>
      <c r="E48" s="19" t="s">
        <v>2168</v>
      </c>
      <c r="F48" s="19">
        <v>2.8000000000000001E-2</v>
      </c>
      <c r="G48" s="238"/>
    </row>
    <row r="49" spans="1:7" ht="20.100000000000001" customHeight="1" x14ac:dyDescent="0.2">
      <c r="A49" s="80" t="s">
        <v>1</v>
      </c>
      <c r="D49" s="1" t="s">
        <v>2180</v>
      </c>
      <c r="E49" s="19" t="s">
        <v>2170</v>
      </c>
      <c r="F49" s="19">
        <v>2.8000000000000001E-2</v>
      </c>
      <c r="G49" s="238"/>
    </row>
    <row r="50" spans="1:7" ht="20.100000000000001" customHeight="1" x14ac:dyDescent="0.2">
      <c r="A50" s="5" t="str">
        <f>HYPERLINK("#'Constants - Poultry'!A1", "Constants - Poultry")</f>
        <v>Constants - Poultry</v>
      </c>
      <c r="D50" s="1" t="s">
        <v>2180</v>
      </c>
      <c r="E50" s="19" t="s">
        <v>882</v>
      </c>
      <c r="F50" s="19">
        <v>2.8000000000000001E-2</v>
      </c>
      <c r="G50" s="238"/>
    </row>
    <row r="51" spans="1:7" ht="20.100000000000001" customHeight="1" x14ac:dyDescent="0.2">
      <c r="A51" s="5" t="str">
        <f>HYPERLINK("#'Constants - Common livestock'!A1", "Constants - Common Livestock")</f>
        <v>Constants - Common Livestock</v>
      </c>
    </row>
    <row r="52" spans="1:7" ht="20.100000000000001" customHeight="1" x14ac:dyDescent="0.2">
      <c r="A52" s="5" t="str">
        <f>HYPERLINK("#'Constants - Electricity'!A1", "Constants - Electricity")</f>
        <v>Constants - Electricity</v>
      </c>
      <c r="D52" s="2" t="s">
        <v>2181</v>
      </c>
    </row>
    <row r="53" spans="1:7" ht="20.100000000000001" customHeight="1" x14ac:dyDescent="0.2">
      <c r="A53" s="5" t="str">
        <f>HYPERLINK("#'Constants - Fertiliser'!A1", "Constants - Fertiliser")</f>
        <v>Constants - Fertiliser</v>
      </c>
      <c r="D53" s="17" t="s">
        <v>2182</v>
      </c>
    </row>
    <row r="54" spans="1:7" ht="20.100000000000001" customHeight="1" x14ac:dyDescent="0.2">
      <c r="A54" s="5" t="str">
        <f>HYPERLINK("#'Constants - Fuel'!A1", "Constants - Fuel")</f>
        <v>Constants - Fuel</v>
      </c>
      <c r="D54" s="25" t="s">
        <v>2183</v>
      </c>
    </row>
    <row r="55" spans="1:7" ht="20.100000000000001" customHeight="1" x14ac:dyDescent="0.2">
      <c r="A55" s="5" t="str">
        <f>HYPERLINK("#'Constants - Scope 3'!A1", "Constants - Scope 3")</f>
        <v>Constants - Scope 3</v>
      </c>
      <c r="D55" s="1" t="s">
        <v>939</v>
      </c>
    </row>
    <row r="56" spans="1:7" ht="20.100000000000001" customHeight="1" x14ac:dyDescent="0.2">
      <c r="A56" s="81" t="str">
        <f>HYPERLINK("#'Constants - Solid Waste'!A1", "Constants - Solid Waste")</f>
        <v>Constants - Solid Waste</v>
      </c>
      <c r="D56" s="9" t="s">
        <v>1447</v>
      </c>
    </row>
    <row r="57" spans="1:7" ht="20.100000000000001" customHeight="1" x14ac:dyDescent="0.2">
      <c r="A57" s="5" t="str">
        <f>HYPERLINK("#'Constants - Common'!A1", "Constants - Common")</f>
        <v>Constants - Common</v>
      </c>
      <c r="D57" s="19" t="s">
        <v>936</v>
      </c>
      <c r="E57" s="19" t="s">
        <v>939</v>
      </c>
    </row>
    <row r="58" spans="1:7" ht="20.100000000000001" customHeight="1" x14ac:dyDescent="0.2">
      <c r="D58" s="19" t="s">
        <v>888</v>
      </c>
      <c r="E58" s="19">
        <v>0.5</v>
      </c>
    </row>
    <row r="59" spans="1:7" ht="20.100000000000001" customHeight="1" x14ac:dyDescent="0.2">
      <c r="D59" s="1" t="s">
        <v>882</v>
      </c>
      <c r="E59" s="19">
        <v>0.09</v>
      </c>
    </row>
    <row r="60" spans="1:7" ht="20.100000000000001" customHeight="1" x14ac:dyDescent="0.2">
      <c r="D60" s="1" t="s">
        <v>900</v>
      </c>
      <c r="E60" s="19">
        <v>0.24</v>
      </c>
    </row>
    <row r="61" spans="1:7" ht="20.100000000000001" customHeight="1" x14ac:dyDescent="0.2">
      <c r="D61" s="1" t="s">
        <v>2168</v>
      </c>
      <c r="E61" s="19">
        <v>0.15</v>
      </c>
    </row>
    <row r="62" spans="1:7" ht="20.100000000000001" customHeight="1" x14ac:dyDescent="0.2">
      <c r="D62" s="1" t="s">
        <v>2169</v>
      </c>
      <c r="E62" s="19">
        <v>0.14000000000000001</v>
      </c>
    </row>
    <row r="63" spans="1:7" ht="20.100000000000001" customHeight="1" x14ac:dyDescent="0.2">
      <c r="D63" s="1" t="s">
        <v>2170</v>
      </c>
      <c r="E63" s="19">
        <v>0.72</v>
      </c>
    </row>
    <row r="64" spans="1:7" ht="20.100000000000001" customHeight="1" x14ac:dyDescent="0.2">
      <c r="D64" s="1" t="s">
        <v>2171</v>
      </c>
      <c r="E64" s="19">
        <v>0.14000000000000001</v>
      </c>
    </row>
    <row r="65" spans="1:5" ht="20.100000000000001" customHeight="1" x14ac:dyDescent="0.2">
      <c r="D65" s="1" t="s">
        <v>2172</v>
      </c>
      <c r="E65" s="19">
        <v>0.42</v>
      </c>
    </row>
    <row r="66" spans="1:5" ht="20.100000000000001" customHeight="1" x14ac:dyDescent="0.2">
      <c r="D66" s="1" t="s">
        <v>2173</v>
      </c>
      <c r="E66" s="19">
        <v>0.36</v>
      </c>
    </row>
    <row r="67" spans="1:5" ht="20.100000000000001" customHeight="1" x14ac:dyDescent="0.2">
      <c r="D67" s="1" t="s">
        <v>2174</v>
      </c>
      <c r="E67" s="19">
        <v>0.33</v>
      </c>
    </row>
    <row r="68" spans="1:5" ht="20.100000000000001" customHeight="1" x14ac:dyDescent="0.2">
      <c r="A68" s="79" t="str">
        <f>HYPERLINK("#A1", "▲ Back to top")</f>
        <v>▲ Back to top</v>
      </c>
      <c r="D68" s="1" t="s">
        <v>2175</v>
      </c>
      <c r="E68" s="19">
        <v>0.39</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3DE85-228C-483C-8D62-5D3027BF032E}">
  <sheetPr>
    <tabColor theme="2" tint="-0.499984740745262"/>
  </sheetPr>
  <dimension ref="A1:BY332"/>
  <sheetViews>
    <sheetView showGridLines="0" zoomScaleNormal="100" workbookViewId="0">
      <pane xSplit="1" topLeftCell="B1" activePane="topRight" state="frozenSplit"/>
      <selection pane="topRight" activeCell="A56" sqref="A56"/>
    </sheetView>
  </sheetViews>
  <sheetFormatPr defaultColWidth="9.140625" defaultRowHeight="20.100000000000001" customHeight="1" x14ac:dyDescent="0.2"/>
  <cols>
    <col min="1" max="1" width="36.7109375" style="21" customWidth="1"/>
    <col min="2" max="2" width="2.7109375" style="21"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1" customWidth="1"/>
    <col min="34" max="39" width="21.85546875" style="21" customWidth="1"/>
    <col min="40" max="44" width="20.7109375" style="21" customWidth="1"/>
    <col min="45" max="65" width="9.140625" style="21"/>
    <col min="66" max="16384" width="9.140625" style="24"/>
  </cols>
  <sheetData>
    <row r="1" spans="1:65" s="20" customFormat="1" ht="30" customHeight="1" x14ac:dyDescent="0.35">
      <c r="A1" s="10" t="e" vm="1">
        <v>#VALUE!</v>
      </c>
      <c r="C1" s="20" t="s">
        <v>20</v>
      </c>
    </row>
    <row r="2" spans="1:65" s="3" customFormat="1" ht="20.100000000000001" customHeight="1" x14ac:dyDescent="0.2">
      <c r="A2"/>
    </row>
    <row r="3" spans="1:65"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3"/>
      <c r="W3" s="23"/>
    </row>
    <row r="4" spans="1:65" ht="20.100000000000001" customHeight="1" x14ac:dyDescent="0.2">
      <c r="A4" s="5" t="str">
        <f>HYPERLINK("#'Results - Activity period'!A1", "Results - Activity period")</f>
        <v>Results - Activity period</v>
      </c>
      <c r="BM4" s="24"/>
    </row>
    <row r="5" spans="1:65" ht="20.100000000000001" customHeight="1" x14ac:dyDescent="0.2">
      <c r="A5" s="5" t="str">
        <f>HYPERLINK("#'Results - Product EI'!A1", "Results - Product Emissions Intensity")</f>
        <v>Results - Product Emissions Intensity</v>
      </c>
      <c r="D5" s="2" t="s">
        <v>2184</v>
      </c>
      <c r="BM5" s="24"/>
    </row>
    <row r="6" spans="1:65" ht="20.100000000000001" customHeight="1" x14ac:dyDescent="0.2">
      <c r="A6"/>
      <c r="D6" s="19" t="s">
        <v>21</v>
      </c>
      <c r="E6" s="19" t="s">
        <v>22</v>
      </c>
      <c r="F6" s="19" t="s">
        <v>23</v>
      </c>
    </row>
    <row r="7" spans="1:65" ht="20.100000000000001" customHeight="1" x14ac:dyDescent="0.2">
      <c r="A7"/>
      <c r="D7" s="19" t="s">
        <v>1735</v>
      </c>
      <c r="E7" s="19" t="s">
        <v>1735</v>
      </c>
      <c r="F7" s="19" t="s">
        <v>521</v>
      </c>
    </row>
    <row r="8" spans="1:65" ht="20.100000000000001" customHeight="1" x14ac:dyDescent="0.2">
      <c r="A8" s="7" t="s">
        <v>0</v>
      </c>
      <c r="D8" s="19" t="s">
        <v>2185</v>
      </c>
      <c r="E8" s="19" t="s">
        <v>522</v>
      </c>
      <c r="F8" s="19" t="s">
        <v>522</v>
      </c>
    </row>
    <row r="9" spans="1:65" ht="20.100000000000001" customHeight="1" x14ac:dyDescent="0.2">
      <c r="A9" s="5" t="str">
        <f>HYPERLINK("#'Input - Enterprise'!A1", "Enterprise")</f>
        <v>Enterprise</v>
      </c>
      <c r="D9" s="19" t="s">
        <v>1736</v>
      </c>
      <c r="E9" s="19" t="s">
        <v>1736</v>
      </c>
      <c r="F9" s="19" t="s">
        <v>525</v>
      </c>
    </row>
    <row r="10" spans="1:65" ht="20.100000000000001" customHeight="1" x14ac:dyDescent="0.2">
      <c r="A10" s="5" t="str">
        <f>HYPERLINK("#'Input - Site'!A1", "Site")</f>
        <v>Site</v>
      </c>
      <c r="D10" s="19" t="s">
        <v>1737</v>
      </c>
      <c r="E10" s="19" t="s">
        <v>1737</v>
      </c>
      <c r="F10" s="19" t="s">
        <v>523</v>
      </c>
    </row>
    <row r="11" spans="1:65" ht="20.100000000000001" customHeight="1" x14ac:dyDescent="0.2">
      <c r="A11" s="5" t="str">
        <f>HYPERLINK("#'Input - Poultry'!A1", "Poultry")</f>
        <v>Poultry</v>
      </c>
      <c r="D11" s="19" t="s">
        <v>1738</v>
      </c>
      <c r="E11" s="19" t="s">
        <v>1738</v>
      </c>
      <c r="F11" s="19" t="s">
        <v>526</v>
      </c>
      <c r="BM11" s="24"/>
    </row>
    <row r="12" spans="1:65" ht="20.100000000000001" customHeight="1" x14ac:dyDescent="0.2">
      <c r="A12" s="5" t="str">
        <f>HYPERLINK("#'Input - Livestock sales'!A1", "Livestock sales")</f>
        <v>Livestock sales</v>
      </c>
      <c r="D12" s="19" t="s">
        <v>99</v>
      </c>
      <c r="E12" s="19" t="s">
        <v>99</v>
      </c>
      <c r="F12" s="19" t="s">
        <v>527</v>
      </c>
      <c r="BM12" s="24"/>
    </row>
    <row r="13" spans="1:65" ht="20.100000000000001" customHeight="1" x14ac:dyDescent="0.2">
      <c r="A13" s="5" t="str">
        <f>HYPERLINK("#'Input - Poultry purchases'!A1", "Poultry purchases")</f>
        <v>Poultry purchases</v>
      </c>
      <c r="D13" s="19" t="s">
        <v>1740</v>
      </c>
      <c r="E13" s="19" t="s">
        <v>1740</v>
      </c>
      <c r="F13" s="19" t="s">
        <v>528</v>
      </c>
    </row>
    <row r="14" spans="1:65" ht="20.100000000000001" customHeight="1" x14ac:dyDescent="0.2">
      <c r="A14" s="5" t="str">
        <f>HYPERLINK("#'Input - Fuel'!A1", "Fuel")</f>
        <v>Fuel</v>
      </c>
      <c r="D14" s="19" t="s">
        <v>2061</v>
      </c>
      <c r="E14" s="19" t="s">
        <v>2061</v>
      </c>
      <c r="F14" s="19" t="s">
        <v>524</v>
      </c>
    </row>
    <row r="15" spans="1:65" ht="20.100000000000001" customHeight="1" x14ac:dyDescent="0.2">
      <c r="A15" s="5" t="str">
        <f>HYPERLINK("#'Input - Electricity'!A1", "Electricity")</f>
        <v>Electricity</v>
      </c>
    </row>
    <row r="16" spans="1:65" ht="20.100000000000001" customHeight="1" x14ac:dyDescent="0.2">
      <c r="A16" s="5" t="str">
        <f>HYPERLINK("#'Input - Common farm inputs'!A1", "Common farm inputs")</f>
        <v>Common farm inputs</v>
      </c>
    </row>
    <row r="17" spans="1:4" ht="20.100000000000001" customHeight="1" x14ac:dyDescent="0.2">
      <c r="A17" s="5" t="str">
        <f>HYPERLINK("#'Input - Livestock farm Inputs'!A1", "Livestock farm Inputs")</f>
        <v>Livestock farm Inputs</v>
      </c>
    </row>
    <row r="18" spans="1:4" ht="20.100000000000001" customHeight="1" x14ac:dyDescent="0.2">
      <c r="A18" s="5" t="str">
        <f>HYPERLINK("#'Input - Freight'!A1", "Freight")</f>
        <v>Freight</v>
      </c>
      <c r="D18" s="2" t="s">
        <v>2186</v>
      </c>
    </row>
    <row r="19" spans="1:4" ht="20.100000000000001" customHeight="1" x14ac:dyDescent="0.2">
      <c r="A19" s="5" t="str">
        <f>HYPERLINK("#'Input - Solid waste'!A1", "Solid waste")</f>
        <v>Solid waste</v>
      </c>
      <c r="D19" s="17" t="s">
        <v>2187</v>
      </c>
    </row>
    <row r="20" spans="1:4" ht="20.100000000000001" customHeight="1" x14ac:dyDescent="0.2">
      <c r="A20" s="5" t="str">
        <f>HYPERLINK("#'Input - Manure sent off-site'!A1", "Manure sent off-site")</f>
        <v>Manure sent off-site</v>
      </c>
      <c r="D20" s="19" t="s">
        <v>24</v>
      </c>
    </row>
    <row r="21" spans="1:4" ht="20.100000000000001" customHeight="1" x14ac:dyDescent="0.2">
      <c r="A21" s="5" t="str">
        <f>HYPERLINK("#'Input - Data quality'!A1", "Data quality")</f>
        <v>Data quality</v>
      </c>
      <c r="D21" s="19" t="s">
        <v>2188</v>
      </c>
    </row>
    <row r="22" spans="1:4" ht="20.100000000000001" customHeight="1" x14ac:dyDescent="0.2">
      <c r="A22" s="5" t="str">
        <f>HYPERLINK("#'Input - Fert Prod System'!A1", "Fert Prod System")</f>
        <v>Fert Prod System</v>
      </c>
      <c r="D22" s="19" t="s">
        <v>2189</v>
      </c>
    </row>
    <row r="23" spans="1:4" ht="20.100000000000001" customHeight="1" x14ac:dyDescent="0.2">
      <c r="A23" s="5" t="str">
        <f>HYPERLINK("#'Input - Fertiliser'!A1", "Fertiliser")</f>
        <v>Fertiliser</v>
      </c>
      <c r="D23" s="19" t="s">
        <v>2190</v>
      </c>
    </row>
    <row r="24" spans="1:4" ht="20.100000000000001" customHeight="1" x14ac:dyDescent="0.2">
      <c r="A24"/>
      <c r="D24" s="19" t="s">
        <v>2191</v>
      </c>
    </row>
    <row r="25" spans="1:4" ht="20.100000000000001" customHeight="1" x14ac:dyDescent="0.2">
      <c r="A25"/>
      <c r="D25" s="19" t="s">
        <v>2192</v>
      </c>
    </row>
    <row r="26" spans="1:4" ht="20.100000000000001" customHeight="1" x14ac:dyDescent="0.2">
      <c r="A26" s="6" t="s">
        <v>2</v>
      </c>
      <c r="D26" s="19" t="s">
        <v>2193</v>
      </c>
    </row>
    <row r="27" spans="1:4" ht="20.100000000000001" customHeight="1" x14ac:dyDescent="0.2">
      <c r="A27" s="5" t="str">
        <f>HYPERLINK("#'4.6.1.1-2 Methane'!A1", "4.6.1.1-2 Manure Methane")</f>
        <v>4.6.1.1-2 Manure Methane</v>
      </c>
      <c r="D27" s="19" t="s">
        <v>2194</v>
      </c>
    </row>
    <row r="28" spans="1:4" ht="20.100000000000001" customHeight="1" x14ac:dyDescent="0.2">
      <c r="A28" s="5" t="str">
        <f>HYPERLINK("#'4.6.1.3-4 Direct N20'!A1", "4.6.1.3-4 Manure Direct N2O")</f>
        <v>4.6.1.3-4 Manure Direct N2O</v>
      </c>
      <c r="D28" s="19" t="s">
        <v>2195</v>
      </c>
    </row>
    <row r="29" spans="1:4" ht="20.100000000000001" customHeight="1" x14ac:dyDescent="0.2">
      <c r="A29" s="5" t="str">
        <f>HYPERLINK("#'4.6.1.5-6 Atmos Dep'!A1", "4.6.1.5-6 Manure Atmos Dep")</f>
        <v>4.6.1.5-6 Manure Atmos Dep</v>
      </c>
      <c r="D29" s="19" t="s">
        <v>2196</v>
      </c>
    </row>
    <row r="30" spans="1:4" ht="20.100000000000001" customHeight="1" x14ac:dyDescent="0.2">
      <c r="A30" s="5" t="str">
        <f>HYPERLINK("#'4.6.1.7-8 Leaching and runoff'!A1", "4.6.1.7-8 Manure Leaching and runoff")</f>
        <v>4.6.1.7-8 Manure Leaching and runoff</v>
      </c>
      <c r="D30" s="19" t="s">
        <v>102</v>
      </c>
    </row>
    <row r="31" spans="1:4" ht="20.100000000000001" customHeight="1" x14ac:dyDescent="0.2">
      <c r="A31" s="5" t="str">
        <f>HYPERLINK("#'4.6.1.9 Manure applied to soils'!A1", "4.6.1.9 Manure applied to soils")</f>
        <v>4.6.1.9 Manure applied to soils</v>
      </c>
    </row>
    <row r="32" spans="1:4" ht="20.100000000000001" customHeight="1" x14ac:dyDescent="0.2">
      <c r="A32" s="5" t="str">
        <f>HYPERLINK("#'4.6.1.10-11 Soil direct N2O'!A1", "4.6.1.10-11 Soil direct N2O")</f>
        <v>4.6.1.10-11 Soil direct N2O</v>
      </c>
    </row>
    <row r="33" spans="1:8" ht="20.100000000000001" customHeight="1" x14ac:dyDescent="0.2">
      <c r="A33" s="5" t="str">
        <f>HYPERLINK("#'4.6.1.12-13 Soil atmos dep'!A1", "4.6.1.12-13 Soil atmos dep")</f>
        <v>4.6.1.12-13 Soil atmos dep</v>
      </c>
    </row>
    <row r="34" spans="1:8" ht="20.100000000000001" customHeight="1" x14ac:dyDescent="0.2">
      <c r="A34" s="5" t="str">
        <f>HYPERLINK("#'4.6.1.14-15 Soil leach runoff'!A1", "4.6.1.14-15 Soil leach runoff")</f>
        <v>4.6.1.14-15 Soil leach runoff</v>
      </c>
      <c r="D34" s="2" t="s">
        <v>2197</v>
      </c>
    </row>
    <row r="35" spans="1:8" ht="20.100000000000001" customHeight="1" x14ac:dyDescent="0.2">
      <c r="A35" s="5" t="str">
        <f>HYPERLINK("#'8.1.1.1-2 Transport fuel'!A1", "8.1.1.1-2 Transport fuel")</f>
        <v>8.1.1.1-2 Transport fuel</v>
      </c>
      <c r="D35" s="17" t="s">
        <v>2198</v>
      </c>
    </row>
    <row r="36" spans="1:8" ht="20.100000000000001" customHeight="1" x14ac:dyDescent="0.2">
      <c r="A36" s="5" t="str">
        <f>HYPERLINK("#'8.2.1.1-2 Stationary fuel'!A1", "8.2.1.1-2 Stationary fuel")</f>
        <v>8.2.1.1-2 Stationary fuel</v>
      </c>
      <c r="D36" s="19" t="s">
        <v>25</v>
      </c>
      <c r="E36" s="19" t="s">
        <v>26</v>
      </c>
    </row>
    <row r="37" spans="1:8" ht="20.100000000000001" customHeight="1" x14ac:dyDescent="0.2">
      <c r="A37" s="5" t="str">
        <f>HYPERLINK("#'10.1.1-2 Solid waste treatment'!A1", "10.1.1.1-2 Solid waste")</f>
        <v>10.1.1.1-2 Solid waste</v>
      </c>
      <c r="D37" s="19" t="s">
        <v>623</v>
      </c>
      <c r="E37" s="19">
        <v>1</v>
      </c>
    </row>
    <row r="38" spans="1:8" ht="20.100000000000001" customHeight="1" x14ac:dyDescent="0.2">
      <c r="A38" s="5" t="str">
        <f>HYPERLINK("#'14.1.1-2 Purchased electricity'!A1", "14.1.1-2 Purchased electricity")</f>
        <v>14.1.1-2 Purchased electricity</v>
      </c>
      <c r="D38" s="19" t="s">
        <v>624</v>
      </c>
      <c r="E38" s="19">
        <v>28</v>
      </c>
    </row>
    <row r="39" spans="1:8" ht="20.100000000000001" customHeight="1" x14ac:dyDescent="0.2">
      <c r="A39" s="5" t="str">
        <f>HYPERLINK("#'15 Scope 3'!A1", "15 Scope 3")</f>
        <v>15 Scope 3</v>
      </c>
      <c r="D39" s="19" t="s">
        <v>625</v>
      </c>
      <c r="E39" s="19">
        <v>265</v>
      </c>
    </row>
    <row r="40" spans="1:8" ht="20.100000000000001" customHeight="1" x14ac:dyDescent="0.2">
      <c r="A40" s="5" t="str">
        <f>HYPERLINK("#'Calcs - Manure sent off-site'!A1", "Calcs - Manure sent off-site")</f>
        <v>Calcs - Manure sent off-site</v>
      </c>
      <c r="D40" s="19" t="s">
        <v>2199</v>
      </c>
      <c r="E40" s="19">
        <v>6630</v>
      </c>
    </row>
    <row r="41" spans="1:8" ht="20.100000000000001" customHeight="1" x14ac:dyDescent="0.2">
      <c r="A41" s="5" t="str">
        <f>HYPERLINK("#'5.1.1.1-2 Inorganic fert N2O'!A1", "5.1.1.1-2 Inorganic fert N2O")</f>
        <v>5.1.1.1-2 Inorganic fert N2O</v>
      </c>
      <c r="D41" s="19" t="s">
        <v>2200</v>
      </c>
      <c r="E41" s="19">
        <v>12200</v>
      </c>
    </row>
    <row r="42" spans="1:8" ht="20.100000000000001" customHeight="1" x14ac:dyDescent="0.2">
      <c r="A42" s="5" t="str">
        <f>HYPERLINK("#'5.1.1.3-4 Inorganic fert CO2'!A1", "5.1.1.3-4 Inorganic fert CO2")</f>
        <v>5.1.1.3-4 Inorganic fert CO2</v>
      </c>
      <c r="D42" s="19" t="s">
        <v>2201</v>
      </c>
      <c r="E42" s="19">
        <v>22800</v>
      </c>
    </row>
    <row r="43" spans="1:8" ht="20.100000000000001" customHeight="1" x14ac:dyDescent="0.2">
      <c r="A43" s="5" t="str">
        <f>HYPERLINK("#'5.2.1.1-2 Organic Fert N2O'!A1", "5.2.1.1-2 Organic Fert N2O")</f>
        <v>5.2.1.1-2 Organic Fert N2O</v>
      </c>
      <c r="D43" s="19" t="s">
        <v>2202</v>
      </c>
      <c r="E43" s="19">
        <v>17200</v>
      </c>
    </row>
    <row r="44" spans="1:8" ht="20.100000000000001" customHeight="1" x14ac:dyDescent="0.2">
      <c r="A44" s="5" t="str">
        <f>HYPERLINK("#'5.3.1.1-2 Lime CO2'!A1", "5.3.1.1-2 Lime CO2")</f>
        <v>5.3.1.1-2 Lime CO2</v>
      </c>
    </row>
    <row r="45" spans="1:8" ht="20.100000000000001" customHeight="1" x14ac:dyDescent="0.2">
      <c r="A45" s="5" t="str">
        <f>HYPERLINK("#'5.4.1.1-4 Atmos deposition'!A1", "5.4.1.1-4 Atmos deposition")</f>
        <v>5.4.1.1-4 Atmos deposition</v>
      </c>
      <c r="D45" s="2" t="s">
        <v>2203</v>
      </c>
    </row>
    <row r="46" spans="1:8" ht="20.100000000000001" customHeight="1" x14ac:dyDescent="0.2">
      <c r="A46" s="5" t="str">
        <f>HYPERLINK("#'5.5.1.1-2 Leaching and runoff'!A1", "5.5.1.1-2 Leaching and runoff")</f>
        <v>5.5.1.1-2 Leaching and runoff</v>
      </c>
      <c r="D46" s="17" t="s">
        <v>2198</v>
      </c>
    </row>
    <row r="47" spans="1:8" ht="20.100000000000001" customHeight="1" x14ac:dyDescent="0.2">
      <c r="A47"/>
      <c r="D47" s="19" t="s">
        <v>25</v>
      </c>
      <c r="E47" s="19" t="s">
        <v>27</v>
      </c>
      <c r="F47" s="19" t="s">
        <v>28</v>
      </c>
      <c r="G47" s="19" t="s">
        <v>29</v>
      </c>
      <c r="H47" s="19" t="s">
        <v>30</v>
      </c>
    </row>
    <row r="48" spans="1:8" ht="20.100000000000001" customHeight="1" x14ac:dyDescent="0.2">
      <c r="A48"/>
      <c r="D48" s="19" t="s">
        <v>623</v>
      </c>
      <c r="E48" s="19" t="s">
        <v>2204</v>
      </c>
      <c r="F48" s="19">
        <v>44</v>
      </c>
      <c r="G48" s="19">
        <v>12</v>
      </c>
      <c r="H48" s="19">
        <f>Table_GasToMolecularConversionFactor[[#This Row],[Conversion factor 1]]/Table_GasToMolecularConversionFactor[[#This Row],[Conversion factor 2]]</f>
        <v>3.6666666666666665</v>
      </c>
    </row>
    <row r="49" spans="1:8" ht="20.100000000000001" customHeight="1" x14ac:dyDescent="0.2">
      <c r="A49" s="80" t="s">
        <v>1</v>
      </c>
      <c r="D49" s="19" t="s">
        <v>624</v>
      </c>
      <c r="E49" s="19" t="s">
        <v>2205</v>
      </c>
      <c r="F49" s="19">
        <v>16</v>
      </c>
      <c r="G49" s="19">
        <v>12</v>
      </c>
      <c r="H49" s="19">
        <f>Table_GasToMolecularConversionFactor[[#This Row],[Conversion factor 1]]/Table_GasToMolecularConversionFactor[[#This Row],[Conversion factor 2]]</f>
        <v>1.3333333333333333</v>
      </c>
    </row>
    <row r="50" spans="1:8" ht="20.100000000000001" customHeight="1" x14ac:dyDescent="0.2">
      <c r="A50" s="5" t="str">
        <f>HYPERLINK("#'Constants - Poultry'!A1", "Constants - Poultry")</f>
        <v>Constants - Poultry</v>
      </c>
      <c r="D50" s="19" t="s">
        <v>625</v>
      </c>
      <c r="E50" s="19" t="s">
        <v>2206</v>
      </c>
      <c r="F50" s="19">
        <v>44</v>
      </c>
      <c r="G50" s="19">
        <v>28</v>
      </c>
      <c r="H50" s="19">
        <f>Table_GasToMolecularConversionFactor[[#This Row],[Conversion factor 1]]/Table_GasToMolecularConversionFactor[[#This Row],[Conversion factor 2]]</f>
        <v>1.5714285714285714</v>
      </c>
    </row>
    <row r="51" spans="1:8" ht="20.100000000000001" customHeight="1" x14ac:dyDescent="0.2">
      <c r="A51" s="5" t="str">
        <f>HYPERLINK("#'Constants - Common livestock'!A1", "Constants - Common Livestock")</f>
        <v>Constants - Common Livestock</v>
      </c>
      <c r="D51" s="19" t="s">
        <v>2207</v>
      </c>
      <c r="E51" s="19" t="s">
        <v>2208</v>
      </c>
      <c r="F51" s="19">
        <v>46</v>
      </c>
      <c r="G51" s="19">
        <v>14</v>
      </c>
      <c r="H51" s="19">
        <f>Table_GasToMolecularConversionFactor[[#This Row],[Conversion factor 1]]/Table_GasToMolecularConversionFactor[[#This Row],[Conversion factor 2]]</f>
        <v>3.2857142857142856</v>
      </c>
    </row>
    <row r="52" spans="1:8" ht="20.100000000000001" customHeight="1" x14ac:dyDescent="0.2">
      <c r="A52" s="5" t="str">
        <f>HYPERLINK("#'Constants - Electricity'!A1", "Constants - Electricity")</f>
        <v>Constants - Electricity</v>
      </c>
      <c r="D52" s="19" t="s">
        <v>2209</v>
      </c>
      <c r="E52" s="19" t="s">
        <v>2210</v>
      </c>
      <c r="F52" s="19">
        <v>28</v>
      </c>
      <c r="G52" s="19">
        <v>12</v>
      </c>
      <c r="H52" s="19">
        <f>Table_GasToMolecularConversionFactor[[#This Row],[Conversion factor 1]]/Table_GasToMolecularConversionFactor[[#This Row],[Conversion factor 2]]</f>
        <v>2.3333333333333335</v>
      </c>
    </row>
    <row r="53" spans="1:8" ht="20.100000000000001" customHeight="1" x14ac:dyDescent="0.2">
      <c r="A53" s="5" t="str">
        <f>HYPERLINK("#'Constants - Fertiliser'!A1", "Constants - Fertiliser")</f>
        <v>Constants - Fertiliser</v>
      </c>
      <c r="D53" s="19" t="s">
        <v>2211</v>
      </c>
      <c r="E53" s="19" t="s">
        <v>2204</v>
      </c>
      <c r="F53" s="19">
        <v>44</v>
      </c>
      <c r="G53" s="19">
        <v>12</v>
      </c>
      <c r="H53" s="19">
        <f>Table_GasToMolecularConversionFactor[[#This Row],[Conversion factor 1]]/Table_GasToMolecularConversionFactor[[#This Row],[Conversion factor 2]]</f>
        <v>3.6666666666666665</v>
      </c>
    </row>
    <row r="54" spans="1:8" ht="20.100000000000001" customHeight="1" x14ac:dyDescent="0.2">
      <c r="A54" s="5" t="str">
        <f>HYPERLINK("#'Constants - Fuel'!A1", "Constants - Fuel")</f>
        <v>Constants - Fuel</v>
      </c>
      <c r="D54" s="19" t="s">
        <v>2212</v>
      </c>
      <c r="E54" s="19" t="s">
        <v>2213</v>
      </c>
      <c r="F54" s="19">
        <v>14</v>
      </c>
      <c r="G54" s="19">
        <v>12</v>
      </c>
      <c r="H54" s="19">
        <f>Table_GasToMolecularConversionFactor[[#This Row],[Conversion factor 1]]/Table_GasToMolecularConversionFactor[[#This Row],[Conversion factor 2]]</f>
        <v>1.1666666666666667</v>
      </c>
    </row>
    <row r="55" spans="1:8" ht="20.100000000000001" customHeight="1" x14ac:dyDescent="0.2">
      <c r="A55" s="5" t="str">
        <f>HYPERLINK("#'Constants - Scope 3'!A1", "Constants - Scope 3")</f>
        <v>Constants - Scope 3</v>
      </c>
    </row>
    <row r="56" spans="1:8" ht="20.100000000000001" customHeight="1" x14ac:dyDescent="0.2">
      <c r="A56" s="5" t="str">
        <f>HYPERLINK("#'Constants - Solid Waste'!A1", "Constants - Solid Waste")</f>
        <v>Constants - Solid Waste</v>
      </c>
    </row>
    <row r="57" spans="1:8" ht="20.100000000000001" customHeight="1" x14ac:dyDescent="0.2">
      <c r="A57" s="81" t="str">
        <f>HYPERLINK("#'Constants - Common'!A1", "Constants - Common")</f>
        <v>Constants - Common</v>
      </c>
      <c r="D57" s="2" t="s">
        <v>2214</v>
      </c>
    </row>
    <row r="58" spans="1:8" ht="20.100000000000001" customHeight="1" x14ac:dyDescent="0.2">
      <c r="A58"/>
      <c r="D58" s="17" t="s">
        <v>2215</v>
      </c>
    </row>
    <row r="59" spans="1:8" ht="20.100000000000001" customHeight="1" x14ac:dyDescent="0.2">
      <c r="A59"/>
      <c r="D59" s="25" t="str" cm="1">
        <f t="array" ref="D59:D61">"⚠️" &amp; Common_SourceData.Common_SourceData_WetAndDryZones_Variation()</f>
        <v>⚠️VARIATION OF SOURCE DATA:</v>
      </c>
    </row>
    <row r="60" spans="1:8" ht="20.100000000000001" customHeight="1" x14ac:dyDescent="0.2">
      <c r="A60"/>
      <c r="D60" s="25" t="str">
        <v>⚠️Added warm / cool temperate moist / dry - low frost and high temp classes to accommodate climate scenarios excluded by VEERG criteria.</v>
      </c>
    </row>
    <row r="61" spans="1:8" ht="20.100000000000001" customHeight="1" x14ac:dyDescent="0.2">
      <c r="A61"/>
      <c r="D61" s="25" t="str">
        <v>⚠️Fixed typo - Changed 'Fry' to 'Dry'.</v>
      </c>
    </row>
    <row r="62" spans="1:8" ht="20.100000000000001" customHeight="1" x14ac:dyDescent="0.2">
      <c r="A62"/>
    </row>
    <row r="63" spans="1:8" ht="20.100000000000001" customHeight="1" x14ac:dyDescent="0.2">
      <c r="A63"/>
      <c r="D63" s="19" t="s">
        <v>31</v>
      </c>
      <c r="E63" s="19" t="s">
        <v>32</v>
      </c>
    </row>
    <row r="64" spans="1:8" ht="20.100000000000001" customHeight="1" x14ac:dyDescent="0.2">
      <c r="A64"/>
      <c r="D64" s="19" t="s">
        <v>2216</v>
      </c>
      <c r="E64" s="19" t="s">
        <v>2217</v>
      </c>
    </row>
    <row r="65" spans="1:5" ht="20.100000000000001" customHeight="1" x14ac:dyDescent="0.2">
      <c r="A65"/>
      <c r="D65" s="19" t="s">
        <v>2218</v>
      </c>
      <c r="E65" s="19" t="s">
        <v>2217</v>
      </c>
    </row>
    <row r="66" spans="1:5" ht="20.100000000000001" customHeight="1" x14ac:dyDescent="0.2">
      <c r="A66"/>
      <c r="D66" s="19" t="s">
        <v>2219</v>
      </c>
      <c r="E66" s="19" t="s">
        <v>2217</v>
      </c>
    </row>
    <row r="67" spans="1:5" ht="20.100000000000001" customHeight="1" x14ac:dyDescent="0.2">
      <c r="A67"/>
      <c r="D67" s="19" t="s">
        <v>2220</v>
      </c>
      <c r="E67" s="19" t="s">
        <v>2221</v>
      </c>
    </row>
    <row r="68" spans="1:5" ht="20.100000000000001" customHeight="1" x14ac:dyDescent="0.2">
      <c r="A68" s="79" t="str">
        <f>HYPERLINK("#A1", "▲ Back to top")</f>
        <v>▲ Back to top</v>
      </c>
      <c r="D68" s="19" t="s">
        <v>2222</v>
      </c>
      <c r="E68" s="19" t="s">
        <v>2217</v>
      </c>
    </row>
    <row r="69" spans="1:5" ht="20.100000000000001" customHeight="1" x14ac:dyDescent="0.2">
      <c r="A69"/>
      <c r="D69" s="19" t="s">
        <v>2223</v>
      </c>
      <c r="E69" s="19" t="s">
        <v>2221</v>
      </c>
    </row>
    <row r="70" spans="1:5" ht="20.100000000000001" customHeight="1" x14ac:dyDescent="0.2">
      <c r="A70"/>
      <c r="D70" s="19" t="s">
        <v>2224</v>
      </c>
      <c r="E70" s="19" t="s">
        <v>2217</v>
      </c>
    </row>
    <row r="71" spans="1:5" ht="20.100000000000001" customHeight="1" x14ac:dyDescent="0.2">
      <c r="A71"/>
      <c r="D71" s="19" t="s">
        <v>2225</v>
      </c>
      <c r="E71" s="19" t="s">
        <v>2221</v>
      </c>
    </row>
    <row r="72" spans="1:5" ht="20.100000000000001" customHeight="1" x14ac:dyDescent="0.2">
      <c r="A72"/>
      <c r="D72" s="19" t="s">
        <v>2226</v>
      </c>
      <c r="E72" s="19" t="s">
        <v>2217</v>
      </c>
    </row>
    <row r="73" spans="1:5" ht="20.100000000000001" customHeight="1" x14ac:dyDescent="0.2">
      <c r="A73"/>
      <c r="D73" s="19" t="s">
        <v>2227</v>
      </c>
      <c r="E73" s="19" t="s">
        <v>2221</v>
      </c>
    </row>
    <row r="74" spans="1:5" ht="20.100000000000001" customHeight="1" x14ac:dyDescent="0.2">
      <c r="A74"/>
      <c r="D74" s="19" t="s">
        <v>2228</v>
      </c>
      <c r="E74" s="19" t="s">
        <v>2217</v>
      </c>
    </row>
    <row r="75" spans="1:5" ht="20.100000000000001" customHeight="1" x14ac:dyDescent="0.2">
      <c r="A75"/>
      <c r="D75" s="19" t="s">
        <v>2229</v>
      </c>
      <c r="E75" s="19" t="s">
        <v>2221</v>
      </c>
    </row>
    <row r="76" spans="1:5" ht="20.100000000000001" customHeight="1" x14ac:dyDescent="0.2">
      <c r="A76"/>
      <c r="D76" s="19" t="s">
        <v>2230</v>
      </c>
      <c r="E76" s="19" t="s">
        <v>2217</v>
      </c>
    </row>
    <row r="77" spans="1:5" ht="20.100000000000001" customHeight="1" x14ac:dyDescent="0.2">
      <c r="A77"/>
      <c r="D77" s="19" t="s">
        <v>2231</v>
      </c>
      <c r="E77" s="19" t="s">
        <v>2221</v>
      </c>
    </row>
    <row r="78" spans="1:5" ht="20.100000000000001" customHeight="1" x14ac:dyDescent="0.2">
      <c r="A78"/>
    </row>
    <row r="79" spans="1:5" ht="20.100000000000001" customHeight="1" x14ac:dyDescent="0.2">
      <c r="A79"/>
    </row>
    <row r="80" spans="1:5" ht="20.100000000000001" customHeight="1" x14ac:dyDescent="0.2">
      <c r="A80"/>
    </row>
    <row r="81" spans="1:20" ht="20.100000000000001" customHeight="1" x14ac:dyDescent="0.2">
      <c r="A81"/>
      <c r="D81" s="2" t="s">
        <v>2232</v>
      </c>
    </row>
    <row r="82" spans="1:20" ht="20.100000000000001" customHeight="1" x14ac:dyDescent="0.2">
      <c r="A82"/>
      <c r="D82" s="17" t="s">
        <v>2233</v>
      </c>
    </row>
    <row r="83" spans="1:20" ht="20.100000000000001" customHeight="1" x14ac:dyDescent="0.2">
      <c r="A83"/>
      <c r="D83" s="25" t="str" cm="1">
        <f t="array" ref="D83:D87">"⚠️" &amp; Common_SourceData.Common_SourceData_ClimateZones_Variation()</f>
        <v>⚠️VARIATION OF SOURCE DATA:</v>
      </c>
    </row>
    <row r="84" spans="1:20" ht="20.100000000000001" customHeight="1" x14ac:dyDescent="0.2">
      <c r="A84"/>
      <c r="D84" s="25" t="str">
        <v>⚠️Added warm / cool temperate moist / dry - low frost and high temp classes to accommodate climate scenarios excluded by VEERG criteria.</v>
      </c>
    </row>
    <row r="85" spans="1:20" ht="20.100000000000001" customHeight="1" x14ac:dyDescent="0.2">
      <c r="A85"/>
      <c r="D85" s="25" t="str">
        <v>⚠️Fixed typo in MAT value for warm temperate dry - changed 10 to 11.</v>
      </c>
    </row>
    <row r="86" spans="1:20" ht="20.100000000000001" customHeight="1" x14ac:dyDescent="0.2">
      <c r="A86"/>
      <c r="D86" s="25" t="str">
        <v>⚠️Added min and max columns for MAT, MAP, frost days per year, elevation, MAP:PET to calculate zones from real climate data.</v>
      </c>
    </row>
    <row r="87" spans="1:20" ht="20.100000000000001" customHeight="1" x14ac:dyDescent="0.2">
      <c r="A87"/>
      <c r="D87" s="25" t="str">
        <v>⚠️GAF accepts rainfall as a proxy for precipitation.</v>
      </c>
    </row>
    <row r="88" spans="1:20" ht="20.100000000000001" customHeight="1" x14ac:dyDescent="0.2">
      <c r="A88"/>
    </row>
    <row r="89" spans="1:20" ht="20.100000000000001" customHeight="1" x14ac:dyDescent="0.2">
      <c r="A89"/>
      <c r="D89" s="19" t="s">
        <v>31</v>
      </c>
      <c r="E89" s="19" t="s">
        <v>33</v>
      </c>
      <c r="F89" s="19" t="s">
        <v>34</v>
      </c>
      <c r="G89" s="19" t="s">
        <v>35</v>
      </c>
      <c r="H89" s="19" t="s">
        <v>36</v>
      </c>
      <c r="I89" s="19" t="s">
        <v>37</v>
      </c>
      <c r="J89" s="19" t="s">
        <v>38</v>
      </c>
      <c r="K89" s="19" t="s">
        <v>39</v>
      </c>
      <c r="L89" s="19" t="s">
        <v>40</v>
      </c>
      <c r="M89" s="19" t="s">
        <v>41</v>
      </c>
      <c r="N89" s="19" t="s">
        <v>42</v>
      </c>
      <c r="O89" s="19" t="s">
        <v>43</v>
      </c>
      <c r="P89" s="19" t="s">
        <v>44</v>
      </c>
      <c r="Q89" s="19" t="s">
        <v>45</v>
      </c>
      <c r="R89" s="19" t="s">
        <v>46</v>
      </c>
      <c r="S89" s="19" t="s">
        <v>47</v>
      </c>
      <c r="T89" s="19"/>
    </row>
    <row r="90" spans="1:20" ht="20.100000000000001" customHeight="1" x14ac:dyDescent="0.2">
      <c r="A90"/>
      <c r="D90" s="19" t="s">
        <v>2216</v>
      </c>
      <c r="E90" s="19" t="s">
        <v>2234</v>
      </c>
      <c r="F90" s="19" t="s">
        <v>2235</v>
      </c>
      <c r="G90" s="19" t="s">
        <v>2236</v>
      </c>
      <c r="H90" s="19" t="s">
        <v>2237</v>
      </c>
      <c r="I90" s="19" t="s">
        <v>2235</v>
      </c>
      <c r="J90" s="19">
        <v>18.001000000000001</v>
      </c>
      <c r="K90" s="19">
        <v>999999</v>
      </c>
      <c r="L90" s="19">
        <v>-999999</v>
      </c>
      <c r="M90" s="19">
        <v>999999</v>
      </c>
      <c r="N90" s="19">
        <v>-999999</v>
      </c>
      <c r="O90" s="19">
        <v>7</v>
      </c>
      <c r="P90" s="19">
        <v>1000</v>
      </c>
      <c r="Q90" s="19">
        <v>999999</v>
      </c>
      <c r="R90" s="19">
        <v>-999999</v>
      </c>
      <c r="S90" s="19">
        <v>999999</v>
      </c>
      <c r="T90" s="19"/>
    </row>
    <row r="91" spans="1:20" ht="20.100000000000001" customHeight="1" x14ac:dyDescent="0.2">
      <c r="A91"/>
      <c r="D91" s="19" t="s">
        <v>2218</v>
      </c>
      <c r="E91" s="19" t="s">
        <v>2234</v>
      </c>
      <c r="F91" s="19" t="s">
        <v>2238</v>
      </c>
      <c r="G91" s="19" t="s">
        <v>2236</v>
      </c>
      <c r="H91" s="19" t="s">
        <v>2239</v>
      </c>
      <c r="I91" s="19" t="s">
        <v>2235</v>
      </c>
      <c r="J91" s="19">
        <v>18.001000000000001</v>
      </c>
      <c r="K91" s="19">
        <v>999999</v>
      </c>
      <c r="L91" s="19">
        <v>2000.001</v>
      </c>
      <c r="M91" s="19">
        <v>999999</v>
      </c>
      <c r="N91" s="19">
        <v>-999999</v>
      </c>
      <c r="O91" s="19">
        <v>7</v>
      </c>
      <c r="P91" s="19">
        <v>-999999</v>
      </c>
      <c r="Q91" s="19">
        <v>999.99900000000002</v>
      </c>
      <c r="R91" s="19">
        <v>-999999</v>
      </c>
      <c r="S91" s="19">
        <v>999999</v>
      </c>
      <c r="T91" s="19"/>
    </row>
    <row r="92" spans="1:20" ht="20.100000000000001" customHeight="1" x14ac:dyDescent="0.2">
      <c r="A92"/>
      <c r="D92" s="19" t="s">
        <v>2219</v>
      </c>
      <c r="E92" s="19" t="s">
        <v>2234</v>
      </c>
      <c r="F92" s="19" t="s">
        <v>2240</v>
      </c>
      <c r="G92" s="19" t="s">
        <v>2236</v>
      </c>
      <c r="H92" s="19" t="s">
        <v>2239</v>
      </c>
      <c r="I92" s="19" t="s">
        <v>2235</v>
      </c>
      <c r="J92" s="19">
        <v>18.001000000000001</v>
      </c>
      <c r="K92" s="19">
        <v>999999</v>
      </c>
      <c r="L92" s="19">
        <v>1000.001</v>
      </c>
      <c r="M92" s="19">
        <v>2000</v>
      </c>
      <c r="N92" s="19">
        <v>-999999</v>
      </c>
      <c r="O92" s="19">
        <v>7</v>
      </c>
      <c r="P92" s="19">
        <v>-999999</v>
      </c>
      <c r="Q92" s="19">
        <v>999.99900000000002</v>
      </c>
      <c r="R92" s="19">
        <v>-999999</v>
      </c>
      <c r="S92" s="19">
        <v>999999</v>
      </c>
      <c r="T92" s="19"/>
    </row>
    <row r="93" spans="1:20" ht="20.100000000000001" customHeight="1" x14ac:dyDescent="0.2">
      <c r="A93"/>
      <c r="D93" s="19" t="s">
        <v>2220</v>
      </c>
      <c r="E93" s="19" t="s">
        <v>2234</v>
      </c>
      <c r="F93" s="19" t="s">
        <v>2241</v>
      </c>
      <c r="G93" s="19" t="s">
        <v>2236</v>
      </c>
      <c r="H93" s="19" t="s">
        <v>2239</v>
      </c>
      <c r="I93" s="19" t="s">
        <v>2235</v>
      </c>
      <c r="J93" s="19">
        <v>18.001000000000001</v>
      </c>
      <c r="K93" s="19">
        <v>999999</v>
      </c>
      <c r="L93" s="19">
        <v>-999999</v>
      </c>
      <c r="M93" s="19">
        <v>1000</v>
      </c>
      <c r="N93" s="19">
        <v>-999999</v>
      </c>
      <c r="O93" s="19">
        <v>7</v>
      </c>
      <c r="P93" s="19">
        <v>-999999</v>
      </c>
      <c r="Q93" s="19">
        <v>999.99900000000002</v>
      </c>
      <c r="R93" s="19">
        <v>-999999</v>
      </c>
      <c r="S93" s="19">
        <v>999999</v>
      </c>
      <c r="T93" s="19"/>
    </row>
    <row r="94" spans="1:20" ht="20.100000000000001" customHeight="1" x14ac:dyDescent="0.2">
      <c r="A94"/>
      <c r="D94" s="19" t="s">
        <v>2222</v>
      </c>
      <c r="E94" s="19" t="s">
        <v>2242</v>
      </c>
      <c r="F94" s="19" t="s">
        <v>2235</v>
      </c>
      <c r="G94" s="19" t="s">
        <v>2235</v>
      </c>
      <c r="H94" s="19" t="s">
        <v>2235</v>
      </c>
      <c r="I94" s="19" t="s">
        <v>2243</v>
      </c>
      <c r="J94" s="19">
        <v>10.000999999999999</v>
      </c>
      <c r="K94" s="19">
        <v>999999</v>
      </c>
      <c r="L94" s="19">
        <v>-999999</v>
      </c>
      <c r="M94" s="19">
        <v>999999</v>
      </c>
      <c r="N94" s="19">
        <v>-999999</v>
      </c>
      <c r="O94" s="19">
        <v>999999</v>
      </c>
      <c r="P94" s="19">
        <v>-999999</v>
      </c>
      <c r="Q94" s="19">
        <v>999999</v>
      </c>
      <c r="R94" s="19">
        <v>1.0009999999999999</v>
      </c>
      <c r="S94" s="19">
        <v>999999</v>
      </c>
      <c r="T94" s="19"/>
    </row>
    <row r="95" spans="1:20" ht="20.100000000000001" customHeight="1" x14ac:dyDescent="0.2">
      <c r="A95"/>
      <c r="D95" s="19" t="s">
        <v>2223</v>
      </c>
      <c r="E95" s="19" t="s">
        <v>2242</v>
      </c>
      <c r="F95" s="19" t="s">
        <v>2235</v>
      </c>
      <c r="G95" s="19" t="s">
        <v>2235</v>
      </c>
      <c r="H95" s="19" t="s">
        <v>2235</v>
      </c>
      <c r="I95" s="19" t="s">
        <v>2244</v>
      </c>
      <c r="J95" s="19">
        <v>10.000999999999999</v>
      </c>
      <c r="K95" s="19">
        <v>999999</v>
      </c>
      <c r="L95" s="19">
        <v>-999999</v>
      </c>
      <c r="M95" s="19">
        <v>999999</v>
      </c>
      <c r="N95" s="19">
        <v>-999999</v>
      </c>
      <c r="O95" s="19">
        <v>999999</v>
      </c>
      <c r="P95" s="19">
        <v>-999999</v>
      </c>
      <c r="Q95" s="19">
        <v>999999</v>
      </c>
      <c r="R95" s="19">
        <v>-999999</v>
      </c>
      <c r="S95" s="19">
        <v>1</v>
      </c>
      <c r="T95" s="19"/>
    </row>
    <row r="96" spans="1:20" ht="20.100000000000001" customHeight="1" x14ac:dyDescent="0.2">
      <c r="A96"/>
      <c r="D96" s="19" t="s">
        <v>2224</v>
      </c>
      <c r="E96" s="19" t="s">
        <v>2245</v>
      </c>
      <c r="F96" s="19" t="s">
        <v>2235</v>
      </c>
      <c r="G96" s="19" t="s">
        <v>2235</v>
      </c>
      <c r="H96" s="19" t="s">
        <v>2235</v>
      </c>
      <c r="I96" s="19" t="s">
        <v>2243</v>
      </c>
      <c r="J96" s="19">
        <v>-999999</v>
      </c>
      <c r="K96" s="19">
        <v>10</v>
      </c>
      <c r="L96" s="19">
        <v>-999999</v>
      </c>
      <c r="M96" s="19">
        <v>999999</v>
      </c>
      <c r="N96" s="19">
        <v>-999999</v>
      </c>
      <c r="O96" s="19">
        <v>999999</v>
      </c>
      <c r="P96" s="19">
        <v>-999999</v>
      </c>
      <c r="Q96" s="19">
        <v>999999</v>
      </c>
      <c r="R96" s="19">
        <v>1.0009999999999999</v>
      </c>
      <c r="S96" s="19">
        <v>999999</v>
      </c>
      <c r="T96" s="19"/>
    </row>
    <row r="97" spans="1:20" ht="20.100000000000001" customHeight="1" x14ac:dyDescent="0.2">
      <c r="A97"/>
      <c r="D97" s="19" t="s">
        <v>2225</v>
      </c>
      <c r="E97" s="19" t="s">
        <v>2245</v>
      </c>
      <c r="F97" s="19" t="s">
        <v>2235</v>
      </c>
      <c r="G97" s="19" t="s">
        <v>2235</v>
      </c>
      <c r="H97" s="19" t="s">
        <v>2235</v>
      </c>
      <c r="I97" s="19" t="s">
        <v>2244</v>
      </c>
      <c r="J97" s="19">
        <v>-999999</v>
      </c>
      <c r="K97" s="19">
        <v>10</v>
      </c>
      <c r="L97" s="19">
        <v>-999999</v>
      </c>
      <c r="M97" s="19">
        <v>999999</v>
      </c>
      <c r="N97" s="19">
        <v>-999999</v>
      </c>
      <c r="O97" s="19">
        <v>999999</v>
      </c>
      <c r="P97" s="19">
        <v>-999999</v>
      </c>
      <c r="Q97" s="19">
        <v>999999</v>
      </c>
      <c r="R97" s="19">
        <v>-999999</v>
      </c>
      <c r="S97" s="19">
        <v>1</v>
      </c>
      <c r="T97" s="19"/>
    </row>
    <row r="98" spans="1:20" ht="20.100000000000001" customHeight="1" x14ac:dyDescent="0.2">
      <c r="A98" s="79" t="str">
        <f>HYPERLINK("#A1", "▲ Back to top")</f>
        <v>▲ Back to top</v>
      </c>
    </row>
    <row r="99" spans="1:20" ht="20.100000000000001" customHeight="1" x14ac:dyDescent="0.2">
      <c r="A99"/>
      <c r="D99" s="9" t="s">
        <v>2246</v>
      </c>
    </row>
    <row r="100" spans="1:20" ht="20.100000000000001" customHeight="1" x14ac:dyDescent="0.2">
      <c r="A100"/>
      <c r="D100" s="9" t="s">
        <v>2247</v>
      </c>
    </row>
    <row r="101" spans="1:20" ht="20.100000000000001" customHeight="1" x14ac:dyDescent="0.2">
      <c r="A101"/>
      <c r="D101" s="9" t="s">
        <v>2248</v>
      </c>
    </row>
    <row r="102" spans="1:20" ht="20.100000000000001" customHeight="1" x14ac:dyDescent="0.2">
      <c r="A102"/>
      <c r="D102" s="9" t="s">
        <v>2249</v>
      </c>
    </row>
    <row r="103" spans="1:20" ht="20.100000000000001" customHeight="1" x14ac:dyDescent="0.2">
      <c r="A103"/>
      <c r="D103" s="9"/>
    </row>
    <row r="104" spans="1:20" ht="20.100000000000001" customHeight="1" x14ac:dyDescent="0.2">
      <c r="A104"/>
    </row>
    <row r="105" spans="1:20" ht="20.100000000000001" customHeight="1" x14ac:dyDescent="0.2">
      <c r="A105"/>
      <c r="D105" s="2" t="s">
        <v>2250</v>
      </c>
    </row>
    <row r="106" spans="1:20" ht="20.100000000000001" customHeight="1" x14ac:dyDescent="0.2">
      <c r="A106"/>
      <c r="D106" s="17" t="s">
        <v>2233</v>
      </c>
    </row>
    <row r="107" spans="1:20" ht="20.100000000000001" customHeight="1" x14ac:dyDescent="0.2">
      <c r="A107"/>
      <c r="D107" s="25"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
      <c r="A108"/>
    </row>
    <row r="109" spans="1:20" ht="20.100000000000001" customHeight="1" x14ac:dyDescent="0.2">
      <c r="A109"/>
      <c r="D109" s="19" t="s">
        <v>48</v>
      </c>
      <c r="E109" s="19" t="s">
        <v>33</v>
      </c>
      <c r="F109" s="19" t="s">
        <v>49</v>
      </c>
      <c r="G109" s="19" t="s">
        <v>50</v>
      </c>
    </row>
    <row r="110" spans="1:20" ht="20.100000000000001" customHeight="1" x14ac:dyDescent="0.2">
      <c r="A110"/>
      <c r="D110" s="19" t="s">
        <v>2251</v>
      </c>
      <c r="E110" s="19" t="s">
        <v>2252</v>
      </c>
      <c r="F110" s="19">
        <v>26</v>
      </c>
      <c r="G110" s="19">
        <v>999999</v>
      </c>
    </row>
    <row r="111" spans="1:20" ht="20.100000000000001" customHeight="1" x14ac:dyDescent="0.2">
      <c r="A111"/>
      <c r="D111" s="19" t="s">
        <v>2253</v>
      </c>
      <c r="E111" s="19" t="s">
        <v>2254</v>
      </c>
      <c r="F111" s="19">
        <v>15</v>
      </c>
      <c r="G111" s="19">
        <v>25.998999999999999</v>
      </c>
    </row>
    <row r="112" spans="1:20" ht="20.100000000000001" customHeight="1" x14ac:dyDescent="0.2">
      <c r="A112"/>
      <c r="D112" s="19" t="s">
        <v>2255</v>
      </c>
      <c r="E112" s="19" t="s">
        <v>2256</v>
      </c>
      <c r="F112" s="19">
        <v>-999999</v>
      </c>
      <c r="G112" s="19">
        <v>14.999000000000001</v>
      </c>
    </row>
    <row r="113" spans="1:66" ht="20.100000000000001" customHeight="1" x14ac:dyDescent="0.2">
      <c r="A113"/>
    </row>
    <row r="114" spans="1:66" ht="20.100000000000001" customHeight="1" x14ac:dyDescent="0.2">
      <c r="A114"/>
    </row>
    <row r="115" spans="1:66" ht="20.100000000000001" customHeight="1" x14ac:dyDescent="0.2">
      <c r="A115"/>
      <c r="D115" s="2" t="s">
        <v>2257</v>
      </c>
      <c r="BN115" s="21"/>
    </row>
    <row r="116" spans="1:66" ht="20.100000000000001" customHeight="1" x14ac:dyDescent="0.2">
      <c r="A116"/>
      <c r="D116" s="17" t="s">
        <v>2233</v>
      </c>
      <c r="BN116" s="21"/>
    </row>
    <row r="117" spans="1:66" ht="20.100000000000001" customHeight="1" x14ac:dyDescent="0.2">
      <c r="A117"/>
      <c r="D117" s="25" t="str" cm="1">
        <f t="array" ref="D117">"⚠️" &amp; Common_SourceData.Common_SourceData_RainfallZones_Variation()</f>
        <v>⚠️VARIATION OF SOURCE DATA: Added extra Rainfall min and Rainfall max columns to calculate zone from real rainfall data.</v>
      </c>
      <c r="BN117" s="21"/>
    </row>
    <row r="118" spans="1:66" ht="20.100000000000001" customHeight="1" x14ac:dyDescent="0.2">
      <c r="A118"/>
      <c r="BN118" s="21"/>
    </row>
    <row r="119" spans="1:66" ht="20.100000000000001" customHeight="1" x14ac:dyDescent="0.2">
      <c r="A119"/>
      <c r="D119" s="19" t="s">
        <v>51</v>
      </c>
      <c r="E119" s="19" t="s">
        <v>52</v>
      </c>
      <c r="F119" s="19" t="s">
        <v>40</v>
      </c>
      <c r="G119" s="19" t="s">
        <v>41</v>
      </c>
      <c r="BN119" s="21"/>
    </row>
    <row r="120" spans="1:66" ht="20.100000000000001" customHeight="1" x14ac:dyDescent="0.2">
      <c r="A120"/>
      <c r="D120" s="19" t="s">
        <v>2258</v>
      </c>
      <c r="E120" s="19" t="s">
        <v>2259</v>
      </c>
      <c r="F120" s="19">
        <v>600.00099999999998</v>
      </c>
      <c r="G120" s="19">
        <v>999999</v>
      </c>
      <c r="BN120" s="21"/>
    </row>
    <row r="121" spans="1:66" ht="20.100000000000001" customHeight="1" x14ac:dyDescent="0.2">
      <c r="A121"/>
      <c r="D121" s="19" t="s">
        <v>2260</v>
      </c>
      <c r="E121" s="19" t="s">
        <v>2261</v>
      </c>
      <c r="F121" s="19">
        <v>-999999</v>
      </c>
      <c r="G121" s="19">
        <v>600</v>
      </c>
      <c r="BN121" s="21"/>
    </row>
    <row r="122" spans="1:66" ht="20.100000000000001" customHeight="1" x14ac:dyDescent="0.2">
      <c r="A122"/>
      <c r="BN122" s="21"/>
    </row>
    <row r="123" spans="1:66" ht="20.100000000000001" customHeight="1" x14ac:dyDescent="0.2">
      <c r="A123"/>
    </row>
    <row r="124" spans="1:66" ht="20.100000000000001" customHeight="1" x14ac:dyDescent="0.2">
      <c r="A124"/>
      <c r="D124" s="2" t="s">
        <v>2262</v>
      </c>
    </row>
    <row r="125" spans="1:66" ht="20.100000000000001" customHeight="1" x14ac:dyDescent="0.2">
      <c r="A125"/>
      <c r="D125" s="17" t="s">
        <v>2233</v>
      </c>
    </row>
    <row r="126" spans="1:66" ht="20.100000000000001" customHeight="1" x14ac:dyDescent="0.2">
      <c r="A126"/>
    </row>
    <row r="127" spans="1:66" ht="20.100000000000001" customHeight="1" x14ac:dyDescent="0.2">
      <c r="A127"/>
      <c r="D127" s="19" t="s">
        <v>53</v>
      </c>
      <c r="E127" s="19" t="s">
        <v>54</v>
      </c>
    </row>
    <row r="128" spans="1:66" ht="20.100000000000001" customHeight="1" x14ac:dyDescent="0.2">
      <c r="A128" s="79" t="str">
        <f>HYPERLINK("#A1", "▲ Back to top")</f>
        <v>▲ Back to top</v>
      </c>
      <c r="D128" s="19" t="s">
        <v>2263</v>
      </c>
      <c r="E128" s="19" t="s">
        <v>2264</v>
      </c>
    </row>
    <row r="129" spans="1:77" ht="20.100000000000001" customHeight="1" x14ac:dyDescent="0.2">
      <c r="A129"/>
      <c r="D129" s="19" t="s">
        <v>2265</v>
      </c>
      <c r="E129" s="19" t="s">
        <v>2266</v>
      </c>
    </row>
    <row r="130" spans="1:77" ht="20.100000000000001" customHeight="1" x14ac:dyDescent="0.2">
      <c r="A130"/>
    </row>
    <row r="131" spans="1:77" ht="20.100000000000001" customHeight="1" x14ac:dyDescent="0.2">
      <c r="A131"/>
    </row>
    <row r="132" spans="1:77" ht="20.100000000000001" customHeight="1" x14ac:dyDescent="0.2">
      <c r="A132"/>
      <c r="D132" s="2" t="s">
        <v>2267</v>
      </c>
      <c r="E132" s="8"/>
    </row>
    <row r="133" spans="1:77" ht="20.100000000000001" customHeight="1" x14ac:dyDescent="0.2">
      <c r="A133"/>
      <c r="D133" s="17" t="s">
        <v>2268</v>
      </c>
      <c r="E133" s="8"/>
    </row>
    <row r="134" spans="1:77" ht="20.100000000000001" customHeight="1" x14ac:dyDescent="0.2">
      <c r="A134"/>
      <c r="D134" t="s">
        <v>55</v>
      </c>
      <c r="E134" t="s">
        <v>56</v>
      </c>
    </row>
    <row r="135" spans="1:77" ht="20.100000000000001" customHeight="1" x14ac:dyDescent="0.2">
      <c r="A135"/>
      <c r="D135" t="s">
        <v>2269</v>
      </c>
      <c r="E135">
        <v>1</v>
      </c>
    </row>
    <row r="136" spans="1:77" ht="20.100000000000001" customHeight="1" x14ac:dyDescent="0.2">
      <c r="A136"/>
      <c r="D136" s="1" t="s">
        <v>2270</v>
      </c>
      <c r="E136" s="19">
        <v>0</v>
      </c>
    </row>
    <row r="137" spans="1:77" ht="20.100000000000001" customHeight="1" x14ac:dyDescent="0.2">
      <c r="A137"/>
    </row>
    <row r="138" spans="1:77" ht="20.100000000000001" customHeight="1" x14ac:dyDescent="0.2">
      <c r="A138"/>
      <c r="BN138" s="21"/>
      <c r="BO138" s="21"/>
      <c r="BP138" s="21"/>
      <c r="BQ138" s="21"/>
      <c r="BR138" s="21"/>
      <c r="BS138" s="21"/>
      <c r="BT138" s="21"/>
      <c r="BU138" s="21"/>
      <c r="BV138" s="21"/>
      <c r="BW138" s="21"/>
      <c r="BX138" s="21"/>
      <c r="BY138" s="21"/>
    </row>
    <row r="139" spans="1:77" ht="20.100000000000001" customHeight="1" x14ac:dyDescent="0.2">
      <c r="A139"/>
      <c r="D139" s="2" t="s">
        <v>2271</v>
      </c>
      <c r="BN139" s="21"/>
      <c r="BO139" s="21"/>
      <c r="BP139" s="21"/>
      <c r="BQ139" s="21"/>
      <c r="BR139" s="21"/>
      <c r="BS139" s="21"/>
      <c r="BT139" s="21"/>
      <c r="BU139" s="21"/>
      <c r="BV139" s="21"/>
      <c r="BW139" s="21"/>
      <c r="BX139" s="21"/>
      <c r="BY139" s="21"/>
    </row>
    <row r="140" spans="1:77" ht="20.100000000000001" customHeight="1" x14ac:dyDescent="0.2">
      <c r="A140"/>
      <c r="D140" s="17" t="s">
        <v>2272</v>
      </c>
      <c r="BN140" s="21"/>
      <c r="BO140" s="21"/>
      <c r="BP140" s="21"/>
      <c r="BQ140" s="21"/>
      <c r="BR140" s="21"/>
      <c r="BS140" s="21"/>
      <c r="BT140" s="21"/>
      <c r="BU140" s="21"/>
      <c r="BV140" s="21"/>
      <c r="BW140" s="21"/>
      <c r="BX140" s="21"/>
      <c r="BY140" s="21"/>
    </row>
    <row r="141" spans="1:77" ht="20.100000000000001" customHeight="1" x14ac:dyDescent="0.2">
      <c r="A141"/>
      <c r="D141" s="25" t="s">
        <v>2273</v>
      </c>
      <c r="BN141" s="21"/>
    </row>
    <row r="142" spans="1:77" ht="20.100000000000001" customHeight="1" x14ac:dyDescent="0.2">
      <c r="A142"/>
      <c r="D142" s="19" t="s">
        <v>57</v>
      </c>
      <c r="E142" s="19" t="s">
        <v>56</v>
      </c>
      <c r="BN142" s="21"/>
    </row>
    <row r="143" spans="1:77" ht="20.100000000000001" customHeight="1" x14ac:dyDescent="0.2">
      <c r="A143"/>
      <c r="D143" s="19" t="s">
        <v>515</v>
      </c>
      <c r="E143" s="19">
        <v>0</v>
      </c>
      <c r="BN143" s="21"/>
    </row>
    <row r="144" spans="1:77" ht="20.100000000000001" customHeight="1" x14ac:dyDescent="0.2">
      <c r="A144"/>
      <c r="D144" s="1" t="s">
        <v>516</v>
      </c>
      <c r="E144" s="19">
        <v>0</v>
      </c>
      <c r="BN144" s="21"/>
    </row>
    <row r="145" spans="1:66" ht="20.100000000000001" customHeight="1" x14ac:dyDescent="0.2">
      <c r="A145"/>
      <c r="D145" s="1" t="s">
        <v>326</v>
      </c>
      <c r="E145" s="19">
        <v>1</v>
      </c>
      <c r="BN145" s="21"/>
    </row>
    <row r="146" spans="1:66" ht="20.100000000000001" customHeight="1" x14ac:dyDescent="0.2">
      <c r="A146"/>
      <c r="D146" s="1" t="s">
        <v>517</v>
      </c>
      <c r="E146" s="19">
        <v>1</v>
      </c>
      <c r="BN146" s="21"/>
    </row>
    <row r="147" spans="1:66" ht="20.100000000000001" customHeight="1" x14ac:dyDescent="0.2">
      <c r="A147"/>
      <c r="D147" s="1" t="s">
        <v>518</v>
      </c>
      <c r="E147" s="19">
        <v>1</v>
      </c>
      <c r="BN147" s="21"/>
    </row>
    <row r="148" spans="1:66" ht="20.100000000000001" customHeight="1" x14ac:dyDescent="0.2">
      <c r="A148"/>
      <c r="BN148" s="21"/>
    </row>
    <row r="149" spans="1:66" ht="20.100000000000001" customHeight="1" x14ac:dyDescent="0.2">
      <c r="A149"/>
      <c r="BN149" s="21"/>
    </row>
    <row r="150" spans="1:66" ht="20.100000000000001" customHeight="1" x14ac:dyDescent="0.2">
      <c r="A150"/>
      <c r="D150" s="2" t="s">
        <v>2274</v>
      </c>
      <c r="BN150" s="21"/>
    </row>
    <row r="151" spans="1:66" ht="20.100000000000001" customHeight="1" x14ac:dyDescent="0.2">
      <c r="A151"/>
      <c r="D151" s="17" t="s">
        <v>2275</v>
      </c>
      <c r="BN151" s="21"/>
    </row>
    <row r="152" spans="1:66" ht="20.100000000000001" customHeight="1" x14ac:dyDescent="0.2">
      <c r="A152"/>
      <c r="BN152" s="21"/>
    </row>
    <row r="153" spans="1:66" ht="20.100000000000001" customHeight="1" x14ac:dyDescent="0.2">
      <c r="A153"/>
      <c r="D153" s="19" t="s">
        <v>58</v>
      </c>
      <c r="E153" s="19" t="s">
        <v>59</v>
      </c>
      <c r="BC153" s="24"/>
      <c r="BD153" s="24"/>
      <c r="BE153" s="24"/>
      <c r="BF153" s="24"/>
      <c r="BG153" s="24"/>
      <c r="BH153" s="24"/>
      <c r="BI153" s="24"/>
      <c r="BJ153" s="24"/>
      <c r="BK153" s="24"/>
      <c r="BL153" s="24"/>
      <c r="BM153" s="24"/>
    </row>
    <row r="154" spans="1:66" ht="20.100000000000001" customHeight="1" x14ac:dyDescent="0.2">
      <c r="A154"/>
      <c r="D154" s="19" t="s">
        <v>2276</v>
      </c>
      <c r="E154" s="19">
        <v>1</v>
      </c>
      <c r="BC154" s="24"/>
      <c r="BD154" s="24"/>
      <c r="BE154" s="24"/>
      <c r="BF154" s="24"/>
      <c r="BG154" s="24"/>
      <c r="BH154" s="24"/>
      <c r="BI154" s="24"/>
      <c r="BJ154" s="24"/>
      <c r="BK154" s="24"/>
      <c r="BL154" s="24"/>
      <c r="BM154" s="24"/>
    </row>
    <row r="155" spans="1:66" ht="20.100000000000001" customHeight="1" x14ac:dyDescent="0.2">
      <c r="A155"/>
      <c r="D155" s="19" t="s">
        <v>2277</v>
      </c>
      <c r="E155" s="19">
        <v>2</v>
      </c>
      <c r="BC155" s="24"/>
      <c r="BD155" s="24"/>
      <c r="BE155" s="24"/>
      <c r="BF155" s="24"/>
      <c r="BG155" s="24"/>
      <c r="BH155" s="24"/>
      <c r="BI155" s="24"/>
      <c r="BJ155" s="24"/>
      <c r="BK155" s="24"/>
      <c r="BL155" s="24"/>
      <c r="BM155" s="24"/>
    </row>
    <row r="156" spans="1:66" ht="20.100000000000001" customHeight="1" x14ac:dyDescent="0.2">
      <c r="A156"/>
      <c r="D156" s="19" t="s">
        <v>2278</v>
      </c>
      <c r="E156" s="19">
        <v>3</v>
      </c>
    </row>
    <row r="157" spans="1:66" ht="20.100000000000001" customHeight="1" x14ac:dyDescent="0.2">
      <c r="A157"/>
      <c r="D157" s="19" t="s">
        <v>2279</v>
      </c>
      <c r="E157" s="19">
        <v>4</v>
      </c>
    </row>
    <row r="158" spans="1:66" ht="20.100000000000001" customHeight="1" x14ac:dyDescent="0.2">
      <c r="A158" s="79" t="str">
        <f>HYPERLINK("#A1", "▲ Back to top")</f>
        <v>▲ Back to top</v>
      </c>
      <c r="D158" s="19" t="s">
        <v>1048</v>
      </c>
      <c r="E158" s="19">
        <v>5</v>
      </c>
    </row>
    <row r="159" spans="1:66" ht="20.100000000000001" customHeight="1" x14ac:dyDescent="0.2">
      <c r="A159"/>
    </row>
    <row r="160" spans="1:66" ht="20.100000000000001" customHeight="1" x14ac:dyDescent="0.2">
      <c r="A160"/>
    </row>
    <row r="161" spans="1:68" ht="20.100000000000001" customHeight="1" x14ac:dyDescent="0.2">
      <c r="A161"/>
      <c r="D161" s="2" t="s">
        <v>2267</v>
      </c>
      <c r="E161" s="8"/>
    </row>
    <row r="162" spans="1:68" ht="20.100000000000001" customHeight="1" x14ac:dyDescent="0.2">
      <c r="A162"/>
      <c r="D162" s="17" t="s">
        <v>2268</v>
      </c>
      <c r="E162" s="8"/>
    </row>
    <row r="163" spans="1:68" ht="20.100000000000001" customHeight="1" x14ac:dyDescent="0.2">
      <c r="A163"/>
      <c r="D163" s="17" t="s">
        <v>2280</v>
      </c>
      <c r="E163" s="8"/>
    </row>
    <row r="164" spans="1:68" ht="20.100000000000001" customHeight="1" x14ac:dyDescent="0.2">
      <c r="A164"/>
      <c r="D164" s="8" t="s">
        <v>1656</v>
      </c>
      <c r="E164" s="8">
        <v>0.24</v>
      </c>
    </row>
    <row r="165" spans="1:68" ht="20.100000000000001" customHeight="1" x14ac:dyDescent="0.2">
      <c r="A165"/>
      <c r="BN165" s="21"/>
      <c r="BO165" s="21"/>
      <c r="BP165" s="21"/>
    </row>
    <row r="166" spans="1:68" ht="20.100000000000001" customHeight="1" x14ac:dyDescent="0.2">
      <c r="A166"/>
      <c r="BN166" s="21"/>
      <c r="BO166" s="21"/>
      <c r="BP166" s="21"/>
    </row>
    <row r="167" spans="1:68" ht="20.100000000000001" customHeight="1" x14ac:dyDescent="0.2">
      <c r="A167"/>
      <c r="D167" s="2" t="s">
        <v>1811</v>
      </c>
      <c r="BN167" s="21"/>
      <c r="BO167" s="21"/>
      <c r="BP167" s="21"/>
    </row>
    <row r="168" spans="1:68" ht="20.100000000000001" customHeight="1" x14ac:dyDescent="0.2">
      <c r="A168"/>
      <c r="D168" s="17" t="s">
        <v>2268</v>
      </c>
      <c r="BN168" s="21"/>
      <c r="BO168" s="21"/>
      <c r="BP168" s="21"/>
    </row>
    <row r="169" spans="1:68" ht="20.100000000000001" customHeight="1" x14ac:dyDescent="0.2">
      <c r="A169"/>
      <c r="D169" s="17" t="s">
        <v>2281</v>
      </c>
      <c r="BN169" s="21"/>
      <c r="BO169" s="21"/>
      <c r="BP169" s="21"/>
    </row>
    <row r="170" spans="1:68" ht="20.100000000000001" customHeight="1" x14ac:dyDescent="0.2">
      <c r="A170"/>
      <c r="D170" s="1" t="s">
        <v>2282</v>
      </c>
      <c r="E170" s="1">
        <v>1.0999999999999999E-2</v>
      </c>
      <c r="BN170" s="21"/>
      <c r="BO170" s="21"/>
      <c r="BP170" s="21"/>
    </row>
    <row r="171" spans="1:68" ht="20.100000000000001" customHeight="1" x14ac:dyDescent="0.2">
      <c r="A171"/>
      <c r="BN171" s="21"/>
      <c r="BO171" s="21"/>
      <c r="BP171" s="21"/>
    </row>
    <row r="172" spans="1:68" ht="20.100000000000001" customHeight="1" x14ac:dyDescent="0.2">
      <c r="A172"/>
      <c r="BN172" s="21"/>
      <c r="BO172" s="21"/>
      <c r="BP172" s="21"/>
    </row>
    <row r="173" spans="1:68" ht="20.100000000000001" customHeight="1" x14ac:dyDescent="0.2">
      <c r="A173"/>
      <c r="D173" s="2" t="s">
        <v>2283</v>
      </c>
      <c r="BN173" s="21"/>
      <c r="BO173" s="21"/>
      <c r="BP173" s="21"/>
    </row>
    <row r="174" spans="1:68" ht="20.100000000000001" customHeight="1" x14ac:dyDescent="0.2">
      <c r="A174"/>
      <c r="D174" s="17" t="s">
        <v>2284</v>
      </c>
      <c r="BN174" s="21"/>
      <c r="BO174" s="21"/>
      <c r="BP174" s="21"/>
    </row>
    <row r="175" spans="1:68" ht="20.100000000000001" customHeight="1" x14ac:dyDescent="0.2">
      <c r="A175"/>
      <c r="D175" s="1">
        <v>0.6784</v>
      </c>
      <c r="E175" s="9" t="s">
        <v>1221</v>
      </c>
      <c r="BN175" s="21"/>
      <c r="BO175" s="21"/>
      <c r="BP175" s="21"/>
    </row>
    <row r="176" spans="1:68" ht="20.100000000000001" customHeight="1" x14ac:dyDescent="0.2">
      <c r="A176"/>
      <c r="BN176" s="21"/>
      <c r="BO176" s="21"/>
      <c r="BP176" s="21"/>
    </row>
    <row r="177" spans="1:68" ht="20.100000000000001" customHeight="1" x14ac:dyDescent="0.2">
      <c r="A177"/>
      <c r="BN177" s="21"/>
      <c r="BO177" s="21"/>
      <c r="BP177" s="21"/>
    </row>
    <row r="178" spans="1:68" ht="20.100000000000001" customHeight="1" x14ac:dyDescent="0.2">
      <c r="A178"/>
      <c r="D178" s="2" t="s">
        <v>2285</v>
      </c>
      <c r="BN178" s="21"/>
      <c r="BO178" s="21"/>
      <c r="BP178" s="21"/>
    </row>
    <row r="179" spans="1:68" ht="20.100000000000001" customHeight="1" x14ac:dyDescent="0.2">
      <c r="A179"/>
      <c r="D179" s="17" t="s">
        <v>2286</v>
      </c>
      <c r="BN179" s="21"/>
      <c r="BO179" s="21"/>
      <c r="BP179" s="21"/>
    </row>
    <row r="180" spans="1:68" ht="20.100000000000001" customHeight="1" x14ac:dyDescent="0.2">
      <c r="A180"/>
      <c r="D180" s="9" t="s">
        <v>2287</v>
      </c>
    </row>
    <row r="181" spans="1:68" ht="20.100000000000001" customHeight="1" x14ac:dyDescent="0.2">
      <c r="A181"/>
      <c r="D181" s="25" t="s">
        <v>2288</v>
      </c>
    </row>
    <row r="182" spans="1:68" ht="20.100000000000001" customHeight="1" x14ac:dyDescent="0.2">
      <c r="A182"/>
      <c r="D182" s="25" t="s">
        <v>2289</v>
      </c>
    </row>
    <row r="183" spans="1:68" ht="20.100000000000001" customHeight="1" x14ac:dyDescent="0.2">
      <c r="A183"/>
      <c r="D183" s="25" t="s">
        <v>2290</v>
      </c>
    </row>
    <row r="184" spans="1:68" ht="20.100000000000001" customHeight="1" x14ac:dyDescent="0.2">
      <c r="A184"/>
      <c r="D184" s="25" t="s">
        <v>2291</v>
      </c>
    </row>
    <row r="185" spans="1:68" ht="20.100000000000001" customHeight="1" x14ac:dyDescent="0.2">
      <c r="A185"/>
      <c r="D185" s="25" t="s">
        <v>2292</v>
      </c>
    </row>
    <row r="186" spans="1:68" ht="20.100000000000001" customHeight="1" x14ac:dyDescent="0.2">
      <c r="A186"/>
      <c r="D186" s="19" t="s">
        <v>60</v>
      </c>
      <c r="E186" s="19" t="s">
        <v>61</v>
      </c>
      <c r="F186" s="19" t="s">
        <v>62</v>
      </c>
      <c r="G186" s="19" t="s">
        <v>63</v>
      </c>
      <c r="H186" s="19" t="s">
        <v>64</v>
      </c>
    </row>
    <row r="187" spans="1:68" ht="20.100000000000001" customHeight="1" x14ac:dyDescent="0.2">
      <c r="A187"/>
      <c r="D187" s="19" t="s">
        <v>2293</v>
      </c>
      <c r="E187" s="19">
        <v>5.8999999999999999E-3</v>
      </c>
      <c r="F187" s="19" t="s">
        <v>852</v>
      </c>
      <c r="G187" s="19" t="s">
        <v>2235</v>
      </c>
      <c r="H187" s="19" t="s">
        <v>2235</v>
      </c>
    </row>
    <row r="188" spans="1:68" ht="20.100000000000001" customHeight="1" x14ac:dyDescent="0.2">
      <c r="A188" s="79" t="str">
        <f>HYPERLINK("#A1", "▲ Back to top")</f>
        <v>▲ Back to top</v>
      </c>
      <c r="D188" s="19" t="s">
        <v>2294</v>
      </c>
      <c r="E188" s="19">
        <v>7.0000000000000001E-3</v>
      </c>
      <c r="F188" s="19" t="s">
        <v>325</v>
      </c>
      <c r="G188" s="19" t="s">
        <v>2235</v>
      </c>
      <c r="H188" s="19" t="s">
        <v>2235</v>
      </c>
    </row>
    <row r="189" spans="1:68" ht="20.100000000000001" customHeight="1" x14ac:dyDescent="0.2">
      <c r="A189"/>
      <c r="D189" s="19" t="s">
        <v>2295</v>
      </c>
      <c r="E189" s="19">
        <v>1.8E-3</v>
      </c>
      <c r="F189" s="19" t="s">
        <v>852</v>
      </c>
      <c r="G189" s="19" t="s">
        <v>515</v>
      </c>
      <c r="H189" s="19" t="s">
        <v>2260</v>
      </c>
    </row>
    <row r="190" spans="1:68" ht="20.100000000000001" customHeight="1" x14ac:dyDescent="0.2">
      <c r="A190"/>
      <c r="D190" s="19" t="s">
        <v>2295</v>
      </c>
      <c r="E190" s="19">
        <v>1.8E-3</v>
      </c>
      <c r="F190" s="19" t="s">
        <v>852</v>
      </c>
      <c r="G190" s="19" t="s">
        <v>515</v>
      </c>
      <c r="H190" s="19" t="s">
        <v>2258</v>
      </c>
    </row>
    <row r="191" spans="1:68" ht="20.100000000000001" customHeight="1" x14ac:dyDescent="0.2">
      <c r="A191"/>
      <c r="D191" s="19" t="s">
        <v>2296</v>
      </c>
      <c r="E191" s="19">
        <v>2.8999999999999998E-3</v>
      </c>
      <c r="F191" s="19" t="s">
        <v>325</v>
      </c>
      <c r="G191" s="19" t="s">
        <v>515</v>
      </c>
      <c r="H191" s="19" t="s">
        <v>2260</v>
      </c>
    </row>
    <row r="192" spans="1:68" ht="20.100000000000001" customHeight="1" x14ac:dyDescent="0.2">
      <c r="A192"/>
      <c r="D192" s="19" t="s">
        <v>2297</v>
      </c>
      <c r="E192" s="19">
        <v>8.0000000000000002E-3</v>
      </c>
      <c r="F192" s="19" t="s">
        <v>325</v>
      </c>
      <c r="G192" s="19" t="s">
        <v>515</v>
      </c>
      <c r="H192" s="19" t="s">
        <v>2258</v>
      </c>
    </row>
    <row r="193" spans="1:8" ht="20.100000000000001" customHeight="1" x14ac:dyDescent="0.2">
      <c r="A193"/>
      <c r="D193" s="19" t="s">
        <v>2298</v>
      </c>
      <c r="E193" s="19">
        <v>1.9900000000000001E-2</v>
      </c>
      <c r="F193" s="19" t="s">
        <v>2298</v>
      </c>
      <c r="G193" s="19" t="s">
        <v>2235</v>
      </c>
      <c r="H193" s="19" t="s">
        <v>2235</v>
      </c>
    </row>
    <row r="194" spans="1:8" ht="20.100000000000001" customHeight="1" x14ac:dyDescent="0.2">
      <c r="A194"/>
      <c r="D194" s="19" t="s">
        <v>788</v>
      </c>
      <c r="E194" s="19">
        <v>5.3E-3</v>
      </c>
      <c r="F194" s="19" t="s">
        <v>788</v>
      </c>
      <c r="G194" s="19" t="s">
        <v>2235</v>
      </c>
      <c r="H194" s="19" t="s">
        <v>2235</v>
      </c>
    </row>
    <row r="195" spans="1:8" ht="20.100000000000001" customHeight="1" x14ac:dyDescent="0.2">
      <c r="A195"/>
      <c r="D195" s="19" t="s">
        <v>2299</v>
      </c>
      <c r="E195" s="19">
        <v>6.4000000000000003E-3</v>
      </c>
      <c r="F195" s="19" t="s">
        <v>2299</v>
      </c>
      <c r="G195" s="19" t="s">
        <v>2235</v>
      </c>
      <c r="H195" s="19" t="s">
        <v>2235</v>
      </c>
    </row>
    <row r="196" spans="1:8" ht="20.100000000000001" customHeight="1" x14ac:dyDescent="0.2">
      <c r="A196"/>
      <c r="D196" s="19" t="s">
        <v>2300</v>
      </c>
      <c r="E196" s="19">
        <v>3.0000000000000001E-3</v>
      </c>
      <c r="F196" s="19" t="s">
        <v>2301</v>
      </c>
      <c r="G196" s="19" t="s">
        <v>2302</v>
      </c>
      <c r="H196" s="19" t="s">
        <v>2235</v>
      </c>
    </row>
    <row r="197" spans="1:8" ht="20.100000000000001" customHeight="1" x14ac:dyDescent="0.2">
      <c r="A197"/>
      <c r="D197" s="19" t="s">
        <v>2303</v>
      </c>
      <c r="E197" s="19">
        <v>5.0000000000000001E-3</v>
      </c>
      <c r="F197" s="19" t="s">
        <v>2301</v>
      </c>
      <c r="G197" s="19" t="s">
        <v>2304</v>
      </c>
      <c r="H197" s="19" t="s">
        <v>2235</v>
      </c>
    </row>
    <row r="198" spans="1:8" ht="20.100000000000001" customHeight="1" x14ac:dyDescent="0.2">
      <c r="A198"/>
      <c r="D198" s="19" t="s">
        <v>2305</v>
      </c>
      <c r="E198" s="19">
        <v>2.5999999999999999E-3</v>
      </c>
      <c r="F198" s="19" t="s">
        <v>2305</v>
      </c>
      <c r="G198" s="19" t="s">
        <v>2235</v>
      </c>
      <c r="H198" s="19" t="s">
        <v>2235</v>
      </c>
    </row>
    <row r="199" spans="1:8" ht="20.100000000000001" customHeight="1" x14ac:dyDescent="0.2">
      <c r="A199"/>
      <c r="D199" s="19" t="s">
        <v>2306</v>
      </c>
      <c r="E199" s="19">
        <v>1.8E-3</v>
      </c>
      <c r="F199" s="19" t="s">
        <v>2306</v>
      </c>
      <c r="G199" s="19" t="s">
        <v>2235</v>
      </c>
      <c r="H199" s="19" t="s">
        <v>2235</v>
      </c>
    </row>
    <row r="200" spans="1:8" ht="20.100000000000001" customHeight="1" x14ac:dyDescent="0.2">
      <c r="A200"/>
    </row>
    <row r="201" spans="1:8" ht="20.100000000000001" customHeight="1" x14ac:dyDescent="0.2">
      <c r="A201"/>
    </row>
    <row r="202" spans="1:8" ht="20.100000000000001" customHeight="1" x14ac:dyDescent="0.2">
      <c r="A202"/>
      <c r="D202" s="2" t="s">
        <v>2307</v>
      </c>
    </row>
    <row r="203" spans="1:8" ht="20.100000000000001" customHeight="1" x14ac:dyDescent="0.2">
      <c r="A203"/>
      <c r="D203" s="17" t="s">
        <v>2308</v>
      </c>
    </row>
    <row r="204" spans="1:8" ht="20.100000000000001" customHeight="1" x14ac:dyDescent="0.2">
      <c r="A204"/>
      <c r="D204" s="25" t="s">
        <v>2309</v>
      </c>
    </row>
    <row r="205" spans="1:8" ht="20.100000000000001" customHeight="1" x14ac:dyDescent="0.2">
      <c r="A205"/>
      <c r="D205" s="9" t="s">
        <v>2310</v>
      </c>
    </row>
    <row r="206" spans="1:8" ht="20.100000000000001" customHeight="1" x14ac:dyDescent="0.2">
      <c r="A206"/>
      <c r="D206" s="19" t="s">
        <v>31</v>
      </c>
      <c r="E206" s="19" t="s">
        <v>65</v>
      </c>
    </row>
    <row r="207" spans="1:8" ht="20.100000000000001" customHeight="1" x14ac:dyDescent="0.2">
      <c r="A207"/>
      <c r="D207" s="19" t="s">
        <v>2217</v>
      </c>
      <c r="E207" s="19">
        <v>6.0000000000000001E-3</v>
      </c>
    </row>
    <row r="208" spans="1:8" ht="20.100000000000001" customHeight="1" x14ac:dyDescent="0.2">
      <c r="A208"/>
      <c r="D208" s="1" t="s">
        <v>2221</v>
      </c>
      <c r="E208" s="19">
        <v>2E-3</v>
      </c>
    </row>
    <row r="209" spans="1:5" ht="20.100000000000001" customHeight="1" x14ac:dyDescent="0.2">
      <c r="A209"/>
    </row>
    <row r="210" spans="1:5" ht="20.100000000000001" customHeight="1" x14ac:dyDescent="0.2">
      <c r="A210"/>
    </row>
    <row r="211" spans="1:5" ht="20.100000000000001" customHeight="1" x14ac:dyDescent="0.2">
      <c r="A211"/>
      <c r="D211" s="1" t="s">
        <v>2311</v>
      </c>
    </row>
    <row r="212" spans="1:5" ht="20.100000000000001" customHeight="1" x14ac:dyDescent="0.2">
      <c r="A212"/>
      <c r="D212" s="19" t="s">
        <v>66</v>
      </c>
      <c r="E212" s="19" t="s">
        <v>67</v>
      </c>
    </row>
    <row r="213" spans="1:5" ht="20.100000000000001" customHeight="1" x14ac:dyDescent="0.2">
      <c r="A213"/>
      <c r="D213" s="19" t="s">
        <v>2312</v>
      </c>
      <c r="E213" s="19" t="s">
        <v>2313</v>
      </c>
    </row>
    <row r="214" spans="1:5" ht="20.100000000000001" customHeight="1" x14ac:dyDescent="0.2">
      <c r="A214"/>
      <c r="D214" s="1" t="s">
        <v>2314</v>
      </c>
      <c r="E214" s="19" t="s">
        <v>2313</v>
      </c>
    </row>
    <row r="215" spans="1:5" ht="20.100000000000001" customHeight="1" x14ac:dyDescent="0.2">
      <c r="A215"/>
      <c r="D215" s="1" t="s">
        <v>2315</v>
      </c>
      <c r="E215" s="19" t="s">
        <v>2316</v>
      </c>
    </row>
    <row r="216" spans="1:5" ht="20.100000000000001" customHeight="1" x14ac:dyDescent="0.2">
      <c r="A216"/>
      <c r="D216" s="1" t="s">
        <v>2317</v>
      </c>
      <c r="E216" s="19" t="s">
        <v>2316</v>
      </c>
    </row>
    <row r="217" spans="1:5" ht="20.100000000000001" customHeight="1" x14ac:dyDescent="0.2">
      <c r="A217"/>
      <c r="D217" s="1" t="s">
        <v>2318</v>
      </c>
      <c r="E217" s="19" t="s">
        <v>2316</v>
      </c>
    </row>
    <row r="218" spans="1:5" ht="20.100000000000001" customHeight="1" x14ac:dyDescent="0.2">
      <c r="A218" s="79" t="str">
        <f>HYPERLINK("#A1", "▲ Back to top")</f>
        <v>▲ Back to top</v>
      </c>
      <c r="D218" s="1" t="s">
        <v>2319</v>
      </c>
      <c r="E218" s="19" t="s">
        <v>2320</v>
      </c>
    </row>
    <row r="219" spans="1:5" ht="20.100000000000001" customHeight="1" x14ac:dyDescent="0.2">
      <c r="A219"/>
      <c r="D219" s="1" t="s">
        <v>2321</v>
      </c>
      <c r="E219" s="19" t="s">
        <v>2320</v>
      </c>
    </row>
    <row r="220" spans="1:5" ht="20.100000000000001" customHeight="1" x14ac:dyDescent="0.2">
      <c r="A220"/>
      <c r="D220" s="1" t="s">
        <v>2322</v>
      </c>
      <c r="E220" s="19" t="s">
        <v>2320</v>
      </c>
    </row>
    <row r="221" spans="1:5" ht="20.100000000000001" customHeight="1" x14ac:dyDescent="0.2">
      <c r="A221"/>
      <c r="D221" s="1" t="s">
        <v>2323</v>
      </c>
      <c r="E221" s="19" t="s">
        <v>2324</v>
      </c>
    </row>
    <row r="222" spans="1:5" ht="20.100000000000001" customHeight="1" x14ac:dyDescent="0.2">
      <c r="A222"/>
      <c r="D222" s="1" t="s">
        <v>2325</v>
      </c>
      <c r="E222" s="19" t="s">
        <v>2324</v>
      </c>
    </row>
    <row r="223" spans="1:5" ht="20.100000000000001" customHeight="1" x14ac:dyDescent="0.2">
      <c r="A223"/>
      <c r="D223" s="1" t="s">
        <v>2326</v>
      </c>
      <c r="E223" s="19" t="s">
        <v>2324</v>
      </c>
    </row>
    <row r="224" spans="1:5" ht="20.100000000000001" customHeight="1" x14ac:dyDescent="0.2">
      <c r="A224"/>
      <c r="D224" s="1" t="s">
        <v>2327</v>
      </c>
      <c r="E224" s="19" t="s">
        <v>2313</v>
      </c>
    </row>
    <row r="225" spans="1:19" ht="20.100000000000001" customHeight="1" x14ac:dyDescent="0.2">
      <c r="A225"/>
    </row>
    <row r="226" spans="1:19" ht="20.100000000000001" customHeight="1" x14ac:dyDescent="0.2">
      <c r="A226"/>
    </row>
    <row r="227" spans="1:19" ht="20.100000000000001" customHeight="1" x14ac:dyDescent="0.2">
      <c r="A227"/>
      <c r="D227" s="2" t="s">
        <v>2328</v>
      </c>
    </row>
    <row r="228" spans="1:19" ht="20.100000000000001" customHeight="1" x14ac:dyDescent="0.2">
      <c r="A228"/>
      <c r="D228" s="17" t="s">
        <v>2329</v>
      </c>
    </row>
    <row r="229" spans="1:19" ht="20.100000000000001" customHeight="1" x14ac:dyDescent="0.2">
      <c r="A229"/>
      <c r="D229" s="25" t="s">
        <v>2330</v>
      </c>
    </row>
    <row r="230" spans="1:19" ht="20.100000000000001" customHeight="1" x14ac:dyDescent="0.2">
      <c r="A230"/>
    </row>
    <row r="231" spans="1:19" ht="20.100000000000001" customHeight="1" x14ac:dyDescent="0.2">
      <c r="A231"/>
      <c r="D231" s="19" t="s">
        <v>68</v>
      </c>
      <c r="E231" s="19" t="s">
        <v>69</v>
      </c>
      <c r="F231" s="26" t="s">
        <v>70</v>
      </c>
      <c r="G231" s="19" t="s">
        <v>71</v>
      </c>
      <c r="H231" s="19" t="s">
        <v>72</v>
      </c>
      <c r="I231" s="19" t="s">
        <v>73</v>
      </c>
      <c r="J231" s="19" t="s">
        <v>74</v>
      </c>
      <c r="K231" s="19" t="s">
        <v>75</v>
      </c>
      <c r="L231" s="19" t="s">
        <v>76</v>
      </c>
      <c r="M231" s="19" t="s">
        <v>77</v>
      </c>
      <c r="N231" s="19" t="s">
        <v>78</v>
      </c>
      <c r="O231" s="19" t="s">
        <v>79</v>
      </c>
      <c r="P231" s="19" t="s">
        <v>80</v>
      </c>
      <c r="Q231" s="19" t="s">
        <v>81</v>
      </c>
      <c r="R231" s="19" t="s">
        <v>82</v>
      </c>
      <c r="S231" s="19" t="s">
        <v>83</v>
      </c>
    </row>
    <row r="232" spans="1:19" ht="20.100000000000001" customHeight="1" x14ac:dyDescent="0.2">
      <c r="A232"/>
      <c r="D232" s="19" t="s">
        <v>2255</v>
      </c>
      <c r="E232" s="19" t="s">
        <v>2331</v>
      </c>
      <c r="F232" s="19">
        <v>0.66</v>
      </c>
      <c r="G232" s="19">
        <v>0.1</v>
      </c>
      <c r="H232" s="19">
        <v>0.1</v>
      </c>
      <c r="I232" s="19">
        <v>1E-3</v>
      </c>
      <c r="J232" s="19">
        <v>5.0000000000000001E-3</v>
      </c>
      <c r="K232" s="19">
        <v>0.02</v>
      </c>
      <c r="L232" s="19">
        <v>0.03</v>
      </c>
      <c r="M232" s="19">
        <v>0.04</v>
      </c>
      <c r="N232" s="19">
        <v>1.4999999999999999E-2</v>
      </c>
      <c r="O232" s="19">
        <v>1.4999999999999999E-2</v>
      </c>
      <c r="P232" s="19">
        <v>0</v>
      </c>
      <c r="Q232" s="19">
        <v>0</v>
      </c>
      <c r="R232" s="19">
        <v>4.7000000000000002E-3</v>
      </c>
      <c r="S232" s="19">
        <v>10</v>
      </c>
    </row>
    <row r="233" spans="1:19" ht="20.100000000000001" customHeight="1" x14ac:dyDescent="0.2">
      <c r="A233"/>
      <c r="D233" s="1" t="s">
        <v>2255</v>
      </c>
      <c r="E233" s="19">
        <v>11</v>
      </c>
      <c r="F233" s="19">
        <v>0.68</v>
      </c>
      <c r="G233" s="19">
        <v>0.1</v>
      </c>
      <c r="H233" s="19">
        <v>0.11</v>
      </c>
      <c r="I233" s="19">
        <v>1E-3</v>
      </c>
      <c r="J233" s="19">
        <v>5.0000000000000001E-3</v>
      </c>
      <c r="K233" s="19">
        <v>0.02</v>
      </c>
      <c r="L233" s="19">
        <v>0.03</v>
      </c>
      <c r="M233" s="19">
        <v>0.04</v>
      </c>
      <c r="N233" s="19">
        <v>1.4999999999999999E-2</v>
      </c>
      <c r="O233" s="19">
        <v>1.4999999999999999E-2</v>
      </c>
      <c r="P233" s="19">
        <v>0</v>
      </c>
      <c r="Q233" s="19">
        <v>0</v>
      </c>
      <c r="R233" s="19">
        <v>4.7000000000000002E-3</v>
      </c>
      <c r="S233" s="19">
        <v>11</v>
      </c>
    </row>
    <row r="234" spans="1:19" ht="20.100000000000001" customHeight="1" x14ac:dyDescent="0.2">
      <c r="A234"/>
      <c r="D234" s="1" t="s">
        <v>2255</v>
      </c>
      <c r="E234" s="19">
        <v>12</v>
      </c>
      <c r="F234" s="19">
        <v>0.7</v>
      </c>
      <c r="G234" s="19">
        <v>0.1</v>
      </c>
      <c r="H234" s="19">
        <v>0.13</v>
      </c>
      <c r="I234" s="19">
        <v>1E-3</v>
      </c>
      <c r="J234" s="19">
        <v>5.0000000000000001E-3</v>
      </c>
      <c r="K234" s="19">
        <v>0.02</v>
      </c>
      <c r="L234" s="19">
        <v>0.03</v>
      </c>
      <c r="M234" s="19">
        <v>0.04</v>
      </c>
      <c r="N234" s="19">
        <v>1.4999999999999999E-2</v>
      </c>
      <c r="O234" s="19">
        <v>1.4999999999999999E-2</v>
      </c>
      <c r="P234" s="19">
        <v>0</v>
      </c>
      <c r="Q234" s="19">
        <v>0</v>
      </c>
      <c r="R234" s="19">
        <v>4.7000000000000002E-3</v>
      </c>
      <c r="S234" s="19">
        <v>12</v>
      </c>
    </row>
    <row r="235" spans="1:19" ht="20.100000000000001" customHeight="1" x14ac:dyDescent="0.2">
      <c r="A235"/>
      <c r="D235" s="1" t="s">
        <v>2255</v>
      </c>
      <c r="E235" s="19">
        <v>13</v>
      </c>
      <c r="F235" s="19">
        <v>0.71</v>
      </c>
      <c r="G235" s="19">
        <v>0.1</v>
      </c>
      <c r="H235" s="19">
        <v>0.14000000000000001</v>
      </c>
      <c r="I235" s="19">
        <v>1E-3</v>
      </c>
      <c r="J235" s="19">
        <v>5.0000000000000001E-3</v>
      </c>
      <c r="K235" s="19">
        <v>0.02</v>
      </c>
      <c r="L235" s="19">
        <v>0.03</v>
      </c>
      <c r="M235" s="19">
        <v>0.04</v>
      </c>
      <c r="N235" s="19">
        <v>1.4999999999999999E-2</v>
      </c>
      <c r="O235" s="19">
        <v>1.4999999999999999E-2</v>
      </c>
      <c r="P235" s="19">
        <v>0</v>
      </c>
      <c r="Q235" s="19">
        <v>0</v>
      </c>
      <c r="R235" s="19">
        <v>4.7000000000000002E-3</v>
      </c>
      <c r="S235" s="19">
        <v>13</v>
      </c>
    </row>
    <row r="236" spans="1:19" ht="20.100000000000001" customHeight="1" x14ac:dyDescent="0.2">
      <c r="A236"/>
      <c r="D236" s="1" t="s">
        <v>2255</v>
      </c>
      <c r="E236" s="19">
        <v>14</v>
      </c>
      <c r="F236" s="19">
        <v>0.73</v>
      </c>
      <c r="G236" s="19">
        <v>0.1</v>
      </c>
      <c r="H236" s="19">
        <v>0.15</v>
      </c>
      <c r="I236" s="19">
        <v>1E-3</v>
      </c>
      <c r="J236" s="19">
        <v>5.0000000000000001E-3</v>
      </c>
      <c r="K236" s="19">
        <v>0.02</v>
      </c>
      <c r="L236" s="19">
        <v>0.03</v>
      </c>
      <c r="M236" s="19">
        <v>0.04</v>
      </c>
      <c r="N236" s="19">
        <v>1.4999999999999999E-2</v>
      </c>
      <c r="O236" s="19">
        <v>1.4999999999999999E-2</v>
      </c>
      <c r="P236" s="19">
        <v>0</v>
      </c>
      <c r="Q236" s="19">
        <v>0</v>
      </c>
      <c r="R236" s="19">
        <v>4.7000000000000002E-3</v>
      </c>
      <c r="S236" s="19">
        <v>14</v>
      </c>
    </row>
    <row r="237" spans="1:19" ht="20.100000000000001" customHeight="1" x14ac:dyDescent="0.2">
      <c r="A237"/>
      <c r="D237" s="1" t="s">
        <v>2253</v>
      </c>
      <c r="E237" s="19">
        <v>15</v>
      </c>
      <c r="F237" s="19">
        <v>0.74</v>
      </c>
      <c r="G237" s="19">
        <v>0.1</v>
      </c>
      <c r="H237" s="19">
        <v>0.17</v>
      </c>
      <c r="I237" s="19">
        <v>5.0000000000000001E-3</v>
      </c>
      <c r="J237" s="19">
        <v>0.01</v>
      </c>
      <c r="K237" s="19">
        <v>0.02</v>
      </c>
      <c r="L237" s="19">
        <v>0.03</v>
      </c>
      <c r="M237" s="19">
        <v>0.04</v>
      </c>
      <c r="N237" s="19">
        <v>1.4999999999999999E-2</v>
      </c>
      <c r="O237" s="19">
        <v>1.4999999999999999E-2</v>
      </c>
      <c r="P237" s="19">
        <v>0</v>
      </c>
      <c r="Q237" s="19">
        <v>0</v>
      </c>
      <c r="R237" s="19">
        <v>4.7000000000000002E-3</v>
      </c>
      <c r="S237" s="19">
        <v>15</v>
      </c>
    </row>
    <row r="238" spans="1:19" ht="20.100000000000001" customHeight="1" x14ac:dyDescent="0.2">
      <c r="A238"/>
      <c r="D238" s="1" t="s">
        <v>2253</v>
      </c>
      <c r="E238" s="19">
        <v>16</v>
      </c>
      <c r="F238" s="19">
        <v>0.75</v>
      </c>
      <c r="G238" s="19">
        <v>0.1</v>
      </c>
      <c r="H238" s="19">
        <v>0.18</v>
      </c>
      <c r="I238" s="19">
        <v>5.0000000000000001E-3</v>
      </c>
      <c r="J238" s="19">
        <v>0.01</v>
      </c>
      <c r="K238" s="19">
        <v>0.02</v>
      </c>
      <c r="L238" s="19">
        <v>0.03</v>
      </c>
      <c r="M238" s="19">
        <v>0.04</v>
      </c>
      <c r="N238" s="19">
        <v>1.4999999999999999E-2</v>
      </c>
      <c r="O238" s="19">
        <v>1.4999999999999999E-2</v>
      </c>
      <c r="P238" s="19">
        <v>0</v>
      </c>
      <c r="Q238" s="19">
        <v>0</v>
      </c>
      <c r="R238" s="19">
        <v>4.7000000000000002E-3</v>
      </c>
      <c r="S238" s="19">
        <v>16</v>
      </c>
    </row>
    <row r="239" spans="1:19" ht="20.100000000000001" customHeight="1" x14ac:dyDescent="0.2">
      <c r="A239"/>
      <c r="D239" s="1" t="s">
        <v>2253</v>
      </c>
      <c r="E239" s="19">
        <v>17</v>
      </c>
      <c r="F239" s="19">
        <v>0.76</v>
      </c>
      <c r="G239" s="19">
        <v>0.1</v>
      </c>
      <c r="H239" s="19">
        <v>0.2</v>
      </c>
      <c r="I239" s="19">
        <v>5.0000000000000001E-3</v>
      </c>
      <c r="J239" s="19">
        <v>0.01</v>
      </c>
      <c r="K239" s="19">
        <v>0.02</v>
      </c>
      <c r="L239" s="19">
        <v>0.03</v>
      </c>
      <c r="M239" s="19">
        <v>0.04</v>
      </c>
      <c r="N239" s="19">
        <v>1.4999999999999999E-2</v>
      </c>
      <c r="O239" s="19">
        <v>1.4999999999999999E-2</v>
      </c>
      <c r="P239" s="19">
        <v>0</v>
      </c>
      <c r="Q239" s="19">
        <v>0</v>
      </c>
      <c r="R239" s="19">
        <v>4.7000000000000002E-3</v>
      </c>
      <c r="S239" s="19">
        <v>17</v>
      </c>
    </row>
    <row r="240" spans="1:19" ht="20.100000000000001" customHeight="1" x14ac:dyDescent="0.2">
      <c r="A240"/>
      <c r="D240" s="1" t="s">
        <v>2253</v>
      </c>
      <c r="E240" s="19">
        <v>18</v>
      </c>
      <c r="F240" s="19">
        <v>0.77</v>
      </c>
      <c r="G240" s="19">
        <v>0.1</v>
      </c>
      <c r="H240" s="19">
        <v>0.22</v>
      </c>
      <c r="I240" s="19">
        <v>5.0000000000000001E-3</v>
      </c>
      <c r="J240" s="19">
        <v>0.01</v>
      </c>
      <c r="K240" s="19">
        <v>0.02</v>
      </c>
      <c r="L240" s="19">
        <v>0.03</v>
      </c>
      <c r="M240" s="19">
        <v>0.04</v>
      </c>
      <c r="N240" s="19">
        <v>1.4999999999999999E-2</v>
      </c>
      <c r="O240" s="19">
        <v>1.4999999999999999E-2</v>
      </c>
      <c r="P240" s="19">
        <v>0</v>
      </c>
      <c r="Q240" s="19">
        <v>0</v>
      </c>
      <c r="R240" s="19">
        <v>4.7000000000000002E-3</v>
      </c>
      <c r="S240" s="19">
        <v>18</v>
      </c>
    </row>
    <row r="241" spans="1:19" ht="20.100000000000001" customHeight="1" x14ac:dyDescent="0.2">
      <c r="A241"/>
      <c r="D241" s="1" t="s">
        <v>2253</v>
      </c>
      <c r="E241" s="19">
        <v>19</v>
      </c>
      <c r="F241" s="19">
        <v>0.77</v>
      </c>
      <c r="G241" s="19">
        <v>0.1</v>
      </c>
      <c r="H241" s="19">
        <v>0.24</v>
      </c>
      <c r="I241" s="19">
        <v>5.0000000000000001E-3</v>
      </c>
      <c r="J241" s="19">
        <v>0.01</v>
      </c>
      <c r="K241" s="19">
        <v>0.02</v>
      </c>
      <c r="L241" s="19">
        <v>0.03</v>
      </c>
      <c r="M241" s="19">
        <v>0.04</v>
      </c>
      <c r="N241" s="19">
        <v>1.4999999999999999E-2</v>
      </c>
      <c r="O241" s="19">
        <v>1.4999999999999999E-2</v>
      </c>
      <c r="P241" s="19">
        <v>0</v>
      </c>
      <c r="Q241" s="19">
        <v>0</v>
      </c>
      <c r="R241" s="19">
        <v>4.7000000000000002E-3</v>
      </c>
      <c r="S241" s="19">
        <v>19</v>
      </c>
    </row>
    <row r="242" spans="1:19" ht="20.100000000000001" customHeight="1" x14ac:dyDescent="0.2">
      <c r="A242"/>
      <c r="D242" s="1" t="s">
        <v>2253</v>
      </c>
      <c r="E242" s="19">
        <v>20</v>
      </c>
      <c r="F242" s="19">
        <v>0.78</v>
      </c>
      <c r="G242" s="19">
        <v>0.1</v>
      </c>
      <c r="H242" s="19">
        <v>0.26</v>
      </c>
      <c r="I242" s="19">
        <v>5.0000000000000001E-3</v>
      </c>
      <c r="J242" s="19">
        <v>0.01</v>
      </c>
      <c r="K242" s="19">
        <v>0.02</v>
      </c>
      <c r="L242" s="19">
        <v>0.03</v>
      </c>
      <c r="M242" s="19">
        <v>0.04</v>
      </c>
      <c r="N242" s="19">
        <v>1.4999999999999999E-2</v>
      </c>
      <c r="O242" s="19">
        <v>1.4999999999999999E-2</v>
      </c>
      <c r="P242" s="19">
        <v>0</v>
      </c>
      <c r="Q242" s="19">
        <v>0</v>
      </c>
      <c r="R242" s="19">
        <v>4.7000000000000002E-3</v>
      </c>
      <c r="S242" s="19">
        <v>20</v>
      </c>
    </row>
    <row r="243" spans="1:19" ht="20.100000000000001" customHeight="1" x14ac:dyDescent="0.2">
      <c r="A243"/>
      <c r="D243" s="1" t="s">
        <v>2253</v>
      </c>
      <c r="E243" s="19">
        <v>21</v>
      </c>
      <c r="F243" s="19">
        <v>0.78</v>
      </c>
      <c r="G243" s="19">
        <v>0.1</v>
      </c>
      <c r="H243" s="19">
        <v>0.28999999999999998</v>
      </c>
      <c r="I243" s="19">
        <v>5.0000000000000001E-3</v>
      </c>
      <c r="J243" s="19">
        <v>0.01</v>
      </c>
      <c r="K243" s="19">
        <v>0.02</v>
      </c>
      <c r="L243" s="19">
        <v>0.03</v>
      </c>
      <c r="M243" s="19">
        <v>0.04</v>
      </c>
      <c r="N243" s="19">
        <v>1.4999999999999999E-2</v>
      </c>
      <c r="O243" s="19">
        <v>1.4999999999999999E-2</v>
      </c>
      <c r="P243" s="19">
        <v>0</v>
      </c>
      <c r="Q243" s="19">
        <v>0</v>
      </c>
      <c r="R243" s="19">
        <v>4.7000000000000002E-3</v>
      </c>
      <c r="S243" s="19">
        <v>21</v>
      </c>
    </row>
    <row r="244" spans="1:19" ht="20.100000000000001" customHeight="1" x14ac:dyDescent="0.2">
      <c r="A244"/>
      <c r="D244" s="1" t="s">
        <v>2253</v>
      </c>
      <c r="E244" s="19">
        <v>22</v>
      </c>
      <c r="F244" s="19">
        <v>0.78</v>
      </c>
      <c r="G244" s="19">
        <v>0.1</v>
      </c>
      <c r="H244" s="19">
        <v>0.31</v>
      </c>
      <c r="I244" s="19">
        <v>5.0000000000000001E-3</v>
      </c>
      <c r="J244" s="19">
        <v>0.01</v>
      </c>
      <c r="K244" s="19">
        <v>0.02</v>
      </c>
      <c r="L244" s="19">
        <v>0.03</v>
      </c>
      <c r="M244" s="19">
        <v>0.04</v>
      </c>
      <c r="N244" s="19">
        <v>1.4999999999999999E-2</v>
      </c>
      <c r="O244" s="19">
        <v>1.4999999999999999E-2</v>
      </c>
      <c r="P244" s="19">
        <v>0</v>
      </c>
      <c r="Q244" s="19">
        <v>0</v>
      </c>
      <c r="R244" s="19">
        <v>4.7000000000000002E-3</v>
      </c>
      <c r="S244" s="19">
        <v>22</v>
      </c>
    </row>
    <row r="245" spans="1:19" ht="20.100000000000001" customHeight="1" x14ac:dyDescent="0.2">
      <c r="A245"/>
      <c r="D245" s="1" t="s">
        <v>2253</v>
      </c>
      <c r="E245" s="19">
        <v>23</v>
      </c>
      <c r="F245" s="19">
        <v>0.79</v>
      </c>
      <c r="G245" s="19">
        <v>0.1</v>
      </c>
      <c r="H245" s="19">
        <v>0.34</v>
      </c>
      <c r="I245" s="19">
        <v>5.0000000000000001E-3</v>
      </c>
      <c r="J245" s="19">
        <v>0.01</v>
      </c>
      <c r="K245" s="19">
        <v>0.02</v>
      </c>
      <c r="L245" s="19">
        <v>0.03</v>
      </c>
      <c r="M245" s="19">
        <v>0.04</v>
      </c>
      <c r="N245" s="19">
        <v>1.4999999999999999E-2</v>
      </c>
      <c r="O245" s="19">
        <v>1.4999999999999999E-2</v>
      </c>
      <c r="P245" s="19">
        <v>0</v>
      </c>
      <c r="Q245" s="19">
        <v>0</v>
      </c>
      <c r="R245" s="19">
        <v>4.7000000000000002E-3</v>
      </c>
      <c r="S245" s="19">
        <v>23</v>
      </c>
    </row>
    <row r="246" spans="1:19" ht="20.100000000000001" customHeight="1" x14ac:dyDescent="0.2">
      <c r="A246"/>
      <c r="D246" s="1" t="s">
        <v>2253</v>
      </c>
      <c r="E246" s="19">
        <v>24</v>
      </c>
      <c r="F246" s="19">
        <v>0.79</v>
      </c>
      <c r="G246" s="19">
        <v>0.1</v>
      </c>
      <c r="H246" s="19">
        <v>0.37</v>
      </c>
      <c r="I246" s="19">
        <v>5.0000000000000001E-3</v>
      </c>
      <c r="J246" s="19">
        <v>0.01</v>
      </c>
      <c r="K246" s="19">
        <v>0.02</v>
      </c>
      <c r="L246" s="19">
        <v>0.03</v>
      </c>
      <c r="M246" s="19">
        <v>0.04</v>
      </c>
      <c r="N246" s="19">
        <v>1.4999999999999999E-2</v>
      </c>
      <c r="O246" s="19">
        <v>1.4999999999999999E-2</v>
      </c>
      <c r="P246" s="19">
        <v>0</v>
      </c>
      <c r="Q246" s="19">
        <v>0</v>
      </c>
      <c r="R246" s="19">
        <v>4.7000000000000002E-3</v>
      </c>
      <c r="S246" s="19">
        <v>24</v>
      </c>
    </row>
    <row r="247" spans="1:19" ht="20.100000000000001" customHeight="1" x14ac:dyDescent="0.2">
      <c r="A247"/>
      <c r="D247" s="1" t="s">
        <v>2253</v>
      </c>
      <c r="E247" s="19">
        <v>25</v>
      </c>
      <c r="F247" s="19">
        <v>0.79</v>
      </c>
      <c r="G247" s="19">
        <v>0.1</v>
      </c>
      <c r="H247" s="19">
        <v>0.41</v>
      </c>
      <c r="I247" s="19">
        <v>5.0000000000000001E-3</v>
      </c>
      <c r="J247" s="19">
        <v>0.01</v>
      </c>
      <c r="K247" s="19">
        <v>0.02</v>
      </c>
      <c r="L247" s="19">
        <v>0.03</v>
      </c>
      <c r="M247" s="19">
        <v>0.04</v>
      </c>
      <c r="N247" s="19">
        <v>1.4999999999999999E-2</v>
      </c>
      <c r="O247" s="19">
        <v>1.4999999999999999E-2</v>
      </c>
      <c r="P247" s="19">
        <v>0</v>
      </c>
      <c r="Q247" s="19">
        <v>0</v>
      </c>
      <c r="R247" s="19">
        <v>4.7000000000000002E-3</v>
      </c>
      <c r="S247" s="19">
        <v>25</v>
      </c>
    </row>
    <row r="248" spans="1:19" ht="20.100000000000001" customHeight="1" x14ac:dyDescent="0.2">
      <c r="A248" s="79" t="str">
        <f>HYPERLINK("#A1", "▲ Back to top")</f>
        <v>▲ Back to top</v>
      </c>
      <c r="D248" s="1" t="s">
        <v>2251</v>
      </c>
      <c r="E248" s="19">
        <v>26</v>
      </c>
      <c r="F248" s="19">
        <v>0.79</v>
      </c>
      <c r="G248" s="19">
        <v>0.1</v>
      </c>
      <c r="H248" s="19">
        <v>0.44</v>
      </c>
      <c r="I248" s="19">
        <v>0.01</v>
      </c>
      <c r="J248" s="19">
        <v>1.4999999999999999E-2</v>
      </c>
      <c r="K248" s="19">
        <v>0.02</v>
      </c>
      <c r="L248" s="19">
        <v>0.03</v>
      </c>
      <c r="M248" s="19">
        <v>0.04</v>
      </c>
      <c r="N248" s="19">
        <v>1.4999999999999999E-2</v>
      </c>
      <c r="O248" s="19">
        <v>1.4999999999999999E-2</v>
      </c>
      <c r="P248" s="19">
        <v>0</v>
      </c>
      <c r="Q248" s="19">
        <v>0</v>
      </c>
      <c r="R248" s="19">
        <v>4.7000000000000002E-3</v>
      </c>
      <c r="S248" s="19">
        <v>26</v>
      </c>
    </row>
    <row r="249" spans="1:19" ht="20.100000000000001" customHeight="1" x14ac:dyDescent="0.2">
      <c r="A249"/>
      <c r="D249" s="1" t="s">
        <v>2251</v>
      </c>
      <c r="E249" s="19">
        <v>27</v>
      </c>
      <c r="F249" s="19">
        <v>0.8</v>
      </c>
      <c r="G249" s="19">
        <v>0.1</v>
      </c>
      <c r="H249" s="19">
        <v>0.48</v>
      </c>
      <c r="I249" s="19">
        <v>0.01</v>
      </c>
      <c r="J249" s="19">
        <v>1.4999999999999999E-2</v>
      </c>
      <c r="K249" s="19">
        <v>0.02</v>
      </c>
      <c r="L249" s="19">
        <v>0.03</v>
      </c>
      <c r="M249" s="19">
        <v>0.04</v>
      </c>
      <c r="N249" s="19">
        <v>1.4999999999999999E-2</v>
      </c>
      <c r="O249" s="19">
        <v>1.4999999999999999E-2</v>
      </c>
      <c r="P249" s="19">
        <v>0</v>
      </c>
      <c r="Q249" s="19">
        <v>0</v>
      </c>
      <c r="R249" s="19">
        <v>4.7000000000000002E-3</v>
      </c>
      <c r="S249" s="19">
        <v>27</v>
      </c>
    </row>
    <row r="250" spans="1:19" ht="20.100000000000001" customHeight="1" x14ac:dyDescent="0.2">
      <c r="A250"/>
      <c r="D250" s="1" t="s">
        <v>2251</v>
      </c>
      <c r="E250" s="19" t="s">
        <v>2332</v>
      </c>
      <c r="F250" s="19">
        <v>0.8</v>
      </c>
      <c r="G250" s="19">
        <v>0.1</v>
      </c>
      <c r="H250" s="19">
        <v>0.5</v>
      </c>
      <c r="I250" s="19">
        <v>0.01</v>
      </c>
      <c r="J250" s="19">
        <v>1.4999999999999999E-2</v>
      </c>
      <c r="K250" s="19">
        <v>0.02</v>
      </c>
      <c r="L250" s="19">
        <v>0.03</v>
      </c>
      <c r="M250" s="19">
        <v>0.04</v>
      </c>
      <c r="N250" s="19">
        <v>1.4999999999999999E-2</v>
      </c>
      <c r="O250" s="19">
        <v>1.4999999999999999E-2</v>
      </c>
      <c r="P250" s="19">
        <v>0</v>
      </c>
      <c r="Q250" s="19">
        <v>0</v>
      </c>
      <c r="R250" s="19">
        <v>4.7000000000000002E-3</v>
      </c>
      <c r="S250" s="19">
        <v>28</v>
      </c>
    </row>
    <row r="251" spans="1:19" ht="20.100000000000001" customHeight="1" x14ac:dyDescent="0.2">
      <c r="A251"/>
    </row>
    <row r="252" spans="1:19" ht="20.100000000000001" customHeight="1" x14ac:dyDescent="0.2">
      <c r="A252"/>
    </row>
    <row r="253" spans="1:19" ht="20.100000000000001" customHeight="1" x14ac:dyDescent="0.2">
      <c r="A253"/>
      <c r="D253" s="2" t="s">
        <v>2333</v>
      </c>
    </row>
    <row r="254" spans="1:19" ht="20.100000000000001" customHeight="1" x14ac:dyDescent="0.2">
      <c r="A254"/>
      <c r="D254" s="17" t="s">
        <v>2334</v>
      </c>
    </row>
    <row r="255" spans="1:19" ht="20.100000000000001" customHeight="1" x14ac:dyDescent="0.2">
      <c r="A255"/>
      <c r="D255" s="1" t="s">
        <v>85</v>
      </c>
    </row>
    <row r="256" spans="1:19" ht="20.100000000000001" customHeight="1" x14ac:dyDescent="0.2">
      <c r="A256"/>
      <c r="D256" s="9" t="s">
        <v>2310</v>
      </c>
    </row>
    <row r="257" spans="1:66" ht="20.100000000000001" customHeight="1" x14ac:dyDescent="0.2">
      <c r="A257"/>
      <c r="D257" s="19" t="s">
        <v>84</v>
      </c>
      <c r="E257" s="19" t="s">
        <v>85</v>
      </c>
    </row>
    <row r="258" spans="1:66" ht="20.100000000000001" customHeight="1" x14ac:dyDescent="0.2">
      <c r="A258"/>
      <c r="D258" s="19" t="s">
        <v>2217</v>
      </c>
      <c r="E258" s="19">
        <v>6.0000000000000001E-3</v>
      </c>
    </row>
    <row r="259" spans="1:66" ht="20.100000000000001" customHeight="1" x14ac:dyDescent="0.2">
      <c r="A259"/>
      <c r="D259" s="1" t="s">
        <v>2221</v>
      </c>
      <c r="E259" s="19">
        <v>5.0000000000000001E-3</v>
      </c>
    </row>
    <row r="260" spans="1:66" ht="20.100000000000001" customHeight="1" x14ac:dyDescent="0.2">
      <c r="A260"/>
    </row>
    <row r="261" spans="1:66" ht="20.100000000000001" customHeight="1" x14ac:dyDescent="0.2">
      <c r="A261"/>
    </row>
    <row r="262" spans="1:66" ht="20.100000000000001" customHeight="1" x14ac:dyDescent="0.2">
      <c r="A262"/>
    </row>
    <row r="263" spans="1:66" ht="20.100000000000001" customHeight="1" x14ac:dyDescent="0.2">
      <c r="A263"/>
      <c r="D263" s="2" t="s">
        <v>154</v>
      </c>
    </row>
    <row r="264" spans="1:66" ht="20.100000000000001" customHeight="1" x14ac:dyDescent="0.2">
      <c r="A264"/>
      <c r="D264" s="1" t="s">
        <v>155</v>
      </c>
    </row>
    <row r="265" spans="1:66" ht="20.100000000000001" customHeight="1" x14ac:dyDescent="0.2">
      <c r="A265"/>
      <c r="D265" s="19" t="s">
        <v>198</v>
      </c>
      <c r="E265" s="19" t="s">
        <v>156</v>
      </c>
      <c r="F265" s="19" t="s">
        <v>157</v>
      </c>
      <c r="G265" s="19" t="s">
        <v>150</v>
      </c>
      <c r="V265" s="1"/>
      <c r="BN265" s="21"/>
    </row>
    <row r="266" spans="1:66" ht="20.100000000000001" customHeight="1" x14ac:dyDescent="0.2">
      <c r="A266"/>
      <c r="D266" s="19" t="s">
        <v>199</v>
      </c>
      <c r="E266" s="19" t="s">
        <v>158</v>
      </c>
      <c r="F266" s="19" t="s">
        <v>159</v>
      </c>
      <c r="G266" s="19">
        <v>5</v>
      </c>
      <c r="V266" s="1"/>
      <c r="BN266" s="21"/>
    </row>
    <row r="267" spans="1:66" ht="20.100000000000001" customHeight="1" x14ac:dyDescent="0.2">
      <c r="A267"/>
      <c r="D267" s="19" t="s">
        <v>200</v>
      </c>
      <c r="E267" s="19" t="s">
        <v>160</v>
      </c>
      <c r="F267" s="19" t="s">
        <v>151</v>
      </c>
      <c r="G267" s="19">
        <v>4</v>
      </c>
      <c r="V267" s="1"/>
      <c r="BN267" s="21"/>
    </row>
    <row r="268" spans="1:66" ht="20.100000000000001" customHeight="1" x14ac:dyDescent="0.2">
      <c r="A268"/>
      <c r="D268" s="19" t="s">
        <v>201</v>
      </c>
      <c r="E268" s="19" t="s">
        <v>161</v>
      </c>
      <c r="F268" s="19" t="s">
        <v>162</v>
      </c>
      <c r="G268" s="19">
        <v>3</v>
      </c>
      <c r="V268" s="1"/>
      <c r="BN268" s="21"/>
    </row>
    <row r="269" spans="1:66" ht="20.100000000000001" customHeight="1" x14ac:dyDescent="0.2">
      <c r="A269"/>
      <c r="D269" s="19" t="s">
        <v>202</v>
      </c>
      <c r="E269" s="19" t="s">
        <v>163</v>
      </c>
      <c r="F269" s="19" t="s">
        <v>164</v>
      </c>
      <c r="G269" s="19">
        <v>2</v>
      </c>
      <c r="V269" s="1"/>
      <c r="BN269" s="21"/>
    </row>
    <row r="270" spans="1:66" ht="20.100000000000001" customHeight="1" x14ac:dyDescent="0.2">
      <c r="A270"/>
      <c r="D270" s="19" t="s">
        <v>203</v>
      </c>
      <c r="E270" s="19" t="s">
        <v>165</v>
      </c>
      <c r="F270" s="19" t="s">
        <v>166</v>
      </c>
      <c r="G270" s="19">
        <v>1</v>
      </c>
      <c r="V270" s="1"/>
      <c r="BN270" s="21"/>
    </row>
    <row r="271" spans="1:66" ht="20.100000000000001" customHeight="1" x14ac:dyDescent="0.2">
      <c r="A271"/>
    </row>
    <row r="272" spans="1:66" ht="20.100000000000001" customHeight="1" x14ac:dyDescent="0.2">
      <c r="A272"/>
    </row>
    <row r="273" spans="1:66" ht="20.100000000000001" customHeight="1" x14ac:dyDescent="0.2">
      <c r="A273"/>
      <c r="D273" s="1" t="s">
        <v>167</v>
      </c>
    </row>
    <row r="274" spans="1:66" ht="20.100000000000001" customHeight="1" x14ac:dyDescent="0.2">
      <c r="A274"/>
      <c r="D274" s="19" t="s">
        <v>198</v>
      </c>
      <c r="E274" s="19" t="s">
        <v>156</v>
      </c>
      <c r="F274" s="19" t="s">
        <v>157</v>
      </c>
      <c r="G274" s="19" t="s">
        <v>150</v>
      </c>
      <c r="V274" s="1"/>
      <c r="BN274" s="21"/>
    </row>
    <row r="275" spans="1:66" ht="20.100000000000001" customHeight="1" x14ac:dyDescent="0.2">
      <c r="A275"/>
      <c r="D275" s="19" t="s">
        <v>204</v>
      </c>
      <c r="E275" s="19" t="s">
        <v>168</v>
      </c>
      <c r="F275" s="19" t="s">
        <v>152</v>
      </c>
      <c r="G275" s="19">
        <v>5</v>
      </c>
      <c r="V275" s="1"/>
      <c r="BN275" s="21"/>
    </row>
    <row r="276" spans="1:66" ht="20.100000000000001" customHeight="1" x14ac:dyDescent="0.2">
      <c r="A276"/>
      <c r="D276" s="19" t="s">
        <v>205</v>
      </c>
      <c r="E276" s="19" t="s">
        <v>169</v>
      </c>
      <c r="F276" s="19" t="s">
        <v>170</v>
      </c>
      <c r="G276" s="19">
        <v>4</v>
      </c>
      <c r="V276" s="1"/>
      <c r="BN276" s="21"/>
    </row>
    <row r="277" spans="1:66" ht="20.100000000000001" customHeight="1" x14ac:dyDescent="0.2">
      <c r="A277"/>
      <c r="D277" s="19" t="s">
        <v>206</v>
      </c>
      <c r="E277" s="19" t="s">
        <v>171</v>
      </c>
      <c r="F277" s="19" t="s">
        <v>172</v>
      </c>
      <c r="G277" s="19">
        <v>3</v>
      </c>
      <c r="V277" s="1"/>
      <c r="BN277" s="21"/>
    </row>
    <row r="278" spans="1:66" ht="20.100000000000001" customHeight="1" x14ac:dyDescent="0.2">
      <c r="A278" s="79" t="str">
        <f>HYPERLINK("#A1", "▲ Back to top")</f>
        <v>▲ Back to top</v>
      </c>
      <c r="D278" s="19" t="s">
        <v>207</v>
      </c>
      <c r="E278" s="19" t="s">
        <v>173</v>
      </c>
      <c r="F278" s="19" t="s">
        <v>174</v>
      </c>
      <c r="G278" s="19">
        <v>2</v>
      </c>
      <c r="V278" s="1"/>
      <c r="BN278" s="21"/>
    </row>
    <row r="279" spans="1:66" ht="20.100000000000001" customHeight="1" x14ac:dyDescent="0.2">
      <c r="A279"/>
      <c r="D279" s="19" t="s">
        <v>208</v>
      </c>
      <c r="E279" s="19" t="s">
        <v>175</v>
      </c>
      <c r="F279" s="19" t="s">
        <v>176</v>
      </c>
      <c r="G279" s="19">
        <v>1</v>
      </c>
      <c r="V279" s="1"/>
      <c r="BN279" s="21"/>
    </row>
    <row r="280" spans="1:66" ht="20.100000000000001" customHeight="1" x14ac:dyDescent="0.2">
      <c r="A280"/>
    </row>
    <row r="281" spans="1:66" ht="20.100000000000001" customHeight="1" x14ac:dyDescent="0.2">
      <c r="A281"/>
    </row>
    <row r="282" spans="1:66" ht="20.100000000000001" customHeight="1" x14ac:dyDescent="0.2">
      <c r="A282"/>
      <c r="D282" s="1" t="s">
        <v>177</v>
      </c>
    </row>
    <row r="283" spans="1:66" ht="20.100000000000001" customHeight="1" x14ac:dyDescent="0.2">
      <c r="A283"/>
      <c r="D283" s="19" t="s">
        <v>198</v>
      </c>
      <c r="E283" s="19" t="s">
        <v>156</v>
      </c>
      <c r="F283" s="19" t="s">
        <v>157</v>
      </c>
      <c r="G283" s="19" t="s">
        <v>150</v>
      </c>
      <c r="V283" s="1"/>
      <c r="BN283" s="21"/>
    </row>
    <row r="284" spans="1:66" ht="20.100000000000001" customHeight="1" x14ac:dyDescent="0.2">
      <c r="A284"/>
      <c r="D284" s="19" t="s">
        <v>209</v>
      </c>
      <c r="E284" s="19" t="s">
        <v>178</v>
      </c>
      <c r="F284" s="19" t="s">
        <v>179</v>
      </c>
      <c r="G284" s="19">
        <v>5</v>
      </c>
      <c r="V284" s="1"/>
      <c r="BN284" s="21"/>
    </row>
    <row r="285" spans="1:66" ht="20.100000000000001" customHeight="1" x14ac:dyDescent="0.2">
      <c r="A285"/>
      <c r="D285" s="19" t="s">
        <v>210</v>
      </c>
      <c r="E285" s="19" t="s">
        <v>180</v>
      </c>
      <c r="F285" s="19" t="s">
        <v>181</v>
      </c>
      <c r="G285" s="19">
        <v>4</v>
      </c>
      <c r="V285" s="1"/>
      <c r="BN285" s="21"/>
    </row>
    <row r="286" spans="1:66" ht="20.100000000000001" customHeight="1" x14ac:dyDescent="0.2">
      <c r="A286"/>
      <c r="D286" s="19" t="s">
        <v>211</v>
      </c>
      <c r="E286" s="19" t="s">
        <v>182</v>
      </c>
      <c r="F286" s="19" t="s">
        <v>153</v>
      </c>
      <c r="G286" s="19">
        <v>3</v>
      </c>
      <c r="V286" s="1"/>
      <c r="BN286" s="21"/>
    </row>
    <row r="287" spans="1:66" ht="20.100000000000001" customHeight="1" x14ac:dyDescent="0.2">
      <c r="A287"/>
      <c r="D287" s="19" t="s">
        <v>212</v>
      </c>
      <c r="E287" s="19" t="s">
        <v>183</v>
      </c>
      <c r="F287" s="19" t="s">
        <v>184</v>
      </c>
      <c r="G287" s="19">
        <v>2</v>
      </c>
      <c r="V287" s="1"/>
      <c r="BN287" s="21"/>
    </row>
    <row r="288" spans="1:66" ht="20.100000000000001" customHeight="1" x14ac:dyDescent="0.2">
      <c r="A288"/>
      <c r="D288" s="19" t="s">
        <v>213</v>
      </c>
      <c r="E288" s="19" t="s">
        <v>185</v>
      </c>
      <c r="F288" s="19" t="s">
        <v>186</v>
      </c>
      <c r="G288" s="19">
        <v>1</v>
      </c>
      <c r="V288" s="1"/>
      <c r="BN288" s="21"/>
    </row>
    <row r="289" spans="1:66" ht="20.100000000000001" customHeight="1" x14ac:dyDescent="0.2">
      <c r="A289"/>
    </row>
    <row r="290" spans="1:66" ht="20.100000000000001" customHeight="1" x14ac:dyDescent="0.2">
      <c r="A290"/>
    </row>
    <row r="291" spans="1:66" ht="20.100000000000001" customHeight="1" x14ac:dyDescent="0.2">
      <c r="A291"/>
      <c r="D291" s="1" t="s">
        <v>187</v>
      </c>
    </row>
    <row r="292" spans="1:66" ht="20.100000000000001" customHeight="1" x14ac:dyDescent="0.2">
      <c r="A292"/>
      <c r="D292" s="19" t="s">
        <v>198</v>
      </c>
      <c r="E292" s="19" t="s">
        <v>156</v>
      </c>
      <c r="F292" s="19" t="s">
        <v>157</v>
      </c>
      <c r="G292" s="19" t="s">
        <v>150</v>
      </c>
      <c r="V292" s="1"/>
      <c r="BN292" s="21"/>
    </row>
    <row r="293" spans="1:66" ht="20.100000000000001" customHeight="1" x14ac:dyDescent="0.2">
      <c r="A293"/>
      <c r="D293" s="19" t="s">
        <v>214</v>
      </c>
      <c r="E293" s="19" t="s">
        <v>188</v>
      </c>
      <c r="F293" s="19" t="s">
        <v>189</v>
      </c>
      <c r="G293" s="19">
        <v>5</v>
      </c>
      <c r="V293" s="1"/>
      <c r="BN293" s="21"/>
    </row>
    <row r="294" spans="1:66" ht="20.100000000000001" customHeight="1" x14ac:dyDescent="0.2">
      <c r="A294"/>
      <c r="D294" s="19" t="s">
        <v>215</v>
      </c>
      <c r="E294" s="19" t="s">
        <v>190</v>
      </c>
      <c r="F294" s="19" t="s">
        <v>191</v>
      </c>
      <c r="G294" s="19">
        <v>4</v>
      </c>
      <c r="V294" s="1"/>
      <c r="BN294" s="21"/>
    </row>
    <row r="295" spans="1:66" ht="20.100000000000001" customHeight="1" x14ac:dyDescent="0.2">
      <c r="A295"/>
      <c r="D295" s="19" t="s">
        <v>216</v>
      </c>
      <c r="E295" s="19" t="s">
        <v>192</v>
      </c>
      <c r="F295" s="19" t="s">
        <v>193</v>
      </c>
      <c r="G295" s="19">
        <v>3</v>
      </c>
      <c r="V295" s="1"/>
      <c r="BN295" s="21"/>
    </row>
    <row r="296" spans="1:66" ht="20.100000000000001" customHeight="1" x14ac:dyDescent="0.2">
      <c r="A296"/>
      <c r="D296" s="19" t="s">
        <v>217</v>
      </c>
      <c r="E296" s="19" t="s">
        <v>194</v>
      </c>
      <c r="F296" s="19" t="s">
        <v>195</v>
      </c>
      <c r="G296" s="19">
        <v>2</v>
      </c>
      <c r="V296" s="1"/>
      <c r="BN296" s="21"/>
    </row>
    <row r="297" spans="1:66" ht="20.100000000000001" customHeight="1" x14ac:dyDescent="0.2">
      <c r="A297"/>
      <c r="D297" s="19" t="s">
        <v>218</v>
      </c>
      <c r="E297" s="19" t="s">
        <v>196</v>
      </c>
      <c r="F297" s="19" t="s">
        <v>197</v>
      </c>
      <c r="G297" s="19">
        <v>1</v>
      </c>
      <c r="V297" s="1"/>
      <c r="BN297" s="21"/>
    </row>
    <row r="298" spans="1:66" ht="20.100000000000001" customHeight="1" x14ac:dyDescent="0.2">
      <c r="A298"/>
    </row>
    <row r="299" spans="1:66" ht="20.100000000000001" customHeight="1" x14ac:dyDescent="0.2">
      <c r="A299"/>
    </row>
    <row r="300" spans="1:66" ht="20.100000000000001" customHeight="1" x14ac:dyDescent="0.2">
      <c r="A300"/>
    </row>
    <row r="301" spans="1:66" ht="20.100000000000001" customHeight="1" x14ac:dyDescent="0.2">
      <c r="A301"/>
    </row>
    <row r="302" spans="1:66" ht="20.100000000000001" customHeight="1" x14ac:dyDescent="0.2">
      <c r="A302"/>
    </row>
    <row r="303" spans="1:66" ht="20.100000000000001" customHeight="1" x14ac:dyDescent="0.2">
      <c r="A303"/>
    </row>
    <row r="304" spans="1:66" ht="20.100000000000001" customHeight="1" x14ac:dyDescent="0.2">
      <c r="A304"/>
    </row>
    <row r="305" spans="1:1" ht="20.100000000000001" customHeight="1" x14ac:dyDescent="0.2">
      <c r="A305"/>
    </row>
    <row r="306" spans="1:1" ht="20.100000000000001" customHeight="1" x14ac:dyDescent="0.2">
      <c r="A306"/>
    </row>
    <row r="307" spans="1:1" ht="20.100000000000001" customHeight="1" x14ac:dyDescent="0.2">
      <c r="A307"/>
    </row>
    <row r="308" spans="1:1" ht="20.100000000000001" customHeight="1" x14ac:dyDescent="0.2">
      <c r="A308"/>
    </row>
    <row r="309" spans="1:1" ht="20.100000000000001" customHeight="1" x14ac:dyDescent="0.2">
      <c r="A309"/>
    </row>
    <row r="310" spans="1:1" ht="20.100000000000001" customHeight="1" x14ac:dyDescent="0.2">
      <c r="A310"/>
    </row>
    <row r="311" spans="1:1" ht="20.100000000000001" customHeight="1" x14ac:dyDescent="0.2">
      <c r="A311"/>
    </row>
    <row r="312" spans="1:1" ht="20.100000000000001" customHeight="1" x14ac:dyDescent="0.2">
      <c r="A312"/>
    </row>
    <row r="313" spans="1:1" ht="20.100000000000001" customHeight="1" x14ac:dyDescent="0.2">
      <c r="A313"/>
    </row>
    <row r="314" spans="1:1" ht="20.100000000000001" customHeight="1" x14ac:dyDescent="0.2">
      <c r="A314"/>
    </row>
    <row r="315" spans="1:1" ht="20.100000000000001" customHeight="1" x14ac:dyDescent="0.2">
      <c r="A315"/>
    </row>
    <row r="316" spans="1:1" ht="20.100000000000001" customHeight="1" x14ac:dyDescent="0.2">
      <c r="A316"/>
    </row>
    <row r="317" spans="1:1" ht="20.100000000000001" customHeight="1" x14ac:dyDescent="0.2">
      <c r="A317"/>
    </row>
    <row r="318" spans="1:1" ht="20.100000000000001" customHeight="1" x14ac:dyDescent="0.2">
      <c r="A318"/>
    </row>
    <row r="319" spans="1:1" ht="20.100000000000001" customHeight="1" x14ac:dyDescent="0.2">
      <c r="A319"/>
    </row>
    <row r="320" spans="1:1" ht="20.100000000000001" customHeight="1" x14ac:dyDescent="0.2">
      <c r="A320"/>
    </row>
    <row r="321" spans="1:1" ht="20.100000000000001" customHeight="1" x14ac:dyDescent="0.2">
      <c r="A321"/>
    </row>
    <row r="322" spans="1:1" ht="20.100000000000001" customHeight="1" x14ac:dyDescent="0.2">
      <c r="A322"/>
    </row>
    <row r="323" spans="1:1" ht="20.100000000000001" customHeight="1" x14ac:dyDescent="0.2">
      <c r="A323"/>
    </row>
    <row r="324" spans="1:1" ht="20.100000000000001" customHeight="1" x14ac:dyDescent="0.2">
      <c r="A324"/>
    </row>
    <row r="325" spans="1:1" ht="20.100000000000001" customHeight="1" x14ac:dyDescent="0.2">
      <c r="A325"/>
    </row>
    <row r="326" spans="1:1" ht="20.100000000000001" customHeight="1" x14ac:dyDescent="0.2">
      <c r="A326"/>
    </row>
    <row r="327" spans="1:1" ht="20.100000000000001" customHeight="1" x14ac:dyDescent="0.2">
      <c r="A327"/>
    </row>
    <row r="328" spans="1:1" ht="20.100000000000001" customHeight="1" x14ac:dyDescent="0.2">
      <c r="A328"/>
    </row>
    <row r="329" spans="1:1" ht="20.100000000000001" customHeight="1" x14ac:dyDescent="0.2">
      <c r="A329"/>
    </row>
    <row r="330" spans="1:1" ht="20.100000000000001" customHeight="1" x14ac:dyDescent="0.2">
      <c r="A330"/>
    </row>
    <row r="331" spans="1:1" ht="20.100000000000001" customHeight="1" x14ac:dyDescent="0.2">
      <c r="A331"/>
    </row>
    <row r="332" spans="1:1" ht="20.100000000000001" customHeight="1" x14ac:dyDescent="0.2">
      <c r="A332"/>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CF1ED-D418-4A27-8135-CF1F7263F109}">
  <sheetPr>
    <tabColor theme="5" tint="-0.249977111117893"/>
  </sheetPr>
  <dimension ref="A1:K57"/>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s>
  <sheetData>
    <row r="1" spans="1:11" s="10" customFormat="1" ht="30" customHeight="1" x14ac:dyDescent="0.35">
      <c r="A1" s="10" t="e" vm="1">
        <v>#VALUE!</v>
      </c>
      <c r="C1" s="10" t="s">
        <v>680</v>
      </c>
    </row>
    <row r="2" spans="1:11" s="3" customFormat="1" ht="20.100000000000001" customHeight="1" x14ac:dyDescent="0.2">
      <c r="A2"/>
    </row>
    <row r="3" spans="1:11" ht="20.100000000000001" customHeight="1" x14ac:dyDescent="0.2">
      <c r="A3" s="5" t="str">
        <f>HYPERLINK("#'Home'!A1", "Home")</f>
        <v>Home</v>
      </c>
      <c r="C3" s="28"/>
      <c r="D3" s="28"/>
      <c r="E3" s="28"/>
      <c r="F3" s="28"/>
      <c r="G3" s="28"/>
      <c r="H3" s="28"/>
      <c r="I3" s="28"/>
      <c r="J3" s="28"/>
      <c r="K3" s="28"/>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1" t="s">
        <v>311</v>
      </c>
      <c r="E5" s="13" t="s">
        <v>325</v>
      </c>
      <c r="F5" s="16" t="s">
        <v>100</v>
      </c>
    </row>
    <row r="6" spans="1:11" ht="20.100000000000001" customHeight="1" x14ac:dyDescent="0.2">
      <c r="D6" s="1" t="s">
        <v>681</v>
      </c>
      <c r="E6" s="13" t="s">
        <v>682</v>
      </c>
      <c r="F6" s="16" t="s">
        <v>100</v>
      </c>
    </row>
    <row r="7" spans="1:11" ht="20.100000000000001" customHeight="1" x14ac:dyDescent="0.2">
      <c r="D7" s="1" t="s">
        <v>63</v>
      </c>
      <c r="E7" s="13" t="s">
        <v>516</v>
      </c>
      <c r="F7" s="16" t="s">
        <v>100</v>
      </c>
    </row>
    <row r="8" spans="1:11" ht="20.100000000000001" customHeight="1" x14ac:dyDescent="0.2">
      <c r="A8" s="7" t="s">
        <v>0</v>
      </c>
      <c r="D8" s="1" t="s">
        <v>683</v>
      </c>
      <c r="E8" s="74">
        <v>100</v>
      </c>
      <c r="F8" s="16" t="s">
        <v>684</v>
      </c>
    </row>
    <row r="9" spans="1:11" ht="20.100000000000001" customHeight="1" x14ac:dyDescent="0.2">
      <c r="A9" s="5" t="str">
        <f>HYPERLINK("#'Input - Enterprise'!A1", "Enterprise")</f>
        <v>Enterprise</v>
      </c>
    </row>
    <row r="10" spans="1:11" ht="20.100000000000001" customHeight="1" x14ac:dyDescent="0.2">
      <c r="A10" s="5" t="str">
        <f>HYPERLINK("#'Input - Site'!A1", "Site")</f>
        <v>Site</v>
      </c>
    </row>
    <row r="11" spans="1:11" ht="20.100000000000001" customHeight="1" x14ac:dyDescent="0.2">
      <c r="A11" s="5" t="str">
        <f>HYPERLINK("#'Input - Poultry'!A1", "Poultry")</f>
        <v>Poultry</v>
      </c>
    </row>
    <row r="12" spans="1:11" ht="20.100000000000001" customHeight="1" x14ac:dyDescent="0.2">
      <c r="A12" s="5" t="str">
        <f>HYPERLINK("#'Input - Livestock sales'!A1", "Livestock sales")</f>
        <v>Livestock sales</v>
      </c>
    </row>
    <row r="13" spans="1:11" ht="20.100000000000001" customHeight="1" x14ac:dyDescent="0.2">
      <c r="A13" s="5" t="str">
        <f>HYPERLINK("#'Input - Poultry purchases'!A1", "Poultry purchases")</f>
        <v>Poultry purchases</v>
      </c>
    </row>
    <row r="14" spans="1:11" ht="20.100000000000001" customHeight="1" x14ac:dyDescent="0.2">
      <c r="A14" s="5" t="str">
        <f>HYPERLINK("#'Input - Fuel'!A1", "Fuel")</f>
        <v>Fuel</v>
      </c>
    </row>
    <row r="15" spans="1:11" ht="20.100000000000001" customHeight="1" x14ac:dyDescent="0.2">
      <c r="A15" s="5" t="str">
        <f>HYPERLINK("#'Input - Electricity'!A1", "Electricity")</f>
        <v>Electricity</v>
      </c>
    </row>
    <row r="16" spans="1:11" ht="20.100000000000001" customHeight="1" x14ac:dyDescent="0.2">
      <c r="A16" s="5" t="str">
        <f>HYPERLINK("#'Input - Common farm inputs'!A1", "Common farm inputs")</f>
        <v>Common farm inputs</v>
      </c>
    </row>
    <row r="17" spans="1:1" ht="20.100000000000001" customHeight="1" x14ac:dyDescent="0.2">
      <c r="A17" s="5" t="str">
        <f>HYPERLINK("#'Input - Livestock farm Inputs'!A1", "Livestock farm Inputs")</f>
        <v>Livestock farm Inputs</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5" t="str">
        <f>HYPERLINK("#'Input - Manure sent off-site'!A1", "Manure sent off-site")</f>
        <v>Manure sent off-site</v>
      </c>
    </row>
    <row r="21" spans="1:1" ht="20.100000000000001" customHeight="1" x14ac:dyDescent="0.2">
      <c r="A21" s="5" t="str">
        <f>HYPERLINK("#'Input - Data quality'!A1", "Data quality")</f>
        <v>Data quality</v>
      </c>
    </row>
    <row r="22" spans="1:1" ht="20.100000000000001" customHeight="1" x14ac:dyDescent="0.2">
      <c r="A22" s="100" t="str">
        <f>HYPERLINK("#'Input - Fert Prod System'!A1", "Fert Prod System")</f>
        <v>Fert Prod System</v>
      </c>
    </row>
    <row r="23" spans="1:1" ht="20.100000000000001" customHeight="1" x14ac:dyDescent="0.2">
      <c r="A23" s="5" t="str">
        <f>HYPERLINK("#'Input - Fertiliser'!A1", "Fertiliser")</f>
        <v>Fertiliser</v>
      </c>
    </row>
    <row r="26" spans="1:1" ht="20.100000000000001" customHeight="1" x14ac:dyDescent="0.2">
      <c r="A26" s="6" t="s">
        <v>2</v>
      </c>
    </row>
    <row r="27" spans="1:1" ht="20.100000000000001" customHeight="1" x14ac:dyDescent="0.2">
      <c r="A27" s="5" t="str">
        <f>HYPERLINK("#'4.6.1.1-2 Methane'!A1", "4.6.1.1-2 Manure Methane")</f>
        <v>4.6.1.1-2 Manure Methane</v>
      </c>
    </row>
    <row r="28" spans="1:1" ht="20.100000000000001" customHeight="1" x14ac:dyDescent="0.2">
      <c r="A28" s="5" t="str">
        <f>HYPERLINK("#'4.6.1.3-4 Direct N20'!A1", "4.6.1.3-4 Manure Direct N2O")</f>
        <v>4.6.1.3-4 Manure Direct N2O</v>
      </c>
    </row>
    <row r="29" spans="1:1" ht="20.100000000000001" customHeight="1" x14ac:dyDescent="0.2">
      <c r="A29" s="5" t="str">
        <f>HYPERLINK("#'4.6.1.5-6 Atmos Dep'!A1", "4.6.1.5-6 Manure Atmos Dep")</f>
        <v>4.6.1.5-6 Manure Atmos Dep</v>
      </c>
    </row>
    <row r="30" spans="1:1" ht="20.100000000000001" customHeight="1" x14ac:dyDescent="0.2">
      <c r="A30" s="5" t="str">
        <f>HYPERLINK("#'4.6.1.7-8 Leaching and runoff'!A1", "4.6.1.7-8 Manure Leaching and runoff")</f>
        <v>4.6.1.7-8 Manure Leaching and runoff</v>
      </c>
    </row>
    <row r="31" spans="1:1" ht="20.100000000000001" customHeight="1" x14ac:dyDescent="0.2">
      <c r="A31" s="5" t="str">
        <f>HYPERLINK("#'4.6.1.9 Manure applied to soils'!A1", "4.6.1.9 Manure applied to soils")</f>
        <v>4.6.1.9 Manure applied to soils</v>
      </c>
    </row>
    <row r="32" spans="1:1" ht="20.100000000000001" customHeight="1" x14ac:dyDescent="0.2">
      <c r="A32" s="5" t="str">
        <f>HYPERLINK("#'4.6.1.10-11 Soil direct N2O'!A1", "4.6.1.10-11 Soil direct N2O")</f>
        <v>4.6.1.10-11 Soil direct N2O</v>
      </c>
    </row>
    <row r="33" spans="1:1" ht="20.100000000000001" customHeight="1" x14ac:dyDescent="0.2">
      <c r="A33" s="5" t="str">
        <f>HYPERLINK("#'4.6.1.12-13 Soil atmos dep'!A1", "4.6.1.12-13 Soil atmos dep")</f>
        <v>4.6.1.12-13 Soil atmos dep</v>
      </c>
    </row>
    <row r="34" spans="1:1" ht="20.100000000000001" customHeight="1" x14ac:dyDescent="0.2">
      <c r="A34" s="5" t="str">
        <f>HYPERLINK("#'4.6.1.14-15 Soil leach runoff'!A1", "4.6.1.14-15 Soil leach runoff")</f>
        <v>4.6.1.14-15 Soil leach runoff</v>
      </c>
    </row>
    <row r="35" spans="1:1" ht="20.100000000000001" customHeight="1" x14ac:dyDescent="0.2">
      <c r="A35" s="5" t="str">
        <f>HYPERLINK("#'8.1.1.1-2 Transport fuel'!A1", "8.1.1.1-2 Transport fuel")</f>
        <v>8.1.1.1-2 Transport fuel</v>
      </c>
    </row>
    <row r="36" spans="1:1" ht="20.100000000000001" customHeight="1" x14ac:dyDescent="0.2">
      <c r="A36" s="5" t="str">
        <f>HYPERLINK("#'8.2.1.1-2 Stationary fuel'!A1", "8.2.1.1-2 Stationary fuel")</f>
        <v>8.2.1.1-2 Stationary fuel</v>
      </c>
    </row>
    <row r="37" spans="1:1" ht="20.100000000000001" customHeight="1" x14ac:dyDescent="0.2">
      <c r="A37" s="5" t="str">
        <f>HYPERLINK("#'10.1.1-2 Solid waste treatment'!A1", "10.1.1.1-2 Solid waste")</f>
        <v>10.1.1.1-2 Solid waste</v>
      </c>
    </row>
    <row r="38" spans="1:1" ht="20.100000000000001" customHeight="1" x14ac:dyDescent="0.2">
      <c r="A38" s="5" t="str">
        <f>HYPERLINK("#'14.1.1-2 Purchased electricity'!A1", "14.1.1-2 Purchased electricity")</f>
        <v>14.1.1-2 Purchased electricity</v>
      </c>
    </row>
    <row r="39" spans="1:1" ht="20.100000000000001" customHeight="1" x14ac:dyDescent="0.2">
      <c r="A39" s="5" t="str">
        <f>HYPERLINK("#'15 Scope 3'!A1", "15 Scope 3")</f>
        <v>15 Scope 3</v>
      </c>
    </row>
    <row r="40" spans="1:1" ht="20.100000000000001" customHeight="1" x14ac:dyDescent="0.2">
      <c r="A40" s="5" t="str">
        <f>HYPERLINK("#'Calcs - Manure sent off-site'!A1", "Calcs - Manure sent off-site")</f>
        <v>Calcs - Manure sent off-site</v>
      </c>
    </row>
    <row r="41" spans="1:1" ht="20.100000000000001" customHeight="1" x14ac:dyDescent="0.2">
      <c r="A41" s="5" t="str">
        <f>HYPERLINK("#'5.1.1.1-2 Inorganic fert N2O'!A1", "5.1.1.1-2 Inorganic fert N2O")</f>
        <v>5.1.1.1-2 Inorganic fert N2O</v>
      </c>
    </row>
    <row r="42" spans="1:1" ht="20.100000000000001" customHeight="1" x14ac:dyDescent="0.2">
      <c r="A42" s="5" t="str">
        <f>HYPERLINK("#'5.1.1.3-4 Inorganic fert CO2'!A1", "5.1.1.3-4 Inorganic fert CO2")</f>
        <v>5.1.1.3-4 Inorganic fert CO2</v>
      </c>
    </row>
    <row r="43" spans="1:1" ht="20.100000000000001" customHeight="1" x14ac:dyDescent="0.2">
      <c r="A43" s="5" t="str">
        <f>HYPERLINK("#'5.2.1.1-2 Organic Fert N2O'!A1", "5.2.1.1-2 Organic Fert N2O")</f>
        <v>5.2.1.1-2 Organic Fert N2O</v>
      </c>
    </row>
    <row r="44" spans="1:1" ht="20.100000000000001" customHeight="1" x14ac:dyDescent="0.2">
      <c r="A44" s="5" t="str">
        <f>HYPERLINK("#'5.3.1.1-2 Lime CO2'!A1", "5.3.1.1-2 Lime CO2")</f>
        <v>5.3.1.1-2 Lime CO2</v>
      </c>
    </row>
    <row r="45" spans="1:1" ht="20.100000000000001" customHeight="1" x14ac:dyDescent="0.2">
      <c r="A45" s="5" t="str">
        <f>HYPERLINK("#'5.4.1.1-4 Atmos deposition'!A1", "5.4.1.1-4 Atmos deposition")</f>
        <v>5.4.1.1-4 Atmos deposition</v>
      </c>
    </row>
    <row r="46" spans="1:1" ht="20.100000000000001" customHeight="1" x14ac:dyDescent="0.2">
      <c r="A46" s="5" t="str">
        <f>HYPERLINK("#'5.5.1.1-2 Leaching and runoff'!A1", "5.5.1.1-2 Leaching and runoff")</f>
        <v>5.5.1.1-2 Leaching and runoff</v>
      </c>
    </row>
    <row r="49" spans="1:1" ht="20.100000000000001" customHeight="1" x14ac:dyDescent="0.2">
      <c r="A49" s="80" t="s">
        <v>1</v>
      </c>
    </row>
    <row r="50" spans="1:1" ht="20.100000000000001" customHeight="1" x14ac:dyDescent="0.2">
      <c r="A50" s="5" t="str">
        <f>HYPERLINK("#'Constants - Poultry'!A1", "Constants - Poultry")</f>
        <v>Constants - Poultry</v>
      </c>
    </row>
    <row r="51" spans="1:1" ht="20.100000000000001" customHeight="1" x14ac:dyDescent="0.2">
      <c r="A51" s="5" t="str">
        <f>HYPERLINK("#'Constants - Common livestock'!A1", "Constants - Common Livestock")</f>
        <v>Constants - Common Livestock</v>
      </c>
    </row>
    <row r="52" spans="1:1" ht="20.100000000000001" customHeight="1" x14ac:dyDescent="0.2">
      <c r="A52" s="5" t="str">
        <f>HYPERLINK("#'Constants - Electricity'!A1", "Constants - Electricity")</f>
        <v>Constants - Electricity</v>
      </c>
    </row>
    <row r="53" spans="1:1" ht="20.100000000000001" customHeight="1" x14ac:dyDescent="0.2">
      <c r="A53" s="5" t="str">
        <f>HYPERLINK("#'Constants - Fertiliser'!A1", "Constants - Fertiliser")</f>
        <v>Constants - Fertiliser</v>
      </c>
    </row>
    <row r="54" spans="1:1" ht="20.100000000000001" customHeight="1" x14ac:dyDescent="0.2">
      <c r="A54" s="5" t="str">
        <f>HYPERLINK("#'Constants - Fuel'!A1", "Constants - Fuel")</f>
        <v>Constants - Fuel</v>
      </c>
    </row>
    <row r="55" spans="1:1" ht="20.100000000000001" customHeight="1" x14ac:dyDescent="0.2">
      <c r="A55" s="5" t="str">
        <f>HYPERLINK("#'Constants - Scope 3'!A1", "Constants - Scope 3")</f>
        <v>Constants - Scope 3</v>
      </c>
    </row>
    <row r="56" spans="1:1" ht="20.100000000000001" customHeight="1" x14ac:dyDescent="0.2">
      <c r="A56" s="5" t="str">
        <f>HYPERLINK("#'Constants - Solid Waste'!A1", "Constants - Solid Waste")</f>
        <v>Constants - Solid Waste</v>
      </c>
    </row>
    <row r="57" spans="1:1" ht="20.100000000000001" customHeight="1" x14ac:dyDescent="0.2">
      <c r="A57" s="5" t="str">
        <f>HYPERLINK("#'Constants - Common'!A1", "Constants - Common")</f>
        <v>Constants - Common</v>
      </c>
    </row>
  </sheetData>
  <dataValidations count="3">
    <dataValidation type="list" allowBlank="1" showInputMessage="1" showErrorMessage="1" sqref="E5" xr:uid="{3886E6B0-659A-47D0-960C-568E866BEB68}">
      <formula1>INDIRECT("Table_SourceData_Fertiliser_CropProdSystems[Production system]")</formula1>
    </dataValidation>
    <dataValidation type="list" allowBlank="1" showInputMessage="1" showErrorMessage="1" sqref="E7" xr:uid="{F451FADF-9FC9-47FA-90CB-DB5A9720D35C}">
      <formula1>INDIRECT("Table_SourceData_Fertiliser_IrrigationMethods[Irrigation method]")</formula1>
    </dataValidation>
    <dataValidation type="list" allowBlank="1" showInputMessage="1" showErrorMessage="1" sqref="E6" xr:uid="{13066D19-8AE3-4023-9CFE-A6842C8E7F59}">
      <formula1>INDIRECT("Table_SourceData_Fertiliser_CropTypes[Production system]")</formula1>
    </dataValidation>
  </dataValidation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629BA-BABB-46D9-950F-F030B3BDB7C1}">
  <sheetPr>
    <tabColor theme="5" tint="-0.249977111117893"/>
  </sheetPr>
  <dimension ref="A1:AA378"/>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4" width="52.140625" style="1" customWidth="1"/>
    <col min="5" max="24" width="30.7109375" style="1" customWidth="1"/>
    <col min="25" max="26" width="20.7109375" style="1" customWidth="1"/>
    <col min="27" max="27" width="4.7109375" style="1" customWidth="1"/>
  </cols>
  <sheetData>
    <row r="1" spans="1:27" s="10" customFormat="1" ht="30" customHeight="1" x14ac:dyDescent="0.35">
      <c r="A1" s="10" t="e" vm="1">
        <v>#VALUE!</v>
      </c>
      <c r="C1" s="10" t="s">
        <v>685</v>
      </c>
    </row>
    <row r="2" spans="1:27" s="3" customFormat="1" ht="20.100000000000001" customHeight="1" x14ac:dyDescent="0.2">
      <c r="A2"/>
    </row>
    <row r="3" spans="1:27" ht="20.100000000000001" customHeight="1" x14ac:dyDescent="0.2">
      <c r="A3" s="5" t="str">
        <f>HYPERLINK("#'Home'!A1", "Home")</f>
        <v>Home</v>
      </c>
      <c r="C3" s="28"/>
      <c r="D3" s="28"/>
      <c r="E3" s="28"/>
      <c r="F3" s="28"/>
      <c r="G3" s="28"/>
      <c r="H3" s="28"/>
      <c r="I3" s="28"/>
      <c r="J3" s="28"/>
      <c r="K3" s="28"/>
      <c r="L3" s="28"/>
      <c r="M3" s="28"/>
      <c r="N3" s="28"/>
      <c r="O3" s="28"/>
      <c r="P3" s="28"/>
      <c r="Q3" s="28"/>
      <c r="R3" s="28"/>
      <c r="S3" s="28"/>
      <c r="T3" s="28"/>
      <c r="U3" s="28"/>
      <c r="V3" s="28"/>
      <c r="W3" s="28"/>
      <c r="X3" s="28"/>
      <c r="Y3" s="28"/>
      <c r="Z3" s="28"/>
      <c r="AA3" s="28"/>
    </row>
    <row r="4" spans="1:27" ht="20.100000000000001" customHeight="1" x14ac:dyDescent="0.2">
      <c r="A4" s="5" t="str">
        <f>HYPERLINK("#'Results - Activity period'!A1", "Results - Activity period")</f>
        <v>Results - Activity period</v>
      </c>
    </row>
    <row r="5" spans="1:27" ht="20.100000000000001" customHeight="1" x14ac:dyDescent="0.2">
      <c r="A5" s="5" t="str">
        <f>HYPERLINK("#'Results - Product EI'!A1", "Results - Product Emissions Intensity")</f>
        <v>Results - Product Emissions Intensity</v>
      </c>
      <c r="D5" s="2" t="s">
        <v>686</v>
      </c>
      <c r="E5" s="24"/>
      <c r="F5" s="24"/>
      <c r="G5" s="24"/>
      <c r="H5" s="24"/>
      <c r="I5" s="24"/>
      <c r="J5" s="24"/>
      <c r="K5" s="24"/>
      <c r="L5" s="24"/>
      <c r="M5" s="24"/>
    </row>
    <row r="6" spans="1:27" ht="20.100000000000001" customHeight="1" x14ac:dyDescent="0.2">
      <c r="D6" s="8"/>
      <c r="E6" s="8"/>
      <c r="F6" s="8"/>
      <c r="G6" s="8"/>
      <c r="H6" s="8"/>
      <c r="I6" s="8"/>
      <c r="J6" s="8"/>
      <c r="K6" s="8"/>
      <c r="L6" s="8"/>
      <c r="M6" s="8"/>
    </row>
    <row r="7" spans="1:27" ht="20.100000000000001" customHeight="1" x14ac:dyDescent="0.2">
      <c r="D7" s="131" t="s">
        <v>687</v>
      </c>
      <c r="E7" s="43"/>
      <c r="F7" s="43"/>
      <c r="G7" s="43"/>
      <c r="H7" s="44"/>
      <c r="I7" s="193"/>
      <c r="J7" s="194"/>
      <c r="K7" s="194"/>
      <c r="L7" s="194"/>
      <c r="M7" s="194"/>
    </row>
    <row r="8" spans="1:27" ht="20.100000000000001" customHeight="1" x14ac:dyDescent="0.2">
      <c r="A8" s="7" t="s">
        <v>0</v>
      </c>
      <c r="D8" s="45" t="s">
        <v>688</v>
      </c>
      <c r="E8" s="46"/>
      <c r="F8" s="46"/>
      <c r="G8" s="46"/>
      <c r="H8" s="47"/>
      <c r="I8" s="8"/>
      <c r="J8" s="8"/>
      <c r="K8" s="8"/>
      <c r="L8" s="8"/>
      <c r="M8" s="8"/>
    </row>
    <row r="9" spans="1:27" ht="20.100000000000001" customHeight="1" x14ac:dyDescent="0.2">
      <c r="A9" s="5" t="str">
        <f>HYPERLINK("#'Input - Enterprise'!A1", "Enterprise")</f>
        <v>Enterprise</v>
      </c>
      <c r="D9" s="8"/>
      <c r="E9" s="8"/>
      <c r="F9" s="8"/>
      <c r="G9" s="8"/>
      <c r="H9" s="8"/>
      <c r="I9" s="8"/>
      <c r="J9" s="8"/>
      <c r="K9" s="8"/>
      <c r="L9" s="8"/>
      <c r="M9" s="8"/>
    </row>
    <row r="10" spans="1:27" ht="20.100000000000001" customHeight="1" x14ac:dyDescent="0.2">
      <c r="A10" s="5" t="str">
        <f>HYPERLINK("#'Input - Site'!A1", "Site")</f>
        <v>Site</v>
      </c>
      <c r="D10" s="77" t="s">
        <v>689</v>
      </c>
      <c r="E10" s="8"/>
      <c r="F10" s="8"/>
      <c r="G10" s="8"/>
      <c r="H10" s="8"/>
      <c r="I10" s="8"/>
      <c r="J10" s="8"/>
      <c r="K10" s="8"/>
      <c r="L10" s="8"/>
      <c r="M10" s="8"/>
    </row>
    <row r="11" spans="1:27" ht="20.100000000000001" customHeight="1" x14ac:dyDescent="0.2">
      <c r="A11" s="5" t="str">
        <f>HYPERLINK("#'Input - Poultry'!A1", "Poultry")</f>
        <v>Poultry</v>
      </c>
      <c r="D11" s="195" t="s">
        <v>690</v>
      </c>
      <c r="E11" s="196" t="s">
        <v>691</v>
      </c>
      <c r="F11" s="197" t="s">
        <v>692</v>
      </c>
      <c r="G11" s="196" t="s">
        <v>693</v>
      </c>
      <c r="H11" s="197" t="s">
        <v>694</v>
      </c>
      <c r="I11" s="196" t="s">
        <v>695</v>
      </c>
      <c r="J11" s="195" t="s">
        <v>696</v>
      </c>
      <c r="K11" s="195" t="s">
        <v>697</v>
      </c>
      <c r="L11" s="195" t="s">
        <v>698</v>
      </c>
      <c r="M11" s="195" t="s">
        <v>699</v>
      </c>
      <c r="N11" s="195" t="s">
        <v>700</v>
      </c>
      <c r="O11" s="195" t="s">
        <v>701</v>
      </c>
      <c r="P11" s="195" t="s">
        <v>702</v>
      </c>
      <c r="Q11" s="195" t="s">
        <v>703</v>
      </c>
      <c r="R11" s="195" t="s">
        <v>704</v>
      </c>
      <c r="S11" s="195" t="s">
        <v>705</v>
      </c>
      <c r="T11" s="195" t="s">
        <v>706</v>
      </c>
      <c r="U11" s="195" t="s">
        <v>707</v>
      </c>
      <c r="V11" s="195" t="s">
        <v>708</v>
      </c>
      <c r="W11" s="195" t="s">
        <v>709</v>
      </c>
      <c r="X11" s="195" t="s">
        <v>710</v>
      </c>
      <c r="Y11" s="195" t="s">
        <v>711</v>
      </c>
      <c r="Z11" s="195" t="s">
        <v>712</v>
      </c>
    </row>
    <row r="12" spans="1:27" ht="20.100000000000001" customHeight="1" x14ac:dyDescent="0.2">
      <c r="A12" s="5" t="str">
        <f>HYPERLINK("#'Input - Livestock sales'!A1", "Livestock sales")</f>
        <v>Livestock sales</v>
      </c>
      <c r="D12" s="198" t="s">
        <v>713</v>
      </c>
      <c r="E12" s="199">
        <v>100</v>
      </c>
      <c r="F12" s="15" t="str">
        <f>IFERROR(_xlfn.XLOOKUP(Table_Input_InorganicFertiliser_Brands[[#This Row],[Product (select)]],FertiliserProducts[Product],FertiliserProducts[Unit]), "kg")</f>
        <v>kg</v>
      </c>
      <c r="G12" s="199">
        <f t="shared" ref="G12" si="0">X_Cell_Fertiliser_AreaUnderCropping</f>
        <v>100</v>
      </c>
      <c r="H12" s="200">
        <f>IFERROR(_xlfn.XLOOKUP(Table_Input_InorganicFertiliser_Brands[[#This Row],[Product (select)]],FertiliserProducts[Product],FertiliserProducts[Density]), 1)</f>
        <v>1</v>
      </c>
      <c r="I12" s="201">
        <f>(Table_Input_InorganicFertiliser_Brands[[#This Row],[Amount applied per hectare]]*Table_Input_InorganicFertiliser_Brands[[#This Row],[Density]])*Table_Input_InorganicFertiliser_Brands[[#This Row],[Application area (ha)]]</f>
        <v>10000</v>
      </c>
      <c r="J12" s="201" t="str" cm="1">
        <f t="array" ref="J12">Fertiliser_InputFunctions.Fertiliser_FertiliserProductLookup(Table_Input_InorganicFertiliser_Brands[[#This Row],[Product (select)]], Table_Input_InorganicFertiliser_Brands[[#Headers],[Ingredient 1]], FertiliserProducts[#Data], FertiliserProducts[Product], FertiliserProducts[#Headers])</f>
        <v>Urea</v>
      </c>
      <c r="K12" s="201" cm="1">
        <f t="array" ref="K12">Fertiliser_InputFunctions.Fertiliser_FertiliserProductLookup(Table_Input_InorganicFertiliser_Brands[[#This Row],[Product (select)]], Table_Input_InorganicFertiliser_Brands[[#Headers],[Ingredient 1 percent]], FertiliserProducts[#Data], FertiliserProducts[Product], FertiliserProducts[#Headers])</f>
        <v>1</v>
      </c>
      <c r="L12" s="201" cm="1">
        <f t="array" ref="L12">Fertiliser_InputFunctions.Fertiliser_FertiliserProductLookup(Table_Input_InorganicFertiliser_Brands[[#This Row],[Product (select)]], Table_Input_InorganicFertiliser_Brands[[#Headers],[Ingredient 2]], FertiliserProducts[#Data], FertiliserProducts[Product], FertiliserProducts[#Headers])</f>
        <v>0</v>
      </c>
      <c r="M12" s="201" cm="1">
        <f t="array" ref="M12">Fertiliser_InputFunctions.Fertiliser_FertiliserProductLookup(Table_Input_InorganicFertiliser_Brands[[#This Row],[Product (select)]], Table_Input_InorganicFertiliser_Brands[[#Headers],[Ingredient 2 percent]], FertiliserProducts[#Data], FertiliserProducts[Product], FertiliserProducts[#Headers])</f>
        <v>0</v>
      </c>
      <c r="N12" s="201" cm="1">
        <f t="array" ref="N12">Fertiliser_InputFunctions.Fertiliser_FertiliserProductLookup(Table_Input_InorganicFertiliser_Brands[[#This Row],[Product (select)]], Table_Input_InorganicFertiliser_Brands[[#Headers],[Ingredient 3]], FertiliserProducts[#Data], FertiliserProducts[Product], FertiliserProducts[#Headers])</f>
        <v>0</v>
      </c>
      <c r="O12" s="201" cm="1">
        <f t="array" ref="O12">Fertiliser_InputFunctions.Fertiliser_FertiliserProductLookup(Table_Input_InorganicFertiliser_Brands[[#This Row],[Product (select)]], Table_Input_InorganicFertiliser_Brands[[#Headers],[Ingredient 3 percent]], FertiliserProducts[#Data], FertiliserProducts[Product], FertiliserProducts[#Headers])</f>
        <v>0</v>
      </c>
      <c r="P12" s="201" cm="1">
        <f t="array" ref="P12">Fertiliser_InputFunctions.Fertiliser_FertiliserProductLookup(Table_Input_InorganicFertiliser_Brands[[#This Row],[Product (select)]], Table_Input_InorganicFertiliser_Brands[[#Headers],[Ingredient 4]], FertiliserProducts[#Data], FertiliserProducts[Product], FertiliserProducts[#Headers])</f>
        <v>0</v>
      </c>
      <c r="Q12" s="201" cm="1">
        <f t="array" ref="Q12">Fertiliser_InputFunctions.Fertiliser_FertiliserProductLookup(Table_Input_InorganicFertiliser_Brands[[#This Row],[Product (select)]], Table_Input_InorganicFertiliser_Brands[[#Headers],[Ingredient 4 percent]], FertiliserProducts[#Data], FertiliserProducts[Product], FertiliserProducts[#Headers])</f>
        <v>0</v>
      </c>
      <c r="R12" s="201" cm="1">
        <f t="array" ref="R12">Fertiliser_InputFunctions.Fertiliser_FertiliserProductLookup(Table_Input_InorganicFertiliser_Brands[[#This Row],[Product (select)]], Table_Input_InorganicFertiliser_Brands[[#Headers],[Ingredient 5]], FertiliserProducts[#Data], FertiliserProducts[Product], FertiliserProducts[#Headers])</f>
        <v>0</v>
      </c>
      <c r="S12" s="201" cm="1">
        <f t="array" ref="S12">Fertiliser_InputFunctions.Fertiliser_FertiliserProductLookup(Table_Input_InorganicFertiliser_Brands[[#This Row],[Product (select)]], Table_Input_InorganicFertiliser_Brands[[#Headers],[Ingredient 5 percent]], FertiliserProducts[#Data], FertiliserProducts[Product], FertiliserProducts[#Headers])</f>
        <v>0</v>
      </c>
      <c r="T12" s="201" cm="1">
        <f t="array" ref="T12">Fertiliser_InputFunctions.Fertiliser_FertiliserProductLookup(Table_Input_InorganicFertiliser_Brands[[#This Row],[Product (select)]], Table_Input_InorganicFertiliser_Brands[[#Headers],[Ingredient 6]], FertiliserProducts[#Data], FertiliserProducts[Product], FertiliserProducts[#Headers])</f>
        <v>0</v>
      </c>
      <c r="U12" s="201" cm="1">
        <f t="array" ref="U12">Fertiliser_InputFunctions.Fertiliser_FertiliserProductLookup(Table_Input_InorganicFertiliser_Brands[[#This Row],[Product (select)]], Table_Input_InorganicFertiliser_Brands[[#Headers],[Ingredient 6 percent]], FertiliserProducts[#Data], FertiliserProducts[Product], FertiliserProducts[#Headers])</f>
        <v>0</v>
      </c>
      <c r="V12" s="20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0.46</v>
      </c>
      <c r="W12" s="201" cm="1">
        <f t="array" ref="W12">IFERROR(Fertiliser_InputFunctions.Fertiliser_FertiliserProductLookup(Table_Input_InorganicFertiliser_Brands[[#This Row],[Product (select)]], "N declared", FertiliserProducts[#Data], FertiliserProducts[Product], FertiliserProducts[#Headers])*0.01, 0)</f>
        <v>0.46</v>
      </c>
      <c r="X12" s="20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46</v>
      </c>
      <c r="Y12" s="201">
        <f>IFERROR(_xlfn.XLOOKUP(Table_Input_InorganicFertiliser_Brands[[#This Row],[Product (select)]],FertiliserProducts[Product],FertiliserProducts[Urea source]), "")</f>
        <v>0</v>
      </c>
      <c r="Z12" s="201">
        <f>IFERROR(_xlfn.XLOOKUP(Table_Input_InorganicFertiliser_Brands[[#This Row],[Product (select)]],FertiliserProducts[Product],FertiliserProducts[Ammonia source]), "")</f>
        <v>0</v>
      </c>
    </row>
    <row r="13" spans="1:27" ht="20.100000000000001" customHeight="1" x14ac:dyDescent="0.2">
      <c r="A13" s="5" t="str">
        <f>HYPERLINK("#'Input - Poultry purchases'!A1", "Poultry purchases")</f>
        <v>Poultry purchases</v>
      </c>
      <c r="D13" s="198" t="s">
        <v>714</v>
      </c>
      <c r="E13" s="199">
        <v>100</v>
      </c>
      <c r="F13" s="15" t="str">
        <f>IFERROR(_xlfn.XLOOKUP(Table_Input_InorganicFertiliser_Brands[[#This Row],[Product (select)]],FertiliserProducts[Product],FertiliserProducts[Unit]), "kg")</f>
        <v>kg</v>
      </c>
      <c r="G13" s="199">
        <f t="shared" ref="G13" si="1">X_Cell_Fertiliser_AreaUnderCropping</f>
        <v>100</v>
      </c>
      <c r="H13" s="200">
        <f>IFERROR(_xlfn.XLOOKUP(Table_Input_InorganicFertiliser_Brands[[#This Row],[Product (select)]],FertiliserProducts[Product],FertiliserProducts[Density]), 1)</f>
        <v>1</v>
      </c>
      <c r="I13" s="201">
        <f>(Table_Input_InorganicFertiliser_Brands[[#This Row],[Amount applied per hectare]]*Table_Input_InorganicFertiliser_Brands[[#This Row],[Density]])*Table_Input_InorganicFertiliser_Brands[[#This Row],[Application area (ha)]]</f>
        <v>10000</v>
      </c>
      <c r="J13" s="201" t="str" cm="1">
        <f t="array" ref="J13">Fertiliser_InputFunctions.Fertiliser_FertiliserProductLookup(Table_Input_InorganicFertiliser_Brands[[#This Row],[Product (select)]], Table_Input_InorganicFertiliser_Brands[[#Headers],[Ingredient 1]], FertiliserProducts[#Data], FertiliserProducts[Product], FertiliserProducts[#Headers])</f>
        <v>Urea</v>
      </c>
      <c r="K13" s="201" cm="1">
        <f t="array" ref="K13">Fertiliser_InputFunctions.Fertiliser_FertiliserProductLookup(Table_Input_InorganicFertiliser_Brands[[#This Row],[Product (select)]], Table_Input_InorganicFertiliser_Brands[[#Headers],[Ingredient 1 percent]], FertiliserProducts[#Data], FertiliserProducts[Product], FertiliserProducts[#Headers])</f>
        <v>0.52173899999999995</v>
      </c>
      <c r="L13" s="201" t="str" cm="1">
        <f t="array" ref="L13">Fertiliser_InputFunctions.Fertiliser_FertiliserProductLookup(Table_Input_InorganicFertiliser_Brands[[#This Row],[Product (select)]], Table_Input_InorganicFertiliser_Brands[[#Headers],[Ingredient 2]], FertiliserProducts[#Data], FertiliserProducts[Product], FertiliserProducts[#Headers])</f>
        <v>Potassium - Generic</v>
      </c>
      <c r="M13" s="201" cm="1">
        <f t="array" ref="M13">Fertiliser_InputFunctions.Fertiliser_FertiliserProductLookup(Table_Input_InorganicFertiliser_Brands[[#This Row],[Product (select)]], Table_Input_InorganicFertiliser_Brands[[#Headers],[Ingredient 2 percent]], FertiliserProducts[#Data], FertiliserProducts[Product], FertiliserProducts[#Headers])</f>
        <v>0.08</v>
      </c>
      <c r="N13" s="201" t="str" cm="1">
        <f t="array" ref="N13">Fertiliser_InputFunctions.Fertiliser_FertiliserProductLookup(Table_Input_InorganicFertiliser_Brands[[#This Row],[Product (select)]], Table_Input_InorganicFertiliser_Brands[[#Headers],[Ingredient 3]], FertiliserProducts[#Data], FertiliserProducts[Product], FertiliserProducts[#Headers])</f>
        <v>Sulfur - Generic</v>
      </c>
      <c r="O13" s="201" cm="1">
        <f t="array" ref="O13">Fertiliser_InputFunctions.Fertiliser_FertiliserProductLookup(Table_Input_InorganicFertiliser_Brands[[#This Row],[Product (select)]], Table_Input_InorganicFertiliser_Brands[[#Headers],[Ingredient 3 percent]], FertiliserProducts[#Data], FertiliserProducts[Product], FertiliserProducts[#Headers])</f>
        <v>5.2999999999999999E-2</v>
      </c>
      <c r="P13" s="201" t="str" cm="1">
        <f t="array" ref="P13">Fertiliser_InputFunctions.Fertiliser_FertiliserProductLookup(Table_Input_InorganicFertiliser_Brands[[#This Row],[Product (select)]], Table_Input_InorganicFertiliser_Brands[[#Headers],[Ingredient 4]], FertiliserProducts[#Data], FertiliserProducts[Product], FertiliserProducts[#Headers])</f>
        <v>Phosphorus - Generic</v>
      </c>
      <c r="Q13" s="201" cm="1">
        <f t="array" ref="Q13">Fertiliser_InputFunctions.Fertiliser_FertiliserProductLookup(Table_Input_InorganicFertiliser_Brands[[#This Row],[Product (select)]], Table_Input_InorganicFertiliser_Brands[[#Headers],[Ingredient 4 percent]], FertiliserProducts[#Data], FertiliserProducts[Product], FertiliserProducts[#Headers])</f>
        <v>5.1999999999999998E-2</v>
      </c>
      <c r="R13" s="201" t="str" cm="1">
        <f t="array" ref="R13">Fertiliser_InputFunctions.Fertiliser_FertiliserProductLookup(Table_Input_InorganicFertiliser_Brands[[#This Row],[Product (select)]], Table_Input_InorganicFertiliser_Brands[[#Headers],[Ingredient 5]], FertiliserProducts[#Data], FertiliserProducts[Product], FertiliserProducts[#Headers])</f>
        <v>Magnesium</v>
      </c>
      <c r="S13" s="201" cm="1">
        <f t="array" ref="S13">Fertiliser_InputFunctions.Fertiliser_FertiliserProductLookup(Table_Input_InorganicFertiliser_Brands[[#This Row],[Product (select)]], Table_Input_InorganicFertiliser_Brands[[#Headers],[Ingredient 5 percent]], FertiliserProducts[#Data], FertiliserProducts[Product], FertiliserProducts[#Headers])</f>
        <v>1.2999999999999999E-2</v>
      </c>
      <c r="T13" s="201" t="str" cm="1">
        <f t="array" ref="T13">Fertiliser_InputFunctions.Fertiliser_FertiliserProductLookup(Table_Input_InorganicFertiliser_Brands[[#This Row],[Product (select)]], Table_Input_InorganicFertiliser_Brands[[#Headers],[Ingredient 6]], FertiliserProducts[#Data], FertiliserProducts[Product], FertiliserProducts[#Headers])</f>
        <v>Zinc</v>
      </c>
      <c r="U13" s="201" cm="1">
        <f t="array" ref="U13">Fertiliser_InputFunctions.Fertiliser_FertiliserProductLookup(Table_Input_InorganicFertiliser_Brands[[#This Row],[Product (select)]], Table_Input_InorganicFertiliser_Brands[[#Headers],[Ingredient 6 percent]], FertiliserProducts[#Data], FertiliserProducts[Product], FertiliserProducts[#Headers])</f>
        <v>2E-3</v>
      </c>
      <c r="V13" s="20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0.23999993999999999</v>
      </c>
      <c r="W13" s="202" cm="1">
        <f t="array" ref="W13">IFERROR(Fertiliser_InputFunctions.Fertiliser_FertiliserProductLookup(Table_Input_InorganicFertiliser_Brands[[#This Row],[Product (select)]], "N declared", FertiliserProducts[#Data], FertiliserProducts[Product], FertiliserProducts[#Headers])*0.01, 0)</f>
        <v>0.24</v>
      </c>
      <c r="X13" s="20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24</v>
      </c>
      <c r="Y13" s="201">
        <f>IFERROR(_xlfn.XLOOKUP(Table_Input_InorganicFertiliser_Brands[[#This Row],[Product (select)]],FertiliserProducts[Product],FertiliserProducts[Urea source]), "")</f>
        <v>0</v>
      </c>
      <c r="Z13" s="201">
        <f>IFERROR(_xlfn.XLOOKUP(Table_Input_InorganicFertiliser_Brands[[#This Row],[Product (select)]],FertiliserProducts[Product],FertiliserProducts[Ammonia source]), "")</f>
        <v>0</v>
      </c>
    </row>
    <row r="14" spans="1:27" ht="20.100000000000001" customHeight="1" x14ac:dyDescent="0.2">
      <c r="A14" s="5" t="str">
        <f>HYPERLINK("#'Input - Fuel'!A1", "Fuel")</f>
        <v>Fuel</v>
      </c>
      <c r="D14" s="198" t="s">
        <v>715</v>
      </c>
      <c r="E14" s="199">
        <v>100</v>
      </c>
      <c r="F14" s="15" t="str">
        <f>IFERROR(_xlfn.XLOOKUP(Table_Input_InorganicFertiliser_Brands[[#This Row],[Product (select)]],FertiliserProducts[Product],FertiliserProducts[Unit]), "kg")</f>
        <v>kg</v>
      </c>
      <c r="G14" s="199">
        <f t="shared" ref="G14" si="2">X_Cell_Fertiliser_AreaUnderCropping</f>
        <v>100</v>
      </c>
      <c r="H14" s="200">
        <f>IFERROR(_xlfn.XLOOKUP(Table_Input_InorganicFertiliser_Brands[[#This Row],[Product (select)]],FertiliserProducts[Product],FertiliserProducts[Density]), 1)</f>
        <v>1</v>
      </c>
      <c r="I14" s="201">
        <f>(Table_Input_InorganicFertiliser_Brands[[#This Row],[Amount applied per hectare]]*Table_Input_InorganicFertiliser_Brands[[#This Row],[Density]])*Table_Input_InorganicFertiliser_Brands[[#This Row],[Application area (ha)]]</f>
        <v>10000</v>
      </c>
      <c r="J14" s="201" t="str" cm="1">
        <f t="array" ref="J14">Fertiliser_InputFunctions.Fertiliser_FertiliserProductLookup(Table_Input_InorganicFertiliser_Brands[[#This Row],[Product (select)]], Table_Input_InorganicFertiliser_Brands[[#Headers],[Ingredient 1]], FertiliserProducts[#Data], FertiliserProducts[Product], FertiliserProducts[#Headers])</f>
        <v>Nitrogen - Nitrate</v>
      </c>
      <c r="K14" s="201" cm="1">
        <f t="array" ref="K14">Fertiliser_InputFunctions.Fertiliser_FertiliserProductLookup(Table_Input_InorganicFertiliser_Brands[[#This Row],[Product (select)]], Table_Input_InorganicFertiliser_Brands[[#Headers],[Ingredient 1 percent]], FertiliserProducts[#Data], FertiliserProducts[Product], FertiliserProducts[#Headers])</f>
        <v>5.5E-2</v>
      </c>
      <c r="L14" s="201" t="str" cm="1">
        <f t="array" ref="L14">Fertiliser_InputFunctions.Fertiliser_FertiliserProductLookup(Table_Input_InorganicFertiliser_Brands[[#This Row],[Product (select)]], Table_Input_InorganicFertiliser_Brands[[#Headers],[Ingredient 2]], FertiliserProducts[#Data], FertiliserProducts[Product], FertiliserProducts[#Headers])</f>
        <v>Nitrogen - Ammoniacal</v>
      </c>
      <c r="M14" s="201" cm="1">
        <f t="array" ref="M14">Fertiliser_InputFunctions.Fertiliser_FertiliserProductLookup(Table_Input_InorganicFertiliser_Brands[[#This Row],[Product (select)]], Table_Input_InorganicFertiliser_Brands[[#Headers],[Ingredient 2 percent]], FertiliserProducts[#Data], FertiliserProducts[Product], FertiliserProducts[#Headers])</f>
        <v>0.124</v>
      </c>
      <c r="N14" s="201" t="str" cm="1">
        <f t="array" ref="N14">Fertiliser_InputFunctions.Fertiliser_FertiliserProductLookup(Table_Input_InorganicFertiliser_Brands[[#This Row],[Product (select)]], Table_Input_InorganicFertiliser_Brands[[#Headers],[Ingredient 3]], FertiliserProducts[#Data], FertiliserProducts[Product], FertiliserProducts[#Headers])</f>
        <v>Potassium - Generic</v>
      </c>
      <c r="O14" s="201" cm="1">
        <f t="array" ref="O14">Fertiliser_InputFunctions.Fertiliser_FertiliserProductLookup(Table_Input_InorganicFertiliser_Brands[[#This Row],[Product (select)]], Table_Input_InorganicFertiliser_Brands[[#Headers],[Ingredient 3 percent]], FertiliserProducts[#Data], FertiliserProducts[Product], FertiliserProducts[#Headers])</f>
        <v>0.15</v>
      </c>
      <c r="P14" s="201" t="str" cm="1">
        <f t="array" ref="P14">Fertiliser_InputFunctions.Fertiliser_FertiliserProductLookup(Table_Input_InorganicFertiliser_Brands[[#This Row],[Product (select)]], Table_Input_InorganicFertiliser_Brands[[#Headers],[Ingredient 4]], FertiliserProducts[#Data], FertiliserProducts[Product], FertiliserProducts[#Headers])</f>
        <v>Sulfur - Generic</v>
      </c>
      <c r="Q14" s="201" cm="1">
        <f t="array" ref="Q14">Fertiliser_InputFunctions.Fertiliser_FertiliserProductLookup(Table_Input_InorganicFertiliser_Brands[[#This Row],[Product (select)]], Table_Input_InorganicFertiliser_Brands[[#Headers],[Ingredient 4 percent]], FertiliserProducts[#Data], FertiliserProducts[Product], FertiliserProducts[#Headers])</f>
        <v>3.5999999999999997E-2</v>
      </c>
      <c r="R14" s="201" t="str" cm="1">
        <f t="array" ref="R14">Fertiliser_InputFunctions.Fertiliser_FertiliserProductLookup(Table_Input_InorganicFertiliser_Brands[[#This Row],[Product (select)]], Table_Input_InorganicFertiliser_Brands[[#Headers],[Ingredient 5]], FertiliserProducts[#Data], FertiliserProducts[Product], FertiliserProducts[#Headers])</f>
        <v>Calcium</v>
      </c>
      <c r="S14" s="201" cm="1">
        <f t="array" ref="S14">Fertiliser_InputFunctions.Fertiliser_FertiliserProductLookup(Table_Input_InorganicFertiliser_Brands[[#This Row],[Product (select)]], Table_Input_InorganicFertiliser_Brands[[#Headers],[Ingredient 5 percent]], FertiliserProducts[#Data], FertiliserProducts[Product], FertiliserProducts[#Headers])</f>
        <v>4.3999999999999997E-2</v>
      </c>
      <c r="T14" s="201" cm="1">
        <f t="array" ref="T14">Fertiliser_InputFunctions.Fertiliser_FertiliserProductLookup(Table_Input_InorganicFertiliser_Brands[[#This Row],[Product (select)]], Table_Input_InorganicFertiliser_Brands[[#Headers],[Ingredient 6]], FertiliserProducts[#Data], FertiliserProducts[Product], FertiliserProducts[#Headers])</f>
        <v>0</v>
      </c>
      <c r="U14" s="201" cm="1">
        <f t="array" ref="U14">Fertiliser_InputFunctions.Fertiliser_FertiliserProductLookup(Table_Input_InorganicFertiliser_Brands[[#This Row],[Product (select)]], Table_Input_InorganicFertiliser_Brands[[#Headers],[Ingredient 6 percent]], FertiliserProducts[#Data], FertiliserProducts[Product], FertiliserProducts[#Headers])</f>
        <v>0</v>
      </c>
      <c r="V14" s="20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0.17899999999999999</v>
      </c>
      <c r="W14" s="202" cm="1">
        <f t="array" ref="W14">IFERROR(Fertiliser_InputFunctions.Fertiliser_FertiliserProductLookup(Table_Input_InorganicFertiliser_Brands[[#This Row],[Product (select)]], "N declared", FertiliserProducts[#Data], FertiliserProducts[Product], FertiliserProducts[#Headers])*0.01, 0)</f>
        <v>0.17899999999999999</v>
      </c>
      <c r="X14" s="20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17.899999999999999</v>
      </c>
      <c r="Y14" s="201">
        <f>IFERROR(_xlfn.XLOOKUP(Table_Input_InorganicFertiliser_Brands[[#This Row],[Product (select)]],FertiliserProducts[Product],FertiliserProducts[Urea source]), "")</f>
        <v>0</v>
      </c>
      <c r="Z14" s="201">
        <f>IFERROR(_xlfn.XLOOKUP(Table_Input_InorganicFertiliser_Brands[[#This Row],[Product (select)]],FertiliserProducts[Product],FertiliserProducts[Ammonia source]), "")</f>
        <v>0</v>
      </c>
    </row>
    <row r="15" spans="1:27" ht="20.100000000000001" customHeight="1" x14ac:dyDescent="0.2">
      <c r="A15" s="5" t="str">
        <f>HYPERLINK("#'Input - Electricity'!A1", "Electricity")</f>
        <v>Electricity</v>
      </c>
      <c r="D15" s="198"/>
      <c r="E15" s="199"/>
      <c r="F15" s="15" t="str">
        <f>IFERROR(_xlfn.XLOOKUP(Table_Input_InorganicFertiliser_Brands[[#This Row],[Product (select)]],FertiliserProducts[Product],FertiliserProducts[Unit]), "kg")</f>
        <v>kg</v>
      </c>
      <c r="G15" s="199">
        <f t="shared" ref="G15" si="3">X_Cell_Fertiliser_AreaUnderCropping</f>
        <v>100</v>
      </c>
      <c r="H15" s="200">
        <f>IFERROR(_xlfn.XLOOKUP(Table_Input_InorganicFertiliser_Brands[[#This Row],[Product (select)]],FertiliserProducts[Product],FertiliserProducts[Density]), 1)</f>
        <v>1</v>
      </c>
      <c r="I15" s="201">
        <f>(Table_Input_InorganicFertiliser_Brands[[#This Row],[Amount applied per hectare]]*Table_Input_InorganicFertiliser_Brands[[#This Row],[Density]])*Table_Input_InorganicFertiliser_Brands[[#This Row],[Application area (ha)]]</f>
        <v>0</v>
      </c>
      <c r="J15" s="201" t="str" cm="1">
        <f t="array" ref="J15">Fertiliser_InputFunctions.Fertiliser_FertiliserProductLookup(Table_Input_InorganicFertiliser_Brands[[#This Row],[Product (select)]], Table_Input_InorganicFertiliser_Brands[[#Headers],[Ingredient 1]], FertiliserProducts[#Data], FertiliserProducts[Product], FertiliserProducts[#Headers])</f>
        <v/>
      </c>
      <c r="K15" s="201" t="str" cm="1">
        <f t="array" ref="K15">Fertiliser_InputFunctions.Fertiliser_FertiliserProductLookup(Table_Input_InorganicFertiliser_Brands[[#This Row],[Product (select)]], Table_Input_InorganicFertiliser_Brands[[#Headers],[Ingredient 1 percent]], FertiliserProducts[#Data], FertiliserProducts[Product], FertiliserProducts[#Headers])</f>
        <v/>
      </c>
      <c r="L15" s="201" t="str" cm="1">
        <f t="array" ref="L15">Fertiliser_InputFunctions.Fertiliser_FertiliserProductLookup(Table_Input_InorganicFertiliser_Brands[[#This Row],[Product (select)]], Table_Input_InorganicFertiliser_Brands[[#Headers],[Ingredient 2]], FertiliserProducts[#Data], FertiliserProducts[Product], FertiliserProducts[#Headers])</f>
        <v/>
      </c>
      <c r="M15" s="201" t="str" cm="1">
        <f t="array" ref="M15">Fertiliser_InputFunctions.Fertiliser_FertiliserProductLookup(Table_Input_InorganicFertiliser_Brands[[#This Row],[Product (select)]], Table_Input_InorganicFertiliser_Brands[[#Headers],[Ingredient 2 percent]], FertiliserProducts[#Data], FertiliserProducts[Product], FertiliserProducts[#Headers])</f>
        <v/>
      </c>
      <c r="N15" s="201" t="str" cm="1">
        <f t="array" ref="N15">Fertiliser_InputFunctions.Fertiliser_FertiliserProductLookup(Table_Input_InorganicFertiliser_Brands[[#This Row],[Product (select)]], Table_Input_InorganicFertiliser_Brands[[#Headers],[Ingredient 3]], FertiliserProducts[#Data], FertiliserProducts[Product], FertiliserProducts[#Headers])</f>
        <v/>
      </c>
      <c r="O15" s="201" t="str" cm="1">
        <f t="array" ref="O15">Fertiliser_InputFunctions.Fertiliser_FertiliserProductLookup(Table_Input_InorganicFertiliser_Brands[[#This Row],[Product (select)]], Table_Input_InorganicFertiliser_Brands[[#Headers],[Ingredient 3 percent]], FertiliserProducts[#Data], FertiliserProducts[Product], FertiliserProducts[#Headers])</f>
        <v/>
      </c>
      <c r="P15" s="201" t="str" cm="1">
        <f t="array" ref="P15">Fertiliser_InputFunctions.Fertiliser_FertiliserProductLookup(Table_Input_InorganicFertiliser_Brands[[#This Row],[Product (select)]], Table_Input_InorganicFertiliser_Brands[[#Headers],[Ingredient 4]], FertiliserProducts[#Data], FertiliserProducts[Product], FertiliserProducts[#Headers])</f>
        <v/>
      </c>
      <c r="Q15" s="201" t="str" cm="1">
        <f t="array" ref="Q15">Fertiliser_InputFunctions.Fertiliser_FertiliserProductLookup(Table_Input_InorganicFertiliser_Brands[[#This Row],[Product (select)]], Table_Input_InorganicFertiliser_Brands[[#Headers],[Ingredient 4 percent]], FertiliserProducts[#Data], FertiliserProducts[Product], FertiliserProducts[#Headers])</f>
        <v/>
      </c>
      <c r="R15" s="201" t="str" cm="1">
        <f t="array" ref="R15">Fertiliser_InputFunctions.Fertiliser_FertiliserProductLookup(Table_Input_InorganicFertiliser_Brands[[#This Row],[Product (select)]], Table_Input_InorganicFertiliser_Brands[[#Headers],[Ingredient 5]], FertiliserProducts[#Data], FertiliserProducts[Product], FertiliserProducts[#Headers])</f>
        <v/>
      </c>
      <c r="S15" s="201" t="str" cm="1">
        <f t="array" ref="S15">Fertiliser_InputFunctions.Fertiliser_FertiliserProductLookup(Table_Input_InorganicFertiliser_Brands[[#This Row],[Product (select)]], Table_Input_InorganicFertiliser_Brands[[#Headers],[Ingredient 5 percent]], FertiliserProducts[#Data], FertiliserProducts[Product], FertiliserProducts[#Headers])</f>
        <v/>
      </c>
      <c r="T15" s="201" t="str" cm="1">
        <f t="array" ref="T15">Fertiliser_InputFunctions.Fertiliser_FertiliserProductLookup(Table_Input_InorganicFertiliser_Brands[[#This Row],[Product (select)]], Table_Input_InorganicFertiliser_Brands[[#Headers],[Ingredient 6]], FertiliserProducts[#Data], FertiliserProducts[Product], FertiliserProducts[#Headers])</f>
        <v/>
      </c>
      <c r="U15" s="201" t="str" cm="1">
        <f t="array" ref="U15">Fertiliser_InputFunctions.Fertiliser_FertiliserProductLookup(Table_Input_InorganicFertiliser_Brands[[#This Row],[Product (select)]], Table_Input_InorganicFertiliser_Brands[[#Headers],[Ingredient 6 percent]], FertiliserProducts[#Data], FertiliserProducts[Product], FertiliserProducts[#Headers])</f>
        <v/>
      </c>
      <c r="V15" s="20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5" s="202" cm="1">
        <f t="array" ref="W15">IFERROR(Fertiliser_InputFunctions.Fertiliser_FertiliserProductLookup(Table_Input_InorganicFertiliser_Brands[[#This Row],[Product (select)]], "N declared", FertiliserProducts[#Data], FertiliserProducts[Product], FertiliserProducts[#Headers])*0.01, 0)</f>
        <v>0</v>
      </c>
      <c r="X15" s="20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5" s="201" t="str">
        <f>IFERROR(_xlfn.XLOOKUP(Table_Input_InorganicFertiliser_Brands[[#This Row],[Product (select)]],FertiliserProducts[Product],FertiliserProducts[Urea source]), "")</f>
        <v/>
      </c>
      <c r="Z15" s="201" t="str">
        <f>IFERROR(_xlfn.XLOOKUP(Table_Input_InorganicFertiliser_Brands[[#This Row],[Product (select)]],FertiliserProducts[Product],FertiliserProducts[Ammonia source]), "")</f>
        <v/>
      </c>
    </row>
    <row r="16" spans="1:27" ht="20.100000000000001" customHeight="1" x14ac:dyDescent="0.2">
      <c r="A16" s="5" t="str">
        <f>HYPERLINK("#'Input - Common farm inputs'!A1", "Common farm inputs")</f>
        <v>Common farm inputs</v>
      </c>
      <c r="D16" s="198"/>
      <c r="E16" s="199"/>
      <c r="F16" s="15" t="str">
        <f>IFERROR(_xlfn.XLOOKUP(Table_Input_InorganicFertiliser_Brands[[#This Row],[Product (select)]],FertiliserProducts[Product],FertiliserProducts[Unit]), "kg")</f>
        <v>kg</v>
      </c>
      <c r="G16" s="199">
        <f t="shared" ref="G16" si="4">X_Cell_Fertiliser_AreaUnderCropping</f>
        <v>100</v>
      </c>
      <c r="H16" s="200">
        <f>IFERROR(_xlfn.XLOOKUP(Table_Input_InorganicFertiliser_Brands[[#This Row],[Product (select)]],FertiliserProducts[Product],FertiliserProducts[Density]), 1)</f>
        <v>1</v>
      </c>
      <c r="I16" s="201">
        <f>(Table_Input_InorganicFertiliser_Brands[[#This Row],[Amount applied per hectare]]*Table_Input_InorganicFertiliser_Brands[[#This Row],[Density]])*Table_Input_InorganicFertiliser_Brands[[#This Row],[Application area (ha)]]</f>
        <v>0</v>
      </c>
      <c r="J16" s="201" t="str" cm="1">
        <f t="array" ref="J16">Fertiliser_InputFunctions.Fertiliser_FertiliserProductLookup(Table_Input_InorganicFertiliser_Brands[[#This Row],[Product (select)]], Table_Input_InorganicFertiliser_Brands[[#Headers],[Ingredient 1]], FertiliserProducts[#Data], FertiliserProducts[Product], FertiliserProducts[#Headers])</f>
        <v/>
      </c>
      <c r="K16" s="201" t="str" cm="1">
        <f t="array" ref="K16">Fertiliser_InputFunctions.Fertiliser_FertiliserProductLookup(Table_Input_InorganicFertiliser_Brands[[#This Row],[Product (select)]], Table_Input_InorganicFertiliser_Brands[[#Headers],[Ingredient 1 percent]], FertiliserProducts[#Data], FertiliserProducts[Product], FertiliserProducts[#Headers])</f>
        <v/>
      </c>
      <c r="L16" s="201" t="str" cm="1">
        <f t="array" ref="L16">Fertiliser_InputFunctions.Fertiliser_FertiliserProductLookup(Table_Input_InorganicFertiliser_Brands[[#This Row],[Product (select)]], Table_Input_InorganicFertiliser_Brands[[#Headers],[Ingredient 2]], FertiliserProducts[#Data], FertiliserProducts[Product], FertiliserProducts[#Headers])</f>
        <v/>
      </c>
      <c r="M16" s="201" t="str" cm="1">
        <f t="array" ref="M16">Fertiliser_InputFunctions.Fertiliser_FertiliserProductLookup(Table_Input_InorganicFertiliser_Brands[[#This Row],[Product (select)]], Table_Input_InorganicFertiliser_Brands[[#Headers],[Ingredient 2 percent]], FertiliserProducts[#Data], FertiliserProducts[Product], FertiliserProducts[#Headers])</f>
        <v/>
      </c>
      <c r="N16" s="201" t="str" cm="1">
        <f t="array" ref="N16">Fertiliser_InputFunctions.Fertiliser_FertiliserProductLookup(Table_Input_InorganicFertiliser_Brands[[#This Row],[Product (select)]], Table_Input_InorganicFertiliser_Brands[[#Headers],[Ingredient 3]], FertiliserProducts[#Data], FertiliserProducts[Product], FertiliserProducts[#Headers])</f>
        <v/>
      </c>
      <c r="O16" s="201" t="str" cm="1">
        <f t="array" ref="O16">Fertiliser_InputFunctions.Fertiliser_FertiliserProductLookup(Table_Input_InorganicFertiliser_Brands[[#This Row],[Product (select)]], Table_Input_InorganicFertiliser_Brands[[#Headers],[Ingredient 3 percent]], FertiliserProducts[#Data], FertiliserProducts[Product], FertiliserProducts[#Headers])</f>
        <v/>
      </c>
      <c r="P16" s="201" t="str" cm="1">
        <f t="array" ref="P16">Fertiliser_InputFunctions.Fertiliser_FertiliserProductLookup(Table_Input_InorganicFertiliser_Brands[[#This Row],[Product (select)]], Table_Input_InorganicFertiliser_Brands[[#Headers],[Ingredient 4]], FertiliserProducts[#Data], FertiliserProducts[Product], FertiliserProducts[#Headers])</f>
        <v/>
      </c>
      <c r="Q16" s="201" t="str" cm="1">
        <f t="array" ref="Q16">Fertiliser_InputFunctions.Fertiliser_FertiliserProductLookup(Table_Input_InorganicFertiliser_Brands[[#This Row],[Product (select)]], Table_Input_InorganicFertiliser_Brands[[#Headers],[Ingredient 4 percent]], FertiliserProducts[#Data], FertiliserProducts[Product], FertiliserProducts[#Headers])</f>
        <v/>
      </c>
      <c r="R16" s="201" t="str" cm="1">
        <f t="array" ref="R16">Fertiliser_InputFunctions.Fertiliser_FertiliserProductLookup(Table_Input_InorganicFertiliser_Brands[[#This Row],[Product (select)]], Table_Input_InorganicFertiliser_Brands[[#Headers],[Ingredient 5]], FertiliserProducts[#Data], FertiliserProducts[Product], FertiliserProducts[#Headers])</f>
        <v/>
      </c>
      <c r="S16" s="201" t="str" cm="1">
        <f t="array" ref="S16">Fertiliser_InputFunctions.Fertiliser_FertiliserProductLookup(Table_Input_InorganicFertiliser_Brands[[#This Row],[Product (select)]], Table_Input_InorganicFertiliser_Brands[[#Headers],[Ingredient 5 percent]], FertiliserProducts[#Data], FertiliserProducts[Product], FertiliserProducts[#Headers])</f>
        <v/>
      </c>
      <c r="T16" s="201" t="str" cm="1">
        <f t="array" ref="T16">Fertiliser_InputFunctions.Fertiliser_FertiliserProductLookup(Table_Input_InorganicFertiliser_Brands[[#This Row],[Product (select)]], Table_Input_InorganicFertiliser_Brands[[#Headers],[Ingredient 6]], FertiliserProducts[#Data], FertiliserProducts[Product], FertiliserProducts[#Headers])</f>
        <v/>
      </c>
      <c r="U16" s="201" t="str" cm="1">
        <f t="array" ref="U16">Fertiliser_InputFunctions.Fertiliser_FertiliserProductLookup(Table_Input_InorganicFertiliser_Brands[[#This Row],[Product (select)]], Table_Input_InorganicFertiliser_Brands[[#Headers],[Ingredient 6 percent]], FertiliserProducts[#Data], FertiliserProducts[Product], FertiliserProducts[#Headers])</f>
        <v/>
      </c>
      <c r="V16" s="20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6" s="202" cm="1">
        <f t="array" ref="W16">IFERROR(Fertiliser_InputFunctions.Fertiliser_FertiliserProductLookup(Table_Input_InorganicFertiliser_Brands[[#This Row],[Product (select)]], "N declared", FertiliserProducts[#Data], FertiliserProducts[Product], FertiliserProducts[#Headers])*0.01, 0)</f>
        <v>0</v>
      </c>
      <c r="X16" s="20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6" s="201" t="str">
        <f>IFERROR(_xlfn.XLOOKUP(Table_Input_InorganicFertiliser_Brands[[#This Row],[Product (select)]],FertiliserProducts[Product],FertiliserProducts[Urea source]), "")</f>
        <v/>
      </c>
      <c r="Z16" s="201" t="str">
        <f>IFERROR(_xlfn.XLOOKUP(Table_Input_InorganicFertiliser_Brands[[#This Row],[Product (select)]],FertiliserProducts[Product],FertiliserProducts[Ammonia source]), "")</f>
        <v/>
      </c>
    </row>
    <row r="17" spans="1:26" ht="20.100000000000001" customHeight="1" x14ac:dyDescent="0.2">
      <c r="A17" s="5" t="str">
        <f>HYPERLINK("#'Input - Livestock farm Inputs'!A1", "Livestock farm Inputs")</f>
        <v>Livestock farm Inputs</v>
      </c>
      <c r="D17" s="198"/>
      <c r="E17" s="199"/>
      <c r="F17" s="15" t="str">
        <f>IFERROR(_xlfn.XLOOKUP(Table_Input_InorganicFertiliser_Brands[[#This Row],[Product (select)]],FertiliserProducts[Product],FertiliserProducts[Unit]), "kg")</f>
        <v>kg</v>
      </c>
      <c r="G17" s="199">
        <f t="shared" ref="G17" si="5">X_Cell_Fertiliser_AreaUnderCropping</f>
        <v>100</v>
      </c>
      <c r="H17" s="200">
        <f>IFERROR(_xlfn.XLOOKUP(Table_Input_InorganicFertiliser_Brands[[#This Row],[Product (select)]],FertiliserProducts[Product],FertiliserProducts[Density]), 1)</f>
        <v>1</v>
      </c>
      <c r="I17" s="201">
        <f>(Table_Input_InorganicFertiliser_Brands[[#This Row],[Amount applied per hectare]]*Table_Input_InorganicFertiliser_Brands[[#This Row],[Density]])*Table_Input_InorganicFertiliser_Brands[[#This Row],[Application area (ha)]]</f>
        <v>0</v>
      </c>
      <c r="J17" s="201" t="str" cm="1">
        <f t="array" ref="J17">Fertiliser_InputFunctions.Fertiliser_FertiliserProductLookup(Table_Input_InorganicFertiliser_Brands[[#This Row],[Product (select)]], Table_Input_InorganicFertiliser_Brands[[#Headers],[Ingredient 1]], FertiliserProducts[#Data], FertiliserProducts[Product], FertiliserProducts[#Headers])</f>
        <v/>
      </c>
      <c r="K17" s="201" t="str" cm="1">
        <f t="array" ref="K17">Fertiliser_InputFunctions.Fertiliser_FertiliserProductLookup(Table_Input_InorganicFertiliser_Brands[[#This Row],[Product (select)]], Table_Input_InorganicFertiliser_Brands[[#Headers],[Ingredient 1 percent]], FertiliserProducts[#Data], FertiliserProducts[Product], FertiliserProducts[#Headers])</f>
        <v/>
      </c>
      <c r="L17" s="201" t="str" cm="1">
        <f t="array" ref="L17">Fertiliser_InputFunctions.Fertiliser_FertiliserProductLookup(Table_Input_InorganicFertiliser_Brands[[#This Row],[Product (select)]], Table_Input_InorganicFertiliser_Brands[[#Headers],[Ingredient 2]], FertiliserProducts[#Data], FertiliserProducts[Product], FertiliserProducts[#Headers])</f>
        <v/>
      </c>
      <c r="M17" s="201" t="str" cm="1">
        <f t="array" ref="M17">Fertiliser_InputFunctions.Fertiliser_FertiliserProductLookup(Table_Input_InorganicFertiliser_Brands[[#This Row],[Product (select)]], Table_Input_InorganicFertiliser_Brands[[#Headers],[Ingredient 2 percent]], FertiliserProducts[#Data], FertiliserProducts[Product], FertiliserProducts[#Headers])</f>
        <v/>
      </c>
      <c r="N17" s="201" t="str" cm="1">
        <f t="array" ref="N17">Fertiliser_InputFunctions.Fertiliser_FertiliserProductLookup(Table_Input_InorganicFertiliser_Brands[[#This Row],[Product (select)]], Table_Input_InorganicFertiliser_Brands[[#Headers],[Ingredient 3]], FertiliserProducts[#Data], FertiliserProducts[Product], FertiliserProducts[#Headers])</f>
        <v/>
      </c>
      <c r="O17" s="201" t="str" cm="1">
        <f t="array" ref="O17">Fertiliser_InputFunctions.Fertiliser_FertiliserProductLookup(Table_Input_InorganicFertiliser_Brands[[#This Row],[Product (select)]], Table_Input_InorganicFertiliser_Brands[[#Headers],[Ingredient 3 percent]], FertiliserProducts[#Data], FertiliserProducts[Product], FertiliserProducts[#Headers])</f>
        <v/>
      </c>
      <c r="P17" s="201" t="str" cm="1">
        <f t="array" ref="P17">Fertiliser_InputFunctions.Fertiliser_FertiliserProductLookup(Table_Input_InorganicFertiliser_Brands[[#This Row],[Product (select)]], Table_Input_InorganicFertiliser_Brands[[#Headers],[Ingredient 4]], FertiliserProducts[#Data], FertiliserProducts[Product], FertiliserProducts[#Headers])</f>
        <v/>
      </c>
      <c r="Q17" s="201" t="str" cm="1">
        <f t="array" ref="Q17">Fertiliser_InputFunctions.Fertiliser_FertiliserProductLookup(Table_Input_InorganicFertiliser_Brands[[#This Row],[Product (select)]], Table_Input_InorganicFertiliser_Brands[[#Headers],[Ingredient 4 percent]], FertiliserProducts[#Data], FertiliserProducts[Product], FertiliserProducts[#Headers])</f>
        <v/>
      </c>
      <c r="R17" s="201" t="str" cm="1">
        <f t="array" ref="R17">Fertiliser_InputFunctions.Fertiliser_FertiliserProductLookup(Table_Input_InorganicFertiliser_Brands[[#This Row],[Product (select)]], Table_Input_InorganicFertiliser_Brands[[#Headers],[Ingredient 5]], FertiliserProducts[#Data], FertiliserProducts[Product], FertiliserProducts[#Headers])</f>
        <v/>
      </c>
      <c r="S17" s="201" t="str" cm="1">
        <f t="array" ref="S17">Fertiliser_InputFunctions.Fertiliser_FertiliserProductLookup(Table_Input_InorganicFertiliser_Brands[[#This Row],[Product (select)]], Table_Input_InorganicFertiliser_Brands[[#Headers],[Ingredient 5 percent]], FertiliserProducts[#Data], FertiliserProducts[Product], FertiliserProducts[#Headers])</f>
        <v/>
      </c>
      <c r="T17" s="201" t="str" cm="1">
        <f t="array" ref="T17">Fertiliser_InputFunctions.Fertiliser_FertiliserProductLookup(Table_Input_InorganicFertiliser_Brands[[#This Row],[Product (select)]], Table_Input_InorganicFertiliser_Brands[[#Headers],[Ingredient 6]], FertiliserProducts[#Data], FertiliserProducts[Product], FertiliserProducts[#Headers])</f>
        <v/>
      </c>
      <c r="U17" s="201" t="str" cm="1">
        <f t="array" ref="U17">Fertiliser_InputFunctions.Fertiliser_FertiliserProductLookup(Table_Input_InorganicFertiliser_Brands[[#This Row],[Product (select)]], Table_Input_InorganicFertiliser_Brands[[#Headers],[Ingredient 6 percent]], FertiliserProducts[#Data], FertiliserProducts[Product], FertiliserProducts[#Headers])</f>
        <v/>
      </c>
      <c r="V17" s="20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7" s="202" cm="1">
        <f t="array" ref="W17">IFERROR(Fertiliser_InputFunctions.Fertiliser_FertiliserProductLookup(Table_Input_InorganicFertiliser_Brands[[#This Row],[Product (select)]], "N declared", FertiliserProducts[#Data], FertiliserProducts[Product], FertiliserProducts[#Headers])*0.01, 0)</f>
        <v>0</v>
      </c>
      <c r="X17" s="20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7" s="201" t="str">
        <f>IFERROR(_xlfn.XLOOKUP(Table_Input_InorganicFertiliser_Brands[[#This Row],[Product (select)]],FertiliserProducts[Product],FertiliserProducts[Urea source]), "")</f>
        <v/>
      </c>
      <c r="Z17" s="201" t="str">
        <f>IFERROR(_xlfn.XLOOKUP(Table_Input_InorganicFertiliser_Brands[[#This Row],[Product (select)]],FertiliserProducts[Product],FertiliserProducts[Ammonia source]), "")</f>
        <v/>
      </c>
    </row>
    <row r="18" spans="1:26" ht="20.100000000000001" customHeight="1" x14ac:dyDescent="0.2">
      <c r="A18" s="5" t="str">
        <f>HYPERLINK("#'Input - Freight'!A1", "Freight")</f>
        <v>Freight</v>
      </c>
      <c r="D18" s="198"/>
      <c r="E18" s="199"/>
      <c r="F18" s="15" t="str">
        <f>IFERROR(_xlfn.XLOOKUP(Table_Input_InorganicFertiliser_Brands[[#This Row],[Product (select)]],FertiliserProducts[Product],FertiliserProducts[Unit]), "kg")</f>
        <v>kg</v>
      </c>
      <c r="G18" s="199">
        <f t="shared" ref="G18" si="6">X_Cell_Fertiliser_AreaUnderCropping</f>
        <v>100</v>
      </c>
      <c r="H18" s="200">
        <f>IFERROR(_xlfn.XLOOKUP(Table_Input_InorganicFertiliser_Brands[[#This Row],[Product (select)]],FertiliserProducts[Product],FertiliserProducts[Density]), 1)</f>
        <v>1</v>
      </c>
      <c r="I18" s="201">
        <f>(Table_Input_InorganicFertiliser_Brands[[#This Row],[Amount applied per hectare]]*Table_Input_InorganicFertiliser_Brands[[#This Row],[Density]])*Table_Input_InorganicFertiliser_Brands[[#This Row],[Application area (ha)]]</f>
        <v>0</v>
      </c>
      <c r="J18" s="201" t="str" cm="1">
        <f t="array" ref="J18">Fertiliser_InputFunctions.Fertiliser_FertiliserProductLookup(Table_Input_InorganicFertiliser_Brands[[#This Row],[Product (select)]], Table_Input_InorganicFertiliser_Brands[[#Headers],[Ingredient 1]], FertiliserProducts[#Data], FertiliserProducts[Product], FertiliserProducts[#Headers])</f>
        <v/>
      </c>
      <c r="K18" s="201" t="str" cm="1">
        <f t="array" ref="K18">Fertiliser_InputFunctions.Fertiliser_FertiliserProductLookup(Table_Input_InorganicFertiliser_Brands[[#This Row],[Product (select)]], Table_Input_InorganicFertiliser_Brands[[#Headers],[Ingredient 1 percent]], FertiliserProducts[#Data], FertiliserProducts[Product], FertiliserProducts[#Headers])</f>
        <v/>
      </c>
      <c r="L18" s="201" t="str" cm="1">
        <f t="array" ref="L18">Fertiliser_InputFunctions.Fertiliser_FertiliserProductLookup(Table_Input_InorganicFertiliser_Brands[[#This Row],[Product (select)]], Table_Input_InorganicFertiliser_Brands[[#Headers],[Ingredient 2]], FertiliserProducts[#Data], FertiliserProducts[Product], FertiliserProducts[#Headers])</f>
        <v/>
      </c>
      <c r="M18" s="201" t="str" cm="1">
        <f t="array" ref="M18">Fertiliser_InputFunctions.Fertiliser_FertiliserProductLookup(Table_Input_InorganicFertiliser_Brands[[#This Row],[Product (select)]], Table_Input_InorganicFertiliser_Brands[[#Headers],[Ingredient 2 percent]], FertiliserProducts[#Data], FertiliserProducts[Product], FertiliserProducts[#Headers])</f>
        <v/>
      </c>
      <c r="N18" s="201" t="str" cm="1">
        <f t="array" ref="N18">Fertiliser_InputFunctions.Fertiliser_FertiliserProductLookup(Table_Input_InorganicFertiliser_Brands[[#This Row],[Product (select)]], Table_Input_InorganicFertiliser_Brands[[#Headers],[Ingredient 3]], FertiliserProducts[#Data], FertiliserProducts[Product], FertiliserProducts[#Headers])</f>
        <v/>
      </c>
      <c r="O18" s="201" t="str" cm="1">
        <f t="array" ref="O18">Fertiliser_InputFunctions.Fertiliser_FertiliserProductLookup(Table_Input_InorganicFertiliser_Brands[[#This Row],[Product (select)]], Table_Input_InorganicFertiliser_Brands[[#Headers],[Ingredient 3 percent]], FertiliserProducts[#Data], FertiliserProducts[Product], FertiliserProducts[#Headers])</f>
        <v/>
      </c>
      <c r="P18" s="201" t="str" cm="1">
        <f t="array" ref="P18">Fertiliser_InputFunctions.Fertiliser_FertiliserProductLookup(Table_Input_InorganicFertiliser_Brands[[#This Row],[Product (select)]], Table_Input_InorganicFertiliser_Brands[[#Headers],[Ingredient 4]], FertiliserProducts[#Data], FertiliserProducts[Product], FertiliserProducts[#Headers])</f>
        <v/>
      </c>
      <c r="Q18" s="201" t="str" cm="1">
        <f t="array" ref="Q18">Fertiliser_InputFunctions.Fertiliser_FertiliserProductLookup(Table_Input_InorganicFertiliser_Brands[[#This Row],[Product (select)]], Table_Input_InorganicFertiliser_Brands[[#Headers],[Ingredient 4 percent]], FertiliserProducts[#Data], FertiliserProducts[Product], FertiliserProducts[#Headers])</f>
        <v/>
      </c>
      <c r="R18" s="201" t="str" cm="1">
        <f t="array" ref="R18">Fertiliser_InputFunctions.Fertiliser_FertiliserProductLookup(Table_Input_InorganicFertiliser_Brands[[#This Row],[Product (select)]], Table_Input_InorganicFertiliser_Brands[[#Headers],[Ingredient 5]], FertiliserProducts[#Data], FertiliserProducts[Product], FertiliserProducts[#Headers])</f>
        <v/>
      </c>
      <c r="S18" s="201" t="str" cm="1">
        <f t="array" ref="S18">Fertiliser_InputFunctions.Fertiliser_FertiliserProductLookup(Table_Input_InorganicFertiliser_Brands[[#This Row],[Product (select)]], Table_Input_InorganicFertiliser_Brands[[#Headers],[Ingredient 5 percent]], FertiliserProducts[#Data], FertiliserProducts[Product], FertiliserProducts[#Headers])</f>
        <v/>
      </c>
      <c r="T18" s="201" t="str" cm="1">
        <f t="array" ref="T18">Fertiliser_InputFunctions.Fertiliser_FertiliserProductLookup(Table_Input_InorganicFertiliser_Brands[[#This Row],[Product (select)]], Table_Input_InorganicFertiliser_Brands[[#Headers],[Ingredient 6]], FertiliserProducts[#Data], FertiliserProducts[Product], FertiliserProducts[#Headers])</f>
        <v/>
      </c>
      <c r="U18" s="201" t="str" cm="1">
        <f t="array" ref="U18">Fertiliser_InputFunctions.Fertiliser_FertiliserProductLookup(Table_Input_InorganicFertiliser_Brands[[#This Row],[Product (select)]], Table_Input_InorganicFertiliser_Brands[[#Headers],[Ingredient 6 percent]], FertiliserProducts[#Data], FertiliserProducts[Product], FertiliserProducts[#Headers])</f>
        <v/>
      </c>
      <c r="V18" s="20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8" s="202" cm="1">
        <f t="array" ref="W18">IFERROR(Fertiliser_InputFunctions.Fertiliser_FertiliserProductLookup(Table_Input_InorganicFertiliser_Brands[[#This Row],[Product (select)]], "N declared", FertiliserProducts[#Data], FertiliserProducts[Product], FertiliserProducts[#Headers])*0.01, 0)</f>
        <v>0</v>
      </c>
      <c r="X18" s="20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8" s="201" t="str">
        <f>IFERROR(_xlfn.XLOOKUP(Table_Input_InorganicFertiliser_Brands[[#This Row],[Product (select)]],FertiliserProducts[Product],FertiliserProducts[Urea source]), "")</f>
        <v/>
      </c>
      <c r="Z18" s="201" t="str">
        <f>IFERROR(_xlfn.XLOOKUP(Table_Input_InorganicFertiliser_Brands[[#This Row],[Product (select)]],FertiliserProducts[Product],FertiliserProducts[Ammonia source]), "")</f>
        <v/>
      </c>
    </row>
    <row r="19" spans="1:26" ht="20.100000000000001" customHeight="1" x14ac:dyDescent="0.2">
      <c r="A19" s="5" t="str">
        <f>HYPERLINK("#'Input - Solid waste'!A1", "Solid waste")</f>
        <v>Solid waste</v>
      </c>
      <c r="D19" s="198"/>
      <c r="E19" s="199"/>
      <c r="F19" s="15" t="str">
        <f>IFERROR(_xlfn.XLOOKUP(Table_Input_InorganicFertiliser_Brands[[#This Row],[Product (select)]],FertiliserProducts[Product],FertiliserProducts[Unit]), "kg")</f>
        <v>kg</v>
      </c>
      <c r="G19" s="199">
        <f t="shared" ref="G19" si="7">X_Cell_Fertiliser_AreaUnderCropping</f>
        <v>100</v>
      </c>
      <c r="H19" s="200">
        <f>IFERROR(_xlfn.XLOOKUP(Table_Input_InorganicFertiliser_Brands[[#This Row],[Product (select)]],FertiliserProducts[Product],FertiliserProducts[Density]), 1)</f>
        <v>1</v>
      </c>
      <c r="I19" s="201">
        <f>(Table_Input_InorganicFertiliser_Brands[[#This Row],[Amount applied per hectare]]*Table_Input_InorganicFertiliser_Brands[[#This Row],[Density]])*Table_Input_InorganicFertiliser_Brands[[#This Row],[Application area (ha)]]</f>
        <v>0</v>
      </c>
      <c r="J19" s="201" t="str" cm="1">
        <f t="array" ref="J19">Fertiliser_InputFunctions.Fertiliser_FertiliserProductLookup(Table_Input_InorganicFertiliser_Brands[[#This Row],[Product (select)]], Table_Input_InorganicFertiliser_Brands[[#Headers],[Ingredient 1]], FertiliserProducts[#Data], FertiliserProducts[Product], FertiliserProducts[#Headers])</f>
        <v/>
      </c>
      <c r="K19" s="201" t="str" cm="1">
        <f t="array" ref="K19">Fertiliser_InputFunctions.Fertiliser_FertiliserProductLookup(Table_Input_InorganicFertiliser_Brands[[#This Row],[Product (select)]], Table_Input_InorganicFertiliser_Brands[[#Headers],[Ingredient 1 percent]], FertiliserProducts[#Data], FertiliserProducts[Product], FertiliserProducts[#Headers])</f>
        <v/>
      </c>
      <c r="L19" s="201" t="str" cm="1">
        <f t="array" ref="L19">Fertiliser_InputFunctions.Fertiliser_FertiliserProductLookup(Table_Input_InorganicFertiliser_Brands[[#This Row],[Product (select)]], Table_Input_InorganicFertiliser_Brands[[#Headers],[Ingredient 2]], FertiliserProducts[#Data], FertiliserProducts[Product], FertiliserProducts[#Headers])</f>
        <v/>
      </c>
      <c r="M19" s="201" t="str" cm="1">
        <f t="array" ref="M19">Fertiliser_InputFunctions.Fertiliser_FertiliserProductLookup(Table_Input_InorganicFertiliser_Brands[[#This Row],[Product (select)]], Table_Input_InorganicFertiliser_Brands[[#Headers],[Ingredient 2 percent]], FertiliserProducts[#Data], FertiliserProducts[Product], FertiliserProducts[#Headers])</f>
        <v/>
      </c>
      <c r="N19" s="201" t="str" cm="1">
        <f t="array" ref="N19">Fertiliser_InputFunctions.Fertiliser_FertiliserProductLookup(Table_Input_InorganicFertiliser_Brands[[#This Row],[Product (select)]], Table_Input_InorganicFertiliser_Brands[[#Headers],[Ingredient 3]], FertiliserProducts[#Data], FertiliserProducts[Product], FertiliserProducts[#Headers])</f>
        <v/>
      </c>
      <c r="O19" s="201" t="str" cm="1">
        <f t="array" ref="O19">Fertiliser_InputFunctions.Fertiliser_FertiliserProductLookup(Table_Input_InorganicFertiliser_Brands[[#This Row],[Product (select)]], Table_Input_InorganicFertiliser_Brands[[#Headers],[Ingredient 3 percent]], FertiliserProducts[#Data], FertiliserProducts[Product], FertiliserProducts[#Headers])</f>
        <v/>
      </c>
      <c r="P19" s="201" t="str" cm="1">
        <f t="array" ref="P19">Fertiliser_InputFunctions.Fertiliser_FertiliserProductLookup(Table_Input_InorganicFertiliser_Brands[[#This Row],[Product (select)]], Table_Input_InorganicFertiliser_Brands[[#Headers],[Ingredient 4]], FertiliserProducts[#Data], FertiliserProducts[Product], FertiliserProducts[#Headers])</f>
        <v/>
      </c>
      <c r="Q19" s="201" t="str" cm="1">
        <f t="array" ref="Q19">Fertiliser_InputFunctions.Fertiliser_FertiliserProductLookup(Table_Input_InorganicFertiliser_Brands[[#This Row],[Product (select)]], Table_Input_InorganicFertiliser_Brands[[#Headers],[Ingredient 4 percent]], FertiliserProducts[#Data], FertiliserProducts[Product], FertiliserProducts[#Headers])</f>
        <v/>
      </c>
      <c r="R19" s="201" t="str" cm="1">
        <f t="array" ref="R19">Fertiliser_InputFunctions.Fertiliser_FertiliserProductLookup(Table_Input_InorganicFertiliser_Brands[[#This Row],[Product (select)]], Table_Input_InorganicFertiliser_Brands[[#Headers],[Ingredient 5]], FertiliserProducts[#Data], FertiliserProducts[Product], FertiliserProducts[#Headers])</f>
        <v/>
      </c>
      <c r="S19" s="201" t="str" cm="1">
        <f t="array" ref="S19">Fertiliser_InputFunctions.Fertiliser_FertiliserProductLookup(Table_Input_InorganicFertiliser_Brands[[#This Row],[Product (select)]], Table_Input_InorganicFertiliser_Brands[[#Headers],[Ingredient 5 percent]], FertiliserProducts[#Data], FertiliserProducts[Product], FertiliserProducts[#Headers])</f>
        <v/>
      </c>
      <c r="T19" s="201" t="str" cm="1">
        <f t="array" ref="T19">Fertiliser_InputFunctions.Fertiliser_FertiliserProductLookup(Table_Input_InorganicFertiliser_Brands[[#This Row],[Product (select)]], Table_Input_InorganicFertiliser_Brands[[#Headers],[Ingredient 6]], FertiliserProducts[#Data], FertiliserProducts[Product], FertiliserProducts[#Headers])</f>
        <v/>
      </c>
      <c r="U19" s="201" t="str" cm="1">
        <f t="array" ref="U19">Fertiliser_InputFunctions.Fertiliser_FertiliserProductLookup(Table_Input_InorganicFertiliser_Brands[[#This Row],[Product (select)]], Table_Input_InorganicFertiliser_Brands[[#Headers],[Ingredient 6 percent]], FertiliserProducts[#Data], FertiliserProducts[Product], FertiliserProducts[#Headers])</f>
        <v/>
      </c>
      <c r="V19" s="20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202" cm="1">
        <f t="array" ref="W19">IFERROR(Fertiliser_InputFunctions.Fertiliser_FertiliserProductLookup(Table_Input_InorganicFertiliser_Brands[[#This Row],[Product (select)]], "N declared", FertiliserProducts[#Data], FertiliserProducts[Product], FertiliserProducts[#Headers])*0.01, 0)</f>
        <v>0</v>
      </c>
      <c r="X19" s="20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9" s="201" t="str">
        <f>IFERROR(_xlfn.XLOOKUP(Table_Input_InorganicFertiliser_Brands[[#This Row],[Product (select)]],FertiliserProducts[Product],FertiliserProducts[Urea source]), "")</f>
        <v/>
      </c>
      <c r="Z19" s="201" t="str">
        <f>IFERROR(_xlfn.XLOOKUP(Table_Input_InorganicFertiliser_Brands[[#This Row],[Product (select)]],FertiliserProducts[Product],FertiliserProducts[Ammonia source]), "")</f>
        <v/>
      </c>
    </row>
    <row r="20" spans="1:26" ht="20.100000000000001" customHeight="1" x14ac:dyDescent="0.2">
      <c r="A20" s="5" t="str">
        <f>HYPERLINK("#'Input - Manure sent off-site'!A1", "Manure sent off-site")</f>
        <v>Manure sent off-site</v>
      </c>
      <c r="D20" s="198"/>
      <c r="E20" s="199"/>
      <c r="F20" s="15" t="str">
        <f>IFERROR(_xlfn.XLOOKUP(Table_Input_InorganicFertiliser_Brands[[#This Row],[Product (select)]],FertiliserProducts[Product],FertiliserProducts[Unit]), "kg")</f>
        <v>kg</v>
      </c>
      <c r="G20" s="199">
        <f t="shared" ref="G20" si="8">X_Cell_Fertiliser_AreaUnderCropping</f>
        <v>100</v>
      </c>
      <c r="H20" s="200">
        <f>IFERROR(_xlfn.XLOOKUP(Table_Input_InorganicFertiliser_Brands[[#This Row],[Product (select)]],FertiliserProducts[Product],FertiliserProducts[Density]), 1)</f>
        <v>1</v>
      </c>
      <c r="I20" s="201">
        <f>(Table_Input_InorganicFertiliser_Brands[[#This Row],[Amount applied per hectare]]*Table_Input_InorganicFertiliser_Brands[[#This Row],[Density]])*Table_Input_InorganicFertiliser_Brands[[#This Row],[Application area (ha)]]</f>
        <v>0</v>
      </c>
      <c r="J20" s="201" t="str" cm="1">
        <f t="array" ref="J20">Fertiliser_InputFunctions.Fertiliser_FertiliserProductLookup(Table_Input_InorganicFertiliser_Brands[[#This Row],[Product (select)]], Table_Input_InorganicFertiliser_Brands[[#Headers],[Ingredient 1]], FertiliserProducts[#Data], FertiliserProducts[Product], FertiliserProducts[#Headers])</f>
        <v/>
      </c>
      <c r="K20" s="201" t="str" cm="1">
        <f t="array" ref="K20">Fertiliser_InputFunctions.Fertiliser_FertiliserProductLookup(Table_Input_InorganicFertiliser_Brands[[#This Row],[Product (select)]], Table_Input_InorganicFertiliser_Brands[[#Headers],[Ingredient 1 percent]], FertiliserProducts[#Data], FertiliserProducts[Product], FertiliserProducts[#Headers])</f>
        <v/>
      </c>
      <c r="L20" s="201" t="str" cm="1">
        <f t="array" ref="L20">Fertiliser_InputFunctions.Fertiliser_FertiliserProductLookup(Table_Input_InorganicFertiliser_Brands[[#This Row],[Product (select)]], Table_Input_InorganicFertiliser_Brands[[#Headers],[Ingredient 2]], FertiliserProducts[#Data], FertiliserProducts[Product], FertiliserProducts[#Headers])</f>
        <v/>
      </c>
      <c r="M20" s="201" t="str" cm="1">
        <f t="array" ref="M20">Fertiliser_InputFunctions.Fertiliser_FertiliserProductLookup(Table_Input_InorganicFertiliser_Brands[[#This Row],[Product (select)]], Table_Input_InorganicFertiliser_Brands[[#Headers],[Ingredient 2 percent]], FertiliserProducts[#Data], FertiliserProducts[Product], FertiliserProducts[#Headers])</f>
        <v/>
      </c>
      <c r="N20" s="201" t="str" cm="1">
        <f t="array" ref="N20">Fertiliser_InputFunctions.Fertiliser_FertiliserProductLookup(Table_Input_InorganicFertiliser_Brands[[#This Row],[Product (select)]], Table_Input_InorganicFertiliser_Brands[[#Headers],[Ingredient 3]], FertiliserProducts[#Data], FertiliserProducts[Product], FertiliserProducts[#Headers])</f>
        <v/>
      </c>
      <c r="O20" s="201" t="str" cm="1">
        <f t="array" ref="O20">Fertiliser_InputFunctions.Fertiliser_FertiliserProductLookup(Table_Input_InorganicFertiliser_Brands[[#This Row],[Product (select)]], Table_Input_InorganicFertiliser_Brands[[#Headers],[Ingredient 3 percent]], FertiliserProducts[#Data], FertiliserProducts[Product], FertiliserProducts[#Headers])</f>
        <v/>
      </c>
      <c r="P20" s="201" t="str" cm="1">
        <f t="array" ref="P20">Fertiliser_InputFunctions.Fertiliser_FertiliserProductLookup(Table_Input_InorganicFertiliser_Brands[[#This Row],[Product (select)]], Table_Input_InorganicFertiliser_Brands[[#Headers],[Ingredient 4]], FertiliserProducts[#Data], FertiliserProducts[Product], FertiliserProducts[#Headers])</f>
        <v/>
      </c>
      <c r="Q20" s="201" t="str" cm="1">
        <f t="array" ref="Q20">Fertiliser_InputFunctions.Fertiliser_FertiliserProductLookup(Table_Input_InorganicFertiliser_Brands[[#This Row],[Product (select)]], Table_Input_InorganicFertiliser_Brands[[#Headers],[Ingredient 4 percent]], FertiliserProducts[#Data], FertiliserProducts[Product], FertiliserProducts[#Headers])</f>
        <v/>
      </c>
      <c r="R20" s="201" t="str" cm="1">
        <f t="array" ref="R20">Fertiliser_InputFunctions.Fertiliser_FertiliserProductLookup(Table_Input_InorganicFertiliser_Brands[[#This Row],[Product (select)]], Table_Input_InorganicFertiliser_Brands[[#Headers],[Ingredient 5]], FertiliserProducts[#Data], FertiliserProducts[Product], FertiliserProducts[#Headers])</f>
        <v/>
      </c>
      <c r="S20" s="201" t="str" cm="1">
        <f t="array" ref="S20">Fertiliser_InputFunctions.Fertiliser_FertiliserProductLookup(Table_Input_InorganicFertiliser_Brands[[#This Row],[Product (select)]], Table_Input_InorganicFertiliser_Brands[[#Headers],[Ingredient 5 percent]], FertiliserProducts[#Data], FertiliserProducts[Product], FertiliserProducts[#Headers])</f>
        <v/>
      </c>
      <c r="T20" s="201" t="str" cm="1">
        <f t="array" ref="T20">Fertiliser_InputFunctions.Fertiliser_FertiliserProductLookup(Table_Input_InorganicFertiliser_Brands[[#This Row],[Product (select)]], Table_Input_InorganicFertiliser_Brands[[#Headers],[Ingredient 6]], FertiliserProducts[#Data], FertiliserProducts[Product], FertiliserProducts[#Headers])</f>
        <v/>
      </c>
      <c r="U20" s="201" t="str" cm="1">
        <f t="array" ref="U20">Fertiliser_InputFunctions.Fertiliser_FertiliserProductLookup(Table_Input_InorganicFertiliser_Brands[[#This Row],[Product (select)]], Table_Input_InorganicFertiliser_Brands[[#Headers],[Ingredient 6 percent]], FertiliserProducts[#Data], FertiliserProducts[Product], FertiliserProducts[#Headers])</f>
        <v/>
      </c>
      <c r="V20" s="20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202" cm="1">
        <f t="array" ref="W20">IFERROR(Fertiliser_InputFunctions.Fertiliser_FertiliserProductLookup(Table_Input_InorganicFertiliser_Brands[[#This Row],[Product (select)]], "N declared", FertiliserProducts[#Data], FertiliserProducts[Product], FertiliserProducts[#Headers])*0.01, 0)</f>
        <v>0</v>
      </c>
      <c r="X20" s="20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0" s="201" t="str">
        <f>IFERROR(_xlfn.XLOOKUP(Table_Input_InorganicFertiliser_Brands[[#This Row],[Product (select)]],FertiliserProducts[Product],FertiliserProducts[Urea source]), "")</f>
        <v/>
      </c>
      <c r="Z20" s="201" t="str">
        <f>IFERROR(_xlfn.XLOOKUP(Table_Input_InorganicFertiliser_Brands[[#This Row],[Product (select)]],FertiliserProducts[Product],FertiliserProducts[Ammonia source]), "")</f>
        <v/>
      </c>
    </row>
    <row r="21" spans="1:26" ht="20.100000000000001" customHeight="1" x14ac:dyDescent="0.2">
      <c r="A21" s="5" t="str">
        <f>HYPERLINK("#'Input - Data quality'!A1", "Data quality")</f>
        <v>Data quality</v>
      </c>
      <c r="D21" s="198"/>
      <c r="E21" s="199"/>
      <c r="F21" s="15" t="str">
        <f>IFERROR(_xlfn.XLOOKUP(Table_Input_InorganicFertiliser_Brands[[#This Row],[Product (select)]],FertiliserProducts[Product],FertiliserProducts[Unit]), "kg")</f>
        <v>kg</v>
      </c>
      <c r="G21" s="199">
        <f t="shared" ref="G21" si="9">X_Cell_Fertiliser_AreaUnderCropping</f>
        <v>100</v>
      </c>
      <c r="H21" s="200">
        <f>IFERROR(_xlfn.XLOOKUP(Table_Input_InorganicFertiliser_Brands[[#This Row],[Product (select)]],FertiliserProducts[Product],FertiliserProducts[Density]), 1)</f>
        <v>1</v>
      </c>
      <c r="I21" s="201">
        <f>(Table_Input_InorganicFertiliser_Brands[[#This Row],[Amount applied per hectare]]*Table_Input_InorganicFertiliser_Brands[[#This Row],[Density]])*Table_Input_InorganicFertiliser_Brands[[#This Row],[Application area (ha)]]</f>
        <v>0</v>
      </c>
      <c r="J21" s="201" t="str" cm="1">
        <f t="array" ref="J21">Fertiliser_InputFunctions.Fertiliser_FertiliserProductLookup(Table_Input_InorganicFertiliser_Brands[[#This Row],[Product (select)]], Table_Input_InorganicFertiliser_Brands[[#Headers],[Ingredient 1]], FertiliserProducts[#Data], FertiliserProducts[Product], FertiliserProducts[#Headers])</f>
        <v/>
      </c>
      <c r="K21" s="201" t="str" cm="1">
        <f t="array" ref="K21">Fertiliser_InputFunctions.Fertiliser_FertiliserProductLookup(Table_Input_InorganicFertiliser_Brands[[#This Row],[Product (select)]], Table_Input_InorganicFertiliser_Brands[[#Headers],[Ingredient 1 percent]], FertiliserProducts[#Data], FertiliserProducts[Product], FertiliserProducts[#Headers])</f>
        <v/>
      </c>
      <c r="L21" s="201" t="str" cm="1">
        <f t="array" ref="L21">Fertiliser_InputFunctions.Fertiliser_FertiliserProductLookup(Table_Input_InorganicFertiliser_Brands[[#This Row],[Product (select)]], Table_Input_InorganicFertiliser_Brands[[#Headers],[Ingredient 2]], FertiliserProducts[#Data], FertiliserProducts[Product], FertiliserProducts[#Headers])</f>
        <v/>
      </c>
      <c r="M21" s="201" t="str" cm="1">
        <f t="array" ref="M21">Fertiliser_InputFunctions.Fertiliser_FertiliserProductLookup(Table_Input_InorganicFertiliser_Brands[[#This Row],[Product (select)]], Table_Input_InorganicFertiliser_Brands[[#Headers],[Ingredient 2 percent]], FertiliserProducts[#Data], FertiliserProducts[Product], FertiliserProducts[#Headers])</f>
        <v/>
      </c>
      <c r="N21" s="201" t="str" cm="1">
        <f t="array" ref="N21">Fertiliser_InputFunctions.Fertiliser_FertiliserProductLookup(Table_Input_InorganicFertiliser_Brands[[#This Row],[Product (select)]], Table_Input_InorganicFertiliser_Brands[[#Headers],[Ingredient 3]], FertiliserProducts[#Data], FertiliserProducts[Product], FertiliserProducts[#Headers])</f>
        <v/>
      </c>
      <c r="O21" s="201" t="str" cm="1">
        <f t="array" ref="O21">Fertiliser_InputFunctions.Fertiliser_FertiliserProductLookup(Table_Input_InorganicFertiliser_Brands[[#This Row],[Product (select)]], Table_Input_InorganicFertiliser_Brands[[#Headers],[Ingredient 3 percent]], FertiliserProducts[#Data], FertiliserProducts[Product], FertiliserProducts[#Headers])</f>
        <v/>
      </c>
      <c r="P21" s="201" t="str" cm="1">
        <f t="array" ref="P21">Fertiliser_InputFunctions.Fertiliser_FertiliserProductLookup(Table_Input_InorganicFertiliser_Brands[[#This Row],[Product (select)]], Table_Input_InorganicFertiliser_Brands[[#Headers],[Ingredient 4]], FertiliserProducts[#Data], FertiliserProducts[Product], FertiliserProducts[#Headers])</f>
        <v/>
      </c>
      <c r="Q21" s="201" t="str" cm="1">
        <f t="array" ref="Q21">Fertiliser_InputFunctions.Fertiliser_FertiliserProductLookup(Table_Input_InorganicFertiliser_Brands[[#This Row],[Product (select)]], Table_Input_InorganicFertiliser_Brands[[#Headers],[Ingredient 4 percent]], FertiliserProducts[#Data], FertiliserProducts[Product], FertiliserProducts[#Headers])</f>
        <v/>
      </c>
      <c r="R21" s="201" t="str" cm="1">
        <f t="array" ref="R21">Fertiliser_InputFunctions.Fertiliser_FertiliserProductLookup(Table_Input_InorganicFertiliser_Brands[[#This Row],[Product (select)]], Table_Input_InorganicFertiliser_Brands[[#Headers],[Ingredient 5]], FertiliserProducts[#Data], FertiliserProducts[Product], FertiliserProducts[#Headers])</f>
        <v/>
      </c>
      <c r="S21" s="201" t="str" cm="1">
        <f t="array" ref="S21">Fertiliser_InputFunctions.Fertiliser_FertiliserProductLookup(Table_Input_InorganicFertiliser_Brands[[#This Row],[Product (select)]], Table_Input_InorganicFertiliser_Brands[[#Headers],[Ingredient 5 percent]], FertiliserProducts[#Data], FertiliserProducts[Product], FertiliserProducts[#Headers])</f>
        <v/>
      </c>
      <c r="T21" s="201" t="str" cm="1">
        <f t="array" ref="T21">Fertiliser_InputFunctions.Fertiliser_FertiliserProductLookup(Table_Input_InorganicFertiliser_Brands[[#This Row],[Product (select)]], Table_Input_InorganicFertiliser_Brands[[#Headers],[Ingredient 6]], FertiliserProducts[#Data], FertiliserProducts[Product], FertiliserProducts[#Headers])</f>
        <v/>
      </c>
      <c r="U21" s="201" t="str" cm="1">
        <f t="array" ref="U21">Fertiliser_InputFunctions.Fertiliser_FertiliserProductLookup(Table_Input_InorganicFertiliser_Brands[[#This Row],[Product (select)]], Table_Input_InorganicFertiliser_Brands[[#Headers],[Ingredient 6 percent]], FertiliserProducts[#Data], FertiliserProducts[Product], FertiliserProducts[#Headers])</f>
        <v/>
      </c>
      <c r="V21" s="20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1" s="202" cm="1">
        <f t="array" ref="W21">IFERROR(Fertiliser_InputFunctions.Fertiliser_FertiliserProductLookup(Table_Input_InorganicFertiliser_Brands[[#This Row],[Product (select)]], "N declared", FertiliserProducts[#Data], FertiliserProducts[Product], FertiliserProducts[#Headers])*0.01, 0)</f>
        <v>0</v>
      </c>
      <c r="X21" s="20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1" s="201" t="str">
        <f>IFERROR(_xlfn.XLOOKUP(Table_Input_InorganicFertiliser_Brands[[#This Row],[Product (select)]],FertiliserProducts[Product],FertiliserProducts[Urea source]), "")</f>
        <v/>
      </c>
      <c r="Z21" s="201" t="str">
        <f>IFERROR(_xlfn.XLOOKUP(Table_Input_InorganicFertiliser_Brands[[#This Row],[Product (select)]],FertiliserProducts[Product],FertiliserProducts[Ammonia source]), "")</f>
        <v/>
      </c>
    </row>
    <row r="22" spans="1:26" ht="20.100000000000001" customHeight="1" x14ac:dyDescent="0.2">
      <c r="A22" s="5" t="str">
        <f>HYPERLINK("#'Input - Fert Prod System'!A1", "Fert Prod System")</f>
        <v>Fert Prod System</v>
      </c>
      <c r="D22" s="203"/>
      <c r="E22" s="204"/>
      <c r="F22" s="205"/>
      <c r="G22" s="205"/>
      <c r="H22" s="205"/>
      <c r="I22" s="205"/>
      <c r="J22" s="206"/>
      <c r="K22" s="206"/>
      <c r="L22" s="207"/>
      <c r="M22" s="207"/>
      <c r="N22" s="142"/>
      <c r="O22" s="142"/>
      <c r="P22" s="142"/>
      <c r="Q22" s="142"/>
      <c r="R22" s="142"/>
      <c r="S22" s="142"/>
      <c r="T22" s="142"/>
      <c r="U22" s="142"/>
      <c r="V22" s="142"/>
      <c r="W22" s="142"/>
      <c r="X22" s="142"/>
    </row>
    <row r="23" spans="1:26" ht="20.100000000000001" customHeight="1" x14ac:dyDescent="0.2">
      <c r="A23" s="100" t="str">
        <f>HYPERLINK("#'Input - Fertiliser'!A1", "Fertiliser")</f>
        <v>Fertiliser</v>
      </c>
      <c r="D23" s="208" t="s">
        <v>716</v>
      </c>
      <c r="E23" s="209"/>
      <c r="F23" s="209"/>
      <c r="G23" s="209"/>
      <c r="H23" s="209"/>
      <c r="I23" s="209"/>
      <c r="J23" s="209"/>
      <c r="K23" s="209"/>
      <c r="L23" s="209"/>
      <c r="M23" s="209"/>
      <c r="N23" s="142"/>
      <c r="O23" s="142"/>
      <c r="P23" s="142"/>
      <c r="Q23" s="142"/>
      <c r="R23" s="142"/>
      <c r="S23" s="142"/>
      <c r="T23" s="142"/>
      <c r="V23" s="142"/>
      <c r="W23" s="142"/>
      <c r="X23" s="142"/>
    </row>
    <row r="24" spans="1:26" ht="20.100000000000001" customHeight="1" x14ac:dyDescent="0.2">
      <c r="D24" s="196" t="s">
        <v>717</v>
      </c>
      <c r="E24" s="196" t="s">
        <v>718</v>
      </c>
      <c r="F24" s="196" t="s">
        <v>693</v>
      </c>
      <c r="G24" s="196" t="s">
        <v>695</v>
      </c>
      <c r="H24" s="196" t="s">
        <v>719</v>
      </c>
      <c r="I24" s="196" t="s">
        <v>697</v>
      </c>
      <c r="J24" s="196" t="s">
        <v>698</v>
      </c>
      <c r="K24" s="196" t="s">
        <v>699</v>
      </c>
      <c r="L24" s="196" t="s">
        <v>700</v>
      </c>
      <c r="M24" s="196" t="s">
        <v>701</v>
      </c>
      <c r="N24" s="196" t="s">
        <v>702</v>
      </c>
      <c r="O24" s="196" t="s">
        <v>703</v>
      </c>
      <c r="P24" s="196" t="s">
        <v>710</v>
      </c>
      <c r="Q24" s="210" t="s">
        <v>720</v>
      </c>
      <c r="R24" s="210" t="s">
        <v>721</v>
      </c>
      <c r="S24" s="142"/>
      <c r="T24" s="142"/>
      <c r="V24" s="142"/>
      <c r="W24" s="142"/>
      <c r="X24" s="142"/>
    </row>
    <row r="25" spans="1:26" ht="20.100000000000001" customHeight="1" x14ac:dyDescent="0.2">
      <c r="D25" s="33" t="s">
        <v>722</v>
      </c>
      <c r="E25" s="196">
        <v>100</v>
      </c>
      <c r="F25" s="199">
        <f t="shared" ref="F25:F34" si="10">X_Cell_Fertiliser_AreaUnderCropping</f>
        <v>100</v>
      </c>
      <c r="G25" s="201">
        <f>Table_Input_InorganicFertiliser_Custom[[#This Row],[Amount applied (kg / ha)]]*Table_Input_InorganicFertiliser_Custom[[#This Row],[Application area (ha)]]</f>
        <v>10000</v>
      </c>
      <c r="H25" s="211" t="s">
        <v>723</v>
      </c>
      <c r="I25" s="212">
        <v>0.5</v>
      </c>
      <c r="J25" s="211" t="s">
        <v>724</v>
      </c>
      <c r="K25" s="212">
        <v>0.2</v>
      </c>
      <c r="L25" s="211" t="s">
        <v>725</v>
      </c>
      <c r="M25" s="212">
        <v>0.2</v>
      </c>
      <c r="N25" s="213" t="s">
        <v>726</v>
      </c>
      <c r="O25" s="18">
        <v>0.1</v>
      </c>
      <c r="P25" s="20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5" s="13"/>
      <c r="R25" s="13"/>
      <c r="T25" s="75"/>
      <c r="V25" s="142"/>
    </row>
    <row r="26" spans="1:26" ht="20.100000000000001" customHeight="1" x14ac:dyDescent="0.2">
      <c r="A26" s="6" t="s">
        <v>2</v>
      </c>
      <c r="D26" s="33" t="s">
        <v>727</v>
      </c>
      <c r="E26" s="196">
        <v>100</v>
      </c>
      <c r="F26" s="199">
        <f t="shared" si="10"/>
        <v>100</v>
      </c>
      <c r="G26" s="201">
        <f>Table_Input_InorganicFertiliser_Custom[[#This Row],[Amount applied (kg / ha)]]*Table_Input_InorganicFertiliser_Custom[[#This Row],[Application area (ha)]]</f>
        <v>10000</v>
      </c>
      <c r="H26" s="211" t="s">
        <v>713</v>
      </c>
      <c r="I26" s="214">
        <v>1</v>
      </c>
      <c r="J26" s="211"/>
      <c r="K26" s="214"/>
      <c r="L26" s="211"/>
      <c r="M26" s="214"/>
      <c r="N26" s="213"/>
      <c r="O26" s="18"/>
      <c r="P26" s="20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6" s="13"/>
      <c r="R26" s="13"/>
      <c r="V26" s="142"/>
      <c r="W26" s="75"/>
    </row>
    <row r="27" spans="1:26" ht="20.100000000000001" customHeight="1" x14ac:dyDescent="0.2">
      <c r="A27" s="5" t="str">
        <f>HYPERLINK("#'4.6.1.1-2 Methane'!A1", "4.6.1.1-2 Manure Methane")</f>
        <v>4.6.1.1-2 Manure Methane</v>
      </c>
      <c r="D27" s="33" t="s">
        <v>728</v>
      </c>
      <c r="E27" s="196">
        <v>100</v>
      </c>
      <c r="F27" s="199">
        <f t="shared" si="10"/>
        <v>100</v>
      </c>
      <c r="G27" s="201">
        <f>Table_Input_InorganicFertiliser_Custom[[#This Row],[Amount applied (kg / ha)]]*Table_Input_InorganicFertiliser_Custom[[#This Row],[Application area (ha)]]</f>
        <v>10000</v>
      </c>
      <c r="H27" s="211" t="s">
        <v>729</v>
      </c>
      <c r="I27" s="214">
        <v>0.5</v>
      </c>
      <c r="J27" s="211"/>
      <c r="K27" s="214"/>
      <c r="L27" s="211"/>
      <c r="M27" s="214"/>
      <c r="N27" s="213"/>
      <c r="O27" s="18"/>
      <c r="P27" s="20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7" s="13"/>
      <c r="R27" s="13"/>
      <c r="V27" s="142"/>
    </row>
    <row r="28" spans="1:26" ht="20.100000000000001" customHeight="1" x14ac:dyDescent="0.2">
      <c r="A28" s="5" t="str">
        <f>HYPERLINK("#'4.6.1.3-4 Direct N20'!A1", "4.6.1.3-4 Manure Direct N2O")</f>
        <v>4.6.1.3-4 Manure Direct N2O</v>
      </c>
      <c r="D28" s="33"/>
      <c r="E28" s="196"/>
      <c r="F28" s="215">
        <f t="shared" si="10"/>
        <v>100</v>
      </c>
      <c r="G28" s="201">
        <f>Table_Input_InorganicFertiliser_Custom[[#This Row],[Amount applied (kg / ha)]]*Table_Input_InorganicFertiliser_Custom[[#This Row],[Application area (ha)]]</f>
        <v>0</v>
      </c>
      <c r="H28" s="211"/>
      <c r="I28" s="214"/>
      <c r="J28" s="211"/>
      <c r="K28" s="214"/>
      <c r="L28" s="211"/>
      <c r="M28" s="214"/>
      <c r="N28" s="213"/>
      <c r="O28" s="18"/>
      <c r="P28" s="20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8" s="13"/>
      <c r="R28" s="13"/>
      <c r="V28" s="75"/>
    </row>
    <row r="29" spans="1:26" ht="20.100000000000001" customHeight="1" x14ac:dyDescent="0.2">
      <c r="A29" s="5" t="str">
        <f>HYPERLINK("#'4.6.1.5-6 Atmos Dep'!A1", "4.6.1.5-6 Manure Atmos Dep")</f>
        <v>4.6.1.5-6 Manure Atmos Dep</v>
      </c>
      <c r="D29" s="33"/>
      <c r="E29" s="196"/>
      <c r="F29" s="215">
        <f t="shared" si="10"/>
        <v>100</v>
      </c>
      <c r="G29" s="201">
        <f>Table_Input_InorganicFertiliser_Custom[[#This Row],[Amount applied (kg / ha)]]*Table_Input_InorganicFertiliser_Custom[[#This Row],[Application area (ha)]]</f>
        <v>0</v>
      </c>
      <c r="H29" s="211"/>
      <c r="I29" s="214"/>
      <c r="J29" s="211"/>
      <c r="K29" s="214"/>
      <c r="L29" s="211"/>
      <c r="M29" s="214"/>
      <c r="N29" s="213"/>
      <c r="O29" s="18"/>
      <c r="P29" s="20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9" s="13"/>
      <c r="R29" s="13"/>
    </row>
    <row r="30" spans="1:26" ht="20.100000000000001" customHeight="1" x14ac:dyDescent="0.2">
      <c r="A30" s="5" t="str">
        <f>HYPERLINK("#'4.6.1.7-8 Leaching and runoff'!A1", "4.6.1.7-8 Manure Leaching and runoff")</f>
        <v>4.6.1.7-8 Manure Leaching and runoff</v>
      </c>
      <c r="D30" s="33"/>
      <c r="E30" s="196"/>
      <c r="F30" s="215">
        <f t="shared" si="10"/>
        <v>100</v>
      </c>
      <c r="G30" s="201">
        <f>Table_Input_InorganicFertiliser_Custom[[#This Row],[Amount applied (kg / ha)]]*Table_Input_InorganicFertiliser_Custom[[#This Row],[Application area (ha)]]</f>
        <v>0</v>
      </c>
      <c r="H30" s="211"/>
      <c r="I30" s="214"/>
      <c r="J30" s="211"/>
      <c r="K30" s="214"/>
      <c r="L30" s="211"/>
      <c r="M30" s="214"/>
      <c r="N30" s="213"/>
      <c r="O30" s="18"/>
      <c r="P30" s="20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0" s="13"/>
      <c r="R30" s="13"/>
    </row>
    <row r="31" spans="1:26" ht="20.100000000000001" customHeight="1" x14ac:dyDescent="0.2">
      <c r="A31" s="5" t="str">
        <f>HYPERLINK("#'4.6.1.9 Manure applied to soils'!A1", "4.6.1.9 Manure applied to soils")</f>
        <v>4.6.1.9 Manure applied to soils</v>
      </c>
      <c r="D31" s="33"/>
      <c r="E31" s="196"/>
      <c r="F31" s="215">
        <f t="shared" si="10"/>
        <v>100</v>
      </c>
      <c r="G31" s="201">
        <f>Table_Input_InorganicFertiliser_Custom[[#This Row],[Amount applied (kg / ha)]]*Table_Input_InorganicFertiliser_Custom[[#This Row],[Application area (ha)]]</f>
        <v>0</v>
      </c>
      <c r="H31" s="211"/>
      <c r="I31" s="214"/>
      <c r="J31" s="211"/>
      <c r="K31" s="214"/>
      <c r="L31" s="211"/>
      <c r="M31" s="214"/>
      <c r="N31" s="213"/>
      <c r="O31" s="18"/>
      <c r="P31" s="20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1" s="13"/>
      <c r="R31" s="13"/>
    </row>
    <row r="32" spans="1:26" ht="20.100000000000001" customHeight="1" x14ac:dyDescent="0.2">
      <c r="A32" s="5" t="str">
        <f>HYPERLINK("#'4.6.1.10-11 Soil direct N2O'!A1", "4.6.1.10-11 Soil direct N2O")</f>
        <v>4.6.1.10-11 Soil direct N2O</v>
      </c>
      <c r="D32" s="33"/>
      <c r="E32" s="196"/>
      <c r="F32" s="215">
        <f t="shared" si="10"/>
        <v>100</v>
      </c>
      <c r="G32" s="201">
        <f>Table_Input_InorganicFertiliser_Custom[[#This Row],[Amount applied (kg / ha)]]*Table_Input_InorganicFertiliser_Custom[[#This Row],[Application area (ha)]]</f>
        <v>0</v>
      </c>
      <c r="H32" s="211"/>
      <c r="I32" s="214"/>
      <c r="J32" s="211"/>
      <c r="K32" s="214"/>
      <c r="L32" s="211"/>
      <c r="M32" s="214"/>
      <c r="N32" s="213"/>
      <c r="O32" s="18"/>
      <c r="P32" s="20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2" s="13"/>
      <c r="R32" s="13"/>
    </row>
    <row r="33" spans="1:27" ht="20.100000000000001" customHeight="1" x14ac:dyDescent="0.2">
      <c r="A33" s="5" t="str">
        <f>HYPERLINK("#'4.6.1.12-13 Soil atmos dep'!A1", "4.6.1.12-13 Soil atmos dep")</f>
        <v>4.6.1.12-13 Soil atmos dep</v>
      </c>
      <c r="D33" s="33"/>
      <c r="E33" s="196"/>
      <c r="F33" s="215">
        <f t="shared" si="10"/>
        <v>100</v>
      </c>
      <c r="G33" s="201">
        <f>Table_Input_InorganicFertiliser_Custom[[#This Row],[Amount applied (kg / ha)]]*Table_Input_InorganicFertiliser_Custom[[#This Row],[Application area (ha)]]</f>
        <v>0</v>
      </c>
      <c r="H33" s="211"/>
      <c r="I33" s="214"/>
      <c r="J33" s="211"/>
      <c r="K33" s="214"/>
      <c r="L33" s="211"/>
      <c r="M33" s="214"/>
      <c r="N33" s="213"/>
      <c r="O33" s="18"/>
      <c r="P33" s="20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3" s="13"/>
      <c r="R33" s="13"/>
    </row>
    <row r="34" spans="1:27" ht="20.100000000000001" customHeight="1" x14ac:dyDescent="0.2">
      <c r="A34" s="5" t="str">
        <f>HYPERLINK("#'4.6.1.14-15 Soil leach runoff'!A1", "4.6.1.14-15 Soil leach runoff")</f>
        <v>4.6.1.14-15 Soil leach runoff</v>
      </c>
      <c r="D34" s="33"/>
      <c r="E34" s="196"/>
      <c r="F34" s="215">
        <f t="shared" si="10"/>
        <v>100</v>
      </c>
      <c r="G34" s="201">
        <f>Table_Input_InorganicFertiliser_Custom[[#This Row],[Amount applied (kg / ha)]]*Table_Input_InorganicFertiliser_Custom[[#This Row],[Application area (ha)]]</f>
        <v>0</v>
      </c>
      <c r="H34" s="211"/>
      <c r="I34" s="214"/>
      <c r="J34" s="211"/>
      <c r="K34" s="214"/>
      <c r="L34" s="211"/>
      <c r="M34" s="214"/>
      <c r="N34" s="213"/>
      <c r="O34" s="18"/>
      <c r="P34" s="20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4" s="13"/>
      <c r="R34" s="13"/>
    </row>
    <row r="35" spans="1:27" ht="20.100000000000001" customHeight="1" x14ac:dyDescent="0.2">
      <c r="A35" s="5" t="str">
        <f>HYPERLINK("#'8.1.1.1-2 Transport fuel'!A1", "8.1.1.1-2 Transport fuel")</f>
        <v>8.1.1.1-2 Transport fuel</v>
      </c>
    </row>
    <row r="36" spans="1:27" ht="20.100000000000001" customHeight="1" x14ac:dyDescent="0.2">
      <c r="A36" s="5" t="str">
        <f>HYPERLINK("#'8.2.1.1-2 Stationary fuel'!A1", "8.2.1.1-2 Stationary fuel")</f>
        <v>8.2.1.1-2 Stationary fuel</v>
      </c>
      <c r="D36" s="2" t="s">
        <v>730</v>
      </c>
      <c r="E36" s="24"/>
      <c r="F36" s="24"/>
      <c r="G36" s="24"/>
      <c r="H36" s="24"/>
      <c r="I36" s="24"/>
      <c r="J36" s="24"/>
      <c r="K36" s="8"/>
      <c r="L36" s="8"/>
      <c r="M36" s="8"/>
    </row>
    <row r="37" spans="1:27" ht="20.100000000000001" customHeight="1" x14ac:dyDescent="0.2">
      <c r="A37" s="5" t="str">
        <f>HYPERLINK("#'10.1.1-2 Solid waste treatment'!A1", "10.1.1.1-2 Solid waste")</f>
        <v>10.1.1.1-2 Solid waste</v>
      </c>
      <c r="D37" s="131" t="s">
        <v>731</v>
      </c>
      <c r="E37" s="43"/>
      <c r="F37" s="44"/>
      <c r="G37" s="131"/>
      <c r="H37" s="44"/>
      <c r="I37" s="24"/>
      <c r="J37" s="24"/>
      <c r="K37" s="8"/>
      <c r="L37" s="8"/>
      <c r="M37" s="24"/>
    </row>
    <row r="38" spans="1:27" ht="20.100000000000001" customHeight="1" x14ac:dyDescent="0.2">
      <c r="A38" s="5" t="str">
        <f>HYPERLINK("#'14.1.1-2 Purchased electricity'!A1", "14.1.1-2 Purchased electricity")</f>
        <v>14.1.1-2 Purchased electricity</v>
      </c>
      <c r="C38" s="142"/>
      <c r="D38" s="132" t="s">
        <v>732</v>
      </c>
      <c r="E38" s="133"/>
      <c r="F38" s="134"/>
      <c r="G38" s="132"/>
      <c r="H38" s="134"/>
      <c r="I38" s="8"/>
      <c r="J38" s="8"/>
      <c r="K38" s="8"/>
      <c r="L38" s="8"/>
      <c r="M38" s="8"/>
    </row>
    <row r="39" spans="1:27" ht="20.100000000000001" customHeight="1" x14ac:dyDescent="0.2">
      <c r="A39" s="5" t="str">
        <f>HYPERLINK("#'15 Scope 3'!A1", "15 Scope 3")</f>
        <v>15 Scope 3</v>
      </c>
      <c r="C39" s="142"/>
      <c r="D39" s="45" t="s">
        <v>688</v>
      </c>
      <c r="E39" s="46"/>
      <c r="F39" s="46"/>
      <c r="G39" s="46"/>
      <c r="H39" s="47"/>
      <c r="I39" s="8"/>
      <c r="J39" s="8"/>
      <c r="K39" s="8"/>
      <c r="L39" s="8"/>
      <c r="M39" s="24"/>
    </row>
    <row r="40" spans="1:27" s="140" customFormat="1" ht="20.100000000000001" customHeight="1" x14ac:dyDescent="0.2">
      <c r="A40" s="5" t="str">
        <f>HYPERLINK("#'Calcs - Manure sent off-site'!A1", "Calcs - Manure sent off-site")</f>
        <v>Calcs - Manure sent off-site</v>
      </c>
      <c r="C40" s="1"/>
      <c r="D40" s="87" t="str">
        <f>IF(MAX(Table_Input_Lime[Total]) &gt; 1, "There can not be more than 100% ingredients in a product. Check the table below.", "")</f>
        <v/>
      </c>
      <c r="E40" s="1"/>
      <c r="F40" s="1"/>
      <c r="G40" s="1"/>
      <c r="H40" s="1"/>
      <c r="I40" s="1"/>
      <c r="J40" s="1"/>
      <c r="K40" s="1"/>
      <c r="L40" s="8"/>
      <c r="M40" s="24"/>
      <c r="N40" s="1"/>
      <c r="O40" s="1"/>
      <c r="P40" s="1"/>
      <c r="Q40" s="1"/>
      <c r="R40" s="1"/>
      <c r="S40" s="1"/>
      <c r="T40" s="1"/>
      <c r="U40" s="1"/>
      <c r="V40" s="1"/>
      <c r="W40" s="1"/>
      <c r="X40" s="1"/>
      <c r="Y40" s="1"/>
      <c r="Z40" s="1"/>
      <c r="AA40" s="1"/>
    </row>
    <row r="41" spans="1:27" s="140" customFormat="1" ht="20.100000000000001" customHeight="1" x14ac:dyDescent="0.2">
      <c r="A41" s="5" t="str">
        <f>HYPERLINK("#'5.1.1.1-2 Inorganic fert N2O'!A1", "5.1.1.1-2 Inorganic fert N2O")</f>
        <v>5.1.1.1-2 Inorganic fert N2O</v>
      </c>
      <c r="C41" s="1"/>
      <c r="D41" s="216" t="s">
        <v>132</v>
      </c>
      <c r="E41" s="216" t="s">
        <v>733</v>
      </c>
      <c r="F41" s="216" t="s">
        <v>693</v>
      </c>
      <c r="G41" s="216" t="s">
        <v>734</v>
      </c>
      <c r="H41" s="216" t="s">
        <v>735</v>
      </c>
      <c r="I41" s="216" t="s">
        <v>736</v>
      </c>
      <c r="J41" s="216" t="s">
        <v>737</v>
      </c>
      <c r="K41" s="216" t="s">
        <v>4</v>
      </c>
      <c r="L41" s="1"/>
      <c r="M41" s="1"/>
      <c r="N41" s="1"/>
      <c r="O41" s="1"/>
      <c r="P41" s="1"/>
      <c r="Q41" s="1"/>
      <c r="R41" s="1"/>
      <c r="S41" s="142"/>
      <c r="T41" s="1"/>
      <c r="U41" s="1"/>
      <c r="V41" s="1"/>
      <c r="W41" s="1"/>
      <c r="X41" s="1"/>
      <c r="Y41" s="1"/>
      <c r="Z41" s="1"/>
      <c r="AA41" s="1"/>
    </row>
    <row r="42" spans="1:27" ht="20.100000000000001" customHeight="1" x14ac:dyDescent="0.2">
      <c r="A42" s="5" t="str">
        <f>HYPERLINK("#'5.1.1.3-4 Inorganic fert CO2'!A1", "5.1.1.3-4 Inorganic fert CO2")</f>
        <v>5.1.1.3-4 Inorganic fert CO2</v>
      </c>
      <c r="D42" s="217" t="s">
        <v>738</v>
      </c>
      <c r="E42" s="199">
        <v>1</v>
      </c>
      <c r="F42" s="199">
        <f>X_Cell_Fertiliser_AreaUnderCropping</f>
        <v>100</v>
      </c>
      <c r="G42" s="201">
        <f>IFERROR(Table_Input_Lime[[#This Row],[Amount applied (t/hectare)]]*Table_Input_Lime[[#This Row],[Application area (ha)]], 0)</f>
        <v>100</v>
      </c>
      <c r="H42" s="218">
        <v>0.8</v>
      </c>
      <c r="I42" s="218">
        <v>0.1</v>
      </c>
      <c r="J42" s="218">
        <v>0.1</v>
      </c>
      <c r="K42" s="219">
        <f>SUM(Table_Input_Lime[[#This Row],[Percent Lime CaCO3]:[Percent Gypsum]])</f>
        <v>1</v>
      </c>
      <c r="S42" s="142"/>
    </row>
    <row r="43" spans="1:27" ht="20.100000000000001" customHeight="1" x14ac:dyDescent="0.2">
      <c r="A43" s="5" t="str">
        <f>HYPERLINK("#'5.2.1.1-2 Organic Fert N2O'!A1", "5.2.1.1-2 Organic Fert N2O")</f>
        <v>5.2.1.1-2 Organic Fert N2O</v>
      </c>
      <c r="D43" s="217" t="s">
        <v>739</v>
      </c>
      <c r="E43" s="199">
        <v>1</v>
      </c>
      <c r="F43" s="199">
        <f>X_Cell_Fertiliser_AreaUnderCropping</f>
        <v>100</v>
      </c>
      <c r="G43" s="201">
        <f>IFERROR(Table_Input_Lime[[#This Row],[Amount applied (t/hectare)]]*Table_Input_Lime[[#This Row],[Application area (ha)]], 0)</f>
        <v>100</v>
      </c>
      <c r="H43" s="218">
        <v>1</v>
      </c>
      <c r="I43" s="218"/>
      <c r="J43" s="218"/>
      <c r="K43" s="219">
        <f>SUM(Table_Input_Lime[[#This Row],[Percent Lime CaCO3]:[Percent Gypsum]])</f>
        <v>1</v>
      </c>
    </row>
    <row r="44" spans="1:27" ht="20.100000000000001" customHeight="1" x14ac:dyDescent="0.2">
      <c r="A44" s="5" t="str">
        <f>HYPERLINK("#'5.3.1.1-2 Lime CO2'!A1", "5.3.1.1-2 Lime CO2")</f>
        <v>5.3.1.1-2 Lime CO2</v>
      </c>
      <c r="D44" s="217" t="s">
        <v>740</v>
      </c>
      <c r="E44" s="199">
        <v>1</v>
      </c>
      <c r="F44" s="199">
        <f>X_Cell_Fertiliser_AreaUnderCropping</f>
        <v>100</v>
      </c>
      <c r="G44" s="201">
        <f>IFERROR(Table_Input_Lime[[#This Row],[Amount applied (t/hectare)]]*Table_Input_Lime[[#This Row],[Application area (ha)]], 0)</f>
        <v>100</v>
      </c>
      <c r="H44" s="218">
        <v>0</v>
      </c>
      <c r="I44" s="218"/>
      <c r="J44" s="218">
        <v>1</v>
      </c>
      <c r="K44" s="219">
        <f>SUM(Table_Input_Lime[[#This Row],[Percent Lime CaCO3]:[Percent Gypsum]])</f>
        <v>1</v>
      </c>
      <c r="L44" s="24"/>
    </row>
    <row r="45" spans="1:27" ht="20.100000000000001" customHeight="1" x14ac:dyDescent="0.2">
      <c r="A45" s="5" t="str">
        <f>HYPERLINK("#'5.4.1.1-4 Atmos deposition'!A1", "5.4.1.1-4 Atmos deposition")</f>
        <v>5.4.1.1-4 Atmos deposition</v>
      </c>
      <c r="L45" s="24"/>
      <c r="M45" s="24"/>
    </row>
    <row r="46" spans="1:27" ht="20.100000000000001" customHeight="1" x14ac:dyDescent="0.2">
      <c r="A46" s="5" t="str">
        <f>HYPERLINK("#'5.5.1.1-2 Leaching and runoff'!A1", "5.5.1.1-2 Leaching and runoff")</f>
        <v>5.5.1.1-2 Leaching and runoff</v>
      </c>
      <c r="D46" s="8"/>
      <c r="E46" s="8"/>
      <c r="F46" s="8"/>
      <c r="G46" s="8"/>
      <c r="H46" s="8"/>
      <c r="I46" s="8"/>
      <c r="J46" s="8"/>
      <c r="L46" s="8"/>
      <c r="M46" s="24"/>
    </row>
    <row r="47" spans="1:27" ht="20.100000000000001" customHeight="1" x14ac:dyDescent="0.2">
      <c r="D47" s="8"/>
      <c r="E47" s="8"/>
      <c r="F47" s="8"/>
      <c r="G47" s="8"/>
      <c r="H47" s="8"/>
      <c r="I47" s="8"/>
      <c r="J47" s="220"/>
      <c r="K47" s="24"/>
      <c r="L47" s="8"/>
      <c r="M47" s="8"/>
    </row>
    <row r="48" spans="1:27" ht="20.100000000000001" customHeight="1" x14ac:dyDescent="0.2">
      <c r="D48" s="2" t="s">
        <v>741</v>
      </c>
      <c r="E48" s="24"/>
      <c r="F48" s="24"/>
      <c r="G48" s="24"/>
      <c r="H48" s="8"/>
      <c r="I48" s="8"/>
      <c r="J48" s="8"/>
      <c r="K48" s="8"/>
      <c r="L48" s="8"/>
      <c r="M48" s="8"/>
    </row>
    <row r="49" spans="1:18" ht="20.100000000000001" customHeight="1" x14ac:dyDescent="0.2">
      <c r="A49" s="80" t="s">
        <v>1</v>
      </c>
      <c r="D49" s="8"/>
      <c r="E49" s="8"/>
      <c r="F49" s="8"/>
      <c r="G49" s="8"/>
      <c r="H49" s="8"/>
      <c r="I49" s="8"/>
      <c r="J49" s="8"/>
      <c r="K49" s="8"/>
      <c r="L49" s="8"/>
      <c r="M49" s="8"/>
      <c r="Q49" s="142"/>
      <c r="R49" s="142"/>
    </row>
    <row r="50" spans="1:18" ht="20.100000000000001" customHeight="1" x14ac:dyDescent="0.2">
      <c r="A50" s="5" t="str">
        <f>HYPERLINK("#'Constants - Poultry'!A1", "Constants - Poultry")</f>
        <v>Constants - Poultry</v>
      </c>
      <c r="D50" s="131" t="s">
        <v>731</v>
      </c>
      <c r="E50" s="43"/>
      <c r="F50" s="43"/>
      <c r="G50" s="43"/>
      <c r="H50" s="44"/>
      <c r="I50" s="8"/>
      <c r="J50" s="8"/>
      <c r="K50" s="8"/>
      <c r="L50" s="8"/>
      <c r="M50" s="8"/>
      <c r="O50" s="142"/>
      <c r="P50" s="142"/>
      <c r="Q50" s="142"/>
      <c r="R50" s="142"/>
    </row>
    <row r="51" spans="1:18" ht="20.100000000000001" customHeight="1" x14ac:dyDescent="0.2">
      <c r="A51" s="5" t="str">
        <f>HYPERLINK("#'Constants - Common livestock'!A1", "Constants - Common Livestock")</f>
        <v>Constants - Common Livestock</v>
      </c>
      <c r="D51" s="45" t="s">
        <v>688</v>
      </c>
      <c r="E51" s="46"/>
      <c r="F51" s="46"/>
      <c r="G51" s="46"/>
      <c r="H51" s="47"/>
      <c r="I51" s="8"/>
      <c r="J51" s="8"/>
      <c r="K51" s="8"/>
      <c r="L51" s="209"/>
      <c r="M51" s="142"/>
      <c r="N51" s="142"/>
      <c r="O51" s="142"/>
      <c r="P51" s="142"/>
    </row>
    <row r="52" spans="1:18" ht="20.100000000000001" customHeight="1" x14ac:dyDescent="0.2">
      <c r="A52" s="5" t="str">
        <f>HYPERLINK("#'Constants - Electricity'!A1", "Constants - Electricity")</f>
        <v>Constants - Electricity</v>
      </c>
      <c r="D52" s="8"/>
      <c r="E52" s="8"/>
      <c r="F52" s="8"/>
      <c r="G52" s="8"/>
      <c r="H52" s="8"/>
      <c r="I52" s="8"/>
      <c r="J52" s="8"/>
      <c r="K52" s="8"/>
      <c r="L52" s="209"/>
      <c r="M52" s="142"/>
      <c r="N52" s="142"/>
    </row>
    <row r="53" spans="1:18" ht="20.100000000000001" customHeight="1" x14ac:dyDescent="0.2">
      <c r="A53" s="5" t="str">
        <f>HYPERLINK("#'Constants - Fertiliser'!A1", "Constants - Fertiliser")</f>
        <v>Constants - Fertiliser</v>
      </c>
      <c r="D53" s="216" t="s">
        <v>742</v>
      </c>
      <c r="E53" s="216" t="s">
        <v>743</v>
      </c>
      <c r="F53" s="216" t="s">
        <v>744</v>
      </c>
      <c r="G53" s="216" t="s">
        <v>745</v>
      </c>
      <c r="H53" s="216" t="s">
        <v>693</v>
      </c>
      <c r="I53" s="216" t="s">
        <v>746</v>
      </c>
      <c r="J53" s="216" t="s">
        <v>747</v>
      </c>
      <c r="K53" s="209"/>
    </row>
    <row r="54" spans="1:18" ht="20.100000000000001" customHeight="1" x14ac:dyDescent="0.2">
      <c r="A54" s="5" t="str">
        <f>HYPERLINK("#'Constants - Fuel'!A1", "Constants - Fuel")</f>
        <v>Constants - Fuel</v>
      </c>
      <c r="D54" s="198" t="s">
        <v>748</v>
      </c>
      <c r="E54" s="218">
        <v>0.3</v>
      </c>
      <c r="F54" s="199">
        <v>10</v>
      </c>
      <c r="G54" s="201">
        <f>Table_Input_OrganicFertiliser[[#This Row],[Amount applied (kg/hectare)]]*Table_Input_OrganicFertiliser[[#This Row],[Percentage of N in fertiliser]]</f>
        <v>3</v>
      </c>
      <c r="H54" s="199">
        <f>X_Cell_Fertiliser_AreaUnderCropping</f>
        <v>100</v>
      </c>
      <c r="I54" s="201">
        <f>Table_Input_OrganicFertiliser[[#This Row],[Amount applied (kg/hectare)]]*Table_Input_OrganicFertiliser[[#This Row],[Application area (ha)]]</f>
        <v>1000</v>
      </c>
      <c r="J54" s="201">
        <f>IFERROR(Table_Input_OrganicFertiliser[[#This Row],[Amount N applied (kg/hectare)]]*Table_Input_OrganicFertiliser[[#This Row],[Application area (ha)]], 0)</f>
        <v>300</v>
      </c>
      <c r="K54" s="209"/>
    </row>
    <row r="55" spans="1:18" ht="20.100000000000001" customHeight="1" x14ac:dyDescent="0.2">
      <c r="A55" s="5" t="str">
        <f>HYPERLINK("#'Constants - Scope 3'!A1", "Constants - Scope 3")</f>
        <v>Constants - Scope 3</v>
      </c>
      <c r="D55" s="198" t="s">
        <v>749</v>
      </c>
      <c r="E55" s="218">
        <v>0.25</v>
      </c>
      <c r="F55" s="199">
        <v>10</v>
      </c>
      <c r="G55" s="201">
        <f>Table_Input_OrganicFertiliser[[#This Row],[Amount applied (kg/hectare)]]*Table_Input_OrganicFertiliser[[#This Row],[Percentage of N in fertiliser]]</f>
        <v>2.5</v>
      </c>
      <c r="H55" s="199">
        <f>X_Cell_Fertiliser_AreaUnderCropping</f>
        <v>100</v>
      </c>
      <c r="I55" s="201">
        <f>Table_Input_OrganicFertiliser[[#This Row],[Amount applied (kg/hectare)]]*Table_Input_OrganicFertiliser[[#This Row],[Application area (ha)]]</f>
        <v>1000</v>
      </c>
      <c r="J55" s="201">
        <f>IFERROR(Table_Input_OrganicFertiliser[[#This Row],[Amount N applied (kg/hectare)]]*Table_Input_OrganicFertiliser[[#This Row],[Application area (ha)]], 0)</f>
        <v>250</v>
      </c>
    </row>
    <row r="56" spans="1:18" ht="20.100000000000001" customHeight="1" x14ac:dyDescent="0.2">
      <c r="A56" s="5" t="str">
        <f>HYPERLINK("#'Constants - Solid Waste'!A1", "Constants - Solid Waste")</f>
        <v>Constants - Solid Waste</v>
      </c>
      <c r="D56" s="198" t="s">
        <v>750</v>
      </c>
      <c r="E56" s="218">
        <v>0.16</v>
      </c>
      <c r="F56" s="199">
        <v>10</v>
      </c>
      <c r="G56" s="201">
        <f>Table_Input_OrganicFertiliser[[#This Row],[Amount applied (kg/hectare)]]*Table_Input_OrganicFertiliser[[#This Row],[Percentage of N in fertiliser]]</f>
        <v>1.6</v>
      </c>
      <c r="H56" s="199">
        <f>X_Cell_Fertiliser_AreaUnderCropping</f>
        <v>100</v>
      </c>
      <c r="I56" s="201">
        <f>Table_Input_OrganicFertiliser[[#This Row],[Amount applied (kg/hectare)]]*Table_Input_OrganicFertiliser[[#This Row],[Application area (ha)]]</f>
        <v>1000</v>
      </c>
      <c r="J56" s="201">
        <f>IFERROR(Table_Input_OrganicFertiliser[[#This Row],[Amount N applied (kg/hectare)]]*Table_Input_OrganicFertiliser[[#This Row],[Application area (ha)]], 0)</f>
        <v>160</v>
      </c>
    </row>
    <row r="57" spans="1:18" ht="20.100000000000001" customHeight="1" x14ac:dyDescent="0.2">
      <c r="A57" s="5" t="str">
        <f>HYPERLINK("#'Constants - Common'!A1", "Constants - Common")</f>
        <v>Constants - Common</v>
      </c>
    </row>
    <row r="126" spans="13:13" ht="20.100000000000001" customHeight="1" x14ac:dyDescent="0.2">
      <c r="M126" s="24"/>
    </row>
    <row r="127" spans="13:13" ht="20.100000000000001" customHeight="1" x14ac:dyDescent="0.2">
      <c r="M127" s="24"/>
    </row>
    <row r="128" spans="13:13" ht="20.100000000000001" customHeight="1" x14ac:dyDescent="0.2">
      <c r="M128" s="24"/>
    </row>
    <row r="129" spans="13:13" ht="20.100000000000001" customHeight="1" x14ac:dyDescent="0.2">
      <c r="M129" s="24"/>
    </row>
    <row r="130" spans="13:13" ht="20.100000000000001" customHeight="1" x14ac:dyDescent="0.2">
      <c r="M130" s="24"/>
    </row>
    <row r="131" spans="13:13" ht="20.100000000000001" customHeight="1" x14ac:dyDescent="0.2">
      <c r="M131" s="24"/>
    </row>
    <row r="132" spans="13:13" ht="20.100000000000001" customHeight="1" x14ac:dyDescent="0.2">
      <c r="M132" s="24"/>
    </row>
    <row r="133" spans="13:13" ht="20.100000000000001" customHeight="1" x14ac:dyDescent="0.2">
      <c r="M133" s="24"/>
    </row>
    <row r="134" spans="13:13" ht="20.100000000000001" customHeight="1" x14ac:dyDescent="0.2">
      <c r="M134" s="24"/>
    </row>
    <row r="135" spans="13:13" ht="20.100000000000001" customHeight="1" x14ac:dyDescent="0.2">
      <c r="M135" s="24"/>
    </row>
    <row r="136" spans="13:13" ht="20.100000000000001" customHeight="1" x14ac:dyDescent="0.2">
      <c r="M136" s="24"/>
    </row>
    <row r="137" spans="13:13" ht="20.100000000000001" customHeight="1" x14ac:dyDescent="0.2">
      <c r="M137" s="24"/>
    </row>
    <row r="138" spans="13:13" ht="20.100000000000001" customHeight="1" x14ac:dyDescent="0.2">
      <c r="M138" s="24"/>
    </row>
    <row r="139" spans="13:13" ht="20.100000000000001" customHeight="1" x14ac:dyDescent="0.2">
      <c r="M139" s="24"/>
    </row>
    <row r="140" spans="13:13" ht="20.100000000000001" customHeight="1" x14ac:dyDescent="0.2">
      <c r="M140" s="24"/>
    </row>
    <row r="141" spans="13:13" ht="20.100000000000001" customHeight="1" x14ac:dyDescent="0.2">
      <c r="M141" s="24"/>
    </row>
    <row r="142" spans="13:13" ht="20.100000000000001" customHeight="1" x14ac:dyDescent="0.2">
      <c r="M142" s="24"/>
    </row>
    <row r="143" spans="13:13" ht="20.100000000000001" customHeight="1" x14ac:dyDescent="0.2">
      <c r="M143" s="24"/>
    </row>
    <row r="144" spans="13:13" ht="20.100000000000001" customHeight="1" x14ac:dyDescent="0.2">
      <c r="M144" s="24"/>
    </row>
    <row r="145" spans="13:13" ht="20.100000000000001" customHeight="1" x14ac:dyDescent="0.2">
      <c r="M145" s="24"/>
    </row>
    <row r="146" spans="13:13" ht="20.100000000000001" customHeight="1" x14ac:dyDescent="0.2">
      <c r="M146" s="24"/>
    </row>
    <row r="147" spans="13:13" ht="20.100000000000001" customHeight="1" x14ac:dyDescent="0.2">
      <c r="M147" s="24"/>
    </row>
    <row r="224" spans="12:12" ht="20.100000000000001" customHeight="1" x14ac:dyDescent="0.2">
      <c r="L224" s="16"/>
    </row>
    <row r="225" spans="12:12" ht="20.100000000000001" customHeight="1" x14ac:dyDescent="0.2">
      <c r="L225" s="16"/>
    </row>
    <row r="226" spans="12:12" ht="20.100000000000001" customHeight="1" x14ac:dyDescent="0.2">
      <c r="L226" s="16"/>
    </row>
    <row r="227" spans="12:12" ht="20.100000000000001" customHeight="1" x14ac:dyDescent="0.2">
      <c r="L227" s="16"/>
    </row>
    <row r="228" spans="12:12" ht="20.100000000000001" customHeight="1" x14ac:dyDescent="0.2">
      <c r="L228" s="16"/>
    </row>
    <row r="230" spans="12:12" ht="20.100000000000001" customHeight="1" x14ac:dyDescent="0.2">
      <c r="L230" s="16"/>
    </row>
    <row r="232" spans="12:12" ht="20.100000000000001" customHeight="1" x14ac:dyDescent="0.2">
      <c r="L232" s="16"/>
    </row>
    <row r="233" spans="12:12" ht="20.100000000000001" customHeight="1" x14ac:dyDescent="0.2">
      <c r="L233" s="16"/>
    </row>
    <row r="234" spans="12:12" ht="20.100000000000001" customHeight="1" x14ac:dyDescent="0.2">
      <c r="L234" s="16"/>
    </row>
    <row r="235" spans="12:12" ht="20.100000000000001" customHeight="1" x14ac:dyDescent="0.2">
      <c r="L235" s="16"/>
    </row>
    <row r="237" spans="12:12" ht="20.100000000000001" customHeight="1" x14ac:dyDescent="0.2">
      <c r="L237" s="16"/>
    </row>
    <row r="245" spans="12:12" ht="20.100000000000001" customHeight="1" x14ac:dyDescent="0.2">
      <c r="L245" s="16"/>
    </row>
    <row r="246" spans="12:12" ht="20.100000000000001" customHeight="1" x14ac:dyDescent="0.2">
      <c r="L246" s="16"/>
    </row>
    <row r="247" spans="12:12" ht="20.100000000000001" customHeight="1" x14ac:dyDescent="0.2">
      <c r="L247" s="16"/>
    </row>
    <row r="250" spans="12:12" ht="20.100000000000001" customHeight="1" x14ac:dyDescent="0.2">
      <c r="L250" s="16"/>
    </row>
    <row r="251" spans="12:12" ht="20.100000000000001" customHeight="1" x14ac:dyDescent="0.2">
      <c r="L251" s="16"/>
    </row>
    <row r="252" spans="12:12" ht="20.100000000000001" customHeight="1" x14ac:dyDescent="0.2">
      <c r="L252" s="16"/>
    </row>
    <row r="255" spans="12:12" ht="20.100000000000001" customHeight="1" x14ac:dyDescent="0.2">
      <c r="L255" s="16"/>
    </row>
    <row r="256" spans="12:12" ht="20.100000000000001" customHeight="1" x14ac:dyDescent="0.2">
      <c r="L256" s="16"/>
    </row>
    <row r="257" spans="11:12" ht="20.100000000000001" customHeight="1" x14ac:dyDescent="0.2">
      <c r="L257" s="16"/>
    </row>
    <row r="260" spans="11:12" ht="20.100000000000001" customHeight="1" x14ac:dyDescent="0.2">
      <c r="L260" s="16"/>
    </row>
    <row r="261" spans="11:12" ht="20.100000000000001" customHeight="1" x14ac:dyDescent="0.2">
      <c r="L261" s="16"/>
    </row>
    <row r="262" spans="11:12" ht="20.100000000000001" customHeight="1" x14ac:dyDescent="0.2">
      <c r="L262" s="16"/>
    </row>
    <row r="263" spans="11:12" ht="20.100000000000001" customHeight="1" x14ac:dyDescent="0.2">
      <c r="K263" s="16"/>
    </row>
    <row r="268" spans="11:12" ht="20.100000000000001" customHeight="1" x14ac:dyDescent="0.2">
      <c r="K268" s="16"/>
    </row>
    <row r="269" spans="11:12" ht="20.100000000000001" customHeight="1" x14ac:dyDescent="0.2">
      <c r="L269" s="16"/>
    </row>
    <row r="270" spans="11:12" ht="20.100000000000001" customHeight="1" x14ac:dyDescent="0.2">
      <c r="L270" s="16"/>
    </row>
    <row r="271" spans="11:12" ht="20.100000000000001" customHeight="1" x14ac:dyDescent="0.2">
      <c r="L271" s="16"/>
    </row>
    <row r="273" spans="11:12" ht="20.100000000000001" customHeight="1" x14ac:dyDescent="0.2">
      <c r="K273" s="16"/>
    </row>
    <row r="274" spans="11:12" ht="20.100000000000001" customHeight="1" x14ac:dyDescent="0.2">
      <c r="L274" s="16"/>
    </row>
    <row r="275" spans="11:12" ht="20.100000000000001" customHeight="1" x14ac:dyDescent="0.2">
      <c r="L275" s="16"/>
    </row>
    <row r="276" spans="11:12" ht="20.100000000000001" customHeight="1" x14ac:dyDescent="0.2">
      <c r="L276" s="16"/>
    </row>
    <row r="278" spans="11:12" ht="20.100000000000001" customHeight="1" x14ac:dyDescent="0.2">
      <c r="K278" s="16"/>
    </row>
    <row r="279" spans="11:12" ht="20.100000000000001" customHeight="1" x14ac:dyDescent="0.2">
      <c r="K279" s="16"/>
      <c r="L279" s="16"/>
    </row>
    <row r="280" spans="11:12" ht="20.100000000000001" customHeight="1" x14ac:dyDescent="0.2">
      <c r="K280" s="16"/>
      <c r="L280" s="16"/>
    </row>
    <row r="281" spans="11:12" ht="20.100000000000001" customHeight="1" x14ac:dyDescent="0.2">
      <c r="K281" s="16"/>
      <c r="L281" s="16"/>
    </row>
    <row r="282" spans="11:12" ht="20.100000000000001" customHeight="1" x14ac:dyDescent="0.2">
      <c r="K282" s="16"/>
    </row>
    <row r="284" spans="11:12" ht="20.100000000000001" customHeight="1" x14ac:dyDescent="0.2">
      <c r="K284" s="16"/>
      <c r="L284" s="16"/>
    </row>
    <row r="285" spans="11:12" ht="20.100000000000001" customHeight="1" x14ac:dyDescent="0.2">
      <c r="L285" s="16"/>
    </row>
    <row r="286" spans="11:12" ht="20.100000000000001" customHeight="1" x14ac:dyDescent="0.2">
      <c r="K286" s="16"/>
      <c r="L286" s="16"/>
    </row>
    <row r="287" spans="11:12" ht="20.100000000000001" customHeight="1" x14ac:dyDescent="0.2">
      <c r="K287" s="16"/>
    </row>
    <row r="288" spans="11:12" ht="20.100000000000001" customHeight="1" x14ac:dyDescent="0.2">
      <c r="K288" s="16"/>
    </row>
    <row r="289" spans="11:11" ht="20.100000000000001" customHeight="1" x14ac:dyDescent="0.2">
      <c r="K289" s="16"/>
    </row>
    <row r="291" spans="11:11" ht="20.100000000000001" customHeight="1" x14ac:dyDescent="0.2">
      <c r="K291" s="16"/>
    </row>
    <row r="297" spans="11:11" ht="20.100000000000001" customHeight="1" x14ac:dyDescent="0.2">
      <c r="K297" s="16"/>
    </row>
    <row r="302" spans="11:11" ht="20.100000000000001" customHeight="1" x14ac:dyDescent="0.2">
      <c r="K302" s="16"/>
    </row>
    <row r="307" spans="11:11" ht="20.100000000000001" customHeight="1" x14ac:dyDescent="0.2">
      <c r="K307" s="16"/>
    </row>
    <row r="312" spans="11:11" ht="20.100000000000001" customHeight="1" x14ac:dyDescent="0.2">
      <c r="K312" s="16"/>
    </row>
    <row r="313" spans="11:11" ht="20.100000000000001" customHeight="1" x14ac:dyDescent="0.2">
      <c r="K313" s="16"/>
    </row>
    <row r="314" spans="11:11" ht="20.100000000000001" customHeight="1" x14ac:dyDescent="0.2">
      <c r="K314" s="16"/>
    </row>
    <row r="315" spans="11:11" ht="20.100000000000001" customHeight="1" x14ac:dyDescent="0.2">
      <c r="K315" s="16"/>
    </row>
    <row r="316" spans="11:11" ht="20.100000000000001" customHeight="1" x14ac:dyDescent="0.2">
      <c r="K316" s="16"/>
    </row>
    <row r="318" spans="11:11" ht="20.100000000000001" customHeight="1" x14ac:dyDescent="0.2">
      <c r="K318" s="16"/>
    </row>
    <row r="320" spans="11:11" ht="20.100000000000001" customHeight="1" x14ac:dyDescent="0.2">
      <c r="K320" s="16"/>
    </row>
    <row r="321" spans="11:11" ht="20.100000000000001" customHeight="1" x14ac:dyDescent="0.2">
      <c r="K321" s="16"/>
    </row>
    <row r="322" spans="11:11" ht="20.100000000000001" customHeight="1" x14ac:dyDescent="0.2">
      <c r="K322" s="16"/>
    </row>
    <row r="323" spans="11:11" ht="20.100000000000001" customHeight="1" x14ac:dyDescent="0.2">
      <c r="K323" s="16"/>
    </row>
    <row r="325" spans="11:11" ht="20.100000000000001" customHeight="1" x14ac:dyDescent="0.2">
      <c r="K325" s="16"/>
    </row>
    <row r="333" spans="11:11" ht="20.100000000000001" customHeight="1" x14ac:dyDescent="0.2">
      <c r="K333" s="16"/>
    </row>
    <row r="334" spans="11:11" ht="20.100000000000001" customHeight="1" x14ac:dyDescent="0.2">
      <c r="K334" s="16"/>
    </row>
    <row r="335" spans="11:11" ht="20.100000000000001" customHeight="1" x14ac:dyDescent="0.2">
      <c r="K335" s="16"/>
    </row>
    <row r="338" spans="11:11" ht="20.100000000000001" customHeight="1" x14ac:dyDescent="0.2">
      <c r="K338" s="16"/>
    </row>
    <row r="339" spans="11:11" ht="20.100000000000001" customHeight="1" x14ac:dyDescent="0.2">
      <c r="K339" s="16"/>
    </row>
    <row r="340" spans="11:11" ht="20.100000000000001" customHeight="1" x14ac:dyDescent="0.2">
      <c r="K340" s="16"/>
    </row>
    <row r="343" spans="11:11" ht="20.100000000000001" customHeight="1" x14ac:dyDescent="0.2">
      <c r="K343" s="16"/>
    </row>
    <row r="344" spans="11:11" ht="20.100000000000001" customHeight="1" x14ac:dyDescent="0.2">
      <c r="K344" s="16"/>
    </row>
    <row r="345" spans="11:11" ht="20.100000000000001" customHeight="1" x14ac:dyDescent="0.2">
      <c r="K345" s="16"/>
    </row>
    <row r="348" spans="11:11" ht="20.100000000000001" customHeight="1" x14ac:dyDescent="0.2">
      <c r="K348" s="16"/>
    </row>
    <row r="349" spans="11:11" ht="20.100000000000001" customHeight="1" x14ac:dyDescent="0.2">
      <c r="K349" s="16"/>
    </row>
    <row r="350" spans="11:11" ht="20.100000000000001" customHeight="1" x14ac:dyDescent="0.2">
      <c r="K350" s="16"/>
    </row>
    <row r="357" spans="11:11" ht="20.100000000000001" customHeight="1" x14ac:dyDescent="0.2">
      <c r="K357" s="16"/>
    </row>
    <row r="358" spans="11:11" ht="20.100000000000001" customHeight="1" x14ac:dyDescent="0.2">
      <c r="K358" s="16"/>
    </row>
    <row r="359" spans="11:11" ht="20.100000000000001" customHeight="1" x14ac:dyDescent="0.2">
      <c r="K359" s="16"/>
    </row>
    <row r="362" spans="11:11" ht="20.100000000000001" customHeight="1" x14ac:dyDescent="0.2">
      <c r="K362" s="16"/>
    </row>
    <row r="363" spans="11:11" ht="20.100000000000001" customHeight="1" x14ac:dyDescent="0.2">
      <c r="K363" s="16"/>
    </row>
    <row r="364" spans="11:11" ht="20.100000000000001" customHeight="1" x14ac:dyDescent="0.2">
      <c r="K364" s="16"/>
    </row>
    <row r="367" spans="11:11" ht="20.100000000000001" customHeight="1" x14ac:dyDescent="0.2">
      <c r="K367" s="16"/>
    </row>
    <row r="368" spans="11:11" ht="20.100000000000001" customHeight="1" x14ac:dyDescent="0.2">
      <c r="K368" s="16"/>
    </row>
    <row r="369" spans="4:11" ht="20.100000000000001" customHeight="1" x14ac:dyDescent="0.2">
      <c r="K369" s="16"/>
    </row>
    <row r="372" spans="4:11" ht="20.100000000000001" customHeight="1" x14ac:dyDescent="0.2">
      <c r="K372" s="16"/>
    </row>
    <row r="373" spans="4:11" ht="20.100000000000001" customHeight="1" x14ac:dyDescent="0.2">
      <c r="K373" s="16"/>
    </row>
    <row r="374" spans="4:11" ht="20.100000000000001" customHeight="1" x14ac:dyDescent="0.2">
      <c r="K374" s="16"/>
    </row>
    <row r="378" spans="4:11" ht="20.100000000000001" customHeight="1" x14ac:dyDescent="0.2">
      <c r="D378" s="87"/>
    </row>
  </sheetData>
  <conditionalFormatting sqref="F155:F156">
    <cfRule type="cellIs" dxfId="28" priority="15" operator="lessThan">
      <formula>0</formula>
    </cfRule>
  </conditionalFormatting>
  <conditionalFormatting sqref="F167:F168">
    <cfRule type="cellIs" dxfId="27" priority="14" operator="lessThan">
      <formula>0</formula>
    </cfRule>
  </conditionalFormatting>
  <conditionalFormatting sqref="F179:F180">
    <cfRule type="cellIs" dxfId="26" priority="13" operator="lessThan">
      <formula>0</formula>
    </cfRule>
  </conditionalFormatting>
  <conditionalFormatting sqref="F267:F268">
    <cfRule type="cellIs" dxfId="25" priority="26" operator="lessThan">
      <formula>0</formula>
    </cfRule>
  </conditionalFormatting>
  <conditionalFormatting sqref="F272:F273">
    <cfRule type="cellIs" dxfId="24" priority="25" operator="lessThan">
      <formula>0</formula>
    </cfRule>
  </conditionalFormatting>
  <conditionalFormatting sqref="F277:F278">
    <cfRule type="cellIs" dxfId="23" priority="24" operator="lessThan">
      <formula>0</formula>
    </cfRule>
  </conditionalFormatting>
  <conditionalFormatting sqref="F301:F302">
    <cfRule type="cellIs" dxfId="22" priority="23" operator="lessThan">
      <formula>0</formula>
    </cfRule>
  </conditionalFormatting>
  <conditionalFormatting sqref="F306:F307">
    <cfRule type="cellIs" dxfId="21" priority="22" operator="lessThan">
      <formula>0</formula>
    </cfRule>
  </conditionalFormatting>
  <conditionalFormatting sqref="F311:F312">
    <cfRule type="cellIs" dxfId="20" priority="21" operator="lessThan">
      <formula>0</formula>
    </cfRule>
  </conditionalFormatting>
  <conditionalFormatting sqref="H53 F143:F144">
    <cfRule type="cellIs" dxfId="19" priority="16" operator="lessThan">
      <formula>0</formula>
    </cfRule>
  </conditionalFormatting>
  <conditionalFormatting sqref="I39 I51:I52 O53 N54 I57 I59:I61 I63:I64 I221:J221 E227:G227 I227:J227 K263 J265 K268 J270 K273 J275 K278:K282 J280:J284 K284 J286 K286:K289 J288:J291 K291 J293 K297 J299 K302 J304 K307 J309 K312:K316 J314:J318 K318 J320 K320:K323 J322:J325 K325 J327">
    <cfRule type="cellIs" dxfId="18" priority="20" operator="lessThan">
      <formula>0</formula>
    </cfRule>
  </conditionalFormatting>
  <conditionalFormatting sqref="I41:I44 I46:I47 F58 I75:I78 L198 K200 L202:L203 K204:K205 L206:L207 K208:K209 L212:L213 K214:K215 L216:L217 K218:K219 L223:L228 K225">
    <cfRule type="cellIs" dxfId="17" priority="18" operator="lessThan">
      <formula>0</formula>
    </cfRule>
  </conditionalFormatting>
  <conditionalFormatting sqref="I82 M119 I141:J141">
    <cfRule type="cellIs" dxfId="16" priority="19" operator="lessThan">
      <formula>0</formula>
    </cfRule>
  </conditionalFormatting>
  <conditionalFormatting sqref="I93:I95">
    <cfRule type="cellIs" dxfId="15" priority="3" operator="lessThan">
      <formula>0</formula>
    </cfRule>
  </conditionalFormatting>
  <conditionalFormatting sqref="I99:I102">
    <cfRule type="cellIs" dxfId="14" priority="2" operator="lessThan">
      <formula>0</formula>
    </cfRule>
  </conditionalFormatting>
  <conditionalFormatting sqref="I106:I110">
    <cfRule type="cellIs" dxfId="13" priority="1" operator="lessThan">
      <formula>0</formula>
    </cfRule>
  </conditionalFormatting>
  <conditionalFormatting sqref="J169">
    <cfRule type="cellIs" dxfId="12" priority="17" operator="lessThan">
      <formula>0</formula>
    </cfRule>
  </conditionalFormatting>
  <conditionalFormatting sqref="L131:L134">
    <cfRule type="cellIs" dxfId="11" priority="7" operator="lessThan">
      <formula>0</formula>
    </cfRule>
  </conditionalFormatting>
  <conditionalFormatting sqref="L137">
    <cfRule type="cellIs" dxfId="10" priority="12" operator="lessThan">
      <formula>0</formula>
    </cfRule>
  </conditionalFormatting>
  <conditionalFormatting sqref="L143:L146">
    <cfRule type="cellIs" dxfId="9" priority="6" operator="lessThan">
      <formula>0</formula>
    </cfRule>
  </conditionalFormatting>
  <conditionalFormatting sqref="L149">
    <cfRule type="cellIs" dxfId="8" priority="11" operator="lessThan">
      <formula>0</formula>
    </cfRule>
  </conditionalFormatting>
  <conditionalFormatting sqref="L155:L158">
    <cfRule type="cellIs" dxfId="7" priority="5" operator="lessThan">
      <formula>0</formula>
    </cfRule>
  </conditionalFormatting>
  <conditionalFormatting sqref="L161">
    <cfRule type="cellIs" dxfId="6" priority="10" operator="lessThan">
      <formula>0</formula>
    </cfRule>
  </conditionalFormatting>
  <conditionalFormatting sqref="L167:L170">
    <cfRule type="cellIs" dxfId="5" priority="4" operator="lessThan">
      <formula>0</formula>
    </cfRule>
  </conditionalFormatting>
  <conditionalFormatting sqref="L173">
    <cfRule type="cellIs" dxfId="4" priority="9" operator="lessThan">
      <formula>0</formula>
    </cfRule>
  </conditionalFormatting>
  <conditionalFormatting sqref="L177:L178">
    <cfRule type="cellIs" dxfId="3" priority="8" operator="lessThan">
      <formula>0</formula>
    </cfRule>
  </conditionalFormatting>
  <conditionalFormatting sqref="L230 L232:L235 L237 J245:J247 J250:J252">
    <cfRule type="cellIs" dxfId="2" priority="27" operator="lessThan">
      <formula>0</formula>
    </cfRule>
  </conditionalFormatting>
  <dataValidations count="9">
    <dataValidation type="list" allowBlank="1" showInputMessage="1" showErrorMessage="1" sqref="D12:D21" xr:uid="{CD7FFCC8-ED53-445E-9F8D-80B5B8F6C598}">
      <formula1>INDIRECT("FertiliserProducts[Product]")</formula1>
    </dataValidation>
    <dataValidation type="list" allowBlank="1" showInputMessage="1" showErrorMessage="1" sqref="Q25:R34" xr:uid="{DD5630DD-4AA4-43A6-8B24-0B526A2893E4}">
      <formula1>INDIRECT("Table_SourceData_Fertiliser_UreaAmmoniaSources[Source]")</formula1>
    </dataValidation>
    <dataValidation type="list" allowBlank="1" showInputMessage="1" showErrorMessage="1" sqref="D54:D56" xr:uid="{E936D158-6BE7-41E2-86CB-E472C77A81B8}">
      <formula1>INDIRECT("Table_SourceData_OrganicFertiliserTypes[Organic fertiliser type]")</formula1>
    </dataValidation>
    <dataValidation type="list" allowBlank="1" showInputMessage="1" showErrorMessage="1" sqref="H25:H34 J25:J34 L25:L34 N25:N34" xr:uid="{0E153AFC-4593-4965-BD09-5D6161124AC1}">
      <formula1>INDIRECT("Table_Fertiliser_ChemicalCompounds[Fertiliser type f]")</formula1>
    </dataValidation>
    <dataValidation type="list" allowBlank="1" showInputMessage="1" showErrorMessage="1" sqref="E81" xr:uid="{795AE74B-F09F-400D-9E3F-60288EE0C146}">
      <formula1>INDIRECT("Table_SourceData_Swine_CropProdSystems[Production system]")</formula1>
    </dataValidation>
    <dataValidation type="list" allowBlank="1" showInputMessage="1" showErrorMessage="1" sqref="E82" xr:uid="{8D9BCB93-B3F8-4EE2-B18B-2306FE38479E}">
      <formula1>INDIRECT("Table_SourceData_Swine_IrrigationMethods[Irrigation method]")</formula1>
    </dataValidation>
    <dataValidation type="list" allowBlank="1" showInputMessage="1" showErrorMessage="1" sqref="E266 E271 E276 E310 E305 E300 E178 E166 E142 E154" xr:uid="{31CF5C74-A598-4BFA-82AA-012FB0F4598B}">
      <formula1>"Yes, No"</formula1>
    </dataValidation>
    <dataValidation type="list" allowBlank="1" showInputMessage="1" showErrorMessage="1" sqref="E242" xr:uid="{FDC229E5-5B6B-414C-A974-6BE9B196AB30}">
      <formula1>INDIRECT("Table_SourceData_Dairy_ProductionSystemTemplates[Area]")</formula1>
    </dataValidation>
    <dataValidation type="list" allowBlank="1" showInputMessage="1" showErrorMessage="1" sqref="D294" xr:uid="{AC8BB8DD-5DAB-4A06-A97D-35FAF502ADE1}">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8D41D-748E-42BE-9E64-6BAB02792A9B}">
  <sheetPr>
    <tabColor rgb="FF008000"/>
  </sheetPr>
  <dimension ref="A1:X342"/>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9" width="30.7109375" style="1" customWidth="1"/>
    <col min="10" max="10" width="25.28515625" style="1" customWidth="1"/>
    <col min="11" max="11" width="4.7109375" customWidth="1"/>
    <col min="12" max="12" width="4.7109375" style="1" customWidth="1"/>
    <col min="13" max="23" width="30.7109375" style="1" customWidth="1"/>
    <col min="24" max="24" width="4.7109375" style="1" customWidth="1"/>
  </cols>
  <sheetData>
    <row r="1" spans="1:24" s="20" customFormat="1" ht="30" customHeight="1" x14ac:dyDescent="0.35">
      <c r="A1" s="10" t="e" vm="1">
        <v>#VALUE!</v>
      </c>
      <c r="C1" s="20" t="s">
        <v>751</v>
      </c>
      <c r="K1"/>
    </row>
    <row r="2" spans="1:24" s="3" customFormat="1" ht="20.100000000000001" customHeight="1" x14ac:dyDescent="0.2">
      <c r="A2"/>
      <c r="K2"/>
    </row>
    <row r="3" spans="1:24" ht="20.100000000000001" customHeight="1" x14ac:dyDescent="0.2">
      <c r="A3" s="5" t="str">
        <f>HYPERLINK("#'Home'!A1", "Home")</f>
        <v>Home</v>
      </c>
      <c r="C3" s="22"/>
      <c r="D3" s="22" t="s">
        <v>130</v>
      </c>
      <c r="E3" s="22"/>
      <c r="F3" s="22"/>
      <c r="G3" s="22"/>
      <c r="H3" s="22"/>
      <c r="I3" s="22"/>
      <c r="J3" s="22"/>
      <c r="L3" s="22"/>
      <c r="M3" s="22" t="s">
        <v>131</v>
      </c>
      <c r="N3" s="22"/>
      <c r="O3" s="22"/>
      <c r="P3" s="22"/>
      <c r="Q3" s="22"/>
      <c r="R3" s="22"/>
      <c r="S3" s="22"/>
      <c r="T3" s="22"/>
      <c r="U3" s="22"/>
      <c r="V3" s="22"/>
      <c r="W3" s="22"/>
      <c r="X3" s="22"/>
    </row>
    <row r="4" spans="1:24" ht="20.100000000000001" customHeight="1" x14ac:dyDescent="0.2">
      <c r="A4" s="5" t="str">
        <f>HYPERLINK("#'Results - Activity period'!A1", "Results - Activity period")</f>
        <v>Results - Activity period</v>
      </c>
    </row>
    <row r="5" spans="1:24" ht="20.100000000000001" customHeight="1" x14ac:dyDescent="0.2">
      <c r="A5" s="5" t="str">
        <f>HYPERLINK("#'Results - Product EI'!A1", "Results - Product Emissions Intensity")</f>
        <v>Results - Product Emissions Intensity</v>
      </c>
      <c r="D5" s="2" t="s">
        <v>2335</v>
      </c>
      <c r="M5" s="87" t="s">
        <v>752</v>
      </c>
    </row>
    <row r="6" spans="1:24" ht="20.100000000000001" customHeight="1" x14ac:dyDescent="0.2">
      <c r="D6" s="17" t="s">
        <v>2336</v>
      </c>
      <c r="M6" s="221" t="s">
        <v>753</v>
      </c>
      <c r="N6" s="221"/>
      <c r="O6" s="221"/>
      <c r="P6" s="221"/>
      <c r="Q6" s="221"/>
      <c r="R6" s="221"/>
      <c r="S6" s="221"/>
    </row>
    <row r="7" spans="1:24" ht="20.100000000000001" customHeight="1" x14ac:dyDescent="0.2">
      <c r="D7" s="112"/>
      <c r="E7" s="112"/>
      <c r="M7" s="118" t="s">
        <v>754</v>
      </c>
    </row>
    <row r="8" spans="1:24" ht="20.100000000000001" customHeight="1" x14ac:dyDescent="0.2">
      <c r="A8" s="7" t="s">
        <v>0</v>
      </c>
      <c r="M8" s="119" t="s">
        <v>755</v>
      </c>
    </row>
    <row r="9" spans="1:24" ht="20.100000000000001" customHeight="1" x14ac:dyDescent="0.2">
      <c r="A9" s="5" t="str">
        <f>HYPERLINK("#'Input - Enterprise'!A1", "Enterprise")</f>
        <v>Enterprise</v>
      </c>
      <c r="O9" s="222" t="s">
        <v>756</v>
      </c>
      <c r="P9" s="222" t="s">
        <v>684</v>
      </c>
      <c r="Q9" s="222" t="s">
        <v>757</v>
      </c>
    </row>
    <row r="10" spans="1:24" ht="20.100000000000001" customHeight="1" x14ac:dyDescent="0.2">
      <c r="A10" s="5" t="str">
        <f>HYPERLINK("#'Input - Site'!A1", "Site")</f>
        <v>Site</v>
      </c>
      <c r="D10" s="75" t="s">
        <v>328</v>
      </c>
      <c r="E10" s="1" t="s">
        <v>2337</v>
      </c>
      <c r="M10" s="120" t="s">
        <v>758</v>
      </c>
      <c r="N10" s="78" t="s">
        <v>758</v>
      </c>
      <c r="O10" s="78" t="s">
        <v>759</v>
      </c>
      <c r="P10" s="78" t="s">
        <v>760</v>
      </c>
      <c r="Q10" s="120" t="s">
        <v>761</v>
      </c>
    </row>
    <row r="11" spans="1:24" ht="20.100000000000001" customHeight="1" x14ac:dyDescent="0.2">
      <c r="A11" s="5" t="str">
        <f>HYPERLINK("#'Input - Poultry'!A1", "Poultry")</f>
        <v>Poultry</v>
      </c>
      <c r="D11" s="75" t="s">
        <v>118</v>
      </c>
      <c r="E11" s="9" t="s">
        <v>482</v>
      </c>
      <c r="M11" s="15" t="s">
        <v>762</v>
      </c>
      <c r="N11" s="15" t="str" cm="1">
        <f t="array" ref="N11:N20">Table_Input_InorganicFertiliser_Brands[Product (select)]</f>
        <v>Urea</v>
      </c>
      <c r="O11" s="15" cm="1">
        <f t="array" ref="O11:O20">Table_Input_InorganicFertiliser_Brands[N application rate (kg/ha)]</f>
        <v>46</v>
      </c>
      <c r="P11" s="15" cm="1">
        <f t="array" ref="P11:P20">IF(Table_Input_InorganicFertiliser_Brands[N application rate (kg/ha)]&gt;0, Table_Input_InorganicFertiliser_Brands[Application area (ha)], 0)</f>
        <v>100</v>
      </c>
      <c r="Q11" s="15">
        <f>O11*P11</f>
        <v>4600</v>
      </c>
    </row>
    <row r="12" spans="1:24" ht="20.100000000000001" customHeight="1" x14ac:dyDescent="0.2">
      <c r="A12" s="5" t="str">
        <f>HYPERLINK("#'Input - Livestock sales'!A1", "Livestock sales")</f>
        <v>Livestock sales</v>
      </c>
      <c r="M12" s="15" t="s">
        <v>762</v>
      </c>
      <c r="N12" s="15" t="str">
        <v>Boost-It</v>
      </c>
      <c r="O12" s="15">
        <v>24</v>
      </c>
      <c r="P12" s="15">
        <v>100</v>
      </c>
      <c r="Q12" s="15">
        <f>O12*P12</f>
        <v>2400</v>
      </c>
    </row>
    <row r="13" spans="1:24" ht="20.100000000000001" customHeight="1" x14ac:dyDescent="0.2">
      <c r="A13" s="5" t="str">
        <f>HYPERLINK("#'Input - Poultry purchases'!A1", "Poultry purchases")</f>
        <v>Poultry purchases</v>
      </c>
      <c r="D13" s="126" t="s">
        <v>1532</v>
      </c>
      <c r="E13" s="126" t="s">
        <v>2338</v>
      </c>
      <c r="F13" s="126"/>
      <c r="G13" s="126" t="s">
        <v>757</v>
      </c>
      <c r="H13" s="114" t="s">
        <v>1202</v>
      </c>
      <c r="I13" s="116" t="str" cm="1">
        <f t="array" aca="1" ref="I13" ca="1">HYPERLINK(Common_InputFunctions.Utility_SourceHyperlink($D$16), $D$16)</f>
        <v>Table_MN_j_f</v>
      </c>
      <c r="M13" s="15" t="s">
        <v>762</v>
      </c>
      <c r="N13" s="15" t="str">
        <v>Cal-Gran 50/50</v>
      </c>
      <c r="O13" s="15">
        <v>17.899999999999999</v>
      </c>
      <c r="P13" s="15">
        <v>100</v>
      </c>
      <c r="Q13" s="15">
        <f t="shared" ref="Q13:Q20" si="0">O13*P13</f>
        <v>1789.9999999999998</v>
      </c>
    </row>
    <row r="14" spans="1:24" ht="20.100000000000001" customHeight="1" x14ac:dyDescent="0.2">
      <c r="A14" s="5" t="str">
        <f>HYPERLINK("#'Input - Fuel'!A1", "Fuel")</f>
        <v>Fuel</v>
      </c>
      <c r="D14" s="126" t="s">
        <v>2339</v>
      </c>
      <c r="E14" s="129" t="s">
        <v>2340</v>
      </c>
      <c r="F14" s="223"/>
      <c r="G14" s="126" t="s">
        <v>2341</v>
      </c>
      <c r="H14" s="115" t="s">
        <v>1203</v>
      </c>
      <c r="I14" s="116" t="str" cm="1">
        <f t="array" aca="1" ref="I14" ca="1">HYPERLINK(Common_InputFunctions.Utility_SourceHyperlink($D$16), $D$16)</f>
        <v>Table_MN_j_f</v>
      </c>
      <c r="M14" s="15" t="s">
        <v>762</v>
      </c>
      <c r="N14" s="15">
        <v>0</v>
      </c>
      <c r="O14" s="15">
        <v>0</v>
      </c>
      <c r="P14" s="15">
        <v>0</v>
      </c>
      <c r="Q14" s="15">
        <f t="shared" si="0"/>
        <v>0</v>
      </c>
    </row>
    <row r="15" spans="1:24" ht="20.100000000000001" customHeight="1" x14ac:dyDescent="0.2">
      <c r="A15" s="5" t="str">
        <f>HYPERLINK("#'Input - Electricity'!A1", "Electricity")</f>
        <v>Electricity</v>
      </c>
      <c r="M15" s="15" t="s">
        <v>762</v>
      </c>
      <c r="N15" s="15">
        <v>0</v>
      </c>
      <c r="O15" s="15">
        <v>0</v>
      </c>
      <c r="P15" s="15">
        <v>0</v>
      </c>
      <c r="Q15" s="15">
        <f t="shared" si="0"/>
        <v>0</v>
      </c>
    </row>
    <row r="16" spans="1:24" ht="20.100000000000001" customHeight="1" x14ac:dyDescent="0.2">
      <c r="A16" s="5" t="str">
        <f>HYPERLINK("#'Input - Common farm inputs'!A1", "Common farm inputs")</f>
        <v>Common farm inputs</v>
      </c>
      <c r="D16" s="118" t="s">
        <v>763</v>
      </c>
      <c r="M16" s="15" t="s">
        <v>762</v>
      </c>
      <c r="N16" s="15">
        <v>0</v>
      </c>
      <c r="O16" s="15">
        <v>0</v>
      </c>
      <c r="P16" s="15">
        <v>0</v>
      </c>
      <c r="Q16" s="15">
        <f t="shared" si="0"/>
        <v>0</v>
      </c>
    </row>
    <row r="17" spans="1:17" ht="20.100000000000001" customHeight="1" x14ac:dyDescent="0.2">
      <c r="A17" s="5" t="str">
        <f>HYPERLINK("#'Input - Livestock farm Inputs'!A1", "Livestock farm Inputs")</f>
        <v>Livestock farm Inputs</v>
      </c>
      <c r="D17" s="119" t="s">
        <v>764</v>
      </c>
      <c r="M17" s="15" t="s">
        <v>762</v>
      </c>
      <c r="N17" s="15">
        <v>0</v>
      </c>
      <c r="O17" s="15">
        <v>0</v>
      </c>
      <c r="P17" s="15">
        <v>0</v>
      </c>
      <c r="Q17" s="15">
        <f t="shared" si="0"/>
        <v>0</v>
      </c>
    </row>
    <row r="18" spans="1:17" ht="20.100000000000001" customHeight="1" x14ac:dyDescent="0.2">
      <c r="A18" s="5" t="str">
        <f>HYPERLINK("#'Input - Freight'!A1", "Freight")</f>
        <v>Freight</v>
      </c>
      <c r="D18" s="120" t="s">
        <v>765</v>
      </c>
      <c r="E18" s="78" t="s">
        <v>766</v>
      </c>
      <c r="F18" s="120" t="s">
        <v>767</v>
      </c>
      <c r="G18" s="120" t="s">
        <v>768</v>
      </c>
      <c r="M18" s="15" t="s">
        <v>762</v>
      </c>
      <c r="N18" s="15">
        <v>0</v>
      </c>
      <c r="O18" s="15">
        <v>0</v>
      </c>
      <c r="P18" s="15">
        <v>0</v>
      </c>
      <c r="Q18" s="15">
        <f t="shared" si="0"/>
        <v>0</v>
      </c>
    </row>
    <row r="19" spans="1:17" ht="20.100000000000001" customHeight="1" x14ac:dyDescent="0.2">
      <c r="A19" s="5" t="str">
        <f>HYPERLINK("#'Input - Solid waste'!A1", "Solid waste")</f>
        <v>Solid waste</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f],Table_Fertiliser_ChemicalCompounds[FNinorganic f])</f>
        <v>0.1</v>
      </c>
      <c r="G19" s="15">
        <f>(E19 * F19)</f>
        <v>0</v>
      </c>
      <c r="M19" s="15" t="s">
        <v>762</v>
      </c>
      <c r="N19" s="15">
        <v>0</v>
      </c>
      <c r="O19" s="15">
        <v>0</v>
      </c>
      <c r="P19" s="15">
        <v>0</v>
      </c>
      <c r="Q19" s="15">
        <f t="shared" si="0"/>
        <v>0</v>
      </c>
    </row>
    <row r="20" spans="1:17" ht="20.100000000000001" customHeight="1" x14ac:dyDescent="0.2">
      <c r="A20" s="5" t="str">
        <f>HYPERLINK("#'Input - Manure sent off-site'!A1", "Manure sent off-site")</f>
        <v>Manure sent off-site</v>
      </c>
      <c r="D20" s="15" t="str">
        <v>Diammonium phosphate (DAP)</v>
      </c>
      <c r="E20" s="15"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f],Table_Fertiliser_ChemicalCompounds[FNinorganic f])</f>
        <v>0.18</v>
      </c>
      <c r="G20" s="15">
        <f>(E20 * F20)</f>
        <v>0</v>
      </c>
      <c r="M20" s="15" t="s">
        <v>762</v>
      </c>
      <c r="N20" s="15">
        <v>0</v>
      </c>
      <c r="O20" s="15">
        <v>0</v>
      </c>
      <c r="P20" s="15">
        <v>0</v>
      </c>
      <c r="Q20" s="15">
        <f t="shared" si="0"/>
        <v>0</v>
      </c>
    </row>
    <row r="21" spans="1:17" ht="20.100000000000001" customHeight="1" x14ac:dyDescent="0.2">
      <c r="A21" s="5" t="str">
        <f>HYPERLINK("#'Input - Data quality'!A1", "Data quality")</f>
        <v>Data quality</v>
      </c>
      <c r="D21" s="15" t="str">
        <v>Urea</v>
      </c>
      <c r="E21" s="15"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15" cm="1">
        <f t="array" ref="F21">Common_InputFunctions.Utility_LookupValueInTableNumber(D21,Table_Fertiliser_ChemicalCompounds[Fertiliser type f],Table_Fertiliser_ChemicalCompounds[FNinorganic f])</f>
        <v>0.46</v>
      </c>
      <c r="G21" s="15">
        <f>(E21 * F21)</f>
        <v>11599.999400000001</v>
      </c>
      <c r="M21" s="15" t="s">
        <v>769</v>
      </c>
      <c r="N21" s="15" t="str" cm="1">
        <f t="array" ref="N21:N30">Table_Input_InorganicFertiliser_Custom[Custom blend name]</f>
        <v>My first custom blend</v>
      </c>
      <c r="O21" s="15" cm="1">
        <f t="array" ref="O21:O30">Table_Input_InorganicFertiliser_Custom[N application rate (kg/ha)]</f>
        <v>7.75</v>
      </c>
      <c r="P21" s="15" cm="1">
        <f t="array" ref="P21:P30">IF(Table_Input_InorganicFertiliser_Custom[N application rate (kg/ha)]&gt;0, Table_Input_InorganicFertiliser_Custom[Application area (ha)],0)</f>
        <v>100</v>
      </c>
      <c r="Q21" s="15">
        <f>O21*P21</f>
        <v>775</v>
      </c>
    </row>
    <row r="22" spans="1:17" ht="20.100000000000001" customHeight="1" x14ac:dyDescent="0.2">
      <c r="A22" s="5" t="str">
        <f>HYPERLINK("#'Input - Fert Prod System'!A1", "Fert Prod System")</f>
        <v>Fert Prod System</v>
      </c>
      <c r="D22" s="15" t="str">
        <v>Sulphate of ammonia (SOA)</v>
      </c>
      <c r="E22" s="15"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f],Table_Fertiliser_ChemicalCompounds[FNinorganic f])</f>
        <v>0.21</v>
      </c>
      <c r="G22" s="15">
        <f>(E22 * F22)</f>
        <v>0</v>
      </c>
      <c r="M22" s="15" t="s">
        <v>769</v>
      </c>
      <c r="N22" s="15" t="str">
        <v>My second custom blend</v>
      </c>
      <c r="O22" s="15">
        <v>46</v>
      </c>
      <c r="P22" s="15">
        <v>100</v>
      </c>
      <c r="Q22" s="15">
        <f>O22*P22</f>
        <v>4600</v>
      </c>
    </row>
    <row r="23" spans="1:17" ht="20.100000000000001" customHeight="1" x14ac:dyDescent="0.2">
      <c r="A23" s="5" t="str">
        <f>HYPERLINK("#'Input - Fertiliser'!A1", "Fertiliser")</f>
        <v>Fertiliser</v>
      </c>
      <c r="D23" s="15" t="str">
        <v>Urea-ammonium nitrate (UAN)</v>
      </c>
      <c r="E23" s="15"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f],Table_Fertiliser_ChemicalCompounds[FNinorganic f])</f>
        <v>0.32</v>
      </c>
      <c r="G23" s="15">
        <f>(E23 * F23)</f>
        <v>0</v>
      </c>
      <c r="M23" s="15" t="s">
        <v>769</v>
      </c>
      <c r="N23" s="15" t="str">
        <v>My third custom blend</v>
      </c>
      <c r="O23" s="15">
        <v>41.174999999999997</v>
      </c>
      <c r="P23" s="15">
        <v>100</v>
      </c>
      <c r="Q23" s="15">
        <f>O23*P23</f>
        <v>4117.5</v>
      </c>
    </row>
    <row r="24" spans="1:17" ht="20.100000000000001" customHeight="1" x14ac:dyDescent="0.2">
      <c r="D24" s="15" t="str">
        <v>Ammonium nitrate (AN)</v>
      </c>
      <c r="E24" s="15"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f],Table_Fertiliser_ChemicalCompounds[FNinorganic f])</f>
        <v>0.33700000000000002</v>
      </c>
      <c r="G24" s="15">
        <f>(E24 * F24)</f>
        <v>0</v>
      </c>
      <c r="J24" s="16"/>
      <c r="M24" s="15" t="s">
        <v>769</v>
      </c>
      <c r="N24" s="15">
        <v>0</v>
      </c>
      <c r="O24" s="15">
        <v>0</v>
      </c>
      <c r="P24" s="15">
        <v>0</v>
      </c>
      <c r="Q24" s="15">
        <f>O24*P24</f>
        <v>0</v>
      </c>
    </row>
    <row r="25" spans="1:17" ht="20.100000000000001" customHeight="1" x14ac:dyDescent="0.2">
      <c r="D25" s="15" t="str">
        <v>Calcium ammonium nitrate (CAN)</v>
      </c>
      <c r="E25" s="15"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f],Table_Fertiliser_ChemicalCompounds[FNinorganic f])</f>
        <v>0.27</v>
      </c>
      <c r="G25" s="15">
        <f>(E25 * F25)</f>
        <v>0</v>
      </c>
      <c r="J25" s="16"/>
      <c r="M25" s="15" t="s">
        <v>769</v>
      </c>
      <c r="N25" s="15">
        <v>0</v>
      </c>
      <c r="O25" s="15">
        <v>0</v>
      </c>
      <c r="P25" s="15">
        <v>0</v>
      </c>
      <c r="Q25" s="15">
        <f>O25*P25</f>
        <v>0</v>
      </c>
    </row>
    <row r="26" spans="1:17" ht="20.100000000000001" customHeight="1" x14ac:dyDescent="0.2">
      <c r="A26" s="6" t="s">
        <v>2</v>
      </c>
      <c r="D26" s="15" t="str">
        <v>Nitrogen - Ammoniacal</v>
      </c>
      <c r="E26" s="15"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v>
      </c>
      <c r="F26" s="15" cm="1">
        <f t="array" ref="F26">Common_InputFunctions.Utility_LookupValueInTableNumber(D26,Table_Fertiliser_ChemicalCompounds[Fertiliser type f],Table_Fertiliser_ChemicalCompounds[FNinorganic f])</f>
        <v>1</v>
      </c>
      <c r="G26" s="15">
        <f>(E26 * F26)</f>
        <v>1240</v>
      </c>
      <c r="M26" s="15" t="s">
        <v>769</v>
      </c>
      <c r="N26" s="15">
        <v>0</v>
      </c>
      <c r="O26" s="15">
        <v>0</v>
      </c>
      <c r="P26" s="15">
        <v>0</v>
      </c>
      <c r="Q26" s="15">
        <f t="shared" ref="Q26:Q30" si="1">O26*P26</f>
        <v>0</v>
      </c>
    </row>
    <row r="27" spans="1:17" ht="20.100000000000001" customHeight="1" x14ac:dyDescent="0.2">
      <c r="A27" s="5" t="str">
        <f>HYPERLINK("#'4.6.1.1-2 Methane'!A1", "4.6.1.1-2 Manure Methane")</f>
        <v>4.6.1.1-2 Manure Methane</v>
      </c>
      <c r="D27" s="15" t="str">
        <v>Nitrogen - Nitrate</v>
      </c>
      <c r="E27" s="15"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v>
      </c>
      <c r="F27" s="15" cm="1">
        <f t="array" ref="F27">Common_InputFunctions.Utility_LookupValueInTableNumber(D27,Table_Fertiliser_ChemicalCompounds[Fertiliser type f],Table_Fertiliser_ChemicalCompounds[FNinorganic f])</f>
        <v>1</v>
      </c>
      <c r="G27" s="15">
        <f>(E27 * F27)</f>
        <v>550</v>
      </c>
      <c r="M27" s="15" t="s">
        <v>769</v>
      </c>
      <c r="N27" s="15">
        <v>0</v>
      </c>
      <c r="O27" s="15">
        <v>0</v>
      </c>
      <c r="P27" s="15">
        <v>0</v>
      </c>
      <c r="Q27" s="15">
        <f t="shared" si="1"/>
        <v>0</v>
      </c>
    </row>
    <row r="28" spans="1:17" ht="20.100000000000001" customHeight="1" x14ac:dyDescent="0.2">
      <c r="A28" s="5" t="str">
        <f>HYPERLINK("#'4.6.1.3-4 Direct N20'!A1", "4.6.1.3-4 Manure Direct N2O")</f>
        <v>4.6.1.3-4 Manure Direct N2O</v>
      </c>
      <c r="D28" s="15" t="str">
        <v>Nitrogen - Generic</v>
      </c>
      <c r="E28" s="15"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f],Table_Fertiliser_ChemicalCompounds[FNinorganic f])</f>
        <v>1</v>
      </c>
      <c r="G28" s="15">
        <f>(E28 * F28)</f>
        <v>0</v>
      </c>
      <c r="M28" s="15" t="s">
        <v>769</v>
      </c>
      <c r="N28" s="15">
        <v>0</v>
      </c>
      <c r="O28" s="15">
        <v>0</v>
      </c>
      <c r="P28" s="15">
        <v>0</v>
      </c>
      <c r="Q28" s="15">
        <f t="shared" si="1"/>
        <v>0</v>
      </c>
    </row>
    <row r="29" spans="1:17" ht="20.100000000000001" customHeight="1" x14ac:dyDescent="0.2">
      <c r="A29" s="5" t="str">
        <f>HYPERLINK("#'4.6.1.5-6 Atmos Dep'!A1", "4.6.1.5-6 Manure Atmos Dep")</f>
        <v>4.6.1.5-6 Manure Atmos Dep</v>
      </c>
      <c r="D29" s="15" t="str">
        <v>Phosphorus - Generic</v>
      </c>
      <c r="E29" s="15"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v>
      </c>
      <c r="F29" s="15" cm="1">
        <f t="array" ref="F29">Common_InputFunctions.Utility_LookupValueInTableNumber(D29,Table_Fertiliser_ChemicalCompounds[Fertiliser type f],Table_Fertiliser_ChemicalCompounds[FNinorganic f])</f>
        <v>0</v>
      </c>
      <c r="G29" s="15">
        <f>(E29 * F29)</f>
        <v>0</v>
      </c>
      <c r="M29" s="15" t="s">
        <v>769</v>
      </c>
      <c r="N29" s="15">
        <v>0</v>
      </c>
      <c r="O29" s="15">
        <v>0</v>
      </c>
      <c r="P29" s="15">
        <v>0</v>
      </c>
      <c r="Q29" s="15">
        <f t="shared" si="1"/>
        <v>0</v>
      </c>
    </row>
    <row r="30" spans="1:17" ht="20.100000000000001" customHeight="1" x14ac:dyDescent="0.2">
      <c r="A30" s="5" t="str">
        <f>HYPERLINK("#'4.6.1.7-8 Leaching and runoff'!A1", "4.6.1.7-8 Manure Leaching and runoff")</f>
        <v>4.6.1.7-8 Manure Leaching and runoff</v>
      </c>
      <c r="D30" s="15" t="str">
        <v>Potassium - Generic</v>
      </c>
      <c r="E30" s="15"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v>
      </c>
      <c r="F30" s="15" cm="1">
        <f t="array" ref="F30">Common_InputFunctions.Utility_LookupValueInTableNumber(D30,Table_Fertiliser_ChemicalCompounds[Fertiliser type f],Table_Fertiliser_ChemicalCompounds[FNinorganic f])</f>
        <v>0</v>
      </c>
      <c r="G30" s="15">
        <f>(E30 * F30)</f>
        <v>0</v>
      </c>
      <c r="M30" s="15" t="s">
        <v>769</v>
      </c>
      <c r="N30" s="15">
        <v>0</v>
      </c>
      <c r="O30" s="15">
        <v>0</v>
      </c>
      <c r="P30" s="15">
        <v>0</v>
      </c>
      <c r="Q30" s="15">
        <f t="shared" si="1"/>
        <v>0</v>
      </c>
    </row>
    <row r="31" spans="1:17" ht="20.100000000000001" customHeight="1" x14ac:dyDescent="0.2">
      <c r="A31" s="5" t="str">
        <f>HYPERLINK("#'4.6.1.9 Manure applied to soils'!A1", "4.6.1.9 Manure applied to soils")</f>
        <v>4.6.1.9 Manure applied to soils</v>
      </c>
      <c r="D31" s="15" t="str">
        <v>Sulfur - Generic</v>
      </c>
      <c r="E31" s="15"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v>
      </c>
      <c r="F31" s="15" cm="1">
        <f t="array" ref="F31">Common_InputFunctions.Utility_LookupValueInTableNumber(D31,Table_Fertiliser_ChemicalCompounds[Fertiliser type f],Table_Fertiliser_ChemicalCompounds[FNinorganic f])</f>
        <v>0</v>
      </c>
      <c r="G31" s="15">
        <f>(E31 * F31)</f>
        <v>0</v>
      </c>
    </row>
    <row r="32" spans="1:17" ht="20.100000000000001" customHeight="1" x14ac:dyDescent="0.2">
      <c r="A32" s="5" t="str">
        <f>HYPERLINK("#'4.6.1.10-11 Soil direct N2O'!A1", "4.6.1.10-11 Soil direct N2O")</f>
        <v>4.6.1.10-11 Soil direct N2O</v>
      </c>
      <c r="D32" s="15" t="str">
        <v>Zinc - Generic</v>
      </c>
      <c r="E32" s="15"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15" cm="1">
        <f t="array" ref="F32">Common_InputFunctions.Utility_LookupValueInTableNumber(D32,Table_Fertiliser_ChemicalCompounds[Fertiliser type f],Table_Fertiliser_ChemicalCompounds[FNinorganic f])</f>
        <v>0</v>
      </c>
      <c r="G32" s="15">
        <f>(E32 * F32)</f>
        <v>0</v>
      </c>
    </row>
    <row r="33" spans="1:24" ht="20.100000000000001" customHeight="1" x14ac:dyDescent="0.2">
      <c r="A33" s="5" t="str">
        <f>HYPERLINK("#'4.6.1.12-13 Soil atmos dep'!A1", "4.6.1.12-13 Soil atmos dep")</f>
        <v>4.6.1.12-13 Soil atmos dep</v>
      </c>
      <c r="D33" s="15" t="str">
        <v>Muriate of potash (MOP)</v>
      </c>
      <c r="E33" s="15"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f],Table_Fertiliser_ChemicalCompounds[FNinorganic f])</f>
        <v>0</v>
      </c>
      <c r="G33" s="15">
        <f>(E33 * F33)</f>
        <v>0</v>
      </c>
      <c r="M33" s="88" t="s">
        <v>770</v>
      </c>
      <c r="N33" s="83">
        <f>SUM(Q11:Q30)</f>
        <v>18282.5</v>
      </c>
    </row>
    <row r="34" spans="1:24" ht="20.100000000000001" customHeight="1" x14ac:dyDescent="0.2">
      <c r="A34" s="5" t="str">
        <f>HYPERLINK("#'4.6.1.14-15 Soil leach runoff'!A1", "4.6.1.14-15 Soil leach runoff")</f>
        <v>4.6.1.14-15 Soil leach runoff</v>
      </c>
      <c r="D34" s="15" t="str">
        <v>Double superphosphate</v>
      </c>
      <c r="E34" s="15"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f],Table_Fertiliser_ChemicalCompounds[FNinorganic f])</f>
        <v>0</v>
      </c>
      <c r="G34" s="15">
        <f>(E34 * F34)</f>
        <v>0</v>
      </c>
      <c r="M34" s="75" t="s">
        <v>771</v>
      </c>
      <c r="N34" s="1">
        <f>MAX(P11:P30)</f>
        <v>100</v>
      </c>
    </row>
    <row r="35" spans="1:24" ht="20.100000000000001" customHeight="1" x14ac:dyDescent="0.2">
      <c r="A35" s="5" t="str">
        <f>HYPERLINK("#'8.1.1.1-2 Transport fuel'!A1", "8.1.1.1-2 Transport fuel")</f>
        <v>8.1.1.1-2 Transport fuel</v>
      </c>
      <c r="D35" s="15" t="str">
        <v>Single superphosphate (SSP)</v>
      </c>
      <c r="E35" s="15"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f],Table_Fertiliser_ChemicalCompounds[FNinorganic f])</f>
        <v>0</v>
      </c>
      <c r="G35" s="15">
        <f>(E35 * F35)</f>
        <v>0</v>
      </c>
      <c r="M35" s="75" t="s">
        <v>772</v>
      </c>
      <c r="N35" s="1">
        <f>N33/N34</f>
        <v>182.82499999999999</v>
      </c>
    </row>
    <row r="36" spans="1:24" ht="20.100000000000001" customHeight="1" x14ac:dyDescent="0.2">
      <c r="A36" s="5" t="str">
        <f>HYPERLINK("#'8.2.1.1-2 Stationary fuel'!A1", "8.2.1.1-2 Stationary fuel")</f>
        <v>8.2.1.1-2 Stationary fuel</v>
      </c>
      <c r="D36" s="15" t="str">
        <v>Ammonia</v>
      </c>
      <c r="E36" s="15"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15" cm="1">
        <f t="array" ref="F36">Common_InputFunctions.Utility_LookupValueInTableNumber(D36,Table_Fertiliser_ChemicalCompounds[Fertiliser type f],Table_Fertiliser_ChemicalCompounds[FNinorganic f])</f>
        <v>0.82350000000000001</v>
      </c>
      <c r="G36" s="15">
        <f>(E36 * F36)</f>
        <v>4117.5</v>
      </c>
    </row>
    <row r="37" spans="1:24" ht="20.100000000000001" customHeight="1" x14ac:dyDescent="0.2">
      <c r="A37" s="5" t="str">
        <f>HYPERLINK("#'10.1.1-2 Solid waste treatment'!A1", "10.1.1.1-2 Solid waste")</f>
        <v>10.1.1.1-2 Solid waste</v>
      </c>
      <c r="D37" s="15" t="str">
        <v>Calcium nitrate</v>
      </c>
      <c r="E37" s="15"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15" cm="1">
        <f t="array" ref="F37">Common_InputFunctions.Utility_LookupValueInTableNumber(D37,Table_Fertiliser_ChemicalCompounds[Fertiliser type f],Table_Fertiliser_ChemicalCompounds[FNinorganic f])</f>
        <v>0.155</v>
      </c>
      <c r="G37" s="15">
        <f>(E37 * F37)</f>
        <v>775</v>
      </c>
      <c r="L37" s="83"/>
      <c r="M37" s="83"/>
      <c r="N37" s="83"/>
      <c r="O37" s="83"/>
      <c r="P37" s="83"/>
      <c r="Q37" s="83"/>
      <c r="R37" s="83"/>
      <c r="S37" s="83"/>
      <c r="T37" s="83"/>
      <c r="U37" s="83"/>
      <c r="V37" s="83"/>
      <c r="W37" s="83"/>
      <c r="X37" s="83"/>
    </row>
    <row r="38" spans="1:24" ht="20.100000000000001" customHeight="1" x14ac:dyDescent="0.2">
      <c r="A38" s="5" t="str">
        <f>HYPERLINK("#'14.1.1-2 Purchased electricity'!A1", "14.1.1-2 Purchased electricity")</f>
        <v>14.1.1-2 Purchased electricity</v>
      </c>
    </row>
    <row r="39" spans="1:24" ht="20.100000000000001" customHeight="1" x14ac:dyDescent="0.2">
      <c r="A39" s="5" t="str">
        <f>HYPERLINK("#'15 Scope 3'!A1", "15 Scope 3")</f>
        <v>15 Scope 3</v>
      </c>
      <c r="C39" s="83"/>
      <c r="D39" s="83"/>
      <c r="E39" s="83"/>
      <c r="F39" s="83"/>
      <c r="G39" s="83"/>
      <c r="H39" s="83"/>
      <c r="I39" s="83"/>
      <c r="J39" s="83"/>
      <c r="M39" s="2" t="s">
        <v>2342</v>
      </c>
    </row>
    <row r="40" spans="1:24" ht="20.100000000000001" customHeight="1" x14ac:dyDescent="0.2">
      <c r="A40" s="5" t="str">
        <f>HYPERLINK("#'Calcs - Manure sent off-site'!A1", "Calcs - Manure sent off-site")</f>
        <v>Calcs - Manure sent off-site</v>
      </c>
      <c r="D40" s="2" t="s">
        <v>2344</v>
      </c>
      <c r="M40" s="17" t="s">
        <v>2343</v>
      </c>
    </row>
    <row r="41" spans="1:24" ht="20.100000000000001" customHeight="1" x14ac:dyDescent="0.2">
      <c r="A41" s="117" t="str">
        <f>HYPERLINK("#'5.1.1.1-2 Inorganic fert N2O'!A1", "5.1.1.1-2 Inorganic fert N2O")</f>
        <v>5.1.1.1-2 Inorganic fert N2O</v>
      </c>
      <c r="D41" s="17" t="s">
        <v>2345</v>
      </c>
    </row>
    <row r="42" spans="1:24" ht="20.100000000000001" customHeight="1" x14ac:dyDescent="0.2">
      <c r="A42" s="5" t="str">
        <f>HYPERLINK("#'5.1.1.3-4 Inorganic fert CO2'!A1", "5.1.1.3-4 Inorganic fert CO2")</f>
        <v>5.1.1.3-4 Inorganic fert CO2</v>
      </c>
      <c r="D42" s="112"/>
      <c r="E42" s="112"/>
      <c r="F42" s="16"/>
    </row>
    <row r="43" spans="1:24" ht="20.100000000000001" customHeight="1" x14ac:dyDescent="0.2">
      <c r="A43" s="5" t="str">
        <f>HYPERLINK("#'5.2.1.1-2 Organic Fert N2O'!A1", "5.2.1.1-2 Organic Fert N2O")</f>
        <v>5.2.1.1-2 Organic Fert N2O</v>
      </c>
      <c r="F43" s="16"/>
      <c r="M43" s="75" t="s">
        <v>328</v>
      </c>
      <c r="N43" s="1" t="s">
        <v>2346</v>
      </c>
    </row>
    <row r="44" spans="1:24" ht="20.100000000000001" customHeight="1" x14ac:dyDescent="0.2">
      <c r="A44" s="5" t="str">
        <f>HYPERLINK("#'5.3.1.1-2 Lime CO2'!A1", "5.3.1.1-2 Lime CO2")</f>
        <v>5.3.1.1-2 Lime CO2</v>
      </c>
      <c r="F44" s="16"/>
      <c r="M44" s="75" t="s">
        <v>118</v>
      </c>
      <c r="N44" s="9" t="s">
        <v>2347</v>
      </c>
    </row>
    <row r="45" spans="1:24" ht="20.100000000000001" customHeight="1" x14ac:dyDescent="0.2">
      <c r="A45" s="5" t="str">
        <f>HYPERLINK("#'5.4.1.1-4 Atmos deposition'!A1", "5.4.1.1-4 Atmos deposition")</f>
        <v>5.4.1.1-4 Atmos deposition</v>
      </c>
      <c r="F45" s="16"/>
    </row>
    <row r="46" spans="1:24" ht="20.100000000000001" customHeight="1" x14ac:dyDescent="0.2">
      <c r="A46" s="5" t="str">
        <f>HYPERLINK("#'5.5.1.1-2 Leaching and runoff'!A1", "5.5.1.1-2 Leaching and runoff")</f>
        <v>5.5.1.1-2 Leaching and runoff</v>
      </c>
      <c r="D46" s="75" t="s">
        <v>328</v>
      </c>
      <c r="E46" s="1" t="s">
        <v>1612</v>
      </c>
      <c r="F46" s="16"/>
      <c r="M46" s="126" t="s">
        <v>2348</v>
      </c>
      <c r="N46" s="129" t="s">
        <v>2349</v>
      </c>
      <c r="O46" s="224"/>
      <c r="P46" s="126" t="s">
        <v>2351</v>
      </c>
      <c r="Q46" s="114" t="s">
        <v>1202</v>
      </c>
      <c r="R46" s="122">
        <f>$N$35</f>
        <v>182.82499999999999</v>
      </c>
      <c r="S46" s="225"/>
    </row>
    <row r="47" spans="1:24" ht="20.100000000000001" customHeight="1" x14ac:dyDescent="0.2">
      <c r="D47" s="75" t="s">
        <v>118</v>
      </c>
      <c r="E47" s="9" t="s">
        <v>12</v>
      </c>
      <c r="F47" s="16"/>
      <c r="M47" s="126" t="s">
        <v>1526</v>
      </c>
      <c r="N47" s="129" t="s">
        <v>2350</v>
      </c>
      <c r="O47" s="224"/>
      <c r="P47" s="126"/>
      <c r="Q47" s="115" t="s">
        <v>1203</v>
      </c>
      <c r="R47" s="129" t="s">
        <v>773</v>
      </c>
      <c r="S47" s="225"/>
    </row>
    <row r="48" spans="1:24" ht="20.100000000000001" customHeight="1" x14ac:dyDescent="0.2">
      <c r="F48" s="16"/>
    </row>
    <row r="49" spans="1:19" ht="20.100000000000001" customHeight="1" x14ac:dyDescent="0.2">
      <c r="A49" s="80" t="s">
        <v>1</v>
      </c>
      <c r="D49" s="126" t="s">
        <v>2337</v>
      </c>
      <c r="E49" s="129" t="s">
        <v>2352</v>
      </c>
      <c r="F49" s="224"/>
      <c r="G49" s="126" t="s">
        <v>482</v>
      </c>
      <c r="H49" s="115" t="s">
        <v>2356</v>
      </c>
      <c r="I49" s="116" t="str" cm="1">
        <f t="array" aca="1" ref="I49" ca="1">HYPERLINK(Common_InputFunctions.Utility_SourceHyperlink(D16), D16)</f>
        <v>Table_MN_j_f</v>
      </c>
      <c r="M49" s="1" t="s">
        <v>774</v>
      </c>
      <c r="N49" s="1">
        <f>((-0.1474 + (0.0061 * R46)) * 10 ^ -2)</f>
        <v>9.6783250000000015E-3</v>
      </c>
      <c r="O49" s="9" t="str">
        <f>N44</f>
        <v>kg N2O-N/kg N applied</v>
      </c>
    </row>
    <row r="50" spans="1:19" ht="20.100000000000001" customHeight="1" x14ac:dyDescent="0.2">
      <c r="A50" s="5" t="str">
        <f>HYPERLINK("#'Constants - Poultry'!A1", "Constants - Poultry")</f>
        <v>Constants - Poultry</v>
      </c>
      <c r="D50" s="126" t="s">
        <v>2353</v>
      </c>
      <c r="E50" s="129" t="s">
        <v>2354</v>
      </c>
      <c r="F50" s="224"/>
      <c r="G50" s="126" t="s">
        <v>2347</v>
      </c>
      <c r="H50" s="115" t="s">
        <v>1203</v>
      </c>
      <c r="I50" s="126">
        <f>Common_InputFunctions.Utility_LookupN2OEFFromProdIrrigationRainfall(I52,I54,I55,Table_SourceData_Common_EFN2O[Production system only],Table_SourceData_Common_EFN2O[Irrigation method],Table_SourceData_Common_EFN2O[Rainfall zone],Table_SourceData_Common_EFN2O[EFN2O])</f>
        <v>7.0000000000000001E-3</v>
      </c>
    </row>
    <row r="51" spans="1:19" ht="20.100000000000001" customHeight="1" x14ac:dyDescent="0.2">
      <c r="A51" s="5" t="str">
        <f>HYPERLINK("#'Constants - Common livestock'!A1", "Constants - Common Livestock")</f>
        <v>Constants - Common Livestock</v>
      </c>
      <c r="D51" s="126" t="s">
        <v>1302</v>
      </c>
      <c r="E51" s="129" t="s">
        <v>1303</v>
      </c>
      <c r="F51" s="224"/>
      <c r="G51" s="126"/>
      <c r="H51" s="115" t="s">
        <v>1203</v>
      </c>
      <c r="I51" s="126">
        <f>Common_InputFunctions.Utility_LookupValueInTableNumber("N2O",Table_GasToMolecularConversionFactor[Gas],Table_GasToMolecularConversionFactor[Conversion factor combined])</f>
        <v>1.5714285714285714</v>
      </c>
    </row>
    <row r="52" spans="1:19" ht="20.100000000000001" customHeight="1" x14ac:dyDescent="0.2">
      <c r="A52" s="5" t="str">
        <f>HYPERLINK("#'Constants - Electricity'!A1", "Constants - Electricity")</f>
        <v>Constants - Electricity</v>
      </c>
      <c r="D52" s="126" t="s">
        <v>1318</v>
      </c>
      <c r="E52" s="129" t="s">
        <v>311</v>
      </c>
      <c r="F52" s="224"/>
      <c r="G52" s="126"/>
      <c r="H52" s="114" t="s">
        <v>1202</v>
      </c>
      <c r="I52" s="126" t="str">
        <f>X_Cell_Fertiliser_ProductionSystem</f>
        <v>Crop</v>
      </c>
    </row>
    <row r="53" spans="1:19" ht="20.100000000000001" customHeight="1" x14ac:dyDescent="0.2">
      <c r="A53" s="5" t="str">
        <f>HYPERLINK("#'Constants - Fertiliser'!A1", "Constants - Fertiliser")</f>
        <v>Constants - Fertiliser</v>
      </c>
      <c r="D53" s="126" t="s">
        <v>1526</v>
      </c>
      <c r="E53" s="129" t="s">
        <v>2350</v>
      </c>
      <c r="F53" s="224"/>
      <c r="G53" s="126"/>
      <c r="H53" s="115" t="s">
        <v>1203</v>
      </c>
      <c r="I53" s="126" t="str">
        <f>"See " &amp; D57</f>
        <v>See M1_Table_E_N2O</v>
      </c>
      <c r="M53" s="2" t="s">
        <v>2357</v>
      </c>
    </row>
    <row r="54" spans="1:19" ht="20.100000000000001" customHeight="1" x14ac:dyDescent="0.2">
      <c r="A54" s="5" t="str">
        <f>HYPERLINK("#'Constants - Fuel'!A1", "Constants - Fuel")</f>
        <v>Constants - Fuel</v>
      </c>
      <c r="D54" s="126" t="s">
        <v>1320</v>
      </c>
      <c r="E54" s="129" t="s">
        <v>1321</v>
      </c>
      <c r="F54" s="224"/>
      <c r="G54" s="126"/>
      <c r="H54" s="114" t="s">
        <v>1202</v>
      </c>
      <c r="I54" s="126" t="str">
        <f>X_Cell_Fertiliser_IrrigationMethod</f>
        <v>Drip irrigation</v>
      </c>
      <c r="M54" s="17" t="s">
        <v>2358</v>
      </c>
    </row>
    <row r="55" spans="1:19" ht="20.100000000000001" customHeight="1" x14ac:dyDescent="0.2">
      <c r="A55" s="5" t="str">
        <f>HYPERLINK("#'Constants - Scope 3'!A1", "Constants - Scope 3")</f>
        <v>Constants - Scope 3</v>
      </c>
      <c r="D55" s="126" t="s">
        <v>1333</v>
      </c>
      <c r="E55" s="129" t="s">
        <v>2355</v>
      </c>
      <c r="F55" s="224"/>
      <c r="G55" s="126"/>
      <c r="H55" s="114" t="s">
        <v>1202</v>
      </c>
      <c r="I55" s="126" t="str">
        <f>X_Cell_Site_RainfallZone</f>
        <v>High rainfall</v>
      </c>
    </row>
    <row r="56" spans="1:19" ht="20.100000000000001" customHeight="1" x14ac:dyDescent="0.2">
      <c r="A56" s="5" t="str">
        <f>HYPERLINK("#'Constants - Solid Waste'!A1", "Constants - Solid Waste")</f>
        <v>Constants - Solid Waste</v>
      </c>
      <c r="F56" s="16"/>
    </row>
    <row r="57" spans="1:19" ht="20.100000000000001" customHeight="1" x14ac:dyDescent="0.2">
      <c r="A57" s="5" t="str">
        <f>HYPERLINK("#'Constants - Common'!A1", "Constants - Common")</f>
        <v>Constants - Common</v>
      </c>
      <c r="D57" s="118" t="s">
        <v>775</v>
      </c>
      <c r="F57" s="16"/>
      <c r="M57" s="75" t="s">
        <v>328</v>
      </c>
      <c r="N57" s="1" t="s">
        <v>2359</v>
      </c>
    </row>
    <row r="58" spans="1:19" ht="20.100000000000001" customHeight="1" x14ac:dyDescent="0.2">
      <c r="D58" s="119" t="s">
        <v>776</v>
      </c>
      <c r="F58" s="16"/>
      <c r="M58" s="75" t="s">
        <v>118</v>
      </c>
      <c r="N58" s="9" t="s">
        <v>2347</v>
      </c>
    </row>
    <row r="59" spans="1:19" ht="20.100000000000001" customHeight="1" x14ac:dyDescent="0.2">
      <c r="D59" s="120" t="s">
        <v>765</v>
      </c>
      <c r="E59" s="120" t="s">
        <v>777</v>
      </c>
    </row>
    <row r="60" spans="1:19" ht="20.100000000000001" customHeight="1" x14ac:dyDescent="0.2">
      <c r="D60" s="15" t="str" cm="1">
        <f t="array" ref="D60:D78">Table_Fertiliser_ChemicalCompounds[Fertiliser type f]</f>
        <v>Monoammonium phosphate (MAP)</v>
      </c>
      <c r="E60" s="15">
        <f>((G19 * $I$50 * $I$51) * 10 ^ -3)</f>
        <v>0</v>
      </c>
      <c r="F60" s="16" t="str">
        <f>E47</f>
        <v>t N2O</v>
      </c>
      <c r="M60" s="126" t="s">
        <v>2360</v>
      </c>
      <c r="N60" s="129" t="s">
        <v>2361</v>
      </c>
      <c r="O60" s="224"/>
      <c r="P60" s="126" t="s">
        <v>2351</v>
      </c>
      <c r="Q60" s="114" t="s">
        <v>1202</v>
      </c>
      <c r="R60" s="122">
        <f>$N$35</f>
        <v>182.82499999999999</v>
      </c>
      <c r="S60" s="225"/>
    </row>
    <row r="61" spans="1:19" ht="20.100000000000001" customHeight="1" x14ac:dyDescent="0.2">
      <c r="D61" s="15" t="str">
        <v>Diammonium phosphate (DAP)</v>
      </c>
      <c r="E61" s="15">
        <f>((G20 * $I$50 * $I$51) * 10 ^ -3)</f>
        <v>0</v>
      </c>
      <c r="M61" s="126" t="s">
        <v>1526</v>
      </c>
      <c r="N61" s="129" t="s">
        <v>2350</v>
      </c>
      <c r="O61" s="224"/>
      <c r="P61" s="126"/>
      <c r="Q61" s="115" t="s">
        <v>1203</v>
      </c>
      <c r="R61" s="129" t="s">
        <v>773</v>
      </c>
      <c r="S61" s="223"/>
    </row>
    <row r="62" spans="1:19" ht="20.100000000000001" customHeight="1" x14ac:dyDescent="0.2">
      <c r="D62" s="15" t="str">
        <v>Urea</v>
      </c>
      <c r="E62" s="15">
        <f>((G21 * $I$50 * $I$51) * 10 ^ -3)</f>
        <v>0.12759999340000003</v>
      </c>
    </row>
    <row r="63" spans="1:19" ht="20.100000000000001" customHeight="1" x14ac:dyDescent="0.2">
      <c r="D63" s="15" t="str">
        <v>Sulphate of ammonia (SOA)</v>
      </c>
      <c r="E63" s="15">
        <f>((G22 * $I$50 * $I$51) * 10 ^ -3)</f>
        <v>0</v>
      </c>
      <c r="M63" s="75" t="s">
        <v>778</v>
      </c>
      <c r="N63" s="1">
        <f>((0.0781 + (0.0075 * R60)) * 10 ^ -2)</f>
        <v>1.4492874999999999E-2</v>
      </c>
      <c r="O63" s="9" t="str">
        <f>N58</f>
        <v>kg N2O-N/kg N applied</v>
      </c>
    </row>
    <row r="64" spans="1:19" ht="20.100000000000001" customHeight="1" x14ac:dyDescent="0.2">
      <c r="D64" s="15" t="str">
        <v>Urea-ammonium nitrate (UAN)</v>
      </c>
      <c r="E64" s="15">
        <f>((G23 * $I$50 * $I$51) * 10 ^ -3)</f>
        <v>0</v>
      </c>
    </row>
    <row r="65" spans="1:20" ht="20.100000000000001" customHeight="1" x14ac:dyDescent="0.2">
      <c r="D65" s="15" t="str">
        <v>Ammonium nitrate (AN)</v>
      </c>
      <c r="E65" s="15">
        <f>((G24 * $I$50 * $I$51) * 10 ^ -3)</f>
        <v>0</v>
      </c>
    </row>
    <row r="66" spans="1:20" ht="20.100000000000001" customHeight="1" x14ac:dyDescent="0.2">
      <c r="D66" s="15" t="str">
        <v>Calcium ammonium nitrate (CAN)</v>
      </c>
      <c r="E66" s="15">
        <f>((G25 * $I$50 * $I$51) * 10 ^ -3)</f>
        <v>0</v>
      </c>
      <c r="M66" s="2" t="s">
        <v>2362</v>
      </c>
    </row>
    <row r="67" spans="1:20" ht="20.100000000000001" customHeight="1" x14ac:dyDescent="0.2">
      <c r="D67" s="15" t="str">
        <v>Nitrogen - Ammoniacal</v>
      </c>
      <c r="E67" s="15">
        <f>((G26 * $I$50 * $I$51) * 10 ^ -3)</f>
        <v>1.3639999999999999E-2</v>
      </c>
      <c r="M67" s="17" t="s">
        <v>2363</v>
      </c>
    </row>
    <row r="68" spans="1:20" ht="20.100000000000001" customHeight="1" x14ac:dyDescent="0.2">
      <c r="A68" s="79" t="str">
        <f>HYPERLINK("#A1", "▲ Back to top")</f>
        <v>▲ Back to top</v>
      </c>
      <c r="D68" s="15" t="str">
        <v>Nitrogen - Nitrate</v>
      </c>
      <c r="E68" s="15">
        <f>((G27 * $I$50 * $I$51) * 10 ^ -3)</f>
        <v>6.0499999999999998E-3</v>
      </c>
    </row>
    <row r="69" spans="1:20" ht="20.100000000000001" customHeight="1" x14ac:dyDescent="0.2">
      <c r="D69" s="15" t="str">
        <v>Nitrogen - Generic</v>
      </c>
      <c r="E69" s="15">
        <f>((G28 * $I$50 * $I$51) * 10 ^ -3)</f>
        <v>0</v>
      </c>
    </row>
    <row r="70" spans="1:20" ht="20.100000000000001" customHeight="1" x14ac:dyDescent="0.2">
      <c r="D70" s="15" t="str">
        <v>Phosphorus - Generic</v>
      </c>
      <c r="E70" s="15">
        <f>((G29 * $I$50 * $I$51) * 10 ^ -3)</f>
        <v>0</v>
      </c>
    </row>
    <row r="71" spans="1:20" ht="20.100000000000001" customHeight="1" x14ac:dyDescent="0.2">
      <c r="D71" s="15" t="str">
        <v>Potassium - Generic</v>
      </c>
      <c r="E71" s="15">
        <f>((G30 * $I$50 * $I$51) * 10 ^ -3)</f>
        <v>0</v>
      </c>
      <c r="M71" s="75" t="s">
        <v>328</v>
      </c>
      <c r="N71" s="1" t="s">
        <v>2364</v>
      </c>
    </row>
    <row r="72" spans="1:20" ht="20.100000000000001" customHeight="1" x14ac:dyDescent="0.2">
      <c r="D72" s="15" t="str">
        <v>Sulfur - Generic</v>
      </c>
      <c r="E72" s="15">
        <f>((G31 * $I$50 * $I$51) * 10 ^ -3)</f>
        <v>0</v>
      </c>
      <c r="M72" s="75" t="s">
        <v>118</v>
      </c>
      <c r="N72" s="9" t="s">
        <v>2347</v>
      </c>
    </row>
    <row r="73" spans="1:20" ht="20.100000000000001" customHeight="1" x14ac:dyDescent="0.2">
      <c r="D73" s="15" t="str">
        <v>Zinc - Generic</v>
      </c>
      <c r="E73" s="15">
        <f>((G32 * $I$50 * $I$51) * 10 ^ -3)</f>
        <v>0</v>
      </c>
    </row>
    <row r="74" spans="1:20" ht="20.100000000000001" customHeight="1" x14ac:dyDescent="0.2">
      <c r="D74" s="15" t="str">
        <v>Muriate of potash (MOP)</v>
      </c>
      <c r="E74" s="15">
        <f>((G33 * $I$50 * $I$51) * 10 ^ -3)</f>
        <v>0</v>
      </c>
      <c r="M74" s="221" t="s">
        <v>779</v>
      </c>
      <c r="N74" s="221"/>
      <c r="O74" s="221"/>
      <c r="P74" s="221"/>
      <c r="Q74" s="221"/>
      <c r="R74" s="221"/>
      <c r="S74" s="221"/>
      <c r="T74" s="221"/>
    </row>
    <row r="75" spans="1:20" ht="20.100000000000001" customHeight="1" x14ac:dyDescent="0.2">
      <c r="D75" s="15" t="str">
        <v>Double superphosphate</v>
      </c>
      <c r="E75" s="15">
        <f>((G34 * $I$50 * $I$51) * 10 ^ -3)</f>
        <v>0</v>
      </c>
    </row>
    <row r="76" spans="1:20" ht="20.100000000000001" customHeight="1" x14ac:dyDescent="0.2">
      <c r="D76" s="15" t="str">
        <v>Single superphosphate (SSP)</v>
      </c>
      <c r="E76" s="15">
        <f>((G35 * $I$50 * $I$51) * 10 ^ -3)</f>
        <v>0</v>
      </c>
      <c r="M76" s="126" t="s">
        <v>2365</v>
      </c>
      <c r="N76" s="129" t="s">
        <v>2366</v>
      </c>
      <c r="O76" s="224"/>
      <c r="P76" s="129" t="s">
        <v>2351</v>
      </c>
      <c r="Q76" s="114" t="s">
        <v>1202</v>
      </c>
      <c r="R76" s="122">
        <f>MIN(300, $N$35)</f>
        <v>182.82499999999999</v>
      </c>
      <c r="S76" s="225"/>
    </row>
    <row r="77" spans="1:20" ht="20.100000000000001" customHeight="1" x14ac:dyDescent="0.2">
      <c r="D77" s="15" t="str">
        <v>Ammonia</v>
      </c>
      <c r="E77" s="15">
        <f>((G36 * $I$50 * $I$51) * 10 ^ -3)</f>
        <v>4.5292500000000006E-2</v>
      </c>
      <c r="M77" s="126" t="s">
        <v>1526</v>
      </c>
      <c r="N77" s="129" t="s">
        <v>2350</v>
      </c>
      <c r="O77" s="224"/>
      <c r="P77" s="129"/>
      <c r="Q77" s="115" t="s">
        <v>1203</v>
      </c>
      <c r="R77" s="129" t="s">
        <v>773</v>
      </c>
      <c r="S77" s="223"/>
    </row>
    <row r="78" spans="1:20" ht="20.100000000000001" customHeight="1" x14ac:dyDescent="0.2">
      <c r="D78" s="15" t="str">
        <v>Calcium nitrate</v>
      </c>
      <c r="E78" s="15">
        <f>((G37 * $I$50 * $I$51) * 10 ^ -3)</f>
        <v>8.5250000000000013E-3</v>
      </c>
    </row>
    <row r="79" spans="1:20" ht="20.100000000000001" customHeight="1" x14ac:dyDescent="0.2">
      <c r="M79" s="75" t="s">
        <v>778</v>
      </c>
      <c r="N79" s="1">
        <f>((0.01 * (0.29 + ((0.007 * (EXP(0.037 * R76) - 1)) / R76))) * 10 ^ -2)</f>
        <v>3.231403335233797E-5</v>
      </c>
      <c r="O79" s="9" t="str">
        <f>N72</f>
        <v>kg N2O-N/kg N applied</v>
      </c>
    </row>
    <row r="80" spans="1:20" ht="20.100000000000001" customHeight="1" x14ac:dyDescent="0.2">
      <c r="D80" s="85" t="s">
        <v>780</v>
      </c>
      <c r="E80" s="86">
        <f>SUM(E60:E78)</f>
        <v>0.20110749340000006</v>
      </c>
      <c r="F80" s="95" t="str">
        <f>$E$47</f>
        <v>t N2O</v>
      </c>
    </row>
    <row r="82" spans="4:24" ht="20.100000000000001" customHeight="1" x14ac:dyDescent="0.2">
      <c r="D82" s="126" t="str" cm="1">
        <f t="array" ref="D82:E83">Common_Equations.Common_ConvertN2OToCO2e_Arguments()</f>
        <v>EN2O</v>
      </c>
      <c r="E82" s="129" t="str">
        <v>Nitrous oxide emissions (t N2O)</v>
      </c>
      <c r="F82" s="130"/>
      <c r="G82" s="15">
        <f>VEERG_5_1_1_1__1_InorganicFertiliserApplicationN2OEmissions_Result_Method1</f>
        <v>0.20110749340000006</v>
      </c>
      <c r="L82" s="83"/>
      <c r="M82" s="83"/>
      <c r="N82" s="83"/>
      <c r="O82" s="83"/>
      <c r="P82" s="83"/>
      <c r="Q82" s="83"/>
      <c r="R82" s="83"/>
      <c r="S82" s="83"/>
      <c r="T82" s="83"/>
      <c r="U82" s="83"/>
      <c r="V82" s="83"/>
      <c r="W82" s="83"/>
      <c r="X82" s="83"/>
    </row>
    <row r="83" spans="4:24" ht="20.100000000000001" customHeight="1" x14ac:dyDescent="0.2">
      <c r="D83" s="126" t="str">
        <v>GWPN2O</v>
      </c>
      <c r="E83" s="129" t="str">
        <v>Global warming potential for nitrous oxide (t CO2-e / t N2O)</v>
      </c>
      <c r="F83" s="130"/>
      <c r="G83" s="15">
        <f>Common_InputFunctions.Utility_LookupValueInTableNumber("N2O",Table_GWPData[Gas],Table_GWPData[CO2-e factor])</f>
        <v>265</v>
      </c>
      <c r="M83" s="2" t="s">
        <v>2344</v>
      </c>
    </row>
    <row r="84" spans="4:24" ht="20.100000000000001" customHeight="1" x14ac:dyDescent="0.2">
      <c r="M84" s="17" t="s">
        <v>2345</v>
      </c>
    </row>
    <row r="85" spans="4:24" ht="20.100000000000001" customHeight="1" x14ac:dyDescent="0.2">
      <c r="D85" s="83" t="s">
        <v>376</v>
      </c>
      <c r="E85" s="83" cm="1">
        <f t="array" ref="E85">Common_Equations.Common_ConvertN2OToCO2e(G82,G83)</f>
        <v>53.293485751000013</v>
      </c>
      <c r="F85" s="89" t="str" cm="1">
        <f t="array" ref="F85">Common_Equations.Common_ConvertN2OToCO2e_Unit()</f>
        <v>t CO2e</v>
      </c>
      <c r="M85" s="112"/>
      <c r="N85" s="112"/>
    </row>
    <row r="89" spans="4:24" ht="20.100000000000001" customHeight="1" x14ac:dyDescent="0.2">
      <c r="M89" s="75" t="s">
        <v>328</v>
      </c>
      <c r="N89" s="1" t="s">
        <v>1612</v>
      </c>
    </row>
    <row r="90" spans="4:24" ht="20.100000000000001" customHeight="1" x14ac:dyDescent="0.2">
      <c r="M90" s="75" t="s">
        <v>118</v>
      </c>
      <c r="N90" s="9" t="s">
        <v>12</v>
      </c>
    </row>
    <row r="92" spans="4:24" ht="20.100000000000001" customHeight="1" x14ac:dyDescent="0.2">
      <c r="M92" s="126" t="s">
        <v>2337</v>
      </c>
      <c r="N92" s="129" t="s">
        <v>2352</v>
      </c>
      <c r="O92" s="224"/>
      <c r="P92" s="223"/>
      <c r="Q92" s="126" t="s">
        <v>482</v>
      </c>
      <c r="R92" s="115" t="s">
        <v>2356</v>
      </c>
      <c r="S92" s="113">
        <f>N33</f>
        <v>18282.5</v>
      </c>
    </row>
    <row r="93" spans="4:24" ht="20.100000000000001" customHeight="1" x14ac:dyDescent="0.2">
      <c r="M93" s="126" t="s">
        <v>2353</v>
      </c>
      <c r="N93" s="129" t="s">
        <v>2354</v>
      </c>
      <c r="O93" s="224"/>
      <c r="P93" s="223"/>
      <c r="Q93" s="126" t="s">
        <v>2347</v>
      </c>
      <c r="R93" s="115" t="s">
        <v>2367</v>
      </c>
      <c r="S93" s="113">
        <f>_xlfn.XLOOKUP(TRUE,N105:N108,O105:O108)</f>
        <v>9.6783250000000015E-3</v>
      </c>
    </row>
    <row r="94" spans="4:24" ht="20.100000000000001" customHeight="1" x14ac:dyDescent="0.2">
      <c r="M94" s="126" t="s">
        <v>1302</v>
      </c>
      <c r="N94" s="129" t="s">
        <v>1303</v>
      </c>
      <c r="O94" s="224"/>
      <c r="P94" s="223"/>
      <c r="Q94" s="126"/>
      <c r="R94" s="115" t="s">
        <v>1203</v>
      </c>
      <c r="S94" s="126">
        <f>Common_InputFunctions.Utility_LookupValueInTableNumber("N2O",Table_GasToMolecularConversionFactor[Gas],Table_GasToMolecularConversionFactor[Conversion factor combined])</f>
        <v>1.5714285714285714</v>
      </c>
    </row>
    <row r="95" spans="4:24" ht="20.100000000000001" customHeight="1" x14ac:dyDescent="0.2">
      <c r="M95" s="126" t="s">
        <v>1318</v>
      </c>
      <c r="N95" s="129" t="s">
        <v>311</v>
      </c>
      <c r="O95" s="224"/>
      <c r="P95" s="223"/>
      <c r="Q95" s="126"/>
      <c r="R95" s="114" t="s">
        <v>1202</v>
      </c>
      <c r="S95" s="126" t="str">
        <f>X_Cell_Fertiliser_ProductionSystem</f>
        <v>Crop</v>
      </c>
    </row>
    <row r="96" spans="4:24" ht="20.100000000000001" customHeight="1" x14ac:dyDescent="0.2">
      <c r="M96" s="126" t="s">
        <v>1494</v>
      </c>
      <c r="N96" s="129" t="s">
        <v>681</v>
      </c>
      <c r="O96" s="224"/>
      <c r="P96" s="223"/>
      <c r="Q96" s="126"/>
      <c r="R96" s="114" t="s">
        <v>1202</v>
      </c>
      <c r="S96" s="126" t="str">
        <f>X_Cell_Fertiliser_CropType</f>
        <v>Maize</v>
      </c>
    </row>
    <row r="97" spans="1:19" ht="20.100000000000001" customHeight="1" x14ac:dyDescent="0.2">
      <c r="M97" s="126" t="s">
        <v>1526</v>
      </c>
      <c r="N97" s="129" t="s">
        <v>2350</v>
      </c>
      <c r="O97" s="224"/>
      <c r="P97" s="223"/>
      <c r="Q97" s="126"/>
      <c r="R97" s="115" t="s">
        <v>1203</v>
      </c>
      <c r="S97" s="126" t="s">
        <v>781</v>
      </c>
    </row>
    <row r="98" spans="1:19" ht="20.100000000000001" customHeight="1" x14ac:dyDescent="0.2">
      <c r="A98" s="79" t="str">
        <f>HYPERLINK("#A1", "▲ Back to top")</f>
        <v>▲ Back to top</v>
      </c>
      <c r="M98" s="126" t="s">
        <v>1320</v>
      </c>
      <c r="N98" s="129" t="s">
        <v>1321</v>
      </c>
      <c r="O98" s="224"/>
      <c r="P98" s="223"/>
      <c r="Q98" s="126"/>
      <c r="R98" s="114" t="s">
        <v>1202</v>
      </c>
      <c r="S98" s="126" t="str">
        <f>X_Cell_Fertiliser_IrrigationMethod</f>
        <v>Drip irrigation</v>
      </c>
    </row>
    <row r="99" spans="1:19" ht="20.100000000000001" customHeight="1" x14ac:dyDescent="0.2">
      <c r="M99" s="129" t="s">
        <v>1333</v>
      </c>
      <c r="N99" s="129" t="s">
        <v>2355</v>
      </c>
      <c r="O99" s="224"/>
      <c r="P99" s="224"/>
      <c r="Q99" s="126"/>
      <c r="R99" s="114" t="s">
        <v>1202</v>
      </c>
      <c r="S99" s="126" t="str">
        <f>X_Cell_Site_RainfallZone</f>
        <v>High rainfall</v>
      </c>
    </row>
    <row r="102" spans="1:19" ht="20.100000000000001" customHeight="1" x14ac:dyDescent="0.2">
      <c r="M102" s="118" t="s">
        <v>782</v>
      </c>
    </row>
    <row r="103" spans="1:19" ht="20.100000000000001" customHeight="1" x14ac:dyDescent="0.2">
      <c r="M103" s="119" t="s">
        <v>783</v>
      </c>
    </row>
    <row r="104" spans="1:19" ht="20.100000000000001" customHeight="1" x14ac:dyDescent="0.2">
      <c r="M104" s="120" t="s">
        <v>311</v>
      </c>
      <c r="N104" s="120" t="s">
        <v>784</v>
      </c>
      <c r="O104" s="120" t="s">
        <v>785</v>
      </c>
    </row>
    <row r="105" spans="1:19" ht="20.100000000000001" customHeight="1" x14ac:dyDescent="0.2">
      <c r="M105" s="15" t="s">
        <v>786</v>
      </c>
      <c r="N105" s="15" t="b">
        <f>IF(AND(S96="Maize", NOT(S98="Not irrigated")), TRUE)</f>
        <v>1</v>
      </c>
      <c r="O105" s="15">
        <f>N49</f>
        <v>9.6783250000000015E-3</v>
      </c>
    </row>
    <row r="106" spans="1:19" ht="20.100000000000001" customHeight="1" x14ac:dyDescent="0.2">
      <c r="M106" s="15" t="s">
        <v>787</v>
      </c>
      <c r="N106" s="15" t="b">
        <f>IF(AND(S96="Grains", S98="Not irrigated", S99="High rainfall"), TRUE)</f>
        <v>0</v>
      </c>
      <c r="O106" s="15">
        <f>N63</f>
        <v>1.4492874999999999E-2</v>
      </c>
    </row>
    <row r="107" spans="1:19" ht="20.100000000000001" customHeight="1" x14ac:dyDescent="0.2">
      <c r="M107" s="15" t="s">
        <v>788</v>
      </c>
      <c r="N107" s="15" t="b">
        <f>IF(S96="Cotton", TRUE)</f>
        <v>0</v>
      </c>
      <c r="O107" s="226">
        <f>N79</f>
        <v>3.231403335233797E-5</v>
      </c>
    </row>
    <row r="108" spans="1:19" ht="20.100000000000001" customHeight="1" x14ac:dyDescent="0.2">
      <c r="M108" s="15" t="s">
        <v>789</v>
      </c>
      <c r="N108" s="15" t="b">
        <f>IF(AND(N105=FALSE, N107=FALSE, N106=FALSE),TRUE)</f>
        <v>0</v>
      </c>
      <c r="O108" s="15" cm="1">
        <f t="array" ref="O108">Common_InputFunctions.Utility_LookupN2OEFFromProdIrrigationRainfall($S$95,$S$98,$S$99,Table_SourceData_Common_EFN2O[Production system only],Table_SourceData_Common_EFN2O[Irrigation method],Table_SourceData_Common_EFN2O[Rainfall zone],Table_SourceData_Common_EFN2O[EFN2O])</f>
        <v>7.0000000000000001E-3</v>
      </c>
    </row>
    <row r="110" spans="1:19" ht="20.100000000000001" customHeight="1" x14ac:dyDescent="0.2">
      <c r="M110" s="85" t="s">
        <v>780</v>
      </c>
      <c r="N110" s="86">
        <f>((S92 * S93 * $S$94) * 10 ^ -3)</f>
        <v>0.2780548207053572</v>
      </c>
      <c r="O110" s="95" t="str">
        <f>$E$47</f>
        <v>t N2O</v>
      </c>
    </row>
    <row r="112" spans="1:19" ht="20.100000000000001" customHeight="1" x14ac:dyDescent="0.2">
      <c r="M112" s="126" t="str" cm="1">
        <f t="array" ref="M112:N113">Common_Equations.Common_ConvertN2OToCO2e_Arguments()</f>
        <v>EN2O</v>
      </c>
      <c r="N112" s="129" t="str">
        <v>Nitrous oxide emissions (t N2O)</v>
      </c>
      <c r="O112" s="130"/>
      <c r="P112" s="15">
        <f>VEERG_5_1_1_1__1_InorganicFertiliserApplicationN2OEmissions_Result_Method2</f>
        <v>0.2780548207053572</v>
      </c>
    </row>
    <row r="113" spans="13:16" ht="20.100000000000001" customHeight="1" x14ac:dyDescent="0.2">
      <c r="M113" s="126" t="str">
        <v>GWPN2O</v>
      </c>
      <c r="N113" s="129" t="str">
        <v>Global warming potential for nitrous oxide (t CO2-e / t N2O)</v>
      </c>
      <c r="O113" s="130"/>
      <c r="P113" s="15">
        <f>Common_InputFunctions.Utility_LookupValueInTableNumber("N2O",Table_GWPData[Gas],Table_GWPData[CO2-e factor])</f>
        <v>265</v>
      </c>
    </row>
    <row r="115" spans="13:16" ht="20.100000000000001" customHeight="1" x14ac:dyDescent="0.2">
      <c r="M115" s="83" t="s">
        <v>376</v>
      </c>
      <c r="N115" s="83" cm="1">
        <f t="array" ref="N115">Common_Equations.Common_ConvertN2OToCO2e(P112,P113)</f>
        <v>73.684527486919663</v>
      </c>
      <c r="O115" s="89" t="str" cm="1">
        <f t="array" ref="O115">Common_Equations.Common_ConvertN2OToCO2e_Unit()</f>
        <v>t CO2e</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N172:W172 E269 E228 R167:W167 G132 I129:I133 F134:I134 F129:F132 H128:H132 G129 F148:I148 I149 F150:I150" xr:uid="{24EBC6DC-EDB2-4A5C-83A0-FDFFDDC1F9C6}"/>
  </dataValidations>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39374-9720-4F44-8238-BB452483AB43}">
  <sheetPr>
    <tabColor rgb="FF008000"/>
  </sheetPr>
  <dimension ref="A1:U78"/>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790</v>
      </c>
    </row>
    <row r="2" spans="1:21" s="3" customFormat="1" ht="20.100000000000001" customHeight="1" x14ac:dyDescent="0.2">
      <c r="A2"/>
    </row>
    <row r="3" spans="1:21" ht="20.100000000000001" customHeight="1" x14ac:dyDescent="0.2">
      <c r="A3" s="5" t="str">
        <f>HYPERLINK("#'Home'!A1", "Home")</f>
        <v>Home</v>
      </c>
      <c r="C3" s="22"/>
      <c r="D3" s="22" t="s">
        <v>130</v>
      </c>
      <c r="E3" s="22"/>
      <c r="F3" s="22"/>
      <c r="G3" s="22"/>
      <c r="H3" s="22"/>
      <c r="I3" s="22"/>
      <c r="J3" s="22"/>
      <c r="K3" s="22"/>
      <c r="L3" s="22"/>
      <c r="N3" s="22"/>
      <c r="O3" s="22" t="s">
        <v>131</v>
      </c>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2368</v>
      </c>
    </row>
    <row r="6" spans="1:21" ht="20.100000000000001" customHeight="1" x14ac:dyDescent="0.2">
      <c r="D6" s="17" t="s">
        <v>2369</v>
      </c>
    </row>
    <row r="7" spans="1:21" ht="20.100000000000001" customHeight="1" x14ac:dyDescent="0.2">
      <c r="D7" s="112"/>
      <c r="E7" s="112"/>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328</v>
      </c>
      <c r="E10" s="1" t="s">
        <v>2370</v>
      </c>
    </row>
    <row r="11" spans="1:21" ht="20.100000000000001" customHeight="1" x14ac:dyDescent="0.2">
      <c r="A11" s="5" t="str">
        <f>HYPERLINK("#'Input - Poultry'!A1", "Poultry")</f>
        <v>Poultry</v>
      </c>
      <c r="D11" s="75" t="s">
        <v>118</v>
      </c>
      <c r="E11" s="9" t="s">
        <v>2371</v>
      </c>
    </row>
    <row r="12" spans="1:21" ht="20.100000000000001" customHeight="1" x14ac:dyDescent="0.2">
      <c r="A12" s="5" t="str">
        <f>HYPERLINK("#'Input - Livestock sales'!A1", "Livestock sales")</f>
        <v>Livestock sales</v>
      </c>
    </row>
    <row r="13" spans="1:21" ht="20.100000000000001" customHeight="1" x14ac:dyDescent="0.2">
      <c r="A13" s="5" t="str">
        <f>HYPERLINK("#'Input - Poultry purchases'!A1", "Poultry purchases")</f>
        <v>Poultry purchases</v>
      </c>
      <c r="D13" s="126" t="s">
        <v>1532</v>
      </c>
      <c r="E13" s="129" t="s">
        <v>2338</v>
      </c>
      <c r="F13" s="223"/>
      <c r="G13" s="126" t="s">
        <v>757</v>
      </c>
      <c r="H13" s="114" t="s">
        <v>1202</v>
      </c>
      <c r="I13" s="116" t="str" cm="1">
        <f t="array" aca="1" ref="I13" ca="1">HYPERLINK(Common_InputFunctions.Utility_SourceHyperlink($D$16), $D$16)</f>
        <v>Table_MU_j_f</v>
      </c>
    </row>
    <row r="14" spans="1:21" ht="20.100000000000001" customHeight="1" x14ac:dyDescent="0.2">
      <c r="A14" s="5" t="str">
        <f>HYPERLINK("#'Input - Fuel'!A1", "Fuel")</f>
        <v>Fuel</v>
      </c>
      <c r="D14" s="126" t="s">
        <v>2372</v>
      </c>
      <c r="E14" s="129" t="s">
        <v>2373</v>
      </c>
      <c r="F14" s="223"/>
      <c r="G14" s="126" t="s">
        <v>2374</v>
      </c>
      <c r="H14" s="115" t="s">
        <v>1638</v>
      </c>
      <c r="I14" s="116" t="str" cm="1">
        <f t="array" aca="1" ref="I14" ca="1">HYPERLINK(Common_InputFunctions.Utility_SourceHyperlink($D$16), $D$16)</f>
        <v>Table_MU_j_f</v>
      </c>
    </row>
    <row r="15" spans="1:21" ht="20.100000000000001" customHeight="1" x14ac:dyDescent="0.2">
      <c r="A15" s="5" t="str">
        <f>HYPERLINK("#'Input - Electricity'!A1", "Electricity")</f>
        <v>Electricity</v>
      </c>
    </row>
    <row r="16" spans="1:21" ht="20.100000000000001" customHeight="1" x14ac:dyDescent="0.2">
      <c r="A16" s="5" t="str">
        <f>HYPERLINK("#'Input - Common farm inputs'!A1", "Common farm inputs")</f>
        <v>Common farm inputs</v>
      </c>
      <c r="D16" s="118" t="s">
        <v>791</v>
      </c>
    </row>
    <row r="17" spans="1:7" ht="20.100000000000001" customHeight="1" x14ac:dyDescent="0.2">
      <c r="A17" s="5" t="str">
        <f>HYPERLINK("#'Input - Livestock farm Inputs'!A1", "Livestock farm Inputs")</f>
        <v>Livestock farm Inputs</v>
      </c>
      <c r="D17" s="119" t="s">
        <v>792</v>
      </c>
    </row>
    <row r="18" spans="1:7" ht="20.100000000000001" customHeight="1" x14ac:dyDescent="0.2">
      <c r="A18" s="5" t="str">
        <f>HYPERLINK("#'Input - Freight'!A1", "Freight")</f>
        <v>Freight</v>
      </c>
      <c r="D18" s="120" t="s">
        <v>765</v>
      </c>
      <c r="E18" s="78" t="s">
        <v>766</v>
      </c>
      <c r="F18" s="120" t="s">
        <v>793</v>
      </c>
      <c r="G18" s="120" t="s">
        <v>794</v>
      </c>
    </row>
    <row r="19" spans="1:7" ht="20.100000000000001" customHeight="1" x14ac:dyDescent="0.2">
      <c r="A19" s="5" t="str">
        <f>HYPERLINK("#'Input - Solid waste'!A1", "Solid waste")</f>
        <v>Solid waste</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f],Table_Fertiliser_ChemicalCompounds[FU f])</f>
        <v>0</v>
      </c>
      <c r="G19" s="15">
        <f>(E19 * F19)</f>
        <v>0</v>
      </c>
    </row>
    <row r="20" spans="1:7" ht="20.100000000000001" customHeight="1" x14ac:dyDescent="0.2">
      <c r="A20" s="5" t="str">
        <f>HYPERLINK("#'Input - Manure sent off-site'!A1", "Manure sent off-site")</f>
        <v>Manure sent off-site</v>
      </c>
      <c r="D20" s="15" t="str">
        <v>Diammonium phosphate (DAP)</v>
      </c>
      <c r="E20" s="15"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f],Table_Fertiliser_ChemicalCompounds[FU f])</f>
        <v>0</v>
      </c>
      <c r="G20" s="15">
        <f>(E20 * F20)</f>
        <v>0</v>
      </c>
    </row>
    <row r="21" spans="1:7" ht="20.100000000000001" customHeight="1" x14ac:dyDescent="0.2">
      <c r="A21" s="5" t="str">
        <f>HYPERLINK("#'Input - Data quality'!A1", "Data quality")</f>
        <v>Data quality</v>
      </c>
      <c r="D21" s="15" t="str">
        <v>Urea</v>
      </c>
      <c r="E21" s="15"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15" cm="1">
        <f t="array" ref="F21">Common_InputFunctions.Utility_LookupValueInTableNumber(D21,Table_Fertiliser_ChemicalCompounds[Fertiliser type f],Table_Fertiliser_ChemicalCompounds[FU f])</f>
        <v>1</v>
      </c>
      <c r="G21" s="15">
        <f>(E21 * F21)</f>
        <v>25217.39</v>
      </c>
    </row>
    <row r="22" spans="1:7" ht="20.100000000000001" customHeight="1" x14ac:dyDescent="0.2">
      <c r="A22" s="5" t="str">
        <f>HYPERLINK("#'Input - Fert Prod System'!A1", "Fert Prod System")</f>
        <v>Fert Prod System</v>
      </c>
      <c r="D22" s="15" t="str">
        <v>Sulphate of ammonia (SOA)</v>
      </c>
      <c r="E22" s="15"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f],Table_Fertiliser_ChemicalCompounds[FU f])</f>
        <v>0</v>
      </c>
      <c r="G22" s="15">
        <f>(E22 * F22)</f>
        <v>0</v>
      </c>
    </row>
    <row r="23" spans="1:7" ht="20.100000000000001" customHeight="1" x14ac:dyDescent="0.2">
      <c r="A23" s="5" t="str">
        <f>HYPERLINK("#'Input - Fertiliser'!A1", "Fertiliser")</f>
        <v>Fertiliser</v>
      </c>
      <c r="D23" s="15" t="str">
        <v>Urea-ammonium nitrate (UAN)</v>
      </c>
      <c r="E23" s="15"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f],Table_Fertiliser_ChemicalCompounds[FU f])</f>
        <v>0.35</v>
      </c>
      <c r="G23" s="15">
        <f>(E23 * F23)</f>
        <v>0</v>
      </c>
    </row>
    <row r="24" spans="1:7" ht="20.100000000000001" customHeight="1" x14ac:dyDescent="0.2">
      <c r="D24" s="15" t="str">
        <v>Ammonium nitrate (AN)</v>
      </c>
      <c r="E24" s="15"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f],Table_Fertiliser_ChemicalCompounds[FU f])</f>
        <v>0</v>
      </c>
      <c r="G24" s="15">
        <f>(E24 * F24)</f>
        <v>0</v>
      </c>
    </row>
    <row r="25" spans="1:7" ht="20.100000000000001" customHeight="1" x14ac:dyDescent="0.2">
      <c r="D25" s="15" t="str">
        <v>Calcium ammonium nitrate (CAN)</v>
      </c>
      <c r="E25" s="15"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f],Table_Fertiliser_ChemicalCompounds[FU f])</f>
        <v>0</v>
      </c>
      <c r="G25" s="15">
        <f>(E25 * F25)</f>
        <v>0</v>
      </c>
    </row>
    <row r="26" spans="1:7" ht="20.100000000000001" customHeight="1" x14ac:dyDescent="0.2">
      <c r="A26" s="6" t="s">
        <v>2</v>
      </c>
      <c r="D26" s="15" t="str">
        <v>Nitrogen - Ammoniacal</v>
      </c>
      <c r="E26" s="15"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v>
      </c>
      <c r="F26" s="15" cm="1">
        <f t="array" ref="F26">Common_InputFunctions.Utility_LookupValueInTableNumber(D26,Table_Fertiliser_ChemicalCompounds[Fertiliser type f],Table_Fertiliser_ChemicalCompounds[FU f])</f>
        <v>0</v>
      </c>
      <c r="G26" s="15">
        <f>(E26 * F26)</f>
        <v>0</v>
      </c>
    </row>
    <row r="27" spans="1:7" ht="20.100000000000001" customHeight="1" x14ac:dyDescent="0.2">
      <c r="A27" s="5" t="str">
        <f>HYPERLINK("#'4.6.1.1-2 Methane'!A1", "4.6.1.1-2 Manure Methane")</f>
        <v>4.6.1.1-2 Manure Methane</v>
      </c>
      <c r="D27" s="15" t="str">
        <v>Nitrogen - Nitrate</v>
      </c>
      <c r="E27" s="15"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v>
      </c>
      <c r="F27" s="15" cm="1">
        <f t="array" ref="F27">Common_InputFunctions.Utility_LookupValueInTableNumber(D27,Table_Fertiliser_ChemicalCompounds[Fertiliser type f],Table_Fertiliser_ChemicalCompounds[FU f])</f>
        <v>0</v>
      </c>
      <c r="G27" s="15">
        <f>(E27 * F27)</f>
        <v>0</v>
      </c>
    </row>
    <row r="28" spans="1:7" ht="20.100000000000001" customHeight="1" x14ac:dyDescent="0.2">
      <c r="A28" s="5" t="str">
        <f>HYPERLINK("#'4.6.1.3-4 Direct N20'!A1", "4.6.1.3-4 Manure Direct N2O")</f>
        <v>4.6.1.3-4 Manure Direct N2O</v>
      </c>
      <c r="D28" s="15" t="str">
        <v>Nitrogen - Generic</v>
      </c>
      <c r="E28" s="15"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f],Table_Fertiliser_ChemicalCompounds[FU f])</f>
        <v>0</v>
      </c>
      <c r="G28" s="15">
        <f>(E28 * F28)</f>
        <v>0</v>
      </c>
    </row>
    <row r="29" spans="1:7" ht="20.100000000000001" customHeight="1" x14ac:dyDescent="0.2">
      <c r="A29" s="5" t="str">
        <f>HYPERLINK("#'4.6.1.5-6 Atmos Dep'!A1", "4.6.1.5-6 Manure Atmos Dep")</f>
        <v>4.6.1.5-6 Manure Atmos Dep</v>
      </c>
      <c r="D29" s="15" t="str">
        <v>Phosphorus - Generic</v>
      </c>
      <c r="E29" s="15"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v>
      </c>
      <c r="F29" s="15" cm="1">
        <f t="array" ref="F29">Common_InputFunctions.Utility_LookupValueInTableNumber(D29,Table_Fertiliser_ChemicalCompounds[Fertiliser type f],Table_Fertiliser_ChemicalCompounds[FU f])</f>
        <v>0</v>
      </c>
      <c r="G29" s="15">
        <f>(E29 * F29)</f>
        <v>0</v>
      </c>
    </row>
    <row r="30" spans="1:7" ht="20.100000000000001" customHeight="1" x14ac:dyDescent="0.2">
      <c r="A30" s="5" t="str">
        <f>HYPERLINK("#'4.6.1.7-8 Leaching and runoff'!A1", "4.6.1.7-8 Manure Leaching and runoff")</f>
        <v>4.6.1.7-8 Manure Leaching and runoff</v>
      </c>
      <c r="D30" s="15" t="str">
        <v>Potassium - Generic</v>
      </c>
      <c r="E30" s="15"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v>
      </c>
      <c r="F30" s="15" cm="1">
        <f t="array" ref="F30">Common_InputFunctions.Utility_LookupValueInTableNumber(D30,Table_Fertiliser_ChemicalCompounds[Fertiliser type f],Table_Fertiliser_ChemicalCompounds[FU f])</f>
        <v>0</v>
      </c>
      <c r="G30" s="15">
        <f>(E30 * F30)</f>
        <v>0</v>
      </c>
    </row>
    <row r="31" spans="1:7" ht="20.100000000000001" customHeight="1" x14ac:dyDescent="0.2">
      <c r="A31" s="5" t="str">
        <f>HYPERLINK("#'4.6.1.9 Manure applied to soils'!A1", "4.6.1.9 Manure applied to soils")</f>
        <v>4.6.1.9 Manure applied to soils</v>
      </c>
      <c r="D31" s="15" t="str">
        <v>Sulfur - Generic</v>
      </c>
      <c r="E31" s="15"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v>
      </c>
      <c r="F31" s="15" cm="1">
        <f t="array" ref="F31">Common_InputFunctions.Utility_LookupValueInTableNumber(D31,Table_Fertiliser_ChemicalCompounds[Fertiliser type f],Table_Fertiliser_ChemicalCompounds[FU f])</f>
        <v>0</v>
      </c>
      <c r="G31" s="15">
        <f>(E31 * F31)</f>
        <v>0</v>
      </c>
    </row>
    <row r="32" spans="1:7" ht="20.100000000000001" customHeight="1" x14ac:dyDescent="0.2">
      <c r="A32" s="5" t="str">
        <f>HYPERLINK("#'4.6.1.10-11 Soil direct N2O'!A1", "4.6.1.10-11 Soil direct N2O")</f>
        <v>4.6.1.10-11 Soil direct N2O</v>
      </c>
      <c r="D32" s="15" t="str">
        <v>Zinc - Generic</v>
      </c>
      <c r="E32" s="15"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15" cm="1">
        <f t="array" ref="F32">Common_InputFunctions.Utility_LookupValueInTableNumber(D32,Table_Fertiliser_ChemicalCompounds[Fertiliser type f],Table_Fertiliser_ChemicalCompounds[FU f])</f>
        <v>0</v>
      </c>
      <c r="G32" s="15">
        <f>(E32 * F32)</f>
        <v>0</v>
      </c>
    </row>
    <row r="33" spans="1:12" ht="20.100000000000001" customHeight="1" x14ac:dyDescent="0.2">
      <c r="A33" s="5" t="str">
        <f>HYPERLINK("#'4.6.1.12-13 Soil atmos dep'!A1", "4.6.1.12-13 Soil atmos dep")</f>
        <v>4.6.1.12-13 Soil atmos dep</v>
      </c>
      <c r="D33" s="15" t="str">
        <v>Muriate of potash (MOP)</v>
      </c>
      <c r="E33" s="15"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f],Table_Fertiliser_ChemicalCompounds[FU f])</f>
        <v>0</v>
      </c>
      <c r="G33" s="15">
        <f>(E33 * F33)</f>
        <v>0</v>
      </c>
    </row>
    <row r="34" spans="1:12" ht="20.100000000000001" customHeight="1" x14ac:dyDescent="0.2">
      <c r="A34" s="5" t="str">
        <f>HYPERLINK("#'4.6.1.14-15 Soil leach runoff'!A1", "4.6.1.14-15 Soil leach runoff")</f>
        <v>4.6.1.14-15 Soil leach runoff</v>
      </c>
      <c r="D34" s="15" t="str">
        <v>Double superphosphate</v>
      </c>
      <c r="E34" s="15"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f],Table_Fertiliser_ChemicalCompounds[FU f])</f>
        <v>0</v>
      </c>
      <c r="G34" s="15">
        <f>(E34 * F34)</f>
        <v>0</v>
      </c>
    </row>
    <row r="35" spans="1:12" ht="20.100000000000001" customHeight="1" x14ac:dyDescent="0.2">
      <c r="A35" s="5" t="str">
        <f>HYPERLINK("#'8.1.1.1-2 Transport fuel'!A1", "8.1.1.1-2 Transport fuel")</f>
        <v>8.1.1.1-2 Transport fuel</v>
      </c>
      <c r="D35" s="15" t="str">
        <v>Single superphosphate (SSP)</v>
      </c>
      <c r="E35" s="15"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f],Table_Fertiliser_ChemicalCompounds[FU f])</f>
        <v>0</v>
      </c>
      <c r="G35" s="15">
        <f>(E35 * F35)</f>
        <v>0</v>
      </c>
    </row>
    <row r="36" spans="1:12" ht="20.100000000000001" customHeight="1" x14ac:dyDescent="0.2">
      <c r="A36" s="5" t="str">
        <f>HYPERLINK("#'8.2.1.1-2 Stationary fuel'!A1", "8.2.1.1-2 Stationary fuel")</f>
        <v>8.2.1.1-2 Stationary fuel</v>
      </c>
      <c r="D36" s="15" t="str">
        <v>Ammonia</v>
      </c>
      <c r="E36" s="15"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15" cm="1">
        <f t="array" ref="F36">Common_InputFunctions.Utility_LookupValueInTableNumber(D36,Table_Fertiliser_ChemicalCompounds[Fertiliser type f],Table_Fertiliser_ChemicalCompounds[FU f])</f>
        <v>0</v>
      </c>
      <c r="G36" s="15">
        <f>(E36 * F36)</f>
        <v>0</v>
      </c>
    </row>
    <row r="37" spans="1:12" ht="20.100000000000001" customHeight="1" x14ac:dyDescent="0.2">
      <c r="A37" s="5" t="str">
        <f>HYPERLINK("#'10.1.1-2 Solid waste treatment'!A1", "10.1.1.1-2 Solid waste")</f>
        <v>10.1.1.1-2 Solid waste</v>
      </c>
      <c r="D37" s="15" t="str">
        <v>Calcium nitrate</v>
      </c>
      <c r="E37" s="15"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15" cm="1">
        <f t="array" ref="F37">Common_InputFunctions.Utility_LookupValueInTableNumber(D37,Table_Fertiliser_ChemicalCompounds[Fertiliser type f],Table_Fertiliser_ChemicalCompounds[FU f])</f>
        <v>0</v>
      </c>
      <c r="G37" s="15">
        <f>(E37 * F37)</f>
        <v>0</v>
      </c>
    </row>
    <row r="38" spans="1:12" ht="20.100000000000001" customHeight="1" x14ac:dyDescent="0.2">
      <c r="A38" s="5" t="str">
        <f>HYPERLINK("#'14.1.1-2 Purchased electricity'!A1", "14.1.1-2 Purchased electricity")</f>
        <v>14.1.1-2 Purchased electricity</v>
      </c>
    </row>
    <row r="39" spans="1:12" ht="20.100000000000001" customHeight="1" x14ac:dyDescent="0.2">
      <c r="A39" s="5" t="str">
        <f>HYPERLINK("#'15 Scope 3'!A1", "15 Scope 3")</f>
        <v>15 Scope 3</v>
      </c>
    </row>
    <row r="40" spans="1:12" ht="20.100000000000001" customHeight="1" x14ac:dyDescent="0.2">
      <c r="A40" s="5" t="str">
        <f>HYPERLINK("#'Calcs - Manure sent off-site'!A1", "Calcs - Manure sent off-site")</f>
        <v>Calcs - Manure sent off-site</v>
      </c>
      <c r="C40" s="83"/>
      <c r="D40" s="83"/>
      <c r="E40" s="83"/>
      <c r="F40" s="83"/>
      <c r="G40" s="83"/>
      <c r="H40" s="83"/>
      <c r="I40" s="83"/>
      <c r="J40" s="83"/>
      <c r="K40" s="83"/>
      <c r="L40" s="83"/>
    </row>
    <row r="41" spans="1:12" ht="20.100000000000001" customHeight="1" x14ac:dyDescent="0.2">
      <c r="A41" s="5" t="str">
        <f>HYPERLINK("#'5.1.1.1-2 Inorganic fert N2O'!A1", "5.1.1.1-2 Inorganic fert N2O")</f>
        <v>5.1.1.1-2 Inorganic fert N2O</v>
      </c>
      <c r="D41" s="2" t="s">
        <v>2375</v>
      </c>
    </row>
    <row r="42" spans="1:12" ht="20.100000000000001" customHeight="1" x14ac:dyDescent="0.2">
      <c r="A42" s="117" t="str">
        <f>HYPERLINK("#'5.1.1.3-4 Inorganic fert CO2'!A1", "5.1.1.3-4 Inorganic fert CO2")</f>
        <v>5.1.1.3-4 Inorganic fert CO2</v>
      </c>
      <c r="D42" s="17" t="s">
        <v>2376</v>
      </c>
    </row>
    <row r="43" spans="1:12" ht="20.100000000000001" customHeight="1" x14ac:dyDescent="0.2">
      <c r="A43" s="5" t="str">
        <f>HYPERLINK("#'5.2.1.1-2 Organic Fert N2O'!A1", "5.2.1.1-2 Organic Fert N2O")</f>
        <v>5.2.1.1-2 Organic Fert N2O</v>
      </c>
      <c r="D43" s="112"/>
      <c r="E43" s="112"/>
    </row>
    <row r="44" spans="1:12" ht="20.100000000000001" customHeight="1" x14ac:dyDescent="0.2">
      <c r="A44" s="5" t="str">
        <f>HYPERLINK("#'5.3.1.1-2 Lime CO2'!A1", "5.3.1.1-2 Lime CO2")</f>
        <v>5.3.1.1-2 Lime CO2</v>
      </c>
    </row>
    <row r="45" spans="1:12" ht="20.100000000000001" customHeight="1" x14ac:dyDescent="0.2">
      <c r="A45" s="5" t="str">
        <f>HYPERLINK("#'5.4.1.1-4 Atmos deposition'!A1", "5.4.1.1-4 Atmos deposition")</f>
        <v>5.4.1.1-4 Atmos deposition</v>
      </c>
    </row>
    <row r="46" spans="1:12" ht="20.100000000000001" customHeight="1" x14ac:dyDescent="0.2">
      <c r="A46" s="5" t="str">
        <f>HYPERLINK("#'5.5.1.1-2 Leaching and runoff'!A1", "5.5.1.1-2 Leaching and runoff")</f>
        <v>5.5.1.1-2 Leaching and runoff</v>
      </c>
      <c r="D46" s="75" t="s">
        <v>328</v>
      </c>
      <c r="E46" s="1" t="s">
        <v>2377</v>
      </c>
    </row>
    <row r="47" spans="1:12" ht="20.100000000000001" customHeight="1" x14ac:dyDescent="0.2">
      <c r="D47" s="75" t="s">
        <v>118</v>
      </c>
      <c r="E47" s="9" t="s">
        <v>127</v>
      </c>
    </row>
    <row r="49" spans="1:9" ht="20.100000000000001" customHeight="1" x14ac:dyDescent="0.2">
      <c r="A49" s="80" t="s">
        <v>1</v>
      </c>
      <c r="D49" s="126" t="s">
        <v>2370</v>
      </c>
      <c r="E49" s="129" t="s">
        <v>2378</v>
      </c>
      <c r="F49" s="223"/>
      <c r="G49" s="126" t="s">
        <v>2371</v>
      </c>
      <c r="H49" s="115" t="s">
        <v>1618</v>
      </c>
      <c r="I49" s="116" t="str" cm="1">
        <f t="array" aca="1" ref="I49" ca="1">HYPERLINK(Common_InputFunctions.Utility_SourceHyperlink($D$16), $D$16)</f>
        <v>Table_MU_j_f</v>
      </c>
    </row>
    <row r="50" spans="1:9" ht="20.100000000000001" customHeight="1" x14ac:dyDescent="0.2">
      <c r="A50" s="5" t="str">
        <f>HYPERLINK("#'Constants - Poultry'!A1", "Constants - Poultry")</f>
        <v>Constants - Poultry</v>
      </c>
      <c r="D50" s="126" t="s">
        <v>2379</v>
      </c>
      <c r="E50" s="129" t="s">
        <v>2380</v>
      </c>
      <c r="F50" s="223"/>
      <c r="G50" s="126" t="s">
        <v>1801</v>
      </c>
      <c r="H50" s="115" t="s">
        <v>1203</v>
      </c>
      <c r="I50" s="126">
        <f>Fertiliser_EFUreaCO2_Data</f>
        <v>0.2</v>
      </c>
    </row>
    <row r="51" spans="1:9" ht="20.100000000000001" customHeight="1" x14ac:dyDescent="0.2">
      <c r="A51" s="5" t="str">
        <f>HYPERLINK("#'Constants - Common livestock'!A1", "Constants - Common Livestock")</f>
        <v>Constants - Common Livestock</v>
      </c>
      <c r="D51" s="126" t="s">
        <v>2381</v>
      </c>
      <c r="E51" s="129" t="s">
        <v>2382</v>
      </c>
      <c r="F51" s="223"/>
      <c r="G51" s="126"/>
      <c r="H51" s="115" t="s">
        <v>1203</v>
      </c>
      <c r="I51" s="126">
        <f>Common_InputFunctions.Utility_LookupValueInTableNumber("CO2",Table_GasToMolecularConversionFactor[Gas], Table_GasToMolecularConversionFactor[Conversion factor combined])</f>
        <v>3.6666666666666665</v>
      </c>
    </row>
    <row r="52" spans="1:9" ht="20.100000000000001" customHeight="1" x14ac:dyDescent="0.2">
      <c r="A52" s="5" t="str">
        <f>HYPERLINK("#'Constants - Electricity'!A1", "Constants - Electricity")</f>
        <v>Constants - Electricity</v>
      </c>
      <c r="D52" s="126" t="s">
        <v>1318</v>
      </c>
      <c r="E52" s="129" t="s">
        <v>311</v>
      </c>
      <c r="F52" s="223"/>
      <c r="G52" s="126"/>
      <c r="H52" s="114" t="s">
        <v>1202</v>
      </c>
      <c r="I52" s="126" t="str">
        <f>X_Cell_Fertiliser_ProductionSystem</f>
        <v>Crop</v>
      </c>
    </row>
    <row r="53" spans="1:9" ht="20.100000000000001" customHeight="1" x14ac:dyDescent="0.2">
      <c r="A53" s="5" t="str">
        <f>HYPERLINK("#'Constants - Fertiliser'!A1", "Constants - Fertiliser")</f>
        <v>Constants - Fertiliser</v>
      </c>
      <c r="D53" s="126" t="s">
        <v>1526</v>
      </c>
      <c r="E53" s="129" t="s">
        <v>2350</v>
      </c>
      <c r="F53" s="223"/>
      <c r="G53" s="126"/>
      <c r="H53" s="115" t="s">
        <v>1638</v>
      </c>
      <c r="I53" s="116" t="str" cm="1">
        <f t="array" aca="1" ref="I53" ca="1">HYPERLINK(Common_InputFunctions.Utility_SourceHyperlink($D$16), $D$16)</f>
        <v>Table_MU_j_f</v>
      </c>
    </row>
    <row r="54" spans="1:9" ht="20.100000000000001" customHeight="1" x14ac:dyDescent="0.2">
      <c r="A54" s="5" t="str">
        <f>HYPERLINK("#'Constants - Fuel'!A1", "Constants - Fuel")</f>
        <v>Constants - Fuel</v>
      </c>
    </row>
    <row r="55" spans="1:9" ht="20.100000000000001" customHeight="1" x14ac:dyDescent="0.2">
      <c r="A55" s="5" t="str">
        <f>HYPERLINK("#'Constants - Scope 3'!A1", "Constants - Scope 3")</f>
        <v>Constants - Scope 3</v>
      </c>
      <c r="D55" s="118" t="s">
        <v>795</v>
      </c>
    </row>
    <row r="56" spans="1:9" ht="20.100000000000001" customHeight="1" x14ac:dyDescent="0.2">
      <c r="A56" s="5" t="str">
        <f>HYPERLINK("#'Constants - Solid Waste'!A1", "Constants - Solid Waste")</f>
        <v>Constants - Solid Waste</v>
      </c>
      <c r="D56" s="119" t="s">
        <v>796</v>
      </c>
    </row>
    <row r="57" spans="1:9" ht="20.100000000000001" customHeight="1" x14ac:dyDescent="0.2">
      <c r="A57" s="5" t="str">
        <f>HYPERLINK("#'Constants - Common'!A1", "Constants - Common")</f>
        <v>Constants - Common</v>
      </c>
      <c r="D57" s="120" t="s">
        <v>765</v>
      </c>
      <c r="E57" s="120" t="s">
        <v>777</v>
      </c>
    </row>
    <row r="58" spans="1:9" ht="20.100000000000001" customHeight="1" x14ac:dyDescent="0.2">
      <c r="D58" s="15" t="str" cm="1">
        <f t="array" ref="D58:D76">Table_Fertiliser_ChemicalCompounds[Fertiliser type f]</f>
        <v>Monoammonium phosphate (MAP)</v>
      </c>
      <c r="E58" s="15">
        <f>((G19 * $I$50 * $I$51) * 10 ^ -3)</f>
        <v>0</v>
      </c>
      <c r="F58" s="16" t="str">
        <f>$E$47</f>
        <v>t CO2</v>
      </c>
    </row>
    <row r="59" spans="1:9" ht="20.100000000000001" customHeight="1" x14ac:dyDescent="0.2">
      <c r="D59" s="15" t="str">
        <v>Diammonium phosphate (DAP)</v>
      </c>
      <c r="E59" s="15">
        <f>((G20 * $I$50 * $I$51) * 10 ^ -3)</f>
        <v>0</v>
      </c>
    </row>
    <row r="60" spans="1:9" ht="20.100000000000001" customHeight="1" x14ac:dyDescent="0.2">
      <c r="D60" s="15" t="str">
        <v>Urea</v>
      </c>
      <c r="E60" s="15">
        <f>((G21 * $I$50 * $I$51) * 10 ^ -3)</f>
        <v>18.492752666666668</v>
      </c>
    </row>
    <row r="61" spans="1:9" ht="20.100000000000001" customHeight="1" x14ac:dyDescent="0.2">
      <c r="D61" s="15" t="str">
        <v>Sulphate of ammonia (SOA)</v>
      </c>
      <c r="E61" s="15">
        <f>((G22 * $I$50 * $I$51) * 10 ^ -3)</f>
        <v>0</v>
      </c>
    </row>
    <row r="62" spans="1:9" ht="20.100000000000001" customHeight="1" x14ac:dyDescent="0.2">
      <c r="D62" s="15" t="str">
        <v>Urea-ammonium nitrate (UAN)</v>
      </c>
      <c r="E62" s="15">
        <f>((G23 * $I$50 * $I$51) * 10 ^ -3)</f>
        <v>0</v>
      </c>
    </row>
    <row r="63" spans="1:9" ht="20.100000000000001" customHeight="1" x14ac:dyDescent="0.2">
      <c r="D63" s="15" t="str">
        <v>Ammonium nitrate (AN)</v>
      </c>
      <c r="E63" s="15">
        <f>((G24 * $I$50 * $I$51) * 10 ^ -3)</f>
        <v>0</v>
      </c>
    </row>
    <row r="64" spans="1:9" ht="20.100000000000001" customHeight="1" x14ac:dyDescent="0.2">
      <c r="D64" s="15" t="str">
        <v>Calcium ammonium nitrate (CAN)</v>
      </c>
      <c r="E64" s="15">
        <f>((G25 * $I$50 * $I$51) * 10 ^ -3)</f>
        <v>0</v>
      </c>
    </row>
    <row r="65" spans="1:6" ht="20.100000000000001" customHeight="1" x14ac:dyDescent="0.2">
      <c r="D65" s="15" t="str">
        <v>Nitrogen - Ammoniacal</v>
      </c>
      <c r="E65" s="15">
        <f>((G26 * $I$50 * $I$51) * 10 ^ -3)</f>
        <v>0</v>
      </c>
    </row>
    <row r="66" spans="1:6" ht="20.100000000000001" customHeight="1" x14ac:dyDescent="0.2">
      <c r="D66" s="15" t="str">
        <v>Nitrogen - Nitrate</v>
      </c>
      <c r="E66" s="15">
        <f>((G27 * $I$50 * $I$51) * 10 ^ -3)</f>
        <v>0</v>
      </c>
    </row>
    <row r="67" spans="1:6" ht="20.100000000000001" customHeight="1" x14ac:dyDescent="0.2">
      <c r="D67" s="15" t="str">
        <v>Nitrogen - Generic</v>
      </c>
      <c r="E67" s="15">
        <f>((G28 * $I$50 * $I$51) * 10 ^ -3)</f>
        <v>0</v>
      </c>
    </row>
    <row r="68" spans="1:6" ht="20.100000000000001" customHeight="1" x14ac:dyDescent="0.2">
      <c r="A68" s="79" t="str">
        <f>HYPERLINK("#A1", "▲ Back to top")</f>
        <v>▲ Back to top</v>
      </c>
      <c r="D68" s="15" t="str">
        <v>Phosphorus - Generic</v>
      </c>
      <c r="E68" s="15">
        <f>((G29 * $I$50 * $I$51) * 10 ^ -3)</f>
        <v>0</v>
      </c>
    </row>
    <row r="69" spans="1:6" ht="20.100000000000001" customHeight="1" x14ac:dyDescent="0.2">
      <c r="D69" s="15" t="str">
        <v>Potassium - Generic</v>
      </c>
      <c r="E69" s="15">
        <f>((G30 * $I$50 * $I$51) * 10 ^ -3)</f>
        <v>0</v>
      </c>
    </row>
    <row r="70" spans="1:6" ht="20.100000000000001" customHeight="1" x14ac:dyDescent="0.2">
      <c r="D70" s="15" t="str">
        <v>Sulfur - Generic</v>
      </c>
      <c r="E70" s="15">
        <f>((G31 * $I$50 * $I$51) * 10 ^ -3)</f>
        <v>0</v>
      </c>
    </row>
    <row r="71" spans="1:6" ht="20.100000000000001" customHeight="1" x14ac:dyDescent="0.2">
      <c r="D71" s="15" t="str">
        <v>Zinc - Generic</v>
      </c>
      <c r="E71" s="15">
        <f>((G32 * $I$50 * $I$51) * 10 ^ -3)</f>
        <v>0</v>
      </c>
    </row>
    <row r="72" spans="1:6" ht="20.100000000000001" customHeight="1" x14ac:dyDescent="0.2">
      <c r="D72" s="15" t="str">
        <v>Muriate of potash (MOP)</v>
      </c>
      <c r="E72" s="15">
        <f>((G33 * $I$50 * $I$51) * 10 ^ -3)</f>
        <v>0</v>
      </c>
    </row>
    <row r="73" spans="1:6" ht="20.100000000000001" customHeight="1" x14ac:dyDescent="0.2">
      <c r="D73" s="15" t="str">
        <v>Double superphosphate</v>
      </c>
      <c r="E73" s="15">
        <f>((G34 * $I$50 * $I$51) * 10 ^ -3)</f>
        <v>0</v>
      </c>
    </row>
    <row r="74" spans="1:6" ht="20.100000000000001" customHeight="1" x14ac:dyDescent="0.2">
      <c r="D74" s="15" t="str">
        <v>Single superphosphate (SSP)</v>
      </c>
      <c r="E74" s="15">
        <f>((G35 * $I$50 * $I$51) * 10 ^ -3)</f>
        <v>0</v>
      </c>
    </row>
    <row r="75" spans="1:6" ht="20.100000000000001" customHeight="1" x14ac:dyDescent="0.2">
      <c r="D75" s="15" t="str">
        <v>Ammonia</v>
      </c>
      <c r="E75" s="15">
        <f>((G36 * $I$50 * $I$51) * 10 ^ -3)</f>
        <v>0</v>
      </c>
    </row>
    <row r="76" spans="1:6" ht="20.100000000000001" customHeight="1" x14ac:dyDescent="0.2">
      <c r="D76" s="15" t="str">
        <v>Calcium nitrate</v>
      </c>
      <c r="E76" s="15">
        <f>((G37 * $I$50 * $I$51) * 10 ^ -3)</f>
        <v>0</v>
      </c>
    </row>
    <row r="78" spans="1:6" ht="20.100000000000001" customHeight="1" x14ac:dyDescent="0.2">
      <c r="D78" s="85" t="s">
        <v>797</v>
      </c>
      <c r="E78" s="86">
        <f>SUM(E58:E76)</f>
        <v>18.492752666666668</v>
      </c>
      <c r="F78" s="95" t="str">
        <f>$E$47</f>
        <v>t CO2</v>
      </c>
    </row>
  </sheetData>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8BC10-5E1C-4AC6-9368-8292639CF451}">
  <sheetPr>
    <tabColor rgb="FF008000"/>
  </sheetPr>
  <dimension ref="A1:U57"/>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798</v>
      </c>
    </row>
    <row r="2" spans="1:21" s="3" customFormat="1" ht="20.100000000000001" customHeight="1" x14ac:dyDescent="0.2">
      <c r="A2"/>
    </row>
    <row r="3" spans="1:21" ht="20.100000000000001" customHeight="1" x14ac:dyDescent="0.2">
      <c r="A3" s="5" t="str">
        <f>HYPERLINK("#'Home'!A1", "Home")</f>
        <v>Home</v>
      </c>
      <c r="C3" s="22"/>
      <c r="D3" s="22" t="s">
        <v>130</v>
      </c>
      <c r="E3" s="22"/>
      <c r="F3" s="22"/>
      <c r="G3" s="22"/>
      <c r="H3" s="22"/>
      <c r="I3" s="22"/>
      <c r="J3" s="22"/>
      <c r="K3" s="22"/>
      <c r="L3" s="22"/>
      <c r="N3" s="22"/>
      <c r="O3" s="22" t="s">
        <v>131</v>
      </c>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2383</v>
      </c>
    </row>
    <row r="6" spans="1:21" ht="20.100000000000001" customHeight="1" x14ac:dyDescent="0.2">
      <c r="D6" s="17" t="s">
        <v>2384</v>
      </c>
    </row>
    <row r="7" spans="1:21" ht="20.100000000000001" customHeight="1" x14ac:dyDescent="0.2">
      <c r="D7" s="112"/>
      <c r="E7" s="112"/>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328</v>
      </c>
      <c r="E10" s="1" t="s">
        <v>1633</v>
      </c>
    </row>
    <row r="11" spans="1:21" ht="20.100000000000001" customHeight="1" x14ac:dyDescent="0.2">
      <c r="A11" s="5" t="str">
        <f>HYPERLINK("#'Input - Poultry'!A1", "Poultry")</f>
        <v>Poultry</v>
      </c>
      <c r="D11" s="75" t="s">
        <v>118</v>
      </c>
      <c r="E11" s="9" t="s">
        <v>482</v>
      </c>
    </row>
    <row r="12" spans="1:21" ht="20.100000000000001" customHeight="1" x14ac:dyDescent="0.2">
      <c r="A12" s="5" t="str">
        <f>HYPERLINK("#'Input - Livestock sales'!A1", "Livestock sales")</f>
        <v>Livestock sales</v>
      </c>
    </row>
    <row r="13" spans="1:21" ht="20.100000000000001" customHeight="1" x14ac:dyDescent="0.2">
      <c r="A13" s="5" t="str">
        <f>HYPERLINK("#'Input - Poultry purchases'!A1", "Poultry purchases")</f>
        <v>Poultry purchases</v>
      </c>
      <c r="D13" s="126" t="s">
        <v>2385</v>
      </c>
      <c r="E13" s="129" t="s">
        <v>2386</v>
      </c>
      <c r="F13" s="223"/>
      <c r="G13" s="113" t="s">
        <v>757</v>
      </c>
      <c r="H13" s="114" t="s">
        <v>1202</v>
      </c>
      <c r="I13" s="116" t="str" cm="1">
        <f t="array" aca="1" ref="I13" ca="1">HYPERLINK(Common_InputFunctions.Utility_SourceHyperlink($D$17), $D$17)</f>
        <v>Table_MNSoil_j_f</v>
      </c>
    </row>
    <row r="14" spans="1:21" ht="20.100000000000001" customHeight="1" x14ac:dyDescent="0.2">
      <c r="A14" s="5" t="str">
        <f>HYPERLINK("#'Input - Fuel'!A1", "Fuel")</f>
        <v>Fuel</v>
      </c>
      <c r="D14" s="126" t="s">
        <v>2387</v>
      </c>
      <c r="E14" s="129" t="s">
        <v>2388</v>
      </c>
      <c r="F14" s="223"/>
      <c r="G14" s="113" t="s">
        <v>2341</v>
      </c>
      <c r="H14" s="114" t="s">
        <v>1202</v>
      </c>
      <c r="I14" s="116" t="str" cm="1">
        <f t="array" aca="1" ref="I14" ca="1">HYPERLINK(Common_InputFunctions.Utility_SourceHyperlink($D$17), $D$17)</f>
        <v>Table_MNSoil_j_f</v>
      </c>
    </row>
    <row r="15" spans="1:21" ht="20.100000000000001" customHeight="1" x14ac:dyDescent="0.2">
      <c r="A15" s="5" t="str">
        <f>HYPERLINK("#'Input - Electricity'!A1", "Electricity")</f>
        <v>Electricity</v>
      </c>
      <c r="D15" s="126" t="s">
        <v>1526</v>
      </c>
      <c r="E15" s="129" t="s">
        <v>851</v>
      </c>
      <c r="F15" s="223"/>
      <c r="G15" s="113"/>
      <c r="H15" s="114" t="s">
        <v>1202</v>
      </c>
      <c r="I15" s="116" t="str" cm="1">
        <f t="array" aca="1" ref="I15" ca="1">HYPERLINK(Common_InputFunctions.Utility_SourceHyperlink($D$17), $D$17)</f>
        <v>Table_MNSoil_j_f</v>
      </c>
    </row>
    <row r="16" spans="1:21" ht="20.100000000000001" customHeight="1" x14ac:dyDescent="0.2">
      <c r="A16" s="5" t="str">
        <f>HYPERLINK("#'Input - Common farm inputs'!A1", "Common farm inputs")</f>
        <v>Common farm inputs</v>
      </c>
    </row>
    <row r="17" spans="1:10" ht="20.100000000000001" customHeight="1" x14ac:dyDescent="0.2">
      <c r="A17" s="5" t="str">
        <f>HYPERLINK("#'Input - Livestock farm Inputs'!A1", "Livestock farm Inputs")</f>
        <v>Livestock farm Inputs</v>
      </c>
      <c r="D17" s="118" t="s">
        <v>799</v>
      </c>
    </row>
    <row r="18" spans="1:10" ht="20.100000000000001" customHeight="1" x14ac:dyDescent="0.2">
      <c r="A18" s="5" t="str">
        <f>HYPERLINK("#'Input - Freight'!A1", "Freight")</f>
        <v>Freight</v>
      </c>
      <c r="D18" s="119" t="s">
        <v>800</v>
      </c>
    </row>
    <row r="19" spans="1:10" ht="20.100000000000001" customHeight="1" x14ac:dyDescent="0.2">
      <c r="A19" s="5" t="str">
        <f>HYPERLINK("#'Input - Solid waste'!A1", "Solid waste")</f>
        <v>Solid waste</v>
      </c>
      <c r="D19" s="78" t="s">
        <v>801</v>
      </c>
      <c r="E19" s="78" t="s">
        <v>802</v>
      </c>
      <c r="F19" s="78" t="s">
        <v>693</v>
      </c>
      <c r="G19" s="227" t="s">
        <v>803</v>
      </c>
      <c r="H19" s="78" t="s">
        <v>804</v>
      </c>
      <c r="I19" s="227" t="s">
        <v>805</v>
      </c>
    </row>
    <row r="20" spans="1:10" ht="20.100000000000001" customHeight="1" x14ac:dyDescent="0.2">
      <c r="A20" s="5" t="str">
        <f>HYPERLINK("#'Input - Manure sent off-site'!A1", "Manure sent off-site")</f>
        <v>Manure sent off-site</v>
      </c>
      <c r="D20" s="15" t="str" cm="1">
        <f t="array" ref="D20:D22">Table_Input_OrganicFertiliser[Organic fertiliser type (select)]</f>
        <v>Manure - Other</v>
      </c>
      <c r="E20" s="228" cm="1">
        <f t="array" ref="E20:E22">Table_Input_OrganicFertiliser[Amount applied (kg/hectare)]</f>
        <v>10</v>
      </c>
      <c r="F20" s="228" cm="1">
        <f t="array" ref="F20:F22">Table_Input_OrganicFertiliser[Application area (ha)]</f>
        <v>100</v>
      </c>
      <c r="G20" s="15" cm="1">
        <f t="array" ref="G20:G22">Table_Input_OrganicFertiliser[Amount applied (kg/hectare)]*Table_Input_OrganicFertiliser[Application area (ha)]</f>
        <v>1000</v>
      </c>
      <c r="H20" s="229" cm="1">
        <f t="array" ref="H20:H22">Table_Input_OrganicFertiliser[Percentage of N in fertiliser]</f>
        <v>0.3</v>
      </c>
      <c r="I20" s="15">
        <f>(G20 * H20)</f>
        <v>300</v>
      </c>
    </row>
    <row r="21" spans="1:10" ht="20.100000000000001" customHeight="1" x14ac:dyDescent="0.2">
      <c r="A21" s="5" t="str">
        <f>HYPERLINK("#'Input - Data quality'!A1", "Data quality")</f>
        <v>Data quality</v>
      </c>
      <c r="D21" s="15" t="str">
        <v>Manure - Poultry</v>
      </c>
      <c r="E21" s="15">
        <v>10</v>
      </c>
      <c r="F21" s="15">
        <v>100</v>
      </c>
      <c r="G21" s="15">
        <v>1000</v>
      </c>
      <c r="H21" s="15">
        <v>0.25</v>
      </c>
      <c r="I21" s="15">
        <f>(G21 * H21)</f>
        <v>250</v>
      </c>
    </row>
    <row r="22" spans="1:10" ht="20.100000000000001" customHeight="1" x14ac:dyDescent="0.2">
      <c r="A22" s="5" t="str">
        <f>HYPERLINK("#'Input - Fert Prod System'!A1", "Fert Prod System")</f>
        <v>Fert Prod System</v>
      </c>
      <c r="D22" s="15" t="str">
        <v>Other organic fertiliser</v>
      </c>
      <c r="E22" s="15">
        <v>10</v>
      </c>
      <c r="F22" s="15">
        <v>100</v>
      </c>
      <c r="G22" s="15">
        <v>1000</v>
      </c>
      <c r="H22" s="15">
        <v>0.16</v>
      </c>
      <c r="I22" s="15">
        <f>(G22 * H22)</f>
        <v>160</v>
      </c>
    </row>
    <row r="23" spans="1:10" ht="20.100000000000001" customHeight="1" x14ac:dyDescent="0.2">
      <c r="A23" s="5" t="str">
        <f>HYPERLINK("#'Input - Fertiliser'!A1", "Fertiliser")</f>
        <v>Fertiliser</v>
      </c>
      <c r="D23" s="15"/>
      <c r="E23" s="15"/>
      <c r="F23" s="15"/>
      <c r="G23" s="15"/>
      <c r="H23" s="15"/>
      <c r="I23" s="15">
        <f>(G23 * H23)</f>
        <v>0</v>
      </c>
    </row>
    <row r="24" spans="1:10" ht="20.100000000000001" customHeight="1" x14ac:dyDescent="0.2">
      <c r="D24" s="15"/>
      <c r="E24" s="15"/>
      <c r="F24" s="15"/>
      <c r="G24" s="15"/>
      <c r="H24" s="15"/>
      <c r="I24" s="15">
        <f>(G24 * H24)</f>
        <v>0</v>
      </c>
    </row>
    <row r="25" spans="1:10" ht="20.100000000000001" customHeight="1" x14ac:dyDescent="0.2">
      <c r="D25" s="15"/>
      <c r="E25" s="15"/>
      <c r="F25" s="15"/>
      <c r="G25" s="15"/>
      <c r="H25" s="15"/>
      <c r="I25" s="15">
        <f>(G25 * H25)</f>
        <v>0</v>
      </c>
    </row>
    <row r="26" spans="1:10" ht="20.100000000000001" customHeight="1" x14ac:dyDescent="0.2">
      <c r="A26" s="6" t="s">
        <v>2</v>
      </c>
      <c r="D26" s="15"/>
      <c r="E26" s="15"/>
      <c r="F26" s="15"/>
      <c r="G26" s="15"/>
      <c r="H26" s="15"/>
      <c r="I26" s="15">
        <f>(G26 * H26)</f>
        <v>0</v>
      </c>
    </row>
    <row r="27" spans="1:10" ht="20.100000000000001" customHeight="1" x14ac:dyDescent="0.2">
      <c r="A27" s="5" t="str">
        <f>HYPERLINK("#'4.6.1.1-2 Methane'!A1", "4.6.1.1-2 Manure Methane")</f>
        <v>4.6.1.1-2 Manure Methane</v>
      </c>
      <c r="D27" s="15"/>
      <c r="E27" s="15"/>
      <c r="F27" s="15"/>
      <c r="G27" s="15"/>
      <c r="H27" s="15"/>
      <c r="I27" s="15">
        <f>(G27 * H27)</f>
        <v>0</v>
      </c>
    </row>
    <row r="28" spans="1:10" ht="20.100000000000001" customHeight="1" x14ac:dyDescent="0.2">
      <c r="A28" s="5" t="str">
        <f>HYPERLINK("#'4.6.1.3-4 Direct N20'!A1", "4.6.1.3-4 Manure Direct N2O")</f>
        <v>4.6.1.3-4 Manure Direct N2O</v>
      </c>
      <c r="D28" s="15"/>
      <c r="E28" s="15"/>
      <c r="F28" s="15"/>
      <c r="G28" s="15"/>
      <c r="H28" s="15"/>
      <c r="I28" s="15">
        <f>(G28 * H28)</f>
        <v>0</v>
      </c>
    </row>
    <row r="29" spans="1:10" ht="20.100000000000001" customHeight="1" x14ac:dyDescent="0.2">
      <c r="A29" s="5" t="str">
        <f>HYPERLINK("#'4.6.1.5-6 Atmos Dep'!A1", "4.6.1.5-6 Manure Atmos Dep")</f>
        <v>4.6.1.5-6 Manure Atmos Dep</v>
      </c>
      <c r="D29" s="15"/>
      <c r="E29" s="15"/>
      <c r="F29" s="15"/>
      <c r="G29" s="15"/>
      <c r="H29" s="15"/>
      <c r="I29" s="15">
        <f>(G29 * H29)</f>
        <v>0</v>
      </c>
    </row>
    <row r="30" spans="1:10" ht="20.100000000000001" customHeight="1" x14ac:dyDescent="0.2">
      <c r="A30" s="5" t="str">
        <f>HYPERLINK("#'4.6.1.7-8 Leaching and runoff'!A1", "4.6.1.7-8 Manure Leaching and runoff")</f>
        <v>4.6.1.7-8 Manure Leaching and runoff</v>
      </c>
      <c r="D30" s="15"/>
      <c r="E30" s="15"/>
      <c r="F30" s="15"/>
      <c r="G30" s="15"/>
      <c r="H30" s="15"/>
      <c r="I30" s="15">
        <f>(G30 * H30)</f>
        <v>0</v>
      </c>
    </row>
    <row r="31" spans="1:10" ht="20.100000000000001" customHeight="1" x14ac:dyDescent="0.2">
      <c r="A31" s="5" t="str">
        <f>HYPERLINK("#'4.6.1.9 Manure applied to soils'!A1", "4.6.1.9 Manure applied to soils")</f>
        <v>4.6.1.9 Manure applied to soils</v>
      </c>
      <c r="D31" s="154"/>
      <c r="E31" s="154"/>
      <c r="F31" s="154"/>
      <c r="G31" s="154"/>
      <c r="H31" s="154"/>
      <c r="I31" s="154"/>
      <c r="J31" s="154"/>
    </row>
    <row r="32" spans="1:10" ht="20.100000000000001" customHeight="1" x14ac:dyDescent="0.2">
      <c r="A32" s="5" t="str">
        <f>HYPERLINK("#'4.6.1.10-11 Soil direct N2O'!A1", "4.6.1.10-11 Soil direct N2O")</f>
        <v>4.6.1.10-11 Soil direct N2O</v>
      </c>
      <c r="D32" s="88" t="s">
        <v>806</v>
      </c>
      <c r="E32" s="88">
        <f>SUM(I20:I30)</f>
        <v>710</v>
      </c>
      <c r="F32" s="230" t="str">
        <f>$E$11</f>
        <v>kg N</v>
      </c>
      <c r="G32" s="154"/>
      <c r="H32" s="154"/>
      <c r="I32" s="154"/>
      <c r="J32" s="154"/>
    </row>
    <row r="33" spans="1:12" ht="20.100000000000001" customHeight="1" x14ac:dyDescent="0.2">
      <c r="A33" s="5" t="str">
        <f>HYPERLINK("#'4.6.1.12-13 Soil atmos dep'!A1", "4.6.1.12-13 Soil atmos dep")</f>
        <v>4.6.1.12-13 Soil atmos dep</v>
      </c>
    </row>
    <row r="34" spans="1:12" ht="20.100000000000001" customHeight="1" x14ac:dyDescent="0.2">
      <c r="A34" s="5" t="str">
        <f>HYPERLINK("#'4.6.1.14-15 Soil leach runoff'!A1", "4.6.1.14-15 Soil leach runoff")</f>
        <v>4.6.1.14-15 Soil leach runoff</v>
      </c>
    </row>
    <row r="35" spans="1:12" ht="20.100000000000001" customHeight="1" x14ac:dyDescent="0.2">
      <c r="A35" s="5" t="str">
        <f>HYPERLINK("#'8.1.1.1-2 Transport fuel'!A1", "8.1.1.1-2 Transport fuel")</f>
        <v>8.1.1.1-2 Transport fuel</v>
      </c>
      <c r="C35" s="231"/>
      <c r="D35" s="231"/>
      <c r="E35" s="231"/>
      <c r="F35" s="231"/>
      <c r="G35" s="231"/>
      <c r="H35" s="231"/>
      <c r="I35" s="231"/>
      <c r="J35" s="231"/>
      <c r="K35" s="231"/>
      <c r="L35" s="231"/>
    </row>
    <row r="36" spans="1:12" ht="20.100000000000001" customHeight="1" x14ac:dyDescent="0.2">
      <c r="A36" s="5" t="str">
        <f>HYPERLINK("#'8.2.1.1-2 Stationary fuel'!A1", "8.2.1.1-2 Stationary fuel")</f>
        <v>8.2.1.1-2 Stationary fuel</v>
      </c>
      <c r="D36" s="2" t="s">
        <v>1631</v>
      </c>
    </row>
    <row r="37" spans="1:12" ht="20.100000000000001" customHeight="1" x14ac:dyDescent="0.2">
      <c r="A37" s="5" t="str">
        <f>HYPERLINK("#'10.1.1-2 Solid waste treatment'!A1", "10.1.1.1-2 Solid waste")</f>
        <v>10.1.1.1-2 Solid waste</v>
      </c>
      <c r="D37" s="17" t="s">
        <v>1632</v>
      </c>
    </row>
    <row r="38" spans="1:12" ht="20.100000000000001" customHeight="1" x14ac:dyDescent="0.2">
      <c r="A38" s="5" t="str">
        <f>HYPERLINK("#'14.1.1-2 Purchased electricity'!A1", "14.1.1-2 Purchased electricity")</f>
        <v>14.1.1-2 Purchased electricity</v>
      </c>
      <c r="D38" s="112"/>
      <c r="E38" s="112"/>
    </row>
    <row r="39" spans="1:12" ht="20.100000000000001" customHeight="1" x14ac:dyDescent="0.2">
      <c r="A39" s="5" t="str">
        <f>HYPERLINK("#'15 Scope 3'!A1", "15 Scope 3")</f>
        <v>15 Scope 3</v>
      </c>
    </row>
    <row r="40" spans="1:12" ht="20.100000000000001" customHeight="1" x14ac:dyDescent="0.2">
      <c r="A40" s="5" t="str">
        <f>HYPERLINK("#'Calcs - Manure sent off-site'!A1", "Calcs - Manure sent off-site")</f>
        <v>Calcs - Manure sent off-site</v>
      </c>
    </row>
    <row r="41" spans="1:12" ht="20.100000000000001" customHeight="1" x14ac:dyDescent="0.2">
      <c r="A41" s="5" t="str">
        <f>HYPERLINK("#'5.1.1.1-2 Inorganic fert N2O'!A1", "5.1.1.1-2 Inorganic fert N2O")</f>
        <v>5.1.1.1-2 Inorganic fert N2O</v>
      </c>
      <c r="D41" s="75" t="s">
        <v>328</v>
      </c>
      <c r="E41" s="1" t="s">
        <v>1612</v>
      </c>
    </row>
    <row r="42" spans="1:12" ht="20.100000000000001" customHeight="1" x14ac:dyDescent="0.2">
      <c r="A42" s="5" t="str">
        <f>HYPERLINK("#'5.1.1.3-4 Inorganic fert CO2'!A1", "5.1.1.3-4 Inorganic fert CO2")</f>
        <v>5.1.1.3-4 Inorganic fert CO2</v>
      </c>
      <c r="D42" s="75" t="s">
        <v>118</v>
      </c>
      <c r="E42" s="9" t="s">
        <v>12</v>
      </c>
    </row>
    <row r="43" spans="1:12" ht="20.100000000000001" customHeight="1" x14ac:dyDescent="0.2">
      <c r="A43" s="117" t="str">
        <f>HYPERLINK("#'5.2.1.1-2 Organic Fert N2O'!A1", "5.2.1.1-2 Organic Fert N2O")</f>
        <v>5.2.1.1-2 Organic Fert N2O</v>
      </c>
    </row>
    <row r="44" spans="1:12" ht="20.100000000000001" customHeight="1" x14ac:dyDescent="0.2">
      <c r="A44" s="5" t="str">
        <f>HYPERLINK("#'5.3.1.1-2 Lime CO2'!A1", "5.3.1.1-2 Lime CO2")</f>
        <v>5.3.1.1-2 Lime CO2</v>
      </c>
      <c r="D44" s="113" t="s">
        <v>1633</v>
      </c>
      <c r="E44" s="122" t="s">
        <v>1634</v>
      </c>
      <c r="F44" s="136"/>
      <c r="G44" s="136"/>
      <c r="H44" s="123"/>
      <c r="I44" s="113" t="s">
        <v>482</v>
      </c>
      <c r="J44" s="115" t="s">
        <v>1637</v>
      </c>
      <c r="K44" s="113">
        <f>$E$32</f>
        <v>710</v>
      </c>
    </row>
    <row r="45" spans="1:12" ht="20.100000000000001" customHeight="1" x14ac:dyDescent="0.2">
      <c r="A45" s="5" t="str">
        <f>HYPERLINK("#'5.4.1.1-4 Atmos deposition'!A1", "5.4.1.1-4 Atmos deposition")</f>
        <v>5.4.1.1-4 Atmos deposition</v>
      </c>
      <c r="D45" s="113" t="s">
        <v>1635</v>
      </c>
      <c r="E45" s="122" t="s">
        <v>1636</v>
      </c>
      <c r="F45" s="136"/>
      <c r="G45" s="136"/>
      <c r="H45" s="123"/>
      <c r="I45" s="113" t="s">
        <v>1288</v>
      </c>
      <c r="J45" s="115" t="s">
        <v>1638</v>
      </c>
      <c r="K45" s="113">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
      <c r="A46" s="5" t="str">
        <f>HYPERLINK("#'5.5.1.1-2 Leaching and runoff'!A1", "5.5.1.1-2 Leaching and runoff")</f>
        <v>5.5.1.1-2 Leaching and runoff</v>
      </c>
      <c r="D46" s="113" t="s">
        <v>1302</v>
      </c>
      <c r="E46" s="122" t="s">
        <v>1303</v>
      </c>
      <c r="F46" s="136"/>
      <c r="G46" s="136"/>
      <c r="H46" s="123"/>
      <c r="I46" s="113"/>
      <c r="J46" s="115" t="s">
        <v>1203</v>
      </c>
      <c r="K46" s="126">
        <f>Common_InputFunctions.Utility_LookupValueInTableNumber("N2O",Table_GasToMolecularConversionFactor[Gas],Table_GasToMolecularConversionFactor[Conversion factor combined])</f>
        <v>1.5714285714285714</v>
      </c>
    </row>
    <row r="47" spans="1:12" ht="20.100000000000001" customHeight="1" x14ac:dyDescent="0.2">
      <c r="D47" s="113" t="s">
        <v>1318</v>
      </c>
      <c r="E47" s="122" t="s">
        <v>311</v>
      </c>
      <c r="F47" s="136"/>
      <c r="G47" s="136"/>
      <c r="H47" s="123"/>
      <c r="I47" s="113"/>
      <c r="J47" s="114" t="s">
        <v>1202</v>
      </c>
      <c r="K47" s="113" t="str">
        <f>X_Cell_Fertiliser_ProductionSystem</f>
        <v>Crop</v>
      </c>
    </row>
    <row r="48" spans="1:12" ht="20.100000000000001" customHeight="1" x14ac:dyDescent="0.2">
      <c r="D48" s="113" t="s">
        <v>1217</v>
      </c>
      <c r="E48" s="122" t="s">
        <v>114</v>
      </c>
      <c r="F48" s="136"/>
      <c r="G48" s="136"/>
      <c r="H48" s="123"/>
      <c r="I48" s="113"/>
      <c r="J48" s="114" t="s">
        <v>1202</v>
      </c>
      <c r="K48" s="113" t="str">
        <f>X_Cell_Site_WetOrDryClimateZone</f>
        <v>Dry climate zone</v>
      </c>
    </row>
    <row r="49" spans="1:7" ht="20.100000000000001" customHeight="1" x14ac:dyDescent="0.2">
      <c r="A49" s="80" t="s">
        <v>1</v>
      </c>
    </row>
    <row r="50" spans="1:7" ht="20.100000000000001" customHeight="1" x14ac:dyDescent="0.2">
      <c r="A50" s="5" t="str">
        <f>HYPERLINK("#'Constants - Poultry'!A1", "Constants - Poultry")</f>
        <v>Constants - Poultry</v>
      </c>
      <c r="D50" s="85" t="s">
        <v>780</v>
      </c>
      <c r="E50" s="86">
        <f>((K44 * K45 * K46) * 10 ^ -3)</f>
        <v>5.5785714285714293E-3</v>
      </c>
      <c r="F50" s="95" t="str">
        <f>$E$42</f>
        <v>t N2O</v>
      </c>
    </row>
    <row r="51" spans="1:7" ht="20.100000000000001" customHeight="1" x14ac:dyDescent="0.2">
      <c r="A51" s="5" t="str">
        <f>HYPERLINK("#'Constants - Common livestock'!A1", "Constants - Common Livestock")</f>
        <v>Constants - Common Livestock</v>
      </c>
    </row>
    <row r="52" spans="1:7" ht="20.100000000000001" customHeight="1" x14ac:dyDescent="0.2">
      <c r="A52" s="5" t="str">
        <f>HYPERLINK("#'Constants - Electricity'!A1", "Constants - Electricity")</f>
        <v>Constants - Electricity</v>
      </c>
      <c r="D52" s="126" t="str" cm="1">
        <f t="array" ref="D52:E53">Common_Equations.Common_ConvertN2OToCO2e_Arguments()</f>
        <v>EN2O</v>
      </c>
      <c r="E52" s="129" t="str">
        <v>Nitrous oxide emissions (t N2O)</v>
      </c>
      <c r="F52" s="130"/>
      <c r="G52" s="15">
        <f>VEERG_5_2_1_1__2_MassOfNitrogenInOrganicFertiliser_Result_Method1</f>
        <v>5.5785714285714293E-3</v>
      </c>
    </row>
    <row r="53" spans="1:7" ht="20.100000000000001" customHeight="1" x14ac:dyDescent="0.2">
      <c r="A53" s="5" t="str">
        <f>HYPERLINK("#'Constants - Fertiliser'!A1", "Constants - Fertiliser")</f>
        <v>Constants - Fertiliser</v>
      </c>
      <c r="D53" s="126" t="str">
        <v>GWPN2O</v>
      </c>
      <c r="E53" s="129" t="str">
        <v>Global warming potential for nitrous oxide (t CO2-e / t N2O)</v>
      </c>
      <c r="F53" s="130"/>
      <c r="G53" s="15">
        <f>Common_InputFunctions.Utility_LookupValueInTableNumber("N2O",Table_GWPData[Gas],Table_GWPData[CO2-e factor])</f>
        <v>265</v>
      </c>
    </row>
    <row r="54" spans="1:7" ht="20.100000000000001" customHeight="1" x14ac:dyDescent="0.2">
      <c r="A54" s="5" t="str">
        <f>HYPERLINK("#'Constants - Fuel'!A1", "Constants - Fuel")</f>
        <v>Constants - Fuel</v>
      </c>
    </row>
    <row r="55" spans="1:7" ht="20.100000000000001" customHeight="1" x14ac:dyDescent="0.2">
      <c r="A55" s="5" t="str">
        <f>HYPERLINK("#'Constants - Scope 3'!A1", "Constants - Scope 3")</f>
        <v>Constants - Scope 3</v>
      </c>
      <c r="D55" s="83" t="s">
        <v>376</v>
      </c>
      <c r="E55" s="83" cm="1">
        <f t="array" ref="E55">Common_Equations.Common_ConvertN2OToCO2e(G52,G53)</f>
        <v>1.4783214285714288</v>
      </c>
      <c r="F55" s="89" t="str" cm="1">
        <f t="array" ref="F55">Common_Equations.Common_ConvertN2OToCO2e_Unit()</f>
        <v>t CO2e</v>
      </c>
    </row>
    <row r="56" spans="1:7" ht="20.100000000000001" customHeight="1" x14ac:dyDescent="0.2">
      <c r="A56" s="5" t="str">
        <f>HYPERLINK("#'Constants - Solid Waste'!A1", "Constants - Solid Waste")</f>
        <v>Constants - Solid Waste</v>
      </c>
    </row>
    <row r="57" spans="1:7" ht="20.100000000000001" customHeight="1" x14ac:dyDescent="0.2">
      <c r="A57" s="5" t="str">
        <f>HYPERLINK("#'Constants - Common'!A1", "Constants - Common")</f>
        <v>Constants - Common</v>
      </c>
    </row>
  </sheetData>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F8A74-412D-4108-AE34-70B304E73A8D}">
  <sheetPr>
    <tabColor rgb="FF008000"/>
  </sheetPr>
  <dimension ref="A1:U57"/>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807</v>
      </c>
    </row>
    <row r="2" spans="1:21" s="3" customFormat="1" ht="20.100000000000001" customHeight="1" x14ac:dyDescent="0.2">
      <c r="A2"/>
    </row>
    <row r="3" spans="1:21" ht="20.100000000000001" customHeight="1" x14ac:dyDescent="0.2">
      <c r="A3" s="5" t="str">
        <f>HYPERLINK("#'Home'!A1", "Home")</f>
        <v>Home</v>
      </c>
      <c r="C3" s="22"/>
      <c r="D3" s="22" t="s">
        <v>130</v>
      </c>
      <c r="E3" s="22"/>
      <c r="F3" s="22"/>
      <c r="G3" s="22"/>
      <c r="H3" s="22"/>
      <c r="I3" s="22"/>
      <c r="J3" s="22"/>
      <c r="K3" s="22"/>
      <c r="L3" s="22"/>
      <c r="N3" s="22"/>
      <c r="O3" s="22" t="s">
        <v>131</v>
      </c>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2389</v>
      </c>
    </row>
    <row r="6" spans="1:21" ht="20.100000000000001" customHeight="1" x14ac:dyDescent="0.2">
      <c r="D6" s="17" t="s">
        <v>2390</v>
      </c>
    </row>
    <row r="7" spans="1:21" ht="20.100000000000001" customHeight="1" x14ac:dyDescent="0.2">
      <c r="D7" s="112"/>
      <c r="E7" s="112"/>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328</v>
      </c>
      <c r="E10" s="1" t="s">
        <v>2391</v>
      </c>
    </row>
    <row r="11" spans="1:21" ht="20.100000000000001" customHeight="1" x14ac:dyDescent="0.2">
      <c r="A11" s="5" t="str">
        <f>HYPERLINK("#'Input - Poultry'!A1", "Poultry")</f>
        <v>Poultry</v>
      </c>
      <c r="D11" s="75" t="s">
        <v>118</v>
      </c>
      <c r="E11" s="9" t="s">
        <v>127</v>
      </c>
    </row>
    <row r="12" spans="1:21" ht="20.100000000000001" customHeight="1" x14ac:dyDescent="0.2">
      <c r="A12" s="5" t="str">
        <f>HYPERLINK("#'Input - Livestock sales'!A1", "Livestock sales")</f>
        <v>Livestock sales</v>
      </c>
    </row>
    <row r="13" spans="1:21" ht="20.100000000000001" customHeight="1" x14ac:dyDescent="0.2">
      <c r="A13" s="5" t="str">
        <f>HYPERLINK("#'Input - Poultry purchases'!A1", "Poultry purchases")</f>
        <v>Poultry purchases</v>
      </c>
      <c r="D13" s="113" t="s">
        <v>1550</v>
      </c>
      <c r="E13" s="122" t="s">
        <v>2392</v>
      </c>
      <c r="F13" s="123"/>
      <c r="G13" s="113" t="s">
        <v>757</v>
      </c>
      <c r="H13" s="114" t="s">
        <v>1202</v>
      </c>
      <c r="I13" s="116" t="str" cm="1">
        <f t="array" aca="1" ref="I13" ca="1">HYPERLINK(Common_InputFunctions.Utility_SourceHyperlink($D$22), $D$22)</f>
        <v>Table_E_lime</v>
      </c>
    </row>
    <row r="14" spans="1:21" ht="20.100000000000001" customHeight="1" x14ac:dyDescent="0.2">
      <c r="A14" s="5" t="str">
        <f>HYPERLINK("#'Input - Fuel'!A1", "Fuel")</f>
        <v>Fuel</v>
      </c>
      <c r="D14" s="113" t="s">
        <v>811</v>
      </c>
      <c r="E14" s="122" t="s">
        <v>2393</v>
      </c>
      <c r="F14" s="123"/>
      <c r="G14" s="113" t="s">
        <v>307</v>
      </c>
      <c r="H14" s="114" t="s">
        <v>1202</v>
      </c>
      <c r="I14" s="116" t="str" cm="1">
        <f t="array" aca="1" ref="I14" ca="1">HYPERLINK(Common_InputFunctions.Utility_SourceHyperlink($D$22), $D$22)</f>
        <v>Table_E_lime</v>
      </c>
    </row>
    <row r="15" spans="1:21" ht="20.100000000000001" customHeight="1" x14ac:dyDescent="0.2">
      <c r="A15" s="5" t="str">
        <f>HYPERLINK("#'Input - Electricity'!A1", "Electricity")</f>
        <v>Electricity</v>
      </c>
      <c r="D15" s="113" t="s">
        <v>2394</v>
      </c>
      <c r="E15" s="122" t="s">
        <v>2395</v>
      </c>
      <c r="F15" s="123"/>
      <c r="G15" s="113" t="s">
        <v>307</v>
      </c>
      <c r="H15" s="115" t="s">
        <v>1203</v>
      </c>
      <c r="I15" s="113">
        <f>'Constants - Fertiliser'!$E$66</f>
        <v>0.9</v>
      </c>
    </row>
    <row r="16" spans="1:21" ht="20.100000000000001" customHeight="1" x14ac:dyDescent="0.2">
      <c r="A16" s="5" t="str">
        <f>HYPERLINK("#'Input - Common farm inputs'!A1", "Common farm inputs")</f>
        <v>Common farm inputs</v>
      </c>
      <c r="D16" s="113" t="s">
        <v>2396</v>
      </c>
      <c r="E16" s="122" t="s">
        <v>2397</v>
      </c>
      <c r="F16" s="123"/>
      <c r="G16" s="113" t="s">
        <v>2404</v>
      </c>
      <c r="H16" s="115" t="s">
        <v>1203</v>
      </c>
      <c r="I16" s="113">
        <f>'Constants - Fertiliser'!$F$66</f>
        <v>0.12</v>
      </c>
    </row>
    <row r="17" spans="1:9" ht="20.100000000000001" customHeight="1" x14ac:dyDescent="0.2">
      <c r="A17" s="5" t="str">
        <f>HYPERLINK("#'Input - Livestock farm Inputs'!A1", "Livestock farm Inputs")</f>
        <v>Livestock farm Inputs</v>
      </c>
      <c r="D17" s="113" t="s">
        <v>812</v>
      </c>
      <c r="E17" s="122" t="s">
        <v>2398</v>
      </c>
      <c r="F17" s="123"/>
      <c r="G17" s="113" t="s">
        <v>307</v>
      </c>
      <c r="H17" s="114" t="s">
        <v>1202</v>
      </c>
      <c r="I17" s="116" t="str" cm="1">
        <f t="array" aca="1" ref="I17" ca="1">HYPERLINK(Common_InputFunctions.Utility_SourceHyperlink($D$22), $D$22)</f>
        <v>Table_E_lime</v>
      </c>
    </row>
    <row r="18" spans="1:9" ht="20.100000000000001" customHeight="1" x14ac:dyDescent="0.2">
      <c r="A18" s="5" t="str">
        <f>HYPERLINK("#'Input - Freight'!A1", "Freight")</f>
        <v>Freight</v>
      </c>
      <c r="D18" s="113" t="s">
        <v>2399</v>
      </c>
      <c r="E18" s="122" t="s">
        <v>2400</v>
      </c>
      <c r="F18" s="123"/>
      <c r="G18" s="113" t="s">
        <v>307</v>
      </c>
      <c r="H18" s="115" t="s">
        <v>1203</v>
      </c>
      <c r="I18" s="113">
        <f>'Constants - Fertiliser'!$E$67</f>
        <v>0.95</v>
      </c>
    </row>
    <row r="19" spans="1:9" ht="20.100000000000001" customHeight="1" x14ac:dyDescent="0.2">
      <c r="A19" s="5" t="str">
        <f>HYPERLINK("#'Input - Solid waste'!A1", "Solid waste")</f>
        <v>Solid waste</v>
      </c>
      <c r="D19" s="113" t="s">
        <v>2401</v>
      </c>
      <c r="E19" s="122" t="s">
        <v>2402</v>
      </c>
      <c r="F19" s="123"/>
      <c r="G19" s="113" t="s">
        <v>2404</v>
      </c>
      <c r="H19" s="115" t="s">
        <v>1203</v>
      </c>
      <c r="I19" s="113">
        <f>'Constants - Fertiliser'!$F$67</f>
        <v>0.13</v>
      </c>
    </row>
    <row r="20" spans="1:9" ht="20.100000000000001" customHeight="1" x14ac:dyDescent="0.2">
      <c r="A20" s="5" t="str">
        <f>HYPERLINK("#'Input - Manure sent off-site'!A1", "Manure sent off-site")</f>
        <v>Manure sent off-site</v>
      </c>
      <c r="D20" s="113" t="s">
        <v>2381</v>
      </c>
      <c r="E20" s="122" t="s">
        <v>2403</v>
      </c>
      <c r="F20" s="123"/>
      <c r="G20" s="113"/>
      <c r="H20" s="115" t="s">
        <v>1203</v>
      </c>
      <c r="I20" s="126">
        <f>Common_InputFunctions.Utility_LookupValueInTableNumber("CO2",Table_GasToMolecularConversionFactor[Gas], Table_GasToMolecularConversionFactor[Conversion factor combined])</f>
        <v>3.6666666666666665</v>
      </c>
    </row>
    <row r="21" spans="1:9" ht="20.100000000000001" customHeight="1" x14ac:dyDescent="0.2">
      <c r="A21" s="5" t="str">
        <f>HYPERLINK("#'Input - Data quality'!A1", "Data quality")</f>
        <v>Data quality</v>
      </c>
    </row>
    <row r="22" spans="1:9" ht="20.100000000000001" customHeight="1" x14ac:dyDescent="0.2">
      <c r="A22" s="5" t="str">
        <f>HYPERLINK("#'Input - Fert Prod System'!A1", "Fert Prod System")</f>
        <v>Fert Prod System</v>
      </c>
      <c r="D22" s="118" t="s">
        <v>808</v>
      </c>
    </row>
    <row r="23" spans="1:9" ht="20.100000000000001" customHeight="1" x14ac:dyDescent="0.2">
      <c r="A23" s="5" t="str">
        <f>HYPERLINK("#'Input - Fertiliser'!A1", "Fertiliser")</f>
        <v>Fertiliser</v>
      </c>
      <c r="D23" s="119" t="s">
        <v>730</v>
      </c>
    </row>
    <row r="24" spans="1:9" ht="20.100000000000001" customHeight="1" x14ac:dyDescent="0.2">
      <c r="D24" s="78" t="s">
        <v>809</v>
      </c>
      <c r="E24" s="78" t="s">
        <v>810</v>
      </c>
      <c r="F24" s="78" t="s">
        <v>811</v>
      </c>
      <c r="G24" s="78" t="s">
        <v>812</v>
      </c>
      <c r="H24" s="120" t="s">
        <v>813</v>
      </c>
    </row>
    <row r="25" spans="1:9" ht="20.100000000000001" customHeight="1" x14ac:dyDescent="0.2">
      <c r="D25" s="15" t="str" cm="1">
        <f t="array" ref="D25:D27">Table_Input_Lime[Product]</f>
        <v>Lime product 1</v>
      </c>
      <c r="E25" s="232" cm="1">
        <f t="array" ref="E25:E27">Table_Input_Lime[Total amount applied (t)]*10^3</f>
        <v>100000</v>
      </c>
      <c r="F25" s="156" cm="1">
        <f t="array" ref="F25:F27">Table_Input_Lime[Percent Lime CaCO3]</f>
        <v>0.8</v>
      </c>
      <c r="G25" s="156" cm="1">
        <f t="array" ref="G25:G27">Table_Input_Lime[Percent Dolomite CaMg(CO3)2]</f>
        <v>0.1</v>
      </c>
      <c r="H25" s="15">
        <f>(((E25 * F25 * $I$15 * $I$16) + (E25 * G25 * $I$18 * $I$19)) * $I$20 * 10 ^ -3)</f>
        <v>36.208333333333329</v>
      </c>
    </row>
    <row r="26" spans="1:9" ht="20.100000000000001" customHeight="1" x14ac:dyDescent="0.2">
      <c r="A26" s="6" t="s">
        <v>2</v>
      </c>
      <c r="D26" s="15" t="str">
        <v>Lime product 2</v>
      </c>
      <c r="E26" s="15">
        <v>100000</v>
      </c>
      <c r="F26" s="15">
        <v>1</v>
      </c>
      <c r="G26" s="15">
        <v>0</v>
      </c>
      <c r="H26" s="15">
        <f>(((E26 * F26 * $I$15 * $I$16) + (E26 * G26 * $I$18 * $I$19)) * $I$20 * 10 ^ -3)</f>
        <v>39.6</v>
      </c>
    </row>
    <row r="27" spans="1:9" ht="20.100000000000001" customHeight="1" x14ac:dyDescent="0.2">
      <c r="A27" s="5" t="str">
        <f>HYPERLINK("#'4.6.1.1-2 Methane'!A1", "4.6.1.1-2 Manure Methane")</f>
        <v>4.6.1.1-2 Manure Methane</v>
      </c>
      <c r="D27" s="15" t="str">
        <v>Lime product 3</v>
      </c>
      <c r="E27" s="15">
        <v>100000</v>
      </c>
      <c r="F27" s="15">
        <v>0</v>
      </c>
      <c r="G27" s="15">
        <v>0</v>
      </c>
      <c r="H27" s="15">
        <f>(((E27 * F27 * $I$15 * $I$16) + (E27 * G27 * $I$18 * $I$19)) * $I$20 * 10 ^ -3)</f>
        <v>0</v>
      </c>
    </row>
    <row r="28" spans="1:9" ht="20.100000000000001" customHeight="1" x14ac:dyDescent="0.2">
      <c r="A28" s="5" t="str">
        <f>HYPERLINK("#'4.6.1.3-4 Direct N20'!A1", "4.6.1.3-4 Manure Direct N2O")</f>
        <v>4.6.1.3-4 Manure Direct N2O</v>
      </c>
      <c r="D28" s="15"/>
      <c r="E28" s="15"/>
      <c r="F28" s="15"/>
      <c r="G28" s="15"/>
      <c r="H28" s="15">
        <f>(((E28 * F28 * $I$15 * $I$16) + (E28 * G28 * $I$18 * $I$19)) * $I$20 * 10 ^ -3)</f>
        <v>0</v>
      </c>
    </row>
    <row r="29" spans="1:9" ht="20.100000000000001" customHeight="1" x14ac:dyDescent="0.2">
      <c r="A29" s="5" t="str">
        <f>HYPERLINK("#'4.6.1.5-6 Atmos Dep'!A1", "4.6.1.5-6 Manure Atmos Dep")</f>
        <v>4.6.1.5-6 Manure Atmos Dep</v>
      </c>
      <c r="D29" s="15"/>
      <c r="E29" s="15"/>
      <c r="F29" s="15"/>
      <c r="G29" s="15"/>
      <c r="H29" s="15">
        <f>(((E29 * F29 * $I$15 * $I$16) + (E29 * G29 * $I$18 * $I$19)) * $I$20 * 10 ^ -3)</f>
        <v>0</v>
      </c>
    </row>
    <row r="30" spans="1:9" ht="20.100000000000001" customHeight="1" x14ac:dyDescent="0.2">
      <c r="A30" s="5" t="str">
        <f>HYPERLINK("#'4.6.1.7-8 Leaching and runoff'!A1", "4.6.1.7-8 Manure Leaching and runoff")</f>
        <v>4.6.1.7-8 Manure Leaching and runoff</v>
      </c>
    </row>
    <row r="31" spans="1:9" ht="20.100000000000001" customHeight="1" x14ac:dyDescent="0.2">
      <c r="A31" s="5" t="str">
        <f>HYPERLINK("#'4.6.1.9 Manure applied to soils'!A1", "4.6.1.9 Manure applied to soils")</f>
        <v>4.6.1.9 Manure applied to soils</v>
      </c>
      <c r="D31" s="85" t="s">
        <v>814</v>
      </c>
      <c r="E31" s="86">
        <f>SUM(H25:H29)</f>
        <v>75.808333333333337</v>
      </c>
      <c r="F31" s="233" t="s">
        <v>127</v>
      </c>
    </row>
    <row r="32" spans="1:9" ht="20.100000000000001" customHeight="1" x14ac:dyDescent="0.2">
      <c r="A32" s="5" t="str">
        <f>HYPERLINK("#'4.6.1.10-11 Soil direct N2O'!A1", "4.6.1.10-11 Soil direct N2O")</f>
        <v>4.6.1.10-11 Soil direct N2O</v>
      </c>
    </row>
    <row r="33" spans="1:1" ht="20.100000000000001" customHeight="1" x14ac:dyDescent="0.2">
      <c r="A33" s="5" t="str">
        <f>HYPERLINK("#'4.6.1.12-13 Soil atmos dep'!A1", "4.6.1.12-13 Soil atmos dep")</f>
        <v>4.6.1.12-13 Soil atmos dep</v>
      </c>
    </row>
    <row r="34" spans="1:1" ht="20.100000000000001" customHeight="1" x14ac:dyDescent="0.2">
      <c r="A34" s="5" t="str">
        <f>HYPERLINK("#'4.6.1.14-15 Soil leach runoff'!A1", "4.6.1.14-15 Soil leach runoff")</f>
        <v>4.6.1.14-15 Soil leach runoff</v>
      </c>
    </row>
    <row r="35" spans="1:1" ht="20.100000000000001" customHeight="1" x14ac:dyDescent="0.2">
      <c r="A35" s="5" t="str">
        <f>HYPERLINK("#'8.1.1.1-2 Transport fuel'!A1", "8.1.1.1-2 Transport fuel")</f>
        <v>8.1.1.1-2 Transport fuel</v>
      </c>
    </row>
    <row r="36" spans="1:1" ht="20.100000000000001" customHeight="1" x14ac:dyDescent="0.2">
      <c r="A36" s="5" t="str">
        <f>HYPERLINK("#'8.2.1.1-2 Stationary fuel'!A1", "8.2.1.1-2 Stationary fuel")</f>
        <v>8.2.1.1-2 Stationary fuel</v>
      </c>
    </row>
    <row r="37" spans="1:1" ht="20.100000000000001" customHeight="1" x14ac:dyDescent="0.2">
      <c r="A37" s="5" t="str">
        <f>HYPERLINK("#'10.1.1-2 Solid waste treatment'!A1", "10.1.1.1-2 Solid waste")</f>
        <v>10.1.1.1-2 Solid waste</v>
      </c>
    </row>
    <row r="38" spans="1:1" ht="20.100000000000001" customHeight="1" x14ac:dyDescent="0.2">
      <c r="A38" s="5" t="str">
        <f>HYPERLINK("#'14.1.1-2 Purchased electricity'!A1", "14.1.1-2 Purchased electricity")</f>
        <v>14.1.1-2 Purchased electricity</v>
      </c>
    </row>
    <row r="39" spans="1:1" ht="20.100000000000001" customHeight="1" x14ac:dyDescent="0.2">
      <c r="A39" s="5" t="str">
        <f>HYPERLINK("#'15 Scope 3'!A1", "15 Scope 3")</f>
        <v>15 Scope 3</v>
      </c>
    </row>
    <row r="40" spans="1:1" ht="20.100000000000001" customHeight="1" x14ac:dyDescent="0.2">
      <c r="A40" s="5" t="str">
        <f>HYPERLINK("#'Calcs - Manure sent off-site'!A1", "Calcs - Manure sent off-site")</f>
        <v>Calcs - Manure sent off-site</v>
      </c>
    </row>
    <row r="41" spans="1:1" ht="20.100000000000001" customHeight="1" x14ac:dyDescent="0.2">
      <c r="A41" s="5" t="str">
        <f>HYPERLINK("#'5.1.1.1-2 Inorganic fert N2O'!A1", "5.1.1.1-2 Inorganic fert N2O")</f>
        <v>5.1.1.1-2 Inorganic fert N2O</v>
      </c>
    </row>
    <row r="42" spans="1:1" ht="20.100000000000001" customHeight="1" x14ac:dyDescent="0.2">
      <c r="A42" s="5" t="str">
        <f>HYPERLINK("#'5.1.1.3-4 Inorganic fert CO2'!A1", "5.1.1.3-4 Inorganic fert CO2")</f>
        <v>5.1.1.3-4 Inorganic fert CO2</v>
      </c>
    </row>
    <row r="43" spans="1:1" ht="20.100000000000001" customHeight="1" x14ac:dyDescent="0.2">
      <c r="A43" s="5" t="str">
        <f>HYPERLINK("#'5.2.1.1-2 Organic Fert N2O'!A1", "5.2.1.1-2 Organic Fert N2O")</f>
        <v>5.2.1.1-2 Organic Fert N2O</v>
      </c>
    </row>
    <row r="44" spans="1:1" ht="20.100000000000001" customHeight="1" x14ac:dyDescent="0.2">
      <c r="A44" s="117" t="str">
        <f>HYPERLINK("#'5.3.1.1-2 Lime CO2'!A1", "5.3.1.1-2 Lime CO2")</f>
        <v>5.3.1.1-2 Lime CO2</v>
      </c>
    </row>
    <row r="45" spans="1:1" ht="20.100000000000001" customHeight="1" x14ac:dyDescent="0.2">
      <c r="A45" s="5" t="str">
        <f>HYPERLINK("#'5.4.1.1-4 Atmos deposition'!A1", "5.4.1.1-4 Atmos deposition")</f>
        <v>5.4.1.1-4 Atmos deposition</v>
      </c>
    </row>
    <row r="46" spans="1:1" ht="20.100000000000001" customHeight="1" x14ac:dyDescent="0.2">
      <c r="A46" s="5" t="str">
        <f>HYPERLINK("#'5.5.1.1-2 Leaching and runoff'!A1", "5.5.1.1-2 Leaching and runoff")</f>
        <v>5.5.1.1-2 Leaching and runoff</v>
      </c>
    </row>
    <row r="49" spans="1:1" ht="20.100000000000001" customHeight="1" x14ac:dyDescent="0.2">
      <c r="A49" s="80" t="s">
        <v>1</v>
      </c>
    </row>
    <row r="50" spans="1:1" ht="20.100000000000001" customHeight="1" x14ac:dyDescent="0.2">
      <c r="A50" s="5" t="str">
        <f>HYPERLINK("#'Constants - Poultry'!A1", "Constants - Poultry")</f>
        <v>Constants - Poultry</v>
      </c>
    </row>
    <row r="51" spans="1:1" ht="20.100000000000001" customHeight="1" x14ac:dyDescent="0.2">
      <c r="A51" s="5" t="str">
        <f>HYPERLINK("#'Constants - Common livestock'!A1", "Constants - Common Livestock")</f>
        <v>Constants - Common Livestock</v>
      </c>
    </row>
    <row r="52" spans="1:1" ht="20.100000000000001" customHeight="1" x14ac:dyDescent="0.2">
      <c r="A52" s="5" t="str">
        <f>HYPERLINK("#'Constants - Electricity'!A1", "Constants - Electricity")</f>
        <v>Constants - Electricity</v>
      </c>
    </row>
    <row r="53" spans="1:1" ht="20.100000000000001" customHeight="1" x14ac:dyDescent="0.2">
      <c r="A53" s="5" t="str">
        <f>HYPERLINK("#'Constants - Fertiliser'!A1", "Constants - Fertiliser")</f>
        <v>Constants - Fertiliser</v>
      </c>
    </row>
    <row r="54" spans="1:1" ht="20.100000000000001" customHeight="1" x14ac:dyDescent="0.2">
      <c r="A54" s="5" t="str">
        <f>HYPERLINK("#'Constants - Fuel'!A1", "Constants - Fuel")</f>
        <v>Constants - Fuel</v>
      </c>
    </row>
    <row r="55" spans="1:1" ht="20.100000000000001" customHeight="1" x14ac:dyDescent="0.2">
      <c r="A55" s="5" t="str">
        <f>HYPERLINK("#'Constants - Scope 3'!A1", "Constants - Scope 3")</f>
        <v>Constants - Scope 3</v>
      </c>
    </row>
    <row r="56" spans="1:1" ht="20.100000000000001" customHeight="1" x14ac:dyDescent="0.2">
      <c r="A56" s="5" t="str">
        <f>HYPERLINK("#'Constants - Solid Waste'!A1", "Constants - Solid Waste")</f>
        <v>Constants - Solid Waste</v>
      </c>
    </row>
    <row r="57" spans="1:1" ht="20.100000000000001" customHeight="1" x14ac:dyDescent="0.2">
      <c r="A57" s="5" t="str">
        <f>HYPERLINK("#'Constants - Common'!A1", "Constants - Common")</f>
        <v>Constants - Common</v>
      </c>
    </row>
  </sheetData>
  <pageMargins left="0.7" right="0.7" top="0.75" bottom="0.75" header="0.3" footer="0.3"/>
  <pageSetup paperSize="9"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9D612-239C-41AD-BF40-A6C82BCF1407}">
  <sheetPr>
    <tabColor rgb="FF008000"/>
  </sheetPr>
  <dimension ref="A1:U151"/>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815</v>
      </c>
    </row>
    <row r="2" spans="1:21" s="3" customFormat="1" ht="20.100000000000001" customHeight="1" x14ac:dyDescent="0.2">
      <c r="A2"/>
    </row>
    <row r="3" spans="1:21" ht="20.100000000000001" customHeight="1" x14ac:dyDescent="0.2">
      <c r="A3" s="5" t="str">
        <f>HYPERLINK("#'Home'!A1", "Home")</f>
        <v>Home</v>
      </c>
      <c r="C3" s="22"/>
      <c r="D3" s="22" t="s">
        <v>130</v>
      </c>
      <c r="E3" s="22"/>
      <c r="F3" s="22"/>
      <c r="G3" s="22"/>
      <c r="H3" s="22"/>
      <c r="I3" s="22"/>
      <c r="J3" s="22"/>
      <c r="K3" s="22"/>
      <c r="L3" s="22"/>
      <c r="N3" s="22"/>
      <c r="O3" s="22" t="s">
        <v>131</v>
      </c>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2405</v>
      </c>
    </row>
    <row r="6" spans="1:21" ht="20.100000000000001" customHeight="1" x14ac:dyDescent="0.2">
      <c r="D6" s="17" t="s">
        <v>2406</v>
      </c>
    </row>
    <row r="7" spans="1:21" ht="20.100000000000001" customHeight="1" x14ac:dyDescent="0.2">
      <c r="D7" s="112"/>
      <c r="E7" s="112"/>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328</v>
      </c>
      <c r="E10" s="1" t="s">
        <v>2407</v>
      </c>
    </row>
    <row r="11" spans="1:21" ht="20.100000000000001" customHeight="1" x14ac:dyDescent="0.2">
      <c r="A11" s="5" t="str">
        <f>HYPERLINK("#'Input - Poultry'!A1", "Poultry")</f>
        <v>Poultry</v>
      </c>
      <c r="D11" s="75" t="s">
        <v>118</v>
      </c>
      <c r="E11" s="9" t="s">
        <v>482</v>
      </c>
    </row>
    <row r="12" spans="1:21" ht="20.100000000000001" customHeight="1" x14ac:dyDescent="0.2">
      <c r="A12" s="5" t="str">
        <f>HYPERLINK("#'Input - Livestock sales'!A1", "Livestock sales")</f>
        <v>Livestock sales</v>
      </c>
    </row>
    <row r="13" spans="1:21" ht="20.100000000000001" customHeight="1" x14ac:dyDescent="0.2">
      <c r="A13" s="5" t="str">
        <f>HYPERLINK("#'Input - Poultry purchases'!A1", "Poultry purchases")</f>
        <v>Poultry purchases</v>
      </c>
      <c r="D13" s="113" t="s">
        <v>2337</v>
      </c>
      <c r="E13" s="122" t="s">
        <v>2408</v>
      </c>
      <c r="F13" s="123"/>
      <c r="G13" s="113" t="s">
        <v>482</v>
      </c>
      <c r="H13" s="115" t="s">
        <v>2356</v>
      </c>
      <c r="I13" s="116" t="str" cm="1">
        <f t="array" aca="1" ref="I13" ca="1">HYPERLINK(Common_InputFunctions.Utility_SourceHyperlink($D$16),$D$16)</f>
        <v>Table_M_vol_inorganic_j_f</v>
      </c>
    </row>
    <row r="14" spans="1:21" ht="20.100000000000001" customHeight="1" x14ac:dyDescent="0.2">
      <c r="A14" s="5" t="str">
        <f>HYPERLINK("#'Input - Fuel'!A1", "Fuel")</f>
        <v>Fuel</v>
      </c>
      <c r="D14" s="113" t="s">
        <v>2409</v>
      </c>
      <c r="E14" s="122" t="s">
        <v>2410</v>
      </c>
      <c r="F14" s="123"/>
      <c r="G14" s="113" t="s">
        <v>1311</v>
      </c>
      <c r="H14" s="115" t="s">
        <v>1203</v>
      </c>
      <c r="I14" s="116" t="str" cm="1">
        <f t="array" aca="1" ref="I14" ca="1">HYPERLINK(Common_InputFunctions.Utility_SourceHyperlink($D$16),$D$16)</f>
        <v>Table_M_vol_inorganic_j_f</v>
      </c>
    </row>
    <row r="15" spans="1:21" ht="20.100000000000001" customHeight="1" x14ac:dyDescent="0.2">
      <c r="A15" s="5" t="str">
        <f>HYPERLINK("#'Input - Electricity'!A1", "Electricity")</f>
        <v>Electricity</v>
      </c>
    </row>
    <row r="16" spans="1:21" ht="20.100000000000001" customHeight="1" x14ac:dyDescent="0.2">
      <c r="A16" s="5" t="str">
        <f>HYPERLINK("#'Input - Common farm inputs'!A1", "Common farm inputs")</f>
        <v>Common farm inputs</v>
      </c>
      <c r="D16" s="118" t="s">
        <v>816</v>
      </c>
    </row>
    <row r="17" spans="1:8" ht="20.100000000000001" customHeight="1" x14ac:dyDescent="0.2">
      <c r="A17" s="5" t="str">
        <f>HYPERLINK("#'Input - Livestock farm Inputs'!A1", "Livestock farm Inputs")</f>
        <v>Livestock farm Inputs</v>
      </c>
      <c r="D17" s="119" t="s">
        <v>817</v>
      </c>
    </row>
    <row r="18" spans="1:8" ht="20.100000000000001" customHeight="1" x14ac:dyDescent="0.2">
      <c r="A18" s="5" t="str">
        <f>HYPERLINK("#'Input - Freight'!A1", "Freight")</f>
        <v>Freight</v>
      </c>
      <c r="D18" s="120" t="s">
        <v>818</v>
      </c>
      <c r="E18" s="120" t="s">
        <v>819</v>
      </c>
      <c r="F18" s="120" t="s">
        <v>820</v>
      </c>
      <c r="G18" s="234" t="s">
        <v>821</v>
      </c>
      <c r="H18" s="234" t="s">
        <v>822</v>
      </c>
    </row>
    <row r="19" spans="1:8" ht="20.100000000000001" customHeight="1" x14ac:dyDescent="0.2">
      <c r="A19" s="5" t="str">
        <f>HYPERLINK("#'Input - Solid waste'!A1", "Solid waste")</f>
        <v>Solid waste</v>
      </c>
      <c r="D19" s="15" t="str" cm="1">
        <f t="array" ref="D19:D37">Table_Fertiliser_ChemicalCompounds[Fertiliser type f]</f>
        <v>Monoammonium phosphate (MAP)</v>
      </c>
      <c r="E19" s="15">
        <f>INDEX(Table_MN_j_f,2,4)</f>
        <v>0</v>
      </c>
      <c r="F19" s="15" t="str" cm="1">
        <f t="array" ref="F19">Common_InputFunctions.Utility_LookupValueInTable(D19, Table_Fertiliser_ChemicalCompounds[Fertiliser type f],Table_Fertiliser_ChemicalCompounds[Basis])</f>
        <v>Ammonium-based fertilisers</v>
      </c>
      <c r="G19" s="15" cm="1">
        <f t="array" ref="G19">Common_InputFunctions.Utility_LookupValueInTableNumber(F19, Table_SourceData_Fertiliser_FracGASF[Fertiliser type f],Table_SourceData_Fertiliser_FracGASF[FracGASF f])</f>
        <v>0.08</v>
      </c>
      <c r="H19" s="15">
        <f>(E19 * G19)</f>
        <v>0</v>
      </c>
    </row>
    <row r="20" spans="1:8" ht="20.100000000000001" customHeight="1" x14ac:dyDescent="0.2">
      <c r="A20" s="5" t="str">
        <f>HYPERLINK("#'Input - Manure sent off-site'!A1", "Manure sent off-site")</f>
        <v>Manure sent off-site</v>
      </c>
      <c r="D20" s="15" t="str">
        <v>Diammonium phosphate (DAP)</v>
      </c>
      <c r="E20" s="15">
        <f>INDEX(Table_MN_j_f,3,4)</f>
        <v>0</v>
      </c>
      <c r="F20" s="15" t="str" cm="1">
        <f t="array" ref="F20">Common_InputFunctions.Utility_LookupValueInTable(D20, Table_Fertiliser_ChemicalCompounds[Fertiliser type f],Table_Fertiliser_ChemicalCompounds[Basis])</f>
        <v>Ammonium-based fertilisers</v>
      </c>
      <c r="G20" s="15" cm="1">
        <f t="array" ref="G20">Common_InputFunctions.Utility_LookupValueInTableNumber(F20, Table_SourceData_Fertiliser_FracGASF[Fertiliser type f],Table_SourceData_Fertiliser_FracGASF[FracGASF f])</f>
        <v>0.08</v>
      </c>
      <c r="H20" s="15">
        <f>(E20 * G20)</f>
        <v>0</v>
      </c>
    </row>
    <row r="21" spans="1:8" ht="20.100000000000001" customHeight="1" x14ac:dyDescent="0.2">
      <c r="A21" s="5" t="str">
        <f>HYPERLINK("#'Input - Data quality'!A1", "Data quality")</f>
        <v>Data quality</v>
      </c>
      <c r="D21" s="15" t="str">
        <v>Urea</v>
      </c>
      <c r="E21" s="15">
        <f>INDEX(Table_MN_j_f,4,4)</f>
        <v>11599.999400000001</v>
      </c>
      <c r="F21" s="15" t="str" cm="1">
        <f t="array" ref="F21">Common_InputFunctions.Utility_LookupValueInTable(D21, Table_Fertiliser_ChemicalCompounds[Fertiliser type f],Table_Fertiliser_ChemicalCompounds[Basis])</f>
        <v>Urea-based fertilisers</v>
      </c>
      <c r="G21" s="15" cm="1">
        <f t="array" ref="G21">Common_InputFunctions.Utility_LookupValueInTableNumber(F21, Table_SourceData_Fertiliser_FracGASF[Fertiliser type f],Table_SourceData_Fertiliser_FracGASF[FracGASF f])</f>
        <v>0.15</v>
      </c>
      <c r="H21" s="15">
        <f>(E21 * G21)</f>
        <v>1739.99991</v>
      </c>
    </row>
    <row r="22" spans="1:8" ht="20.100000000000001" customHeight="1" x14ac:dyDescent="0.2">
      <c r="A22" s="5" t="str">
        <f>HYPERLINK("#'Input - Fert Prod System'!A1", "Fert Prod System")</f>
        <v>Fert Prod System</v>
      </c>
      <c r="D22" s="15" t="str">
        <v>Sulphate of ammonia (SOA)</v>
      </c>
      <c r="E22" s="15">
        <f>INDEX(Table_MN_j_f,5,4)</f>
        <v>0</v>
      </c>
      <c r="F22" s="15" t="str" cm="1">
        <f t="array" ref="F22">Common_InputFunctions.Utility_LookupValueInTable(D22, Table_Fertiliser_ChemicalCompounds[Fertiliser type f],Table_Fertiliser_ChemicalCompounds[Basis])</f>
        <v>Ammonium-based fertilisers</v>
      </c>
      <c r="G22" s="15" cm="1">
        <f t="array" ref="G22">Common_InputFunctions.Utility_LookupValueInTableNumber(F22, Table_SourceData_Fertiliser_FracGASF[Fertiliser type f],Table_SourceData_Fertiliser_FracGASF[FracGASF f])</f>
        <v>0.08</v>
      </c>
      <c r="H22" s="15">
        <f>(E22 * G22)</f>
        <v>0</v>
      </c>
    </row>
    <row r="23" spans="1:8" ht="20.100000000000001" customHeight="1" x14ac:dyDescent="0.2">
      <c r="A23" s="5" t="str">
        <f>HYPERLINK("#'Input - Fertiliser'!A1", "Fertiliser")</f>
        <v>Fertiliser</v>
      </c>
      <c r="D23" s="15" t="str">
        <v>Urea-ammonium nitrate (UAN)</v>
      </c>
      <c r="E23" s="15">
        <f>INDEX(Table_MN_j_f,6,4)</f>
        <v>0</v>
      </c>
      <c r="F23" s="15" t="str" cm="1">
        <f t="array" ref="F23">Common_InputFunctions.Utility_LookupValueInTable(D23, Table_Fertiliser_ChemicalCompounds[Fertiliser type f],Table_Fertiliser_ChemicalCompounds[Basis])</f>
        <v>Urea-based fertilisers</v>
      </c>
      <c r="G23" s="15" cm="1">
        <f t="array" ref="G23">Common_InputFunctions.Utility_LookupValueInTableNumber(F23, Table_SourceData_Fertiliser_FracGASF[Fertiliser type f],Table_SourceData_Fertiliser_FracGASF[FracGASF f])</f>
        <v>0.15</v>
      </c>
      <c r="H23" s="15">
        <f>(E23 * G23)</f>
        <v>0</v>
      </c>
    </row>
    <row r="24" spans="1:8" ht="20.100000000000001" customHeight="1" x14ac:dyDescent="0.2">
      <c r="D24" s="15" t="str">
        <v>Ammonium nitrate (AN)</v>
      </c>
      <c r="E24" s="15">
        <f>INDEX(Table_MN_j_f,7,4)</f>
        <v>0</v>
      </c>
      <c r="F24" s="15" t="str" cm="1">
        <f t="array" ref="F24">Common_InputFunctions.Utility_LookupValueInTable(D24, Table_Fertiliser_ChemicalCompounds[Fertiliser type f],Table_Fertiliser_ChemicalCompounds[Basis])</f>
        <v>Ammonium-nitrate based fertilisers</v>
      </c>
      <c r="G24" s="15" cm="1">
        <f t="array" ref="G24">Common_InputFunctions.Utility_LookupValueInTableNumber(F24, Table_SourceData_Fertiliser_FracGASF[Fertiliser type f],Table_SourceData_Fertiliser_FracGASF[FracGASF f])</f>
        <v>0.05</v>
      </c>
      <c r="H24" s="15">
        <f>(E24 * G24)</f>
        <v>0</v>
      </c>
    </row>
    <row r="25" spans="1:8" ht="20.100000000000001" customHeight="1" x14ac:dyDescent="0.2">
      <c r="D25" s="15" t="str">
        <v>Calcium ammonium nitrate (CAN)</v>
      </c>
      <c r="E25" s="15">
        <f>INDEX(Table_MN_j_f,8,4)</f>
        <v>0</v>
      </c>
      <c r="F25" s="15" t="str" cm="1">
        <f t="array" ref="F25">Common_InputFunctions.Utility_LookupValueInTable(D25, Table_Fertiliser_ChemicalCompounds[Fertiliser type f],Table_Fertiliser_ChemicalCompounds[Basis])</f>
        <v>Ammonium-nitrate based fertilisers</v>
      </c>
      <c r="G25" s="15" cm="1">
        <f t="array" ref="G25">Common_InputFunctions.Utility_LookupValueInTableNumber(F25, Table_SourceData_Fertiliser_FracGASF[Fertiliser type f],Table_SourceData_Fertiliser_FracGASF[FracGASF f])</f>
        <v>0.05</v>
      </c>
      <c r="H25" s="15">
        <f>(E25 * G25)</f>
        <v>0</v>
      </c>
    </row>
    <row r="26" spans="1:8" ht="20.100000000000001" customHeight="1" x14ac:dyDescent="0.2">
      <c r="A26" s="6" t="s">
        <v>2</v>
      </c>
      <c r="D26" s="15" t="str">
        <v>Nitrogen - Ammoniacal</v>
      </c>
      <c r="E26" s="15">
        <f>INDEX(Table_MN_j_f,9,4)</f>
        <v>1240</v>
      </c>
      <c r="F26" s="15" t="str" cm="1">
        <f t="array" ref="F26">Common_InputFunctions.Utility_LookupValueInTable(D26, Table_Fertiliser_ChemicalCompounds[Fertiliser type f],Table_Fertiliser_ChemicalCompounds[Basis])</f>
        <v>Ammonium-based fertilisers</v>
      </c>
      <c r="G26" s="15" cm="1">
        <f t="array" ref="G26">Common_InputFunctions.Utility_LookupValueInTableNumber(F26, Table_SourceData_Fertiliser_FracGASF[Fertiliser type f],Table_SourceData_Fertiliser_FracGASF[FracGASF f])</f>
        <v>0.08</v>
      </c>
      <c r="H26" s="15">
        <f>(E26 * G26)</f>
        <v>99.2</v>
      </c>
    </row>
    <row r="27" spans="1:8" ht="20.100000000000001" customHeight="1" x14ac:dyDescent="0.2">
      <c r="A27" s="5" t="str">
        <f>HYPERLINK("#'4.6.1.1-2 Methane'!A1", "4.6.1.1-2 Manure Methane")</f>
        <v>4.6.1.1-2 Manure Methane</v>
      </c>
      <c r="D27" s="15" t="str">
        <v>Nitrogen - Nitrate</v>
      </c>
      <c r="E27" s="15">
        <f>INDEX(Table_MN_j_f,10,4)</f>
        <v>550</v>
      </c>
      <c r="F27" s="15" t="str" cm="1">
        <f t="array" ref="F27">Common_InputFunctions.Utility_LookupValueInTable(D27, Table_Fertiliser_ChemicalCompounds[Fertiliser type f],Table_Fertiliser_ChemicalCompounds[Basis])</f>
        <v>Nitrate-based fertilisers</v>
      </c>
      <c r="G27" s="15" cm="1">
        <f t="array" ref="G27">Common_InputFunctions.Utility_LookupValueInTableNumber(F27, Table_SourceData_Fertiliser_FracGASF[Fertiliser type f],Table_SourceData_Fertiliser_FracGASF[FracGASF f])</f>
        <v>0.01</v>
      </c>
      <c r="H27" s="15">
        <f>(E27 * G27)</f>
        <v>5.5</v>
      </c>
    </row>
    <row r="28" spans="1:8" ht="20.100000000000001" customHeight="1" x14ac:dyDescent="0.2">
      <c r="A28" s="5" t="str">
        <f>HYPERLINK("#'4.6.1.3-4 Direct N20'!A1", "4.6.1.3-4 Manure Direct N2O")</f>
        <v>4.6.1.3-4 Manure Direct N2O</v>
      </c>
      <c r="D28" s="15" t="str">
        <v>Nitrogen - Generic</v>
      </c>
      <c r="E28" s="15">
        <f>INDEX(Table_MN_j_f,11,4)</f>
        <v>0</v>
      </c>
      <c r="F28" s="15" t="str" cm="1">
        <f t="array" ref="F28">Common_InputFunctions.Utility_LookupValueInTable(D28, Table_Fertiliser_ChemicalCompounds[Fertiliser type f],Table_Fertiliser_ChemicalCompounds[Basis])</f>
        <v>Urea-based fertilisers</v>
      </c>
      <c r="G28" s="15" cm="1">
        <f t="array" ref="G28">Common_InputFunctions.Utility_LookupValueInTableNumber(F28, Table_SourceData_Fertiliser_FracGASF[Fertiliser type f],Table_SourceData_Fertiliser_FracGASF[FracGASF f])</f>
        <v>0.15</v>
      </c>
      <c r="H28" s="15">
        <f>(E28 * G28)</f>
        <v>0</v>
      </c>
    </row>
    <row r="29" spans="1:8" ht="20.100000000000001" customHeight="1" x14ac:dyDescent="0.2">
      <c r="A29" s="5" t="str">
        <f>HYPERLINK("#'4.6.1.5-6 Atmos Dep'!A1", "4.6.1.5-6 Manure Atmos Dep")</f>
        <v>4.6.1.5-6 Manure Atmos Dep</v>
      </c>
      <c r="D29" s="15" t="str">
        <v>Phosphorus - Generic</v>
      </c>
      <c r="E29" s="15">
        <f>INDEX(Table_MN_j_f,12,4)</f>
        <v>0</v>
      </c>
      <c r="F29" s="15" t="str" cm="1">
        <f t="array" ref="F29">Common_InputFunctions.Utility_LookupValueInTable(D29, Table_Fertiliser_ChemicalCompounds[Fertiliser type f],Table_Fertiliser_ChemicalCompounds[Basis])</f>
        <v>Other fertilisers</v>
      </c>
      <c r="G29" s="15" cm="1">
        <f t="array" ref="G29">Common_InputFunctions.Utility_LookupValueInTableNumber(F29, Table_SourceData_Fertiliser_FracGASF[Fertiliser type f],Table_SourceData_Fertiliser_FracGASF[FracGASF f])</f>
        <v>0.11</v>
      </c>
      <c r="H29" s="15">
        <f>(E29 * G29)</f>
        <v>0</v>
      </c>
    </row>
    <row r="30" spans="1:8" ht="20.100000000000001" customHeight="1" x14ac:dyDescent="0.2">
      <c r="A30" s="5" t="str">
        <f>HYPERLINK("#'4.6.1.7-8 Leaching and runoff'!A1", "4.6.1.7-8 Manure Leaching and runoff")</f>
        <v>4.6.1.7-8 Manure Leaching and runoff</v>
      </c>
      <c r="D30" s="15" t="str">
        <v>Potassium - Generic</v>
      </c>
      <c r="E30" s="15">
        <f>INDEX(Table_MN_j_f,13,4)</f>
        <v>0</v>
      </c>
      <c r="F30" s="15" t="str" cm="1">
        <f t="array" ref="F30">Common_InputFunctions.Utility_LookupValueInTable(D30, Table_Fertiliser_ChemicalCompounds[Fertiliser type f],Table_Fertiliser_ChemicalCompounds[Basis])</f>
        <v>Other fertilisers</v>
      </c>
      <c r="G30" s="15" cm="1">
        <f t="array" ref="G30">Common_InputFunctions.Utility_LookupValueInTableNumber(F30, Table_SourceData_Fertiliser_FracGASF[Fertiliser type f],Table_SourceData_Fertiliser_FracGASF[FracGASF f])</f>
        <v>0.11</v>
      </c>
      <c r="H30" s="15">
        <f>(E30 * G30)</f>
        <v>0</v>
      </c>
    </row>
    <row r="31" spans="1:8" ht="20.100000000000001" customHeight="1" x14ac:dyDescent="0.2">
      <c r="A31" s="5" t="str">
        <f>HYPERLINK("#'4.6.1.9 Manure applied to soils'!A1", "4.6.1.9 Manure applied to soils")</f>
        <v>4.6.1.9 Manure applied to soils</v>
      </c>
      <c r="D31" s="15" t="str">
        <v>Sulfur - Generic</v>
      </c>
      <c r="E31" s="15">
        <f>INDEX(Table_MN_j_f,14,4)</f>
        <v>0</v>
      </c>
      <c r="F31" s="15" t="str" cm="1">
        <f t="array" ref="F31">Common_InputFunctions.Utility_LookupValueInTable(D31, Table_Fertiliser_ChemicalCompounds[Fertiliser type f],Table_Fertiliser_ChemicalCompounds[Basis])</f>
        <v>Other fertilisers</v>
      </c>
      <c r="G31" s="15" cm="1">
        <f t="array" ref="G31">Common_InputFunctions.Utility_LookupValueInTableNumber(F31, Table_SourceData_Fertiliser_FracGASF[Fertiliser type f],Table_SourceData_Fertiliser_FracGASF[FracGASF f])</f>
        <v>0.11</v>
      </c>
      <c r="H31" s="15">
        <f>(E31 * G31)</f>
        <v>0</v>
      </c>
    </row>
    <row r="32" spans="1:8" ht="20.100000000000001" customHeight="1" x14ac:dyDescent="0.2">
      <c r="A32" s="5" t="str">
        <f>HYPERLINK("#'4.6.1.10-11 Soil direct N2O'!A1", "4.6.1.10-11 Soil direct N2O")</f>
        <v>4.6.1.10-11 Soil direct N2O</v>
      </c>
      <c r="D32" s="15" t="str">
        <v>Zinc - Generic</v>
      </c>
      <c r="E32" s="15">
        <f>INDEX(Table_MN_j_f,15,4)</f>
        <v>0</v>
      </c>
      <c r="F32" s="15" t="str" cm="1">
        <f t="array" ref="F32">Common_InputFunctions.Utility_LookupValueInTable(D32, Table_Fertiliser_ChemicalCompounds[Fertiliser type f],Table_Fertiliser_ChemicalCompounds[Basis])</f>
        <v>Other fertilisers</v>
      </c>
      <c r="G32" s="15" cm="1">
        <f t="array" ref="G32">Common_InputFunctions.Utility_LookupValueInTableNumber(F32, Table_SourceData_Fertiliser_FracGASF[Fertiliser type f],Table_SourceData_Fertiliser_FracGASF[FracGASF f])</f>
        <v>0.11</v>
      </c>
      <c r="H32" s="15">
        <f>(E32 * G32)</f>
        <v>0</v>
      </c>
    </row>
    <row r="33" spans="1:12" ht="20.100000000000001" customHeight="1" x14ac:dyDescent="0.2">
      <c r="A33" s="5" t="str">
        <f>HYPERLINK("#'4.6.1.12-13 Soil atmos dep'!A1", "4.6.1.12-13 Soil atmos dep")</f>
        <v>4.6.1.12-13 Soil atmos dep</v>
      </c>
      <c r="D33" s="15" t="str">
        <v>Muriate of potash (MOP)</v>
      </c>
      <c r="E33" s="15">
        <f>INDEX(Table_MN_j_f,16,4)</f>
        <v>0</v>
      </c>
      <c r="F33" s="15" t="str" cm="1">
        <f t="array" ref="F33">Common_InputFunctions.Utility_LookupValueInTable(D33, Table_Fertiliser_ChemicalCompounds[Fertiliser type f],Table_Fertiliser_ChemicalCompounds[Basis])</f>
        <v>Other fertilisers</v>
      </c>
      <c r="G33" s="15" cm="1">
        <f t="array" ref="G33">Common_InputFunctions.Utility_LookupValueInTableNumber(F33, Table_SourceData_Fertiliser_FracGASF[Fertiliser type f],Table_SourceData_Fertiliser_FracGASF[FracGASF f])</f>
        <v>0.11</v>
      </c>
      <c r="H33" s="15">
        <f>(E33 * G33)</f>
        <v>0</v>
      </c>
    </row>
    <row r="34" spans="1:12" ht="20.100000000000001" customHeight="1" x14ac:dyDescent="0.2">
      <c r="A34" s="5" t="str">
        <f>HYPERLINK("#'4.6.1.14-15 Soil leach runoff'!A1", "4.6.1.14-15 Soil leach runoff")</f>
        <v>4.6.1.14-15 Soil leach runoff</v>
      </c>
      <c r="D34" s="15" t="str">
        <v>Double superphosphate</v>
      </c>
      <c r="E34" s="15">
        <f>INDEX(Table_MN_j_f,17,4)</f>
        <v>0</v>
      </c>
      <c r="F34" s="15" t="str" cm="1">
        <f t="array" ref="F34">Common_InputFunctions.Utility_LookupValueInTable(D34, Table_Fertiliser_ChemicalCompounds[Fertiliser type f],Table_Fertiliser_ChemicalCompounds[Basis])</f>
        <v>Other fertilisers</v>
      </c>
      <c r="G34" s="15" cm="1">
        <f t="array" ref="G34">Common_InputFunctions.Utility_LookupValueInTableNumber(F34, Table_SourceData_Fertiliser_FracGASF[Fertiliser type f],Table_SourceData_Fertiliser_FracGASF[FracGASF f])</f>
        <v>0.11</v>
      </c>
      <c r="H34" s="15">
        <f>(E34 * G34)</f>
        <v>0</v>
      </c>
    </row>
    <row r="35" spans="1:12" ht="20.100000000000001" customHeight="1" x14ac:dyDescent="0.2">
      <c r="A35" s="5" t="str">
        <f>HYPERLINK("#'8.1.1.1-2 Transport fuel'!A1", "8.1.1.1-2 Transport fuel")</f>
        <v>8.1.1.1-2 Transport fuel</v>
      </c>
      <c r="D35" s="15" t="str">
        <v>Single superphosphate (SSP)</v>
      </c>
      <c r="E35" s="15">
        <f>INDEX(Table_MN_j_f,18,4)</f>
        <v>0</v>
      </c>
      <c r="F35" s="15" t="str" cm="1">
        <f t="array" ref="F35">Common_InputFunctions.Utility_LookupValueInTable(D35, Table_Fertiliser_ChemicalCompounds[Fertiliser type f],Table_Fertiliser_ChemicalCompounds[Basis])</f>
        <v>Other fertilisers</v>
      </c>
      <c r="G35" s="15" cm="1">
        <f t="array" ref="G35">Common_InputFunctions.Utility_LookupValueInTableNumber(F35, Table_SourceData_Fertiliser_FracGASF[Fertiliser type f],Table_SourceData_Fertiliser_FracGASF[FracGASF f])</f>
        <v>0.11</v>
      </c>
      <c r="H35" s="15">
        <f>(E35 * G35)</f>
        <v>0</v>
      </c>
    </row>
    <row r="36" spans="1:12" ht="20.100000000000001" customHeight="1" x14ac:dyDescent="0.2">
      <c r="A36" s="5" t="str">
        <f>HYPERLINK("#'8.2.1.1-2 Stationary fuel'!A1", "8.2.1.1-2 Stationary fuel")</f>
        <v>8.2.1.1-2 Stationary fuel</v>
      </c>
      <c r="D36" s="15" t="str">
        <v>Ammonia</v>
      </c>
      <c r="E36" s="15">
        <f>INDEX(Table_MN_j_f,19,4)</f>
        <v>4117.5</v>
      </c>
      <c r="F36" s="15" t="str" cm="1">
        <f t="array" ref="F36">Common_InputFunctions.Utility_LookupValueInTable(D36, Table_Fertiliser_ChemicalCompounds[Fertiliser type f],Table_Fertiliser_ChemicalCompounds[Basis])</f>
        <v>Ammonium-based fertilisers</v>
      </c>
      <c r="G36" s="15" cm="1">
        <f t="array" ref="G36">Common_InputFunctions.Utility_LookupValueInTableNumber(F36, Table_SourceData_Fertiliser_FracGASF[Fertiliser type f],Table_SourceData_Fertiliser_FracGASF[FracGASF f])</f>
        <v>0.08</v>
      </c>
      <c r="H36" s="15">
        <f>(E36 * G36)</f>
        <v>329.40000000000003</v>
      </c>
    </row>
    <row r="37" spans="1:12" ht="20.100000000000001" customHeight="1" x14ac:dyDescent="0.2">
      <c r="A37" s="5" t="str">
        <f>HYPERLINK("#'10.1.1-2 Solid waste treatment'!A1", "10.1.1.1-2 Solid waste")</f>
        <v>10.1.1.1-2 Solid waste</v>
      </c>
      <c r="D37" s="15" t="str">
        <v>Calcium nitrate</v>
      </c>
      <c r="E37" s="15">
        <f>INDEX(Table_MN_j_f,20,4)</f>
        <v>775</v>
      </c>
      <c r="F37" s="15" t="str" cm="1">
        <f t="array" ref="F37">Common_InputFunctions.Utility_LookupValueInTable(D37, Table_Fertiliser_ChemicalCompounds[Fertiliser type f],Table_Fertiliser_ChemicalCompounds[Basis])</f>
        <v>Nitrate-based fertilisers</v>
      </c>
      <c r="G37" s="15" cm="1">
        <f t="array" ref="G37">Common_InputFunctions.Utility_LookupValueInTableNumber(F37, Table_SourceData_Fertiliser_FracGASF[Fertiliser type f],Table_SourceData_Fertiliser_FracGASF[FracGASF f])</f>
        <v>0.01</v>
      </c>
      <c r="H37" s="15">
        <f>(E37 * G37)</f>
        <v>7.75</v>
      </c>
    </row>
    <row r="38" spans="1:12" ht="20.100000000000001" customHeight="1" x14ac:dyDescent="0.2">
      <c r="A38" s="5" t="str">
        <f>HYPERLINK("#'14.1.1-2 Purchased electricity'!A1", "14.1.1-2 Purchased electricity")</f>
        <v>14.1.1-2 Purchased electricity</v>
      </c>
    </row>
    <row r="39" spans="1:12" ht="20.100000000000001" customHeight="1" x14ac:dyDescent="0.2">
      <c r="A39" s="5" t="str">
        <f>HYPERLINK("#'15 Scope 3'!A1", "15 Scope 3")</f>
        <v>15 Scope 3</v>
      </c>
    </row>
    <row r="40" spans="1:12" ht="20.100000000000001" customHeight="1" x14ac:dyDescent="0.2">
      <c r="A40" s="5" t="str">
        <f>HYPERLINK("#'Calcs - Manure sent off-site'!A1", "Calcs - Manure sent off-site")</f>
        <v>Calcs - Manure sent off-site</v>
      </c>
      <c r="C40" s="231"/>
      <c r="D40" s="231"/>
      <c r="E40" s="231"/>
      <c r="F40" s="231"/>
      <c r="G40" s="231"/>
      <c r="H40" s="231"/>
      <c r="I40" s="231"/>
      <c r="J40" s="231"/>
      <c r="K40" s="231"/>
      <c r="L40" s="231"/>
    </row>
    <row r="41" spans="1:12" ht="20.100000000000001" customHeight="1" x14ac:dyDescent="0.2">
      <c r="A41" s="5" t="str">
        <f>HYPERLINK("#'5.1.1.1-2 Inorganic fert N2O'!A1", "5.1.1.1-2 Inorganic fert N2O")</f>
        <v>5.1.1.1-2 Inorganic fert N2O</v>
      </c>
      <c r="D41" s="2" t="s">
        <v>2411</v>
      </c>
    </row>
    <row r="42" spans="1:12" ht="20.100000000000001" customHeight="1" x14ac:dyDescent="0.2">
      <c r="A42" s="5" t="str">
        <f>HYPERLINK("#'5.1.1.3-4 Inorganic fert CO2'!A1", "5.1.1.3-4 Inorganic fert CO2")</f>
        <v>5.1.1.3-4 Inorganic fert CO2</v>
      </c>
      <c r="D42" s="17" t="s">
        <v>2412</v>
      </c>
    </row>
    <row r="43" spans="1:12" ht="20.100000000000001" customHeight="1" x14ac:dyDescent="0.2">
      <c r="A43" s="5" t="str">
        <f>HYPERLINK("#'5.2.1.1-2 Organic Fert N2O'!A1", "5.2.1.1-2 Organic Fert N2O")</f>
        <v>5.2.1.1-2 Organic Fert N2O</v>
      </c>
      <c r="D43" s="112"/>
      <c r="E43" s="112"/>
    </row>
    <row r="44" spans="1:12" ht="20.100000000000001" customHeight="1" x14ac:dyDescent="0.2">
      <c r="A44" s="5" t="str">
        <f>HYPERLINK("#'5.3.1.1-2 Lime CO2'!A1", "5.3.1.1-2 Lime CO2")</f>
        <v>5.3.1.1-2 Lime CO2</v>
      </c>
    </row>
    <row r="45" spans="1:12" ht="20.100000000000001" customHeight="1" x14ac:dyDescent="0.2">
      <c r="A45" s="117" t="str">
        <f>HYPERLINK("#'5.4.1.1-4 Atmos deposition'!A1", "5.4.1.1-4 Atmos deposition")</f>
        <v>5.4.1.1-4 Atmos deposition</v>
      </c>
    </row>
    <row r="46" spans="1:12" ht="20.100000000000001" customHeight="1" x14ac:dyDescent="0.2">
      <c r="A46" s="5" t="str">
        <f>HYPERLINK("#'5.5.1.1-2 Leaching and runoff'!A1", "5.5.1.1-2 Leaching and runoff")</f>
        <v>5.5.1.1-2 Leaching and runoff</v>
      </c>
      <c r="D46" s="75" t="s">
        <v>328</v>
      </c>
      <c r="E46" s="1" t="s">
        <v>2413</v>
      </c>
    </row>
    <row r="47" spans="1:12" ht="20.100000000000001" customHeight="1" x14ac:dyDescent="0.2">
      <c r="D47" s="75" t="s">
        <v>118</v>
      </c>
      <c r="E47" s="9" t="s">
        <v>12</v>
      </c>
    </row>
    <row r="49" spans="1:10" ht="20.100000000000001" customHeight="1" x14ac:dyDescent="0.2">
      <c r="A49" s="80" t="s">
        <v>1</v>
      </c>
      <c r="D49" s="113" t="s">
        <v>2407</v>
      </c>
      <c r="E49" s="122" t="s">
        <v>2414</v>
      </c>
      <c r="F49" s="136"/>
      <c r="G49" s="123"/>
      <c r="H49" s="113" t="s">
        <v>482</v>
      </c>
      <c r="I49" s="115" t="s">
        <v>2416</v>
      </c>
      <c r="J49" s="116" t="str" cm="1">
        <f t="array" aca="1" ref="J49" ca="1">HYPERLINK(Common_InputFunctions.Utility_SourceHyperlink($D$16),$D$16)</f>
        <v>Table_M_vol_inorganic_j_f</v>
      </c>
    </row>
    <row r="50" spans="1:10" ht="20.100000000000001" customHeight="1" x14ac:dyDescent="0.2">
      <c r="A50" s="5" t="str">
        <f>HYPERLINK("#'Constants - Poultry'!A1", "Constants - Poultry")</f>
        <v>Constants - Poultry</v>
      </c>
      <c r="D50" s="113" t="s">
        <v>1648</v>
      </c>
      <c r="E50" s="122" t="s">
        <v>2415</v>
      </c>
      <c r="F50" s="136"/>
      <c r="G50" s="123"/>
      <c r="H50" s="113" t="s">
        <v>1288</v>
      </c>
      <c r="I50" s="115" t="s">
        <v>1203</v>
      </c>
      <c r="J50" s="113">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1:10" ht="20.100000000000001" customHeight="1" x14ac:dyDescent="0.2">
      <c r="A51" s="5" t="str">
        <f>HYPERLINK("#'Constants - Common livestock'!A1", "Constants - Common Livestock")</f>
        <v>Constants - Common Livestock</v>
      </c>
      <c r="D51" s="113" t="s">
        <v>1302</v>
      </c>
      <c r="E51" s="122" t="s">
        <v>1303</v>
      </c>
      <c r="F51" s="136"/>
      <c r="G51" s="123"/>
      <c r="H51" s="113"/>
      <c r="I51" s="115" t="s">
        <v>1203</v>
      </c>
      <c r="J51" s="126">
        <f>Common_InputFunctions.Utility_LookupValueInTableNumber("N2O",Table_GasToMolecularConversionFactor[Gas],Table_GasToMolecularConversionFactor[Conversion factor combined])</f>
        <v>1.5714285714285714</v>
      </c>
    </row>
    <row r="52" spans="1:10" ht="20.100000000000001" customHeight="1" x14ac:dyDescent="0.2">
      <c r="A52" s="5" t="str">
        <f>HYPERLINK("#'Constants - Electricity'!A1", "Constants - Electricity")</f>
        <v>Constants - Electricity</v>
      </c>
      <c r="D52" s="113" t="s">
        <v>1318</v>
      </c>
      <c r="E52" s="122" t="s">
        <v>311</v>
      </c>
      <c r="F52" s="136"/>
      <c r="G52" s="123"/>
      <c r="H52" s="113"/>
      <c r="I52" s="114" t="s">
        <v>1202</v>
      </c>
      <c r="J52" s="113" t="str">
        <f>X_Cell_Fertiliser_ProductionSystem</f>
        <v>Crop</v>
      </c>
    </row>
    <row r="53" spans="1:10" ht="20.100000000000001" customHeight="1" x14ac:dyDescent="0.2">
      <c r="A53" s="5" t="str">
        <f>HYPERLINK("#'Constants - Fertiliser'!A1", "Constants - Fertiliser")</f>
        <v>Constants - Fertiliser</v>
      </c>
      <c r="D53" s="113" t="s">
        <v>1320</v>
      </c>
      <c r="E53" s="122" t="s">
        <v>1321</v>
      </c>
      <c r="F53" s="136"/>
      <c r="G53" s="123"/>
      <c r="H53" s="113"/>
      <c r="I53" s="114" t="s">
        <v>1202</v>
      </c>
      <c r="J53" s="113" t="str">
        <f>X_Cell_Fertiliser_IrrigationMethod</f>
        <v>Drip irrigation</v>
      </c>
    </row>
    <row r="54" spans="1:10" ht="20.100000000000001" customHeight="1" x14ac:dyDescent="0.2">
      <c r="A54" s="5" t="str">
        <f>HYPERLINK("#'Constants - Fuel'!A1", "Constants - Fuel")</f>
        <v>Constants - Fuel</v>
      </c>
      <c r="D54" s="113" t="s">
        <v>1322</v>
      </c>
      <c r="E54" s="122" t="s">
        <v>1323</v>
      </c>
      <c r="F54" s="136"/>
      <c r="G54" s="123"/>
      <c r="H54" s="113"/>
      <c r="I54" s="114" t="s">
        <v>1202</v>
      </c>
      <c r="J54" s="113" t="str">
        <f>X_Cell_Site_RainfallZone</f>
        <v>High rainfall</v>
      </c>
    </row>
    <row r="55" spans="1:10" ht="20.100000000000001" customHeight="1" x14ac:dyDescent="0.2">
      <c r="A55" s="5" t="str">
        <f>HYPERLINK("#'Constants - Scope 3'!A1", "Constants - Scope 3")</f>
        <v>Constants - Scope 3</v>
      </c>
    </row>
    <row r="56" spans="1:10" ht="20.100000000000001" customHeight="1" x14ac:dyDescent="0.2">
      <c r="A56" s="5" t="str">
        <f>HYPERLINK("#'Constants - Solid Waste'!A1", "Constants - Solid Waste")</f>
        <v>Constants - Solid Waste</v>
      </c>
      <c r="D56" s="118" t="s">
        <v>823</v>
      </c>
    </row>
    <row r="57" spans="1:10" ht="20.100000000000001" customHeight="1" x14ac:dyDescent="0.2">
      <c r="A57" s="5" t="str">
        <f>HYPERLINK("#'Constants - Common'!A1", "Constants - Common")</f>
        <v>Constants - Common</v>
      </c>
      <c r="D57" s="119" t="s">
        <v>824</v>
      </c>
    </row>
    <row r="58" spans="1:10" ht="20.100000000000001" customHeight="1" x14ac:dyDescent="0.2">
      <c r="D58" s="120" t="s">
        <v>818</v>
      </c>
      <c r="E58" s="234" t="s">
        <v>822</v>
      </c>
      <c r="F58" s="234" t="s">
        <v>825</v>
      </c>
    </row>
    <row r="59" spans="1:10" ht="20.100000000000001" customHeight="1" x14ac:dyDescent="0.2">
      <c r="D59" s="15" t="str" cm="1">
        <f t="array" ref="D59:D77">Table_Fertiliser_ChemicalCompounds[Fertiliser type f]</f>
        <v>Monoammonium phosphate (MAP)</v>
      </c>
      <c r="E59" s="15">
        <f t="shared" ref="E59:E77" si="0">H19</f>
        <v>0</v>
      </c>
      <c r="F59" s="15">
        <f>((E59 * $J$50) * $J$51 * 10 ^ -3)</f>
        <v>0</v>
      </c>
      <c r="G59" s="16" t="str">
        <f>E47</f>
        <v>t N2O</v>
      </c>
    </row>
    <row r="60" spans="1:10" ht="20.100000000000001" customHeight="1" x14ac:dyDescent="0.2">
      <c r="D60" s="15" t="str">
        <v>Diammonium phosphate (DAP)</v>
      </c>
      <c r="E60" s="15">
        <f t="shared" si="0"/>
        <v>0</v>
      </c>
      <c r="F60" s="15">
        <f>((E60 * $J$50) * $J$51 * 10 ^ -3)</f>
        <v>0</v>
      </c>
    </row>
    <row r="61" spans="1:10" ht="20.100000000000001" customHeight="1" x14ac:dyDescent="0.2">
      <c r="D61" s="15" t="str">
        <v>Urea</v>
      </c>
      <c r="E61" s="15">
        <f t="shared" si="0"/>
        <v>1739.99991</v>
      </c>
      <c r="F61" s="15">
        <f>((E61 * $J$50) * $J$51 * 10 ^ -3)</f>
        <v>1.9139999010000002E-2</v>
      </c>
    </row>
    <row r="62" spans="1:10" ht="20.100000000000001" customHeight="1" x14ac:dyDescent="0.2">
      <c r="D62" s="15" t="str">
        <v>Sulphate of ammonia (SOA)</v>
      </c>
      <c r="E62" s="15">
        <f t="shared" si="0"/>
        <v>0</v>
      </c>
      <c r="F62" s="15">
        <f>((E62 * $J$50) * $J$51 * 10 ^ -3)</f>
        <v>0</v>
      </c>
    </row>
    <row r="63" spans="1:10" ht="20.100000000000001" customHeight="1" x14ac:dyDescent="0.2">
      <c r="D63" s="15" t="str">
        <v>Urea-ammonium nitrate (UAN)</v>
      </c>
      <c r="E63" s="15">
        <f t="shared" si="0"/>
        <v>0</v>
      </c>
      <c r="F63" s="15">
        <f>((E63 * $J$50) * $J$51 * 10 ^ -3)</f>
        <v>0</v>
      </c>
    </row>
    <row r="64" spans="1:10" ht="20.100000000000001" customHeight="1" x14ac:dyDescent="0.2">
      <c r="D64" s="15" t="str">
        <v>Ammonium nitrate (AN)</v>
      </c>
      <c r="E64" s="15">
        <f t="shared" si="0"/>
        <v>0</v>
      </c>
      <c r="F64" s="15">
        <f>((E64 * $J$50) * $J$51 * 10 ^ -3)</f>
        <v>0</v>
      </c>
    </row>
    <row r="65" spans="1:6" ht="20.100000000000001" customHeight="1" x14ac:dyDescent="0.2">
      <c r="D65" s="15" t="str">
        <v>Calcium ammonium nitrate (CAN)</v>
      </c>
      <c r="E65" s="15">
        <f t="shared" si="0"/>
        <v>0</v>
      </c>
      <c r="F65" s="15">
        <f>((E65 * $J$50) * $J$51 * 10 ^ -3)</f>
        <v>0</v>
      </c>
    </row>
    <row r="66" spans="1:6" ht="20.100000000000001" customHeight="1" x14ac:dyDescent="0.2">
      <c r="D66" s="15" t="str">
        <v>Nitrogen - Ammoniacal</v>
      </c>
      <c r="E66" s="15">
        <f t="shared" si="0"/>
        <v>99.2</v>
      </c>
      <c r="F66" s="15">
        <f>((E66 * $J$50) * $J$51 * 10 ^ -3)</f>
        <v>1.0912000000000001E-3</v>
      </c>
    </row>
    <row r="67" spans="1:6" ht="20.100000000000001" customHeight="1" x14ac:dyDescent="0.2">
      <c r="D67" s="15" t="str">
        <v>Nitrogen - Nitrate</v>
      </c>
      <c r="E67" s="15">
        <f t="shared" si="0"/>
        <v>5.5</v>
      </c>
      <c r="F67" s="15">
        <f>((E67 * $J$50) * $J$51 * 10 ^ -3)</f>
        <v>6.05E-5</v>
      </c>
    </row>
    <row r="68" spans="1:6" ht="20.100000000000001" customHeight="1" x14ac:dyDescent="0.2">
      <c r="A68" s="79" t="str">
        <f>HYPERLINK("#A1", "▲ Back to top")</f>
        <v>▲ Back to top</v>
      </c>
      <c r="D68" s="15" t="str">
        <v>Nitrogen - Generic</v>
      </c>
      <c r="E68" s="15">
        <f t="shared" si="0"/>
        <v>0</v>
      </c>
      <c r="F68" s="15">
        <f>((E68 * $J$50) * $J$51 * 10 ^ -3)</f>
        <v>0</v>
      </c>
    </row>
    <row r="69" spans="1:6" ht="20.100000000000001" customHeight="1" x14ac:dyDescent="0.2">
      <c r="D69" s="15" t="str">
        <v>Phosphorus - Generic</v>
      </c>
      <c r="E69" s="15">
        <f t="shared" si="0"/>
        <v>0</v>
      </c>
      <c r="F69" s="15">
        <f>((E69 * $J$50) * $J$51 * 10 ^ -3)</f>
        <v>0</v>
      </c>
    </row>
    <row r="70" spans="1:6" ht="20.100000000000001" customHeight="1" x14ac:dyDescent="0.2">
      <c r="D70" s="15" t="str">
        <v>Potassium - Generic</v>
      </c>
      <c r="E70" s="15">
        <f t="shared" si="0"/>
        <v>0</v>
      </c>
      <c r="F70" s="15">
        <f>((E70 * $J$50) * $J$51 * 10 ^ -3)</f>
        <v>0</v>
      </c>
    </row>
    <row r="71" spans="1:6" ht="20.100000000000001" customHeight="1" x14ac:dyDescent="0.2">
      <c r="D71" s="15" t="str">
        <v>Sulfur - Generic</v>
      </c>
      <c r="E71" s="15">
        <f t="shared" si="0"/>
        <v>0</v>
      </c>
      <c r="F71" s="15">
        <f>((E71 * $J$50) * $J$51 * 10 ^ -3)</f>
        <v>0</v>
      </c>
    </row>
    <row r="72" spans="1:6" ht="20.100000000000001" customHeight="1" x14ac:dyDescent="0.2">
      <c r="D72" s="15" t="str">
        <v>Zinc - Generic</v>
      </c>
      <c r="E72" s="15">
        <f t="shared" si="0"/>
        <v>0</v>
      </c>
      <c r="F72" s="15">
        <f>((E72 * $J$50) * $J$51 * 10 ^ -3)</f>
        <v>0</v>
      </c>
    </row>
    <row r="73" spans="1:6" ht="20.100000000000001" customHeight="1" x14ac:dyDescent="0.2">
      <c r="D73" s="15" t="str">
        <v>Muriate of potash (MOP)</v>
      </c>
      <c r="E73" s="15">
        <f t="shared" si="0"/>
        <v>0</v>
      </c>
      <c r="F73" s="15">
        <f>((E73 * $J$50) * $J$51 * 10 ^ -3)</f>
        <v>0</v>
      </c>
    </row>
    <row r="74" spans="1:6" ht="20.100000000000001" customHeight="1" x14ac:dyDescent="0.2">
      <c r="D74" s="15" t="str">
        <v>Double superphosphate</v>
      </c>
      <c r="E74" s="15">
        <f t="shared" si="0"/>
        <v>0</v>
      </c>
      <c r="F74" s="15">
        <f>((E74 * $J$50) * $J$51 * 10 ^ -3)</f>
        <v>0</v>
      </c>
    </row>
    <row r="75" spans="1:6" ht="20.100000000000001" customHeight="1" x14ac:dyDescent="0.2">
      <c r="D75" s="15" t="str">
        <v>Single superphosphate (SSP)</v>
      </c>
      <c r="E75" s="15">
        <f t="shared" si="0"/>
        <v>0</v>
      </c>
      <c r="F75" s="15">
        <f>((E75 * $J$50) * $J$51 * 10 ^ -3)</f>
        <v>0</v>
      </c>
    </row>
    <row r="76" spans="1:6" ht="20.100000000000001" customHeight="1" x14ac:dyDescent="0.2">
      <c r="D76" s="15" t="str">
        <v>Ammonia</v>
      </c>
      <c r="E76" s="15">
        <f t="shared" si="0"/>
        <v>329.40000000000003</v>
      </c>
      <c r="F76" s="15">
        <f>((E76 * $J$50) * $J$51 * 10 ^ -3)</f>
        <v>3.6234000000000001E-3</v>
      </c>
    </row>
    <row r="77" spans="1:6" ht="20.100000000000001" customHeight="1" x14ac:dyDescent="0.2">
      <c r="D77" s="15" t="str">
        <v>Calcium nitrate</v>
      </c>
      <c r="E77" s="15">
        <f t="shared" si="0"/>
        <v>7.75</v>
      </c>
      <c r="F77" s="15">
        <f>((E77 * $J$50) * $J$51 * 10 ^ -3)</f>
        <v>8.5249999999999999E-5</v>
      </c>
    </row>
    <row r="79" spans="1:6" ht="20.100000000000001" customHeight="1" x14ac:dyDescent="0.2">
      <c r="D79" s="85" t="s">
        <v>826</v>
      </c>
      <c r="E79" s="86">
        <f>SUM(F59:F77)</f>
        <v>2.4000349010000002E-2</v>
      </c>
      <c r="F79" s="95" t="str">
        <f>$E$47</f>
        <v>t N2O</v>
      </c>
    </row>
    <row r="81" spans="3:12" ht="20.100000000000001" customHeight="1" x14ac:dyDescent="0.2">
      <c r="D81" s="126" t="str" cm="1">
        <f t="array" ref="D81:E82">Common_Equations.Common_ConvertN2OToCO2e_Arguments()</f>
        <v>EN2O</v>
      </c>
      <c r="E81" s="129" t="str">
        <v>Nitrous oxide emissions (t N2O)</v>
      </c>
      <c r="F81" s="130"/>
      <c r="G81" s="15">
        <f>VEERG_5_4_1_1__1_InorganicFertiliserAtmosphericDepositionN2OEmissions_Result_Method1</f>
        <v>2.4000349010000002E-2</v>
      </c>
    </row>
    <row r="82" spans="3:12" ht="20.100000000000001" customHeight="1" x14ac:dyDescent="0.2">
      <c r="D82" s="126" t="str">
        <v>GWPN2O</v>
      </c>
      <c r="E82" s="129" t="str">
        <v>Global warming potential for nitrous oxide (t CO2-e / t N2O)</v>
      </c>
      <c r="F82" s="130"/>
      <c r="G82" s="15">
        <f>Common_InputFunctions.Utility_LookupValueInTableNumber("N2O",Table_GWPData[Gas],Table_GWPData[CO2-e factor])</f>
        <v>265</v>
      </c>
    </row>
    <row r="84" spans="3:12" ht="20.100000000000001" customHeight="1" x14ac:dyDescent="0.2">
      <c r="D84" s="83" t="s">
        <v>376</v>
      </c>
      <c r="E84" s="83" cm="1">
        <f t="array" ref="E84">Common_Equations.Common_ConvertN2OToCO2e(G81,G82)</f>
        <v>6.3600924876500002</v>
      </c>
      <c r="F84" s="89" t="str" cm="1">
        <f t="array" ref="F84">Common_Equations.Common_ConvertN2OToCO2e_Unit()</f>
        <v>t CO2e</v>
      </c>
    </row>
    <row r="87" spans="3:12" ht="20.100000000000001" customHeight="1" x14ac:dyDescent="0.2">
      <c r="C87" s="231"/>
      <c r="D87" s="231"/>
      <c r="E87" s="231"/>
      <c r="F87" s="231"/>
      <c r="G87" s="231"/>
      <c r="H87" s="231"/>
      <c r="I87" s="231"/>
      <c r="J87" s="231"/>
      <c r="K87" s="231"/>
      <c r="L87" s="231"/>
    </row>
    <row r="88" spans="3:12" ht="20.100000000000001" customHeight="1" x14ac:dyDescent="0.2">
      <c r="D88" s="2" t="s">
        <v>1639</v>
      </c>
    </row>
    <row r="89" spans="3:12" ht="20.100000000000001" customHeight="1" x14ac:dyDescent="0.2">
      <c r="D89" s="17" t="s">
        <v>1640</v>
      </c>
    </row>
    <row r="90" spans="3:12" ht="20.100000000000001" customHeight="1" x14ac:dyDescent="0.2">
      <c r="D90" s="112"/>
      <c r="E90" s="112"/>
    </row>
    <row r="93" spans="3:12" ht="20.100000000000001" customHeight="1" x14ac:dyDescent="0.2">
      <c r="D93" s="75" t="s">
        <v>328</v>
      </c>
      <c r="E93" s="1" t="s">
        <v>1641</v>
      </c>
    </row>
    <row r="94" spans="3:12" ht="20.100000000000001" customHeight="1" x14ac:dyDescent="0.2">
      <c r="D94" s="75" t="s">
        <v>118</v>
      </c>
      <c r="E94" s="9" t="s">
        <v>482</v>
      </c>
    </row>
    <row r="96" spans="3:12" ht="20.100000000000001" customHeight="1" x14ac:dyDescent="0.2">
      <c r="D96" s="113" t="s">
        <v>1633</v>
      </c>
      <c r="E96" s="113" t="s">
        <v>1634</v>
      </c>
      <c r="F96" s="113"/>
      <c r="G96" s="113" t="s">
        <v>482</v>
      </c>
      <c r="H96" s="115" t="s">
        <v>1637</v>
      </c>
      <c r="I96" s="116" t="str" cm="1">
        <f t="array" aca="1" ref="I96" ca="1">HYPERLINK(Common_InputFunctions.Utility_SourceHyperlink($D$99), $D$99)</f>
        <v>Table_M_vol_organic_j_f</v>
      </c>
    </row>
    <row r="97" spans="1:9" ht="20.100000000000001" customHeight="1" x14ac:dyDescent="0.2">
      <c r="D97" s="113" t="s">
        <v>1642</v>
      </c>
      <c r="E97" s="113" t="s">
        <v>1643</v>
      </c>
      <c r="F97" s="113"/>
      <c r="G97" s="113" t="s">
        <v>1311</v>
      </c>
      <c r="H97" s="115" t="s">
        <v>1203</v>
      </c>
      <c r="I97" s="113">
        <f>Fertiliser_FracGASMSoil_Data</f>
        <v>0.21</v>
      </c>
    </row>
    <row r="98" spans="1:9" ht="20.100000000000001" customHeight="1" x14ac:dyDescent="0.2">
      <c r="A98" s="79" t="str">
        <f>HYPERLINK("#A1", "▲ Back to top")</f>
        <v>▲ Back to top</v>
      </c>
    </row>
    <row r="99" spans="1:9" ht="20.100000000000001" customHeight="1" x14ac:dyDescent="0.2">
      <c r="D99" s="118" t="s">
        <v>827</v>
      </c>
    </row>
    <row r="100" spans="1:9" ht="20.100000000000001" customHeight="1" x14ac:dyDescent="0.2">
      <c r="D100" s="119" t="s">
        <v>828</v>
      </c>
    </row>
    <row r="101" spans="1:9" ht="20.100000000000001" customHeight="1" x14ac:dyDescent="0.2">
      <c r="D101" s="78" t="s">
        <v>801</v>
      </c>
      <c r="E101" s="227" t="s">
        <v>805</v>
      </c>
      <c r="F101" s="227" t="s">
        <v>829</v>
      </c>
    </row>
    <row r="102" spans="1:9" ht="20.100000000000001" customHeight="1" x14ac:dyDescent="0.2">
      <c r="D102" s="15" t="str" cm="1">
        <f t="array" ref="D102:D104">Table_Input_OrganicFertiliser[Organic fertiliser type (select)]</f>
        <v>Manure - Other</v>
      </c>
      <c r="E102" s="15">
        <f>INDEX(Table_MNSoil_j_f,2,6)</f>
        <v>300</v>
      </c>
      <c r="F102" s="15">
        <f>(E102 * $I$97)</f>
        <v>63</v>
      </c>
      <c r="G102" s="16" t="str">
        <f>$E$94</f>
        <v>kg N</v>
      </c>
    </row>
    <row r="103" spans="1:9" ht="20.100000000000001" customHeight="1" x14ac:dyDescent="0.2">
      <c r="D103" s="15" t="str">
        <v>Manure - Poultry</v>
      </c>
      <c r="E103" s="15">
        <f>INDEX(Table_MNSoil_j_f,3,6)</f>
        <v>250</v>
      </c>
      <c r="F103" s="15">
        <f>(E103 * $I$97)</f>
        <v>52.5</v>
      </c>
    </row>
    <row r="104" spans="1:9" ht="20.100000000000001" customHeight="1" x14ac:dyDescent="0.2">
      <c r="D104" s="15" t="str">
        <v>Other organic fertiliser</v>
      </c>
      <c r="E104" s="15">
        <f>INDEX(Table_MNSoil_j_f,4,6)</f>
        <v>160</v>
      </c>
      <c r="F104" s="15">
        <f>(E104 * $I$97)</f>
        <v>33.6</v>
      </c>
    </row>
    <row r="105" spans="1:9" ht="20.100000000000001" customHeight="1" x14ac:dyDescent="0.2">
      <c r="D105" s="15"/>
      <c r="E105" s="15">
        <f>'5.2.1.1-2 Organic Fert N2O'!I23</f>
        <v>0</v>
      </c>
      <c r="F105" s="15">
        <f>(E105 * $I$97)</f>
        <v>0</v>
      </c>
    </row>
    <row r="106" spans="1:9" ht="20.100000000000001" customHeight="1" x14ac:dyDescent="0.2">
      <c r="D106" s="15"/>
      <c r="E106" s="15">
        <f>'5.2.1.1-2 Organic Fert N2O'!I24</f>
        <v>0</v>
      </c>
      <c r="F106" s="15">
        <f>(E106 * $I$97)</f>
        <v>0</v>
      </c>
    </row>
    <row r="107" spans="1:9" ht="20.100000000000001" customHeight="1" x14ac:dyDescent="0.2">
      <c r="D107" s="15"/>
      <c r="E107" s="15">
        <f>'5.2.1.1-2 Organic Fert N2O'!I25</f>
        <v>0</v>
      </c>
      <c r="F107" s="15">
        <f>(E107 * $I$97)</f>
        <v>0</v>
      </c>
    </row>
    <row r="108" spans="1:9" ht="20.100000000000001" customHeight="1" x14ac:dyDescent="0.2">
      <c r="D108" s="15"/>
      <c r="E108" s="15">
        <f>'5.2.1.1-2 Organic Fert N2O'!I26</f>
        <v>0</v>
      </c>
      <c r="F108" s="15">
        <f>(E108 * $I$97)</f>
        <v>0</v>
      </c>
    </row>
    <row r="109" spans="1:9" ht="20.100000000000001" customHeight="1" x14ac:dyDescent="0.2">
      <c r="D109" s="15"/>
      <c r="E109" s="15">
        <f>'5.2.1.1-2 Organic Fert N2O'!I27</f>
        <v>0</v>
      </c>
      <c r="F109" s="15">
        <f>(E109 * $I$97)</f>
        <v>0</v>
      </c>
    </row>
    <row r="110" spans="1:9" ht="20.100000000000001" customHeight="1" x14ac:dyDescent="0.2">
      <c r="D110" s="15"/>
      <c r="E110" s="15">
        <f>'5.2.1.1-2 Organic Fert N2O'!I28</f>
        <v>0</v>
      </c>
      <c r="F110" s="15">
        <f>(E110 * $I$97)</f>
        <v>0</v>
      </c>
    </row>
    <row r="111" spans="1:9" ht="20.100000000000001" customHeight="1" x14ac:dyDescent="0.2">
      <c r="D111" s="15"/>
      <c r="E111" s="15">
        <f>'5.2.1.1-2 Organic Fert N2O'!I29</f>
        <v>0</v>
      </c>
      <c r="F111" s="15">
        <f>(E111 * $I$97)</f>
        <v>0</v>
      </c>
    </row>
    <row r="112" spans="1:9" ht="20.100000000000001" customHeight="1" x14ac:dyDescent="0.2">
      <c r="D112" s="15"/>
      <c r="E112" s="15">
        <f>'5.2.1.1-2 Organic Fert N2O'!I30</f>
        <v>0</v>
      </c>
      <c r="F112" s="15">
        <f>(E112 * $I$97)</f>
        <v>0</v>
      </c>
    </row>
    <row r="115" spans="1:12" ht="20.100000000000001" customHeight="1" x14ac:dyDescent="0.2">
      <c r="C115" s="231"/>
      <c r="D115" s="231"/>
      <c r="E115" s="231"/>
      <c r="F115" s="231"/>
      <c r="G115" s="231"/>
      <c r="H115" s="231"/>
      <c r="I115" s="231"/>
      <c r="J115" s="231"/>
      <c r="K115" s="231"/>
      <c r="L115" s="231"/>
    </row>
    <row r="116" spans="1:12" ht="20.100000000000001" customHeight="1" x14ac:dyDescent="0.2">
      <c r="D116" s="2" t="s">
        <v>1644</v>
      </c>
    </row>
    <row r="117" spans="1:12" ht="20.100000000000001" customHeight="1" x14ac:dyDescent="0.2">
      <c r="D117" s="17" t="s">
        <v>1645</v>
      </c>
    </row>
    <row r="118" spans="1:12" ht="20.100000000000001" customHeight="1" x14ac:dyDescent="0.2">
      <c r="D118" s="112"/>
      <c r="E118" s="112"/>
    </row>
    <row r="121" spans="1:12" ht="20.100000000000001" customHeight="1" x14ac:dyDescent="0.2">
      <c r="D121" s="75" t="s">
        <v>328</v>
      </c>
      <c r="E121" s="1" t="s">
        <v>1646</v>
      </c>
    </row>
    <row r="122" spans="1:12" ht="20.100000000000001" customHeight="1" x14ac:dyDescent="0.2">
      <c r="D122" s="75" t="s">
        <v>118</v>
      </c>
      <c r="E122" s="9" t="s">
        <v>12</v>
      </c>
    </row>
    <row r="124" spans="1:12" ht="20.100000000000001" customHeight="1" x14ac:dyDescent="0.2">
      <c r="D124" s="113" t="s">
        <v>1641</v>
      </c>
      <c r="E124" s="122" t="s">
        <v>1647</v>
      </c>
      <c r="F124" s="123"/>
      <c r="G124" s="113" t="s">
        <v>482</v>
      </c>
      <c r="H124" s="115" t="s">
        <v>1650</v>
      </c>
      <c r="I124" s="116" t="str" cm="1">
        <f t="array" aca="1" ref="I124" ca="1">HYPERLINK(Common_InputFunctions.Utility_SourceHyperlink($D$99), $D$99)</f>
        <v>Table_M_vol_organic_j_f</v>
      </c>
    </row>
    <row r="125" spans="1:12" ht="20.100000000000001" customHeight="1" x14ac:dyDescent="0.2">
      <c r="D125" s="113" t="s">
        <v>1648</v>
      </c>
      <c r="E125" s="122" t="s">
        <v>1649</v>
      </c>
      <c r="F125" s="123"/>
      <c r="G125" s="113" t="s">
        <v>1288</v>
      </c>
      <c r="H125" s="115" t="s">
        <v>1203</v>
      </c>
      <c r="I125" s="113">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1:12" ht="20.100000000000001" customHeight="1" x14ac:dyDescent="0.2">
      <c r="D126" s="113" t="s">
        <v>1302</v>
      </c>
      <c r="E126" s="122" t="s">
        <v>1303</v>
      </c>
      <c r="F126" s="123"/>
      <c r="G126" s="113"/>
      <c r="H126" s="115" t="s">
        <v>1203</v>
      </c>
      <c r="I126" s="126">
        <f>Common_InputFunctions.Utility_LookupValueInTableNumber("N2O",Table_GasToMolecularConversionFactor[Gas],Table_GasToMolecularConversionFactor[Conversion factor combined])</f>
        <v>1.5714285714285714</v>
      </c>
    </row>
    <row r="127" spans="1:12" ht="20.100000000000001" customHeight="1" x14ac:dyDescent="0.2">
      <c r="D127" s="113" t="s">
        <v>1318</v>
      </c>
      <c r="E127" s="122" t="s">
        <v>311</v>
      </c>
      <c r="F127" s="123"/>
      <c r="G127" s="113"/>
      <c r="H127" s="114" t="s">
        <v>1202</v>
      </c>
      <c r="I127" s="113" t="str">
        <f>X_Cell_Fertiliser_ProductionSystem</f>
        <v>Crop</v>
      </c>
    </row>
    <row r="128" spans="1:12" ht="20.100000000000001" customHeight="1" x14ac:dyDescent="0.2">
      <c r="A128" s="79" t="str">
        <f>HYPERLINK("#A1", "▲ Back to top")</f>
        <v>▲ Back to top</v>
      </c>
      <c r="D128" s="113" t="s">
        <v>1320</v>
      </c>
      <c r="E128" s="122" t="s">
        <v>1321</v>
      </c>
      <c r="F128" s="123"/>
      <c r="G128" s="113"/>
      <c r="H128" s="114" t="s">
        <v>1202</v>
      </c>
      <c r="I128" s="113" t="str">
        <f>X_Cell_Fertiliser_IrrigationMethod</f>
        <v>Drip irrigation</v>
      </c>
    </row>
    <row r="129" spans="4:9" ht="20.100000000000001" customHeight="1" x14ac:dyDescent="0.2">
      <c r="D129" s="113" t="s">
        <v>1322</v>
      </c>
      <c r="E129" s="122" t="s">
        <v>1323</v>
      </c>
      <c r="F129" s="123"/>
      <c r="G129" s="113"/>
      <c r="H129" s="114" t="s">
        <v>1202</v>
      </c>
      <c r="I129" s="113" t="str">
        <f>X_Cell_Site_RainfallZone</f>
        <v>High rainfall</v>
      </c>
    </row>
    <row r="131" spans="4:9" ht="20.100000000000001" customHeight="1" x14ac:dyDescent="0.2">
      <c r="D131" s="118" t="s">
        <v>830</v>
      </c>
    </row>
    <row r="132" spans="4:9" ht="20.100000000000001" customHeight="1" x14ac:dyDescent="0.2">
      <c r="D132" s="119" t="s">
        <v>831</v>
      </c>
    </row>
    <row r="133" spans="4:9" ht="20.100000000000001" customHeight="1" x14ac:dyDescent="0.2">
      <c r="D133" s="78" t="s">
        <v>801</v>
      </c>
      <c r="E133" s="227" t="s">
        <v>829</v>
      </c>
      <c r="F133" s="227" t="s">
        <v>832</v>
      </c>
    </row>
    <row r="134" spans="4:9" ht="20.100000000000001" customHeight="1" x14ac:dyDescent="0.2">
      <c r="D134" s="15" t="str" cm="1">
        <f t="array" ref="D134:D136">Table_Input_OrganicFertiliser[Organic fertiliser type (select)]</f>
        <v>Manure - Other</v>
      </c>
      <c r="E134" s="15">
        <f>F102</f>
        <v>63</v>
      </c>
      <c r="F134" s="15">
        <f>((E134 * $I$125) * $I$126 * 10 ^ -3)</f>
        <v>6.9299999999999993E-4</v>
      </c>
    </row>
    <row r="135" spans="4:9" ht="20.100000000000001" customHeight="1" x14ac:dyDescent="0.2">
      <c r="D135" s="15" t="str">
        <v>Manure - Poultry</v>
      </c>
      <c r="E135" s="15">
        <f t="shared" ref="E135:E144" si="1">F103</f>
        <v>52.5</v>
      </c>
      <c r="F135" s="15">
        <f>((E135 * $I$125) * $I$126 * 10 ^ -3)</f>
        <v>5.775E-4</v>
      </c>
    </row>
    <row r="136" spans="4:9" ht="20.100000000000001" customHeight="1" x14ac:dyDescent="0.2">
      <c r="D136" s="15" t="str">
        <v>Other organic fertiliser</v>
      </c>
      <c r="E136" s="15">
        <f t="shared" si="1"/>
        <v>33.6</v>
      </c>
      <c r="F136" s="15">
        <f>((E136 * $I$125) * $I$126 * 10 ^ -3)</f>
        <v>3.6960000000000004E-4</v>
      </c>
    </row>
    <row r="137" spans="4:9" ht="20.100000000000001" customHeight="1" x14ac:dyDescent="0.2">
      <c r="D137" s="15"/>
      <c r="E137" s="15">
        <f t="shared" si="1"/>
        <v>0</v>
      </c>
      <c r="F137" s="15">
        <f>((E137 * $I$125) * $I$126 * 10 ^ -3)</f>
        <v>0</v>
      </c>
    </row>
    <row r="138" spans="4:9" ht="20.100000000000001" customHeight="1" x14ac:dyDescent="0.2">
      <c r="D138" s="15"/>
      <c r="E138" s="15">
        <f t="shared" si="1"/>
        <v>0</v>
      </c>
      <c r="F138" s="15">
        <f>((E138 * $I$125) * $I$126 * 10 ^ -3)</f>
        <v>0</v>
      </c>
    </row>
    <row r="139" spans="4:9" ht="20.100000000000001" customHeight="1" x14ac:dyDescent="0.2">
      <c r="D139" s="15"/>
      <c r="E139" s="15">
        <f t="shared" si="1"/>
        <v>0</v>
      </c>
      <c r="F139" s="15">
        <f>((E139 * $I$125) * $I$126 * 10 ^ -3)</f>
        <v>0</v>
      </c>
    </row>
    <row r="140" spans="4:9" ht="20.100000000000001" customHeight="1" x14ac:dyDescent="0.2">
      <c r="D140" s="15"/>
      <c r="E140" s="15">
        <f t="shared" si="1"/>
        <v>0</v>
      </c>
      <c r="F140" s="15">
        <f>((E140 * $I$125) * $I$126 * 10 ^ -3)</f>
        <v>0</v>
      </c>
    </row>
    <row r="141" spans="4:9" ht="20.100000000000001" customHeight="1" x14ac:dyDescent="0.2">
      <c r="D141" s="15"/>
      <c r="E141" s="15">
        <f t="shared" si="1"/>
        <v>0</v>
      </c>
      <c r="F141" s="15">
        <f>((E141 * $I$125) * $I$126 * 10 ^ -3)</f>
        <v>0</v>
      </c>
    </row>
    <row r="142" spans="4:9" ht="20.100000000000001" customHeight="1" x14ac:dyDescent="0.2">
      <c r="D142" s="15"/>
      <c r="E142" s="15">
        <f t="shared" si="1"/>
        <v>0</v>
      </c>
      <c r="F142" s="15">
        <f>((E142 * $I$125) * $I$126 * 10 ^ -3)</f>
        <v>0</v>
      </c>
    </row>
    <row r="143" spans="4:9" ht="20.100000000000001" customHeight="1" x14ac:dyDescent="0.2">
      <c r="D143" s="15"/>
      <c r="E143" s="15">
        <f t="shared" si="1"/>
        <v>0</v>
      </c>
      <c r="F143" s="15">
        <f>((E143 * $I$125) * $I$126 * 10 ^ -3)</f>
        <v>0</v>
      </c>
    </row>
    <row r="144" spans="4:9" ht="20.100000000000001" customHeight="1" x14ac:dyDescent="0.2">
      <c r="D144" s="15"/>
      <c r="E144" s="15">
        <f t="shared" si="1"/>
        <v>0</v>
      </c>
      <c r="F144" s="15">
        <f>((E144 * $I$125) * $I$126 * 10 ^ -3)</f>
        <v>0</v>
      </c>
    </row>
    <row r="146" spans="4:7" ht="20.100000000000001" customHeight="1" x14ac:dyDescent="0.2">
      <c r="D146" s="85" t="s">
        <v>833</v>
      </c>
      <c r="E146" s="86">
        <f>SUM(F134:F144)</f>
        <v>1.6401E-3</v>
      </c>
      <c r="F146" s="95" t="str">
        <f>$E$122</f>
        <v>t N2O</v>
      </c>
    </row>
    <row r="148" spans="4:7" ht="20.100000000000001" customHeight="1" x14ac:dyDescent="0.2">
      <c r="D148" s="126" t="str" cm="1">
        <f t="array" ref="D148:E149">Common_Equations.Common_ConvertN2OToCO2e_Arguments()</f>
        <v>EN2O</v>
      </c>
      <c r="E148" s="129" t="str">
        <v>Nitrous oxide emissions (t N2O)</v>
      </c>
      <c r="F148" s="130"/>
      <c r="G148" s="15">
        <f>VEERG_5_4_1_3__1_OrganicFertiliserAtmosphericDepositionN2OEmissions_Result_Method1</f>
        <v>1.6401E-3</v>
      </c>
    </row>
    <row r="149" spans="4:7" ht="20.100000000000001" customHeight="1" x14ac:dyDescent="0.2">
      <c r="D149" s="126" t="str">
        <v>GWPN2O</v>
      </c>
      <c r="E149" s="129" t="str">
        <v>Global warming potential for nitrous oxide (t CO2-e / t N2O)</v>
      </c>
      <c r="F149" s="130"/>
      <c r="G149" s="15">
        <f>Common_InputFunctions.Utility_LookupValueInTableNumber("N2O",Table_GWPData[Gas],Table_GWPData[CO2-e factor])</f>
        <v>265</v>
      </c>
    </row>
    <row r="151" spans="4:7" ht="20.100000000000001" customHeight="1" x14ac:dyDescent="0.2">
      <c r="D151" s="83" t="s">
        <v>376</v>
      </c>
      <c r="E151" s="83" cm="1">
        <f t="array" ref="E151">Common_Equations.Common_ConvertN2OToCO2e(G148,G149)</f>
        <v>0.43462650000000003</v>
      </c>
      <c r="F151" s="89" t="str" cm="1">
        <f t="array" ref="F151">Common_Equations.Common_ConvertN2OToCO2e_Unit()</f>
        <v>t CO2e</v>
      </c>
    </row>
  </sheetData>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246A8-39A3-4F07-A5D1-4A675C05A846}">
  <sheetPr>
    <tabColor rgb="FF008000"/>
  </sheetPr>
  <dimension ref="A1:T99"/>
  <sheetViews>
    <sheetView showGridLines="0" tabSelected="1" zoomScaleNormal="100" workbookViewId="0">
      <pane xSplit="1" topLeftCell="B1" activePane="topRight" state="frozenSplit"/>
      <selection pane="topRight" activeCell="B1" sqref="B1"/>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0" customFormat="1" ht="30" customHeight="1" x14ac:dyDescent="0.35">
      <c r="A1" s="10" t="e" vm="1">
        <v>#VALUE!</v>
      </c>
      <c r="C1" s="20" t="s">
        <v>834</v>
      </c>
    </row>
    <row r="2" spans="1:20" s="3" customFormat="1" ht="20.100000000000001" customHeight="1" x14ac:dyDescent="0.2">
      <c r="A2"/>
    </row>
    <row r="3" spans="1:20" ht="20.100000000000001" customHeight="1" x14ac:dyDescent="0.2">
      <c r="A3" s="5" t="str">
        <f>HYPERLINK("#'Home'!A1", "Home")</f>
        <v>Home</v>
      </c>
      <c r="C3" s="22"/>
      <c r="D3" s="22" t="s">
        <v>130</v>
      </c>
      <c r="E3" s="22"/>
      <c r="F3" s="22"/>
      <c r="G3" s="22"/>
      <c r="H3" s="22"/>
      <c r="I3" s="22"/>
      <c r="J3" s="22"/>
      <c r="K3" s="22"/>
      <c r="M3" s="22"/>
      <c r="N3" s="22" t="s">
        <v>131</v>
      </c>
      <c r="O3" s="22"/>
      <c r="P3" s="22"/>
      <c r="Q3" s="22"/>
      <c r="R3" s="22"/>
      <c r="S3" s="22"/>
      <c r="T3" s="22"/>
    </row>
    <row r="4" spans="1:20" ht="20.100000000000001" customHeight="1" x14ac:dyDescent="0.2">
      <c r="A4" s="5" t="str">
        <f>HYPERLINK("#'Results - Activity period'!A1", "Results - Activity period")</f>
        <v>Results - Activity period</v>
      </c>
    </row>
    <row r="5" spans="1:20" ht="20.100000000000001" customHeight="1" x14ac:dyDescent="0.2">
      <c r="A5" s="5" t="str">
        <f>HYPERLINK("#'Results - Product EI'!A1", "Results - Product Emissions Intensity")</f>
        <v>Results - Product Emissions Intensity</v>
      </c>
      <c r="D5" s="2" t="s">
        <v>2417</v>
      </c>
    </row>
    <row r="6" spans="1:20" ht="20.100000000000001" customHeight="1" x14ac:dyDescent="0.2">
      <c r="D6" s="17" t="s">
        <v>2418</v>
      </c>
    </row>
    <row r="7" spans="1:20" ht="20.100000000000001" customHeight="1" x14ac:dyDescent="0.2">
      <c r="D7" s="112"/>
      <c r="E7" s="112"/>
    </row>
    <row r="8" spans="1:20" ht="20.100000000000001" customHeight="1" x14ac:dyDescent="0.2">
      <c r="A8" s="7" t="s">
        <v>0</v>
      </c>
    </row>
    <row r="9" spans="1:20" ht="20.100000000000001" customHeight="1" x14ac:dyDescent="0.2">
      <c r="A9" s="5" t="str">
        <f>HYPERLINK("#'Input - Enterprise'!A1", "Enterprise")</f>
        <v>Enterprise</v>
      </c>
    </row>
    <row r="10" spans="1:20" ht="20.100000000000001" customHeight="1" x14ac:dyDescent="0.2">
      <c r="A10" s="5" t="str">
        <f>HYPERLINK("#'Input - Site'!A1", "Site")</f>
        <v>Site</v>
      </c>
      <c r="D10" s="75" t="s">
        <v>328</v>
      </c>
      <c r="E10" s="1" t="s">
        <v>1660</v>
      </c>
    </row>
    <row r="11" spans="1:20" ht="20.100000000000001" customHeight="1" x14ac:dyDescent="0.2">
      <c r="A11" s="5" t="str">
        <f>HYPERLINK("#'Input - Poultry'!A1", "Poultry")</f>
        <v>Poultry</v>
      </c>
      <c r="D11" s="75" t="s">
        <v>118</v>
      </c>
      <c r="E11" s="9" t="s">
        <v>482</v>
      </c>
    </row>
    <row r="12" spans="1:20" ht="20.100000000000001" customHeight="1" x14ac:dyDescent="0.2">
      <c r="A12" s="5" t="str">
        <f>HYPERLINK("#'Input - Livestock sales'!A1", "Livestock sales")</f>
        <v>Livestock sales</v>
      </c>
    </row>
    <row r="13" spans="1:20" ht="20.100000000000001" customHeight="1" x14ac:dyDescent="0.2">
      <c r="A13" s="5" t="str">
        <f>HYPERLINK("#'Input - Poultry purchases'!A1", "Poultry purchases")</f>
        <v>Poultry purchases</v>
      </c>
      <c r="D13" s="113" t="s">
        <v>2337</v>
      </c>
      <c r="E13" s="122" t="s">
        <v>2419</v>
      </c>
      <c r="F13" s="123"/>
      <c r="G13" s="113" t="s">
        <v>482</v>
      </c>
      <c r="H13" s="115" t="s">
        <v>2356</v>
      </c>
      <c r="I13" s="116" t="str" cm="1">
        <f t="array" aca="1" ref="I13" ca="1">HYPERLINK(Common_InputFunctions.Utility_SourceHyperlink(D20), D20)</f>
        <v>Table_M_leach_inorganic_j</v>
      </c>
    </row>
    <row r="14" spans="1:20" ht="20.100000000000001" customHeight="1" x14ac:dyDescent="0.2">
      <c r="A14" s="5" t="str">
        <f>HYPERLINK("#'Input - Fuel'!A1", "Fuel")</f>
        <v>Fuel</v>
      </c>
      <c r="D14" s="113" t="s">
        <v>1655</v>
      </c>
      <c r="E14" s="122" t="s">
        <v>1330</v>
      </c>
      <c r="F14" s="123"/>
      <c r="G14" s="113" t="s">
        <v>307</v>
      </c>
      <c r="H14" s="115" t="s">
        <v>1203</v>
      </c>
      <c r="I14" s="113">
        <f>Common_InputFunctions.CommonCropping_GetFracWET(I16,I18,Table_SourceData_FracWET[Is in leaching zone],Table_SourceData_FracWET[FracWET],Table_SourceData_FracWETIrrigation[Irrigation type i],Table_SourceData_FracWETIrrigation[FracWET])</f>
        <v>0</v>
      </c>
    </row>
    <row r="15" spans="1:20" ht="20.100000000000001" customHeight="1" x14ac:dyDescent="0.2">
      <c r="A15" s="5" t="str">
        <f>HYPERLINK("#'Input - Electricity'!A1", "Electricity")</f>
        <v>Electricity</v>
      </c>
      <c r="D15" s="113" t="s">
        <v>1656</v>
      </c>
      <c r="E15" s="122" t="s">
        <v>1381</v>
      </c>
      <c r="F15" s="123"/>
      <c r="G15" s="113" t="s">
        <v>307</v>
      </c>
      <c r="H15" s="115" t="s">
        <v>1203</v>
      </c>
      <c r="I15" s="113">
        <f>Fertiliser_FracLEACH_Data</f>
        <v>0.24</v>
      </c>
    </row>
    <row r="16" spans="1:20" ht="20.100000000000001" customHeight="1" x14ac:dyDescent="0.2">
      <c r="A16" s="5" t="str">
        <f>HYPERLINK("#'Input - Common farm inputs'!A1", "Common farm inputs")</f>
        <v>Common farm inputs</v>
      </c>
      <c r="D16" s="113" t="s">
        <v>1333</v>
      </c>
      <c r="E16" s="122" t="s">
        <v>1334</v>
      </c>
      <c r="F16" s="123"/>
      <c r="G16" s="113"/>
      <c r="H16" s="114" t="s">
        <v>1202</v>
      </c>
      <c r="I16" s="113" t="str">
        <f>X_Cell_Site_LeachingZone</f>
        <v>NO - Not in leaching zone</v>
      </c>
    </row>
    <row r="17" spans="1:9" ht="20.100000000000001" customHeight="1" x14ac:dyDescent="0.2">
      <c r="A17" s="5" t="str">
        <f>HYPERLINK("#'Input - Livestock farm Inputs'!A1", "Livestock farm Inputs")</f>
        <v>Livestock farm Inputs</v>
      </c>
      <c r="D17" s="113" t="s">
        <v>1318</v>
      </c>
      <c r="E17" s="122" t="s">
        <v>1319</v>
      </c>
      <c r="F17" s="123"/>
      <c r="G17" s="113"/>
      <c r="H17" s="114" t="s">
        <v>1202</v>
      </c>
      <c r="I17" s="113" t="str">
        <f>X_Cell_Fertiliser_ProductionSystem</f>
        <v>Crop</v>
      </c>
    </row>
    <row r="18" spans="1:9" ht="20.100000000000001" customHeight="1" x14ac:dyDescent="0.2">
      <c r="A18" s="5" t="str">
        <f>HYPERLINK("#'Input - Freight'!A1", "Freight")</f>
        <v>Freight</v>
      </c>
      <c r="D18" s="113" t="s">
        <v>1320</v>
      </c>
      <c r="E18" s="122" t="s">
        <v>1321</v>
      </c>
      <c r="F18" s="123"/>
      <c r="G18" s="113"/>
      <c r="H18" s="114" t="s">
        <v>1202</v>
      </c>
      <c r="I18" s="113" t="str">
        <f>X_Cell_Fertiliser_IrrigationMethod</f>
        <v>Drip irrigation</v>
      </c>
    </row>
    <row r="19" spans="1:9" ht="20.100000000000001" customHeight="1" x14ac:dyDescent="0.2">
      <c r="A19" s="5" t="str">
        <f>HYPERLINK("#'Input - Solid waste'!A1", "Solid waste")</f>
        <v>Solid waste</v>
      </c>
    </row>
    <row r="20" spans="1:9" ht="20.100000000000001" customHeight="1" x14ac:dyDescent="0.2">
      <c r="A20" s="5" t="str">
        <f>HYPERLINK("#'Input - Manure sent off-site'!A1", "Manure sent off-site")</f>
        <v>Manure sent off-site</v>
      </c>
      <c r="D20" s="118" t="s">
        <v>835</v>
      </c>
    </row>
    <row r="21" spans="1:9" ht="20.100000000000001" customHeight="1" x14ac:dyDescent="0.2">
      <c r="A21" s="5" t="str">
        <f>HYPERLINK("#'Input - Data quality'!A1", "Data quality")</f>
        <v>Data quality</v>
      </c>
      <c r="D21" s="119" t="s">
        <v>836</v>
      </c>
    </row>
    <row r="22" spans="1:9" ht="20.100000000000001" customHeight="1" x14ac:dyDescent="0.2">
      <c r="A22" s="5" t="str">
        <f>HYPERLINK("#'Input - Fert Prod System'!A1", "Fert Prod System")</f>
        <v>Fert Prod System</v>
      </c>
      <c r="D22" s="120" t="s">
        <v>765</v>
      </c>
      <c r="E22" s="120" t="s">
        <v>819</v>
      </c>
      <c r="F22" s="120" t="s">
        <v>837</v>
      </c>
    </row>
    <row r="23" spans="1:9" ht="20.100000000000001" customHeight="1" x14ac:dyDescent="0.2">
      <c r="A23" s="5" t="str">
        <f>HYPERLINK("#'Input - Fertiliser'!A1", "Fertiliser")</f>
        <v>Fertiliser</v>
      </c>
      <c r="D23" s="15" t="str" cm="1">
        <f t="array" ref="D23:D41">Table_Fertiliser_ChemicalCompounds[Fertiliser type f]</f>
        <v>Monoammonium phosphate (MAP)</v>
      </c>
      <c r="E23" s="15">
        <f>INDEX(Table_MN_j_f,2,4)</f>
        <v>0</v>
      </c>
      <c r="F23" s="15">
        <f>(E23 * $I$14 * $I$15)</f>
        <v>0</v>
      </c>
    </row>
    <row r="24" spans="1:9" ht="20.100000000000001" customHeight="1" x14ac:dyDescent="0.2">
      <c r="D24" s="15" t="str">
        <v>Diammonium phosphate (DAP)</v>
      </c>
      <c r="E24" s="15">
        <f>INDEX(Table_MN_j_f,3,4)</f>
        <v>0</v>
      </c>
      <c r="F24" s="15">
        <f>(E24 * $I$14 * $I$15)</f>
        <v>0</v>
      </c>
    </row>
    <row r="25" spans="1:9" ht="20.100000000000001" customHeight="1" x14ac:dyDescent="0.2">
      <c r="D25" s="15" t="str">
        <v>Urea</v>
      </c>
      <c r="E25" s="15">
        <f>INDEX(Table_MN_j_f,4,4)</f>
        <v>11599.999400000001</v>
      </c>
      <c r="F25" s="15">
        <f>(E25 * $I$14 * $I$15)</f>
        <v>0</v>
      </c>
    </row>
    <row r="26" spans="1:9" ht="20.100000000000001" customHeight="1" x14ac:dyDescent="0.2">
      <c r="A26" s="6" t="s">
        <v>2</v>
      </c>
      <c r="D26" s="15" t="str">
        <v>Sulphate of ammonia (SOA)</v>
      </c>
      <c r="E26" s="15">
        <f>INDEX(Table_MN_j_f,5,4)</f>
        <v>0</v>
      </c>
      <c r="F26" s="15">
        <f>(E26 * $I$14 * $I$15)</f>
        <v>0</v>
      </c>
    </row>
    <row r="27" spans="1:9" ht="20.100000000000001" customHeight="1" x14ac:dyDescent="0.2">
      <c r="A27" s="5" t="str">
        <f>HYPERLINK("#'4.6.1.1-2 Methane'!A1", "4.6.1.1-2 Manure Methane")</f>
        <v>4.6.1.1-2 Manure Methane</v>
      </c>
      <c r="D27" s="15" t="str">
        <v>Urea-ammonium nitrate (UAN)</v>
      </c>
      <c r="E27" s="15">
        <f>INDEX(Table_MN_j_f,6,4)</f>
        <v>0</v>
      </c>
      <c r="F27" s="15">
        <f>(E27 * $I$14 * $I$15)</f>
        <v>0</v>
      </c>
    </row>
    <row r="28" spans="1:9" ht="20.100000000000001" customHeight="1" x14ac:dyDescent="0.2">
      <c r="A28" s="5" t="str">
        <f>HYPERLINK("#'4.6.1.3-4 Direct N20'!A1", "4.6.1.3-4 Manure Direct N2O")</f>
        <v>4.6.1.3-4 Manure Direct N2O</v>
      </c>
      <c r="D28" s="15" t="str">
        <v>Ammonium nitrate (AN)</v>
      </c>
      <c r="E28" s="15">
        <f>INDEX(Table_MN_j_f,7,4)</f>
        <v>0</v>
      </c>
      <c r="F28" s="15">
        <f>(E28 * $I$14 * $I$15)</f>
        <v>0</v>
      </c>
    </row>
    <row r="29" spans="1:9" ht="20.100000000000001" customHeight="1" x14ac:dyDescent="0.2">
      <c r="A29" s="5" t="str">
        <f>HYPERLINK("#'4.6.1.5-6 Atmos Dep'!A1", "4.6.1.5-6 Manure Atmos Dep")</f>
        <v>4.6.1.5-6 Manure Atmos Dep</v>
      </c>
      <c r="D29" s="15" t="str">
        <v>Calcium ammonium nitrate (CAN)</v>
      </c>
      <c r="E29" s="15">
        <f>INDEX(Table_MN_j_f,8,4)</f>
        <v>0</v>
      </c>
      <c r="F29" s="15">
        <f>(E29 * $I$14 * $I$15)</f>
        <v>0</v>
      </c>
    </row>
    <row r="30" spans="1:9" ht="20.100000000000001" customHeight="1" x14ac:dyDescent="0.2">
      <c r="A30" s="5" t="str">
        <f>HYPERLINK("#'4.6.1.7-8 Leaching and runoff'!A1", "4.6.1.7-8 Manure Leaching and runoff")</f>
        <v>4.6.1.7-8 Manure Leaching and runoff</v>
      </c>
      <c r="D30" s="15" t="str">
        <v>Nitrogen - Ammoniacal</v>
      </c>
      <c r="E30" s="15">
        <f>INDEX(Table_MN_j_f,9,4)</f>
        <v>1240</v>
      </c>
      <c r="F30" s="15">
        <f>(E30 * $I$14 * $I$15)</f>
        <v>0</v>
      </c>
    </row>
    <row r="31" spans="1:9" ht="20.100000000000001" customHeight="1" x14ac:dyDescent="0.2">
      <c r="A31" s="5" t="str">
        <f>HYPERLINK("#'4.6.1.9 Manure applied to soils'!A1", "4.6.1.9 Manure applied to soils")</f>
        <v>4.6.1.9 Manure applied to soils</v>
      </c>
      <c r="D31" s="15" t="str">
        <v>Nitrogen - Nitrate</v>
      </c>
      <c r="E31" s="15">
        <f>INDEX(Table_MN_j_f,10,4)</f>
        <v>550</v>
      </c>
      <c r="F31" s="15">
        <f>(E31 * $I$14 * $I$15)</f>
        <v>0</v>
      </c>
    </row>
    <row r="32" spans="1:9" ht="20.100000000000001" customHeight="1" x14ac:dyDescent="0.2">
      <c r="A32" s="5" t="str">
        <f>HYPERLINK("#'4.6.1.10-11 Soil direct N2O'!A1", "4.6.1.10-11 Soil direct N2O")</f>
        <v>4.6.1.10-11 Soil direct N2O</v>
      </c>
      <c r="D32" s="15" t="str">
        <v>Nitrogen - Generic</v>
      </c>
      <c r="E32" s="15">
        <f>INDEX(Table_MN_j_f,11,4)</f>
        <v>0</v>
      </c>
      <c r="F32" s="15">
        <f>(E32 * $I$14 * $I$15)</f>
        <v>0</v>
      </c>
    </row>
    <row r="33" spans="1:11" ht="20.100000000000001" customHeight="1" x14ac:dyDescent="0.2">
      <c r="A33" s="5" t="str">
        <f>HYPERLINK("#'4.6.1.12-13 Soil atmos dep'!A1", "4.6.1.12-13 Soil atmos dep")</f>
        <v>4.6.1.12-13 Soil atmos dep</v>
      </c>
      <c r="D33" s="15" t="str">
        <v>Phosphorus - Generic</v>
      </c>
      <c r="E33" s="15">
        <f>INDEX(Table_MN_j_f,12,4)</f>
        <v>0</v>
      </c>
      <c r="F33" s="15">
        <f>(E33 * $I$14 * $I$15)</f>
        <v>0</v>
      </c>
    </row>
    <row r="34" spans="1:11" ht="20.100000000000001" customHeight="1" x14ac:dyDescent="0.2">
      <c r="A34" s="5" t="str">
        <f>HYPERLINK("#'4.6.1.14-15 Soil leach runoff'!A1", "4.6.1.14-15 Soil leach runoff")</f>
        <v>4.6.1.14-15 Soil leach runoff</v>
      </c>
      <c r="D34" s="15" t="str">
        <v>Potassium - Generic</v>
      </c>
      <c r="E34" s="15">
        <f>INDEX(Table_MN_j_f,13,4)</f>
        <v>0</v>
      </c>
      <c r="F34" s="15">
        <f>(E34 * $I$14 * $I$15)</f>
        <v>0</v>
      </c>
    </row>
    <row r="35" spans="1:11" ht="20.100000000000001" customHeight="1" x14ac:dyDescent="0.2">
      <c r="A35" s="5" t="str">
        <f>HYPERLINK("#'8.1.1.1-2 Transport fuel'!A1", "8.1.1.1-2 Transport fuel")</f>
        <v>8.1.1.1-2 Transport fuel</v>
      </c>
      <c r="D35" s="15" t="str">
        <v>Sulfur - Generic</v>
      </c>
      <c r="E35" s="15">
        <f>INDEX(Table_MN_j_f,14,4)</f>
        <v>0</v>
      </c>
      <c r="F35" s="15">
        <f>(E35 * $I$14 * $I$15)</f>
        <v>0</v>
      </c>
    </row>
    <row r="36" spans="1:11" ht="20.100000000000001" customHeight="1" x14ac:dyDescent="0.2">
      <c r="A36" s="5" t="str">
        <f>HYPERLINK("#'8.2.1.1-2 Stationary fuel'!A1", "8.2.1.1-2 Stationary fuel")</f>
        <v>8.2.1.1-2 Stationary fuel</v>
      </c>
      <c r="D36" s="15" t="str">
        <v>Zinc - Generic</v>
      </c>
      <c r="E36" s="15">
        <f>INDEX(Table_MN_j_f,15,4)</f>
        <v>0</v>
      </c>
      <c r="F36" s="15">
        <f>(E36 * $I$14 * $I$15)</f>
        <v>0</v>
      </c>
    </row>
    <row r="37" spans="1:11" ht="20.100000000000001" customHeight="1" x14ac:dyDescent="0.2">
      <c r="A37" s="5" t="str">
        <f>HYPERLINK("#'10.1.1-2 Solid waste treatment'!A1", "10.1.1.1-2 Solid waste")</f>
        <v>10.1.1.1-2 Solid waste</v>
      </c>
      <c r="D37" s="15" t="str">
        <v>Muriate of potash (MOP)</v>
      </c>
      <c r="E37" s="15">
        <f>INDEX(Table_MN_j_f,16,4)</f>
        <v>0</v>
      </c>
      <c r="F37" s="15">
        <f>(E37 * $I$14 * $I$15)</f>
        <v>0</v>
      </c>
    </row>
    <row r="38" spans="1:11" ht="20.100000000000001" customHeight="1" x14ac:dyDescent="0.2">
      <c r="A38" s="5" t="str">
        <f>HYPERLINK("#'14.1.1-2 Purchased electricity'!A1", "14.1.1-2 Purchased electricity")</f>
        <v>14.1.1-2 Purchased electricity</v>
      </c>
      <c r="D38" s="15" t="str">
        <v>Double superphosphate</v>
      </c>
      <c r="E38" s="15">
        <f>INDEX(Table_MN_j_f,17,4)</f>
        <v>0</v>
      </c>
      <c r="F38" s="15">
        <f>(E38 * $I$14 * $I$15)</f>
        <v>0</v>
      </c>
    </row>
    <row r="39" spans="1:11" ht="20.100000000000001" customHeight="1" x14ac:dyDescent="0.2">
      <c r="A39" s="5" t="str">
        <f>HYPERLINK("#'15 Scope 3'!A1", "15 Scope 3")</f>
        <v>15 Scope 3</v>
      </c>
      <c r="D39" s="15" t="str">
        <v>Single superphosphate (SSP)</v>
      </c>
      <c r="E39" s="15">
        <f>INDEX(Table_MN_j_f,18,4)</f>
        <v>0</v>
      </c>
      <c r="F39" s="15">
        <f>(E39 * $I$14 * $I$15)</f>
        <v>0</v>
      </c>
    </row>
    <row r="40" spans="1:11" ht="20.100000000000001" customHeight="1" x14ac:dyDescent="0.2">
      <c r="A40" s="5" t="str">
        <f>HYPERLINK("#'Calcs - Manure sent off-site'!A1", "Calcs - Manure sent off-site")</f>
        <v>Calcs - Manure sent off-site</v>
      </c>
      <c r="D40" s="15" t="str">
        <v>Ammonia</v>
      </c>
      <c r="E40" s="15">
        <f>INDEX(Table_MN_j_f,19,4)</f>
        <v>4117.5</v>
      </c>
      <c r="F40" s="15">
        <f>(E40 * $I$14 * $I$15)</f>
        <v>0</v>
      </c>
    </row>
    <row r="41" spans="1:11" ht="20.100000000000001" customHeight="1" x14ac:dyDescent="0.2">
      <c r="A41" s="5" t="str">
        <f>HYPERLINK("#'5.1.1.1-2 Inorganic fert N2O'!A1", "5.1.1.1-2 Inorganic fert N2O")</f>
        <v>5.1.1.1-2 Inorganic fert N2O</v>
      </c>
      <c r="D41" s="15" t="str">
        <v>Calcium nitrate</v>
      </c>
      <c r="E41" s="15">
        <f>INDEX(Table_MN_j_f,20,4)</f>
        <v>775</v>
      </c>
      <c r="F41" s="15">
        <f>(E41 * $I$14 * $I$15)</f>
        <v>0</v>
      </c>
    </row>
    <row r="42" spans="1:11" ht="20.100000000000001" customHeight="1" x14ac:dyDescent="0.2">
      <c r="A42" s="5" t="str">
        <f>HYPERLINK("#'5.1.1.3-4 Inorganic fert CO2'!A1", "5.1.1.3-4 Inorganic fert CO2")</f>
        <v>5.1.1.3-4 Inorganic fert CO2</v>
      </c>
    </row>
    <row r="43" spans="1:11" ht="20.100000000000001" customHeight="1" x14ac:dyDescent="0.2">
      <c r="A43" s="5" t="str">
        <f>HYPERLINK("#'5.2.1.1-2 Organic Fert N2O'!A1", "5.2.1.1-2 Organic Fert N2O")</f>
        <v>5.2.1.1-2 Organic Fert N2O</v>
      </c>
      <c r="D43" s="88" t="s">
        <v>838</v>
      </c>
      <c r="E43" s="83">
        <f>SUM(F23:F41)</f>
        <v>0</v>
      </c>
      <c r="F43" s="89" t="str">
        <f>$E$11</f>
        <v>kg N</v>
      </c>
    </row>
    <row r="44" spans="1:11" ht="20.100000000000001" customHeight="1" x14ac:dyDescent="0.2">
      <c r="A44" s="5" t="str">
        <f>HYPERLINK("#'5.3.1.1-2 Lime CO2'!A1", "5.3.1.1-2 Lime CO2")</f>
        <v>5.3.1.1-2 Lime CO2</v>
      </c>
    </row>
    <row r="45" spans="1:11" ht="20.100000000000001" customHeight="1" x14ac:dyDescent="0.2">
      <c r="A45" s="5" t="str">
        <f>HYPERLINK("#'5.4.1.1-4 Atmos deposition'!A1", "5.4.1.1-4 Atmos deposition")</f>
        <v>5.4.1.1-4 Atmos deposition</v>
      </c>
      <c r="C45" s="121"/>
      <c r="D45" s="121"/>
      <c r="E45" s="121"/>
      <c r="F45" s="121"/>
      <c r="G45" s="121"/>
      <c r="H45" s="121"/>
      <c r="I45" s="121"/>
      <c r="J45" s="121"/>
      <c r="K45" s="121"/>
    </row>
    <row r="46" spans="1:11" ht="20.100000000000001" customHeight="1" x14ac:dyDescent="0.2">
      <c r="A46" s="117" t="str">
        <f>HYPERLINK("#'5.5.1.1-2 Leaching and runoff'!A1", "5.5.1.1-2 Leaching and runoff")</f>
        <v>5.5.1.1-2 Leaching and runoff</v>
      </c>
    </row>
    <row r="47" spans="1:11" ht="20.100000000000001" customHeight="1" x14ac:dyDescent="0.2">
      <c r="D47" s="2" t="s">
        <v>1651</v>
      </c>
    </row>
    <row r="48" spans="1:11" ht="20.100000000000001" customHeight="1" x14ac:dyDescent="0.2">
      <c r="D48" s="17" t="s">
        <v>1652</v>
      </c>
    </row>
    <row r="49" spans="1:9" ht="20.100000000000001" customHeight="1" x14ac:dyDescent="0.2">
      <c r="A49" s="80" t="s">
        <v>1</v>
      </c>
      <c r="D49" s="112"/>
      <c r="E49" s="112"/>
    </row>
    <row r="50" spans="1:9" ht="20.100000000000001" customHeight="1" x14ac:dyDescent="0.2">
      <c r="A50" s="5" t="str">
        <f>HYPERLINK("#'Constants - Poultry'!A1", "Constants - Poultry")</f>
        <v>Constants - Poultry</v>
      </c>
    </row>
    <row r="51" spans="1:9" ht="20.100000000000001" customHeight="1" x14ac:dyDescent="0.2">
      <c r="A51" s="5" t="str">
        <f>HYPERLINK("#'Constants - Common livestock'!A1", "Constants - Common Livestock")</f>
        <v>Constants - Common Livestock</v>
      </c>
    </row>
    <row r="52" spans="1:9" ht="20.100000000000001" customHeight="1" x14ac:dyDescent="0.2">
      <c r="A52" s="5" t="str">
        <f>HYPERLINK("#'Constants - Electricity'!A1", "Constants - Electricity")</f>
        <v>Constants - Electricity</v>
      </c>
      <c r="D52" s="75" t="s">
        <v>328</v>
      </c>
      <c r="E52" s="1" t="s">
        <v>1653</v>
      </c>
    </row>
    <row r="53" spans="1:9" ht="20.100000000000001" customHeight="1" x14ac:dyDescent="0.2">
      <c r="A53" s="5" t="str">
        <f>HYPERLINK("#'Constants - Fertiliser'!A1", "Constants - Fertiliser")</f>
        <v>Constants - Fertiliser</v>
      </c>
      <c r="D53" s="75" t="s">
        <v>118</v>
      </c>
      <c r="E53" s="9" t="s">
        <v>482</v>
      </c>
    </row>
    <row r="54" spans="1:9" ht="20.100000000000001" customHeight="1" x14ac:dyDescent="0.2">
      <c r="A54" s="5" t="str">
        <f>HYPERLINK("#'Constants - Fuel'!A1", "Constants - Fuel")</f>
        <v>Constants - Fuel</v>
      </c>
    </row>
    <row r="55" spans="1:9" ht="20.100000000000001" customHeight="1" x14ac:dyDescent="0.2">
      <c r="A55" s="5" t="str">
        <f>HYPERLINK("#'Constants - Scope 3'!A1", "Constants - Scope 3")</f>
        <v>Constants - Scope 3</v>
      </c>
      <c r="D55" s="113" t="s">
        <v>1633</v>
      </c>
      <c r="E55" s="122" t="s">
        <v>1654</v>
      </c>
      <c r="F55" s="123"/>
      <c r="G55" s="113" t="s">
        <v>482</v>
      </c>
      <c r="H55" s="115" t="s">
        <v>1637</v>
      </c>
      <c r="I55" s="116" t="str" cm="1">
        <f t="array" aca="1" ref="I55" ca="1">HYPERLINK(Common_InputFunctions.Utility_SourceHyperlink(D62), D62)</f>
        <v>Table_M_leach_organic_j</v>
      </c>
    </row>
    <row r="56" spans="1:9" ht="20.100000000000001" customHeight="1" x14ac:dyDescent="0.2">
      <c r="A56" s="5" t="str">
        <f>HYPERLINK("#'Constants - Solid Waste'!A1", "Constants - Solid Waste")</f>
        <v>Constants - Solid Waste</v>
      </c>
      <c r="D56" s="113" t="s">
        <v>1655</v>
      </c>
      <c r="E56" s="122" t="s">
        <v>1330</v>
      </c>
      <c r="F56" s="123"/>
      <c r="G56" s="113" t="s">
        <v>307</v>
      </c>
      <c r="H56" s="115" t="s">
        <v>1203</v>
      </c>
      <c r="I56" s="113">
        <f>Common_InputFunctions.CommonCropping_GetFracWET(I58,I60,Table_SourceData_FracWET[Is in leaching zone],Table_SourceData_FracWET[FracWET],Table_SourceData_FracWETIrrigation[Irrigation type i],Table_SourceData_FracWETIrrigation[FracWET])</f>
        <v>0</v>
      </c>
    </row>
    <row r="57" spans="1:9" ht="20.100000000000001" customHeight="1" x14ac:dyDescent="0.2">
      <c r="A57" s="5" t="str">
        <f>HYPERLINK("#'Constants - Common'!A1", "Constants - Common")</f>
        <v>Constants - Common</v>
      </c>
      <c r="D57" s="113" t="s">
        <v>1656</v>
      </c>
      <c r="E57" s="122" t="s">
        <v>1381</v>
      </c>
      <c r="F57" s="123"/>
      <c r="G57" s="113" t="s">
        <v>307</v>
      </c>
      <c r="H57" s="115" t="s">
        <v>1203</v>
      </c>
      <c r="I57" s="113">
        <f>Fertiliser_FracLEACH_Data</f>
        <v>0.24</v>
      </c>
    </row>
    <row r="58" spans="1:9" ht="20.100000000000001" customHeight="1" x14ac:dyDescent="0.2">
      <c r="D58" s="113" t="s">
        <v>1333</v>
      </c>
      <c r="E58" s="122" t="s">
        <v>1334</v>
      </c>
      <c r="F58" s="123"/>
      <c r="G58" s="113"/>
      <c r="H58" s="114" t="s">
        <v>1202</v>
      </c>
      <c r="I58" s="113" t="str">
        <f>X_Cell_Site_LeachingZone</f>
        <v>NO - Not in leaching zone</v>
      </c>
    </row>
    <row r="59" spans="1:9" ht="20.100000000000001" customHeight="1" x14ac:dyDescent="0.2">
      <c r="D59" s="113" t="s">
        <v>1318</v>
      </c>
      <c r="E59" s="122" t="s">
        <v>1319</v>
      </c>
      <c r="F59" s="123"/>
      <c r="G59" s="113"/>
      <c r="H59" s="114" t="s">
        <v>1202</v>
      </c>
      <c r="I59" s="113" t="str">
        <f>X_Cell_Fertiliser_ProductionSystem</f>
        <v>Crop</v>
      </c>
    </row>
    <row r="60" spans="1:9" ht="20.100000000000001" customHeight="1" x14ac:dyDescent="0.2">
      <c r="D60" s="113" t="s">
        <v>1320</v>
      </c>
      <c r="E60" s="122" t="s">
        <v>1321</v>
      </c>
      <c r="F60" s="123"/>
      <c r="G60" s="113"/>
      <c r="H60" s="114" t="s">
        <v>1202</v>
      </c>
      <c r="I60" s="113" t="str">
        <f>X_Cell_Fertiliser_IrrigationMethod</f>
        <v>Drip irrigation</v>
      </c>
    </row>
    <row r="62" spans="1:9" ht="20.100000000000001" customHeight="1" x14ac:dyDescent="0.2">
      <c r="D62" s="118" t="s">
        <v>839</v>
      </c>
    </row>
    <row r="63" spans="1:9" ht="20.100000000000001" customHeight="1" x14ac:dyDescent="0.2">
      <c r="D63" s="119" t="s">
        <v>840</v>
      </c>
    </row>
    <row r="64" spans="1:9" ht="20.100000000000001" customHeight="1" x14ac:dyDescent="0.2">
      <c r="D64" s="78" t="s">
        <v>801</v>
      </c>
      <c r="E64" s="235" t="s">
        <v>805</v>
      </c>
      <c r="F64" s="120" t="s">
        <v>841</v>
      </c>
    </row>
    <row r="65" spans="1:11" ht="20.100000000000001" customHeight="1" x14ac:dyDescent="0.2">
      <c r="D65" s="15" t="str">
        <f>INDEX(Table_MNSoil_j_f,2,1)</f>
        <v>Manure - Other</v>
      </c>
      <c r="E65" s="15">
        <f>INDEX(Table_MNSoil_j_f,2,6)</f>
        <v>300</v>
      </c>
      <c r="F65" s="15">
        <f>(E65 * $I$56 * $I$57)</f>
        <v>0</v>
      </c>
    </row>
    <row r="66" spans="1:11" ht="20.100000000000001" customHeight="1" x14ac:dyDescent="0.2">
      <c r="D66" s="15" t="str">
        <f>INDEX(Table_MNSoil_j_f,3,1)</f>
        <v>Manure - Poultry</v>
      </c>
      <c r="E66" s="15">
        <f>INDEX(Table_MNSoil_j_f,3,6)</f>
        <v>250</v>
      </c>
      <c r="F66" s="15">
        <f>(E66 * $I$56 * $I$57)</f>
        <v>0</v>
      </c>
    </row>
    <row r="67" spans="1:11" ht="20.100000000000001" customHeight="1" x14ac:dyDescent="0.2">
      <c r="D67" s="15" t="str">
        <f>INDEX(Table_MNSoil_j_f,4,1)</f>
        <v>Other organic fertiliser</v>
      </c>
      <c r="E67" s="15">
        <f>INDEX(Table_MNSoil_j_f,4,6)</f>
        <v>160</v>
      </c>
      <c r="F67" s="15">
        <f>(E67 * $I$56 * $I$57)</f>
        <v>0</v>
      </c>
    </row>
    <row r="68" spans="1:11" ht="20.100000000000001" customHeight="1" x14ac:dyDescent="0.2">
      <c r="A68" s="79" t="str">
        <f>HYPERLINK("#A1", "▲ Back to top")</f>
        <v>▲ Back to top</v>
      </c>
      <c r="D68" s="15">
        <f>'5.2.1.1-2 Organic Fert N2O'!D23</f>
        <v>0</v>
      </c>
      <c r="E68" s="15">
        <f>'5.2.1.1-2 Organic Fert N2O'!I23</f>
        <v>0</v>
      </c>
      <c r="F68" s="15">
        <f>(E68 * $I$56 * $I$57)</f>
        <v>0</v>
      </c>
    </row>
    <row r="69" spans="1:11" ht="20.100000000000001" customHeight="1" x14ac:dyDescent="0.2">
      <c r="D69" s="15">
        <f>'5.2.1.1-2 Organic Fert N2O'!D24</f>
        <v>0</v>
      </c>
      <c r="E69" s="15">
        <f>'5.2.1.1-2 Organic Fert N2O'!I24</f>
        <v>0</v>
      </c>
      <c r="F69" s="15">
        <f>(E69 * $I$56 * $I$57)</f>
        <v>0</v>
      </c>
    </row>
    <row r="70" spans="1:11" ht="20.100000000000001" customHeight="1" x14ac:dyDescent="0.2">
      <c r="D70" s="15">
        <f>'5.2.1.1-2 Organic Fert N2O'!D25</f>
        <v>0</v>
      </c>
      <c r="E70" s="15">
        <f>'5.2.1.1-2 Organic Fert N2O'!I25</f>
        <v>0</v>
      </c>
      <c r="F70" s="15">
        <f>(E70 * $I$56 * $I$57)</f>
        <v>0</v>
      </c>
    </row>
    <row r="71" spans="1:11" ht="20.100000000000001" customHeight="1" x14ac:dyDescent="0.2">
      <c r="D71" s="15">
        <f>'5.2.1.1-2 Organic Fert N2O'!D26</f>
        <v>0</v>
      </c>
      <c r="E71" s="15">
        <f>'5.2.1.1-2 Organic Fert N2O'!I26</f>
        <v>0</v>
      </c>
      <c r="F71" s="15">
        <f>(E71 * $I$56 * $I$57)</f>
        <v>0</v>
      </c>
    </row>
    <row r="72" spans="1:11" ht="20.100000000000001" customHeight="1" x14ac:dyDescent="0.2">
      <c r="D72" s="15">
        <f>'5.2.1.1-2 Organic Fert N2O'!D27</f>
        <v>0</v>
      </c>
      <c r="E72" s="15">
        <f>'5.2.1.1-2 Organic Fert N2O'!I27</f>
        <v>0</v>
      </c>
      <c r="F72" s="15">
        <f>(E72 * $I$56 * $I$57)</f>
        <v>0</v>
      </c>
    </row>
    <row r="73" spans="1:11" ht="20.100000000000001" customHeight="1" x14ac:dyDescent="0.2">
      <c r="D73" s="15">
        <f>'5.2.1.1-2 Organic Fert N2O'!D28</f>
        <v>0</v>
      </c>
      <c r="E73" s="15">
        <f>'5.2.1.1-2 Organic Fert N2O'!I28</f>
        <v>0</v>
      </c>
      <c r="F73" s="15">
        <f>(E73 * $I$56 * $I$57)</f>
        <v>0</v>
      </c>
    </row>
    <row r="74" spans="1:11" ht="20.100000000000001" customHeight="1" x14ac:dyDescent="0.2">
      <c r="D74" s="15">
        <f>'5.2.1.1-2 Organic Fert N2O'!D29</f>
        <v>0</v>
      </c>
      <c r="E74" s="15">
        <f>'5.2.1.1-2 Organic Fert N2O'!I29</f>
        <v>0</v>
      </c>
      <c r="F74" s="15">
        <f>(E74 * $I$56 * $I$57)</f>
        <v>0</v>
      </c>
    </row>
    <row r="75" spans="1:11" ht="20.100000000000001" customHeight="1" x14ac:dyDescent="0.2">
      <c r="D75" s="15">
        <f>'5.2.1.1-2 Organic Fert N2O'!D30</f>
        <v>0</v>
      </c>
      <c r="E75" s="15">
        <f>'5.2.1.1-2 Organic Fert N2O'!I30</f>
        <v>0</v>
      </c>
      <c r="F75" s="15">
        <f>(E75 * $I$56 * $I$57)</f>
        <v>0</v>
      </c>
    </row>
    <row r="77" spans="1:11" ht="20.100000000000001" customHeight="1" x14ac:dyDescent="0.2">
      <c r="D77" s="88" t="s">
        <v>842</v>
      </c>
      <c r="E77" s="83">
        <f>SUM(F65:F75)</f>
        <v>0</v>
      </c>
      <c r="F77" s="89" t="str">
        <f>$E$53</f>
        <v>kg N</v>
      </c>
    </row>
    <row r="79" spans="1:11" ht="20.100000000000001" customHeight="1" x14ac:dyDescent="0.2">
      <c r="C79" s="121"/>
      <c r="D79" s="121"/>
      <c r="E79" s="121"/>
      <c r="F79" s="121"/>
      <c r="G79" s="121"/>
      <c r="H79" s="121"/>
      <c r="I79" s="121"/>
      <c r="J79" s="121"/>
      <c r="K79" s="121"/>
    </row>
    <row r="81" spans="4:10" ht="20.100000000000001" customHeight="1" x14ac:dyDescent="0.2">
      <c r="D81" s="2" t="s">
        <v>1657</v>
      </c>
    </row>
    <row r="82" spans="4:10" ht="20.100000000000001" customHeight="1" x14ac:dyDescent="0.2">
      <c r="D82" s="17" t="s">
        <v>1658</v>
      </c>
    </row>
    <row r="83" spans="4:10" ht="20.100000000000001" customHeight="1" x14ac:dyDescent="0.2">
      <c r="D83" s="112"/>
      <c r="E83" s="112"/>
    </row>
    <row r="86" spans="4:10" ht="20.100000000000001" customHeight="1" x14ac:dyDescent="0.2">
      <c r="D86" s="75" t="s">
        <v>328</v>
      </c>
      <c r="E86" s="1" t="s">
        <v>1659</v>
      </c>
    </row>
    <row r="87" spans="4:10" ht="20.100000000000001" customHeight="1" x14ac:dyDescent="0.2">
      <c r="D87" s="75" t="s">
        <v>118</v>
      </c>
      <c r="E87" s="9" t="s">
        <v>12</v>
      </c>
    </row>
    <row r="89" spans="4:10" ht="20.100000000000001" customHeight="1" x14ac:dyDescent="0.2">
      <c r="D89" s="113" t="s">
        <v>1660</v>
      </c>
      <c r="E89" s="122" t="s">
        <v>1661</v>
      </c>
      <c r="F89" s="136"/>
      <c r="G89" s="123"/>
      <c r="H89" s="113" t="s">
        <v>482</v>
      </c>
      <c r="I89" s="115" t="s">
        <v>1664</v>
      </c>
      <c r="J89" s="113">
        <f>$E$43</f>
        <v>0</v>
      </c>
    </row>
    <row r="90" spans="4:10" ht="20.100000000000001" customHeight="1" x14ac:dyDescent="0.2">
      <c r="D90" s="113" t="s">
        <v>1653</v>
      </c>
      <c r="E90" s="122" t="s">
        <v>1662</v>
      </c>
      <c r="F90" s="136"/>
      <c r="G90" s="123"/>
      <c r="H90" s="113" t="s">
        <v>482</v>
      </c>
      <c r="I90" s="115" t="s">
        <v>1665</v>
      </c>
      <c r="J90" s="113">
        <f>$E$77</f>
        <v>0</v>
      </c>
    </row>
    <row r="91" spans="4:10" ht="20.100000000000001" customHeight="1" x14ac:dyDescent="0.2">
      <c r="D91" s="113" t="s">
        <v>1339</v>
      </c>
      <c r="E91" s="122" t="s">
        <v>1663</v>
      </c>
      <c r="F91" s="136"/>
      <c r="G91" s="123"/>
      <c r="H91" s="113" t="s">
        <v>1288</v>
      </c>
      <c r="I91" s="115" t="s">
        <v>1203</v>
      </c>
      <c r="J91" s="113">
        <f>Fertiliser_EFLeach_Data</f>
        <v>1.0999999999999999E-2</v>
      </c>
    </row>
    <row r="92" spans="4:10" ht="20.100000000000001" customHeight="1" x14ac:dyDescent="0.2">
      <c r="D92" s="113" t="s">
        <v>1302</v>
      </c>
      <c r="E92" s="122" t="s">
        <v>1303</v>
      </c>
      <c r="F92" s="136"/>
      <c r="G92" s="123"/>
      <c r="H92" s="113"/>
      <c r="I92" s="115" t="s">
        <v>1203</v>
      </c>
      <c r="J92" s="126">
        <f>Common_InputFunctions.Utility_LookupValueInTableNumber("N2O",Table_GasToMolecularConversionFactor[Gas],Table_GasToMolecularConversionFactor[Conversion factor combined])</f>
        <v>1.5714285714285714</v>
      </c>
    </row>
    <row r="94" spans="4:10" ht="20.100000000000001" customHeight="1" x14ac:dyDescent="0.2">
      <c r="D94" s="85" t="s">
        <v>843</v>
      </c>
      <c r="E94" s="86">
        <f>((J89 + J90) * J91 * J92 * 10 ^ -3)</f>
        <v>0</v>
      </c>
      <c r="F94" s="95" t="str">
        <f>$E$87</f>
        <v>t N2O</v>
      </c>
    </row>
    <row r="96" spans="4:10" ht="20.100000000000001" customHeight="1" x14ac:dyDescent="0.2">
      <c r="D96" s="126" t="str" cm="1">
        <f t="array" ref="D96:E97">Common_Equations.Common_ConvertN2OToCO2e_Arguments()</f>
        <v>EN2O</v>
      </c>
      <c r="E96" s="129" t="str">
        <v>Nitrous oxide emissions (t N2O)</v>
      </c>
      <c r="F96" s="130"/>
      <c r="G96" s="15">
        <f>VEERG_5_5_1_1__1_FertiliserLeachingAndRunoffN2OEmissions_Result_Method1</f>
        <v>0</v>
      </c>
    </row>
    <row r="97" spans="1:7" ht="20.100000000000001" customHeight="1" x14ac:dyDescent="0.2">
      <c r="D97" s="126" t="str">
        <v>GWPN2O</v>
      </c>
      <c r="E97" s="129" t="str">
        <v>Global warming potential for nitrous oxide (t CO2-e / t N2O)</v>
      </c>
      <c r="F97" s="130"/>
      <c r="G97" s="15">
        <f>Common_InputFunctions.Utility_LookupValueInTableNumber("N2O",Table_GWPData[Gas],Table_GWPData[CO2-e factor])</f>
        <v>265</v>
      </c>
    </row>
    <row r="98" spans="1:7" ht="20.100000000000001" customHeight="1" x14ac:dyDescent="0.2">
      <c r="A98" s="79" t="str">
        <f>HYPERLINK("#A1", "▲ Back to top")</f>
        <v>▲ Back to top</v>
      </c>
    </row>
    <row r="99" spans="1:7" ht="20.100000000000001" customHeight="1" x14ac:dyDescent="0.2">
      <c r="D99" s="83" t="s">
        <v>376</v>
      </c>
      <c r="E99" s="83" cm="1">
        <f t="array" ref="E99">Common_Equations.Common_ConvertN2OToCO2e(G96,G97)</f>
        <v>0</v>
      </c>
      <c r="F99" s="89" t="str" cm="1">
        <f t="array" ref="F99">Common_Equations.Common_ConvertN2OToCO2e_Unit()</f>
        <v>t CO2e</v>
      </c>
    </row>
  </sheetData>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XAB1ADAAMAAyADcARgByAHkAXAB1ADAAMAAyADcAIAB0AG8AIABcAHUAMAAwADIANwBEAHIAeQBcAHUAMAAwADIAN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BcAHUAMAAwADMAZQAgADEAOAAgAEMAXAAiACwAIABcACIAQQBuAHkAXAAiACwAIABcACIAZCIgADcAXAAiACwAIABcACIAXAB1ADAAMAAzAGU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BcAHUAMAAwADMAZQAgADEAOAAgAEMAXAAiACwAIABcACIAXAB1ADAAMAAzAGUAIAAyADAAMAAwACAAbQBtAFwAIgAsACAAXAAiAGQiIAA3AFwAIgAsACAAXAAiAGQiIAAxADAAMAAwACAAbQBcACIALAAgAFwAIgBBAG4AeQBcACIALAAgADEAOAAuADAAMAAxACwAIAA5ADkAOQA5ADkAOQAsACAAMgAwADAAMAAuADAAMAAxACwAIAA5ADkAOQA5ADkAOQAsACAALQA5ADkAOQA5ADkAOQAsACAANwAsACAALQA5ADkAOQA5ADkAOQAsACAAOQA5ADkALgA5ADkAOQAsACAAIAAtADkAOQA5ADkAOQA5ACwAIAA5ADkAOQA5ADkAOQA7AFwAbgAgACAAIAAgACAAIAAgACAAIAAgAFwAIgBUAHIAbwBwAGkAYwBhAGwAIABtAG8AaQBzAHQAXAAiACwAIABcACIAXAB1ADAAMAAzAGUAIAAxADgAIABDAFwAIgAsACAAXAAiAFwAdQAwADAAMwBl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BcAHUAMAAwADMAZQAgADEAOAAgAEMAXAAiACwAIABcACIAZCIgADEAMAAwADAAIABtAG0AXAAiACwAIABcACIAZCIgADcAXAAiACwAIABcACIAZCIgADEAMAAwADAAIABtAFwAIgAsACAAXAAiAEEAbgB5AFwAIgAsACAAMQA4AC4AMAAwADEALAAgADkAOQA5ADkAOQA5ACwAIAAtADkAOQA5ADkAOQA5ACwAIAAxADAAMAAwACwAIAAtADkAOQA5ADkAOQA5ACwAIAA3ACwAIAAtADkAOQA5ADkAOQA5ACwAIAA5ADkAOQAuADkAOQA5ACwAIAAgAC0AOQA5ADkAOQA5ADkALAAgADkAOQA5ADkAOQA5ADsAXABuACAAIAAgACAAIAAgACAAIAAgACAAXAAiAFcAYQByAG0AIAB0AGUAbQBwAGUAcgBhAHQAZQAgAG0AbwBpAHMAdABcACIALAAgAFwAIgBcAHUAMAAwADMAZQAgADEAMAAgAEMAXAAiACwAIABcACIAQQBuAHkAXAAiACwAIABcACIAQQBuAHkAXAAiACwAIABcACIAQQBuAHkAXAAiACwAIABcACIAXAB1ADAAMAAzAGU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FwAdQAwADAAMwBlACAAMQAwACAAQwBcACIALAAgAFwAIgBBAG4AeQBcACIALAAgAFwAIgBBAG4AeQBcACIALAAgAFwAIgBBAG4AeQBcACIALAAgAFwAIgBkIiAAMQBcACIALAAgADEAMAAuADAAMAAxACwAIAA5ADkAOQA5ADkAOQAsACAALQA5ADkAOQA5ADkAOQAsACAAOQA5ADkAOQA5ADkALAAgAC0AOQA5ADkAOQA5ADkALAAgADkAOQA5ADkAOQA5ACwAIAAtADkAOQA5ADkAOQA5ACwAIAA5ADkAOQA5ADkAOQAsACAAIAAtADkAOQA5ADkAOQA5ACwAIAAxADsAXABuACAAIAAgACAAIAAgACAAIAAgACAAXAAiAEMAbwBvAGwAIAB0AGUAbQBwAGUAcgBhAHQAZQAgAG0AbwBpAHMAdABcACIALAAgAFwAIgBcAHUAMAAwADMAZQAgADAAIABDACAALQAgAGQiIAAxADAAIABDAFwAIgAsACAAXAAiAEEAbgB5AFwAIgAsACAAXAAiAEEAbgB5AFwAIgAsACAAXAAiAEEAbgB5AFwAIgAsACAAXAAiAFwAdQAwADAAMwBl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BcAHUAMAAwADMAZQAgADAAIABDACAALQAgAGQiIAAxADAAIABDAFwAIgAsACAAXAAiAEEAbgB5AFwAIgAsACAAXAAiAEEAbgB5AFwAIgAsACAAXAAiAEEAbgB5AFwAIgAsACAAXAAiAGQiIAAxAFwAIgAsACAALQA5ADkAOQA5ADkAOQAsACAAMQAwACwAIAAtADkAOQA5ADkAOQA5ACwAIAA5ADkAOQA5ADkAOQAsACAALQA5ADkAOQA5ADkAOQAsACAAOQA5ADkAOQA5ADkALAAgAC0AOQA5ADkAOQA5ADkALAAgADkAOQA5ADkAOQA5ACwAIAAgAC0AOQA5ADkAOQA5ADkALAAgADEAXABuACAAIAAgACAAIAAgACAAIAB9ACwAIAByACwAIABjACkAXABuACAAIAAgACAAIAAgACkAXABuACAAIAAgACAAKQBcAG4AIAAgACkAOwBcAG4AXABuAEMAbwBtAG0AbwBuAF8AUwBvAHUAcgBjAGUARABhAHQAYQBfAEMAbABpAG0AYQB0AGUAWgBvAG4AZQBzAF8AQQBwAHAAZQBuAGQAaQBjAGUAcwBcAG4AIAAgACAAPQBMAEEATQBCAEQAQQAoAFwAbgAgACAAIAAgAE0AQQBLAEUAQQBSAFIAQQBZACgANAAsACAAMQAsACAAXABuACAAIAAgACAAIAAgAEwAQQBNAEIARABBACgAcgAsAGMALAAgAFwAbgAgACAAIAAgACAAIAAgACAASQBOAEQARQBYACgAewBcAG4AIAAgACAAIAAgACAAIAAgACAAIABcACIATgBvAHQAZQA6AFwAIgA7AFwAbgAgACAAIAAgACAAIAAgACAAIAAgAFwAIgBNAEEAVAAgAD0AIABtAGUAYQBuACAAYQBuAG4AdQBhAGwAIAB0AGUAbQBwAGUAcgBhAHQAdQByAGUAXAAiADsAXABuACAAIAAgACAAIAAgACAAIAAgACAAXAAiAE0AQQBQACAAPQAgAG0AZQBhAG4AIABhAG4AbgB1AGEAbAAgAHAAcgBlAGMAaQBwAGkAdABhAHQAaQBvAG4AXAAiADsAXABuACAAIAAgACAAIAAgACAAIAAgACAAXAAiAFAARQBUACAAPQAgAHAAbwB0AGUAbgB0AGkAYQBsACAAZQB2AGEAcABvAHQAcgBhAG4AcwBwAGkAcgBhAHQAaQBvAG4AXAAi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VABlAG0AcABlAHIAYQB0AHUAcgBlAFoAbwBuAGUAcwBcAG4ALQAtAC0ALQAtAC0ALQAtAC0ALQAtAC0ALQAtAC0ALQAtAC0ALQAtAC0ALQAtAC0ALQAtAC0ALQAtAC0ALQAtAC0ALQAtAC0ALQAtAFwAbgAqAC8AXABuAFwAbgBDAG8AbQBtAG8AbgBfAFMAbwB1AHIAYwBlAEQAYQB0AGEAXwBUAGUAbQBwAGUAcgBhAHQAdQByAGUAWgBvAG4AZQBzAF8AVABpAHQAbABlAFwAbgAgACAAPQBMAEEATQBCAEQAQQAoAFwAIgBWAEUARQBSAEcAIABBAHUAcwB0AHIAYQBsAGkAYQBuACAAdABlAG0AcABlAHIAYQB0AHUAcgBlACAAegBvAG4AZQBzAFwAIgApADsAXABuAFwAbgBDAG8AbQBtAG8AbgBfAFMAbwB1AHIAYwBlAEQAYQB0AGEAXwBUAGUAbQBwAGUAcgBhAHQAdQByAGUAWgBvAG4AZQBzAF8AVgBhAHIAaQBhAGIAbABlAFwAbgAgACAAPQBMAEEATQBCAEQAQQAoAFwAIgBcACIAKQA7AFwAbgBcAG4AQwBvAG0AbQBvAG4AXwBTAG8AdQByAGMAZQBEAGEAdABhAF8AVABlAG0AcABlAHIAYQB0AHUAcgBlAFoAbwBuAGUAcwBfAFUAbgBpAHQAXABuACAAIAA9AEwAQQBNAEIARABBACgAXAAiAFwAIgApADsAXABuAFwAbgBDAG8AbQBtAG8AbgBfAFMAbwB1AHIAYwBlAEQAYQB0AGEAXwBUAGUAbQBwAGUAcgBhAHQAdQBy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VABlAG0AcABlAHIAYQB0AHUAcgBlAFoAbwBuAGUAcwBfAFYAYQByAGkAYQB0AGkAbwBuAFwAbgAgACAAPQBMAEEATQBCAEQAQQAoAFwAIgBWAEEAUgBJAEEAVABJAE8ATgAgAE8ARgAgAFMATwBVAFIAQwBFACAARABBAFQAQQA6ACAAQQBkAGQAZQBkACAAZQB4AHQAcgBhACAATQBBAFQAIABtAGkAbgAgAGEAbgBkACAATQBBAFQAIABtAGEAeAAgAGMAbwBsAHUAbQBuAHMAIAB0AG8AIABjAGEAbABjAHUAbABhAHQAZQAgAHoAbwBuAGUAIABmAHIAbwBtACAAcgBlAGEAbAAgAHQAZQBtAHAAZQByAGEAdAB1AHIAZQAgAGQAYQB0AGEALgBcACIAKQA7AFwAbgBcAG4AQwBvAG0AbQBvAG4AXwBTAG8AdQByAGMAZQBEAGEAdABhAF8AVABlAG0AcABlAHIAYQB0AHUAcgBlAFoAbwBuAGUAcwBfAEQAYQB0AGEAXABuACAAIAAgAD0ATABBAE0AQgBEAEEAKABcAG4AIAAgACAAIABNAEEASwBFAEEAUgBSAEEAWQAoADQALAAgADQALAAgAFwAbgAgACAAIAAgACAAIABMAEEATQBCAEQAQQAoAHIALABjACwAIABcAG4AIAAgACAAIAAgACAAIAAgAEkATgBEAEUAWAAoAHsAXABuACAAIAAgACAAIAAgACAAIAAgACAAXAAiAFQAZQBtAHAAZQByAGEAdAB1AHIAZQAgAFoAbwBuAGUAXAAiACwAIABcACIATQBlAGQAaQBhAG4AIABBAG4AbgB1AGEAbAAgAFQAZQBtAHAAZQByAGEAdAB1AHIAZQAgACgATQBBAFQAKQBcACIALAAgAFwAIgBNAGkAbgAgAE0AQQBUAFwAIgAsACAAXAAiAE0AYQB4ACAATQBBAFQAXAAiADsAXABuACAAIAAgACAAIAAgACAAIAAgACAAXAAiAFcAYQByAG0AXAAiACwAIABcACIAZSIgADIANgAgAEMAXAAiACwAIAAyADYALAAgADkAOQA5ADkAOQA5ADsAXABuACAAIAAgACAAIAAgACAAIAAgACAAXAAiAFQAZQBtAHAAZQByAGEAdABlAFwAIgAsACAAXAAiADEANQAgAC0AIAAyADUAIABDAFwAIgAsACAAMQA1ACwAIAAyADUALgA5ADkAOQA7AFwAbgAgACAAIAAgACAAIAAgACAAIAAgAFwAIgBDAG8AbwBsAFwAIgAsACAAXAAiAGQiIAAxADQAIABDAFwAIgAsACAALQA5ADkAOQA5ADkAOQAsACAAMQA0AC4AOQA5ADk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IAYQBpAG4AZgBhAGwAbABaAG8AbgBlAHMAXABuAC0ALQAtAC0ALQAtAC0ALQAtAC0ALQAtAC0ALQAtAC0ALQAtAC0ALQAtAC0ALQAtAC0ALQAtAC0ALQAtAC0ALQAtAC0ALQAtAC0ALQBcAG4AKgAvAFwAbgBcAG4AQwBvAG0AbQBvAG4AXwBTAG8AdQByAGMAZQBEAGEAdABhAF8AUgBhAGkAbgBmAGEAbABsAFoAbwBuAGUAcwBfAFQAaQB0AGwAZQBcAG4AIAAgAD0ATABBAE0AQgBEAEEAKABcACIAVgBFAEUAUgBHACAAQQB1AHMAdAByAGEAbABpAGEAbgAgAHIAYQBpAG4AZgBhAGwAbAAgAHoAbwBuAGUAcwBcACIAKQA7AFwAbgBcAG4AQwBvAG0AbQBvAG4AXwBTAG8AdQByAGMAZQBEAGEAdABhAF8AUgBhAGkAbgBmAGEAbABsAFoAbwBuAGUAcwBfAFYAYQByAGkAYQBiAGwAZQBcAG4AIAAgAD0ATABBAE0AQgBEAEEAKABcACIAXAAiACkAOwBcAG4AXABuAEMAbwBtAG0AbwBuAF8AUwBvAHUAcgBjAGUARABhAHQAYQBfAFIAYQBpAG4AZgBhAGwAbABaAG8AbgBlAHMAXwBVAG4AaQB0AFwAbgAgACAAPQBMAEEATQBCAEQAQQAoAFwAIgBcACIAKQA7AFwAbgBcAG4AQwBvAG0AbQBvAG4AXwBTAG8AdQByAGMAZQBEAGEAdABhAF8AUgBhAGkAbgBmAGEAbABs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IAYQBpAG4AZgBhAGwAbABaAG8AbgBlAHMAXwBWAGEAcgBpAGEAdABpAG8AbgBcAG4AIAAgAD0ATABBAE0AQgBEAEEAKABcACIAVgBBAFIASQBBAFQASQBPAE4AIABPAEYAIABTAE8AVQBSAEMARQAgAEQAQQBUAEEAOgAgAEEAZABkAGUAZAAgAGUAeAB0AHIAYQAgAFIAYQBpAG4AZgBhAGwAbAAgAG0AaQBuACAAYQBuAGQAIABSAGEAaQBuAGYAYQBsAGwAIABtAGEAeAAgAGMAbwBsAHUAbQBuAHMAIAB0AG8AIABjAGEAbABjAHUAbABhAHQAZQAgAHoAbwBuAGUAIABmAHIAbwBtACAAcgBlAGEAbAAgAHIAYQBpAG4AZgBhAGwAbAAgAGQAYQB0AGEALgBcACIAKQA7AFwAbgBcAG4AQwBvAG0AbQBvAG4AXwBTAG8AdQByAGMAZQBEAGEAdABhAF8AUgBhAGkAbgBmAGEAbABsAFoAbwBuAGUAcwBfAEQAYQB0AGEAXABuACAAIAAgAD0ATABBAE0AQgBEAEEAKABcAG4AIAAgACAAIABNAEEASwBFAEEAUgBSAEEAWQAoADMALAAgADQALAAgAFwAbgAgACAAIAAgACAAIABMAEEATQBCAEQAQQAoAHIALABjACwAIABcAG4AIAAgACAAIAAgACAAIAAgAEkATgBEAEUAWAAoAHsAXABuACAAIAAgACAAIAAgACAAIAAgACAAXAAiAFIAYQBpAG4AZgBhAGwAbAAgAFoAbwBuAGUAXAAiACwAIABcACIAQQBuAG4AdQBhAGwAIAByAGEAaQBuAGYAYQBsAGwAXAAiACwAIABcACIAUgBhAGkAbgBmAGEAbABsACAAbQBpAG4AXAAiACwAIABcACIAUgBhAGkAbgBmAGEAbABsACAAbQBhAHgAXAAiADsAXABuACAAIAAgACAAIAAgACAAIAAgACAAXAAiAEgAaQBnAGgAIAByAGEAaQBuAGYAYQBsAGwAXAAiACwAIABcACIAQQBuAG4AdQBhAGwAIAByAGEAaQBuAGYAYQBsAGwAIABcAHUAMAAwADMAZQ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Mw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BcAHUAMAAwADMAZQ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A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XAB1ADAAMAAyADcAQQBxAHUAYQBjAHUAbAB0AHUAcgBlAFwAdQAwADAAMgA3ACAAcgBvAHcALgBcACIAOwBcAG4AIAAgACAAIAAgACAAIAAgACAAIABcACIAUgBlAG0AbwB2AGUAZAAgAGEAcwB0AGUAcgBpAHMAawBzACAAdABvACAAYQBpAGQAIABsAG8AbwBrAHUAcAAuAFwAIgA7AFwAbgAgACAAIAAgACAAIAAgACAAIAAgAFwAIgBBAGQAZABlAGQAIABcAHUAMAAwADIANwBwAHIAbwBkAHUAYwB0AGkAbwBuACAAcwB5AHMAdABlAG0AIABvAG4AbAB5AFwAdQAwADAAMgA3ACwAIABcAHUAMAAwADIANwByAGEAaQBuAGYAYQBsAGwAIAB6AG8AbgBlAFwAdQAwADAAMgA3ACAAYQBuAGQAIABcAHUAMAAwADIANwBpAHIAcgBpAGcAYQB0AGkAbwBuACAAbQBlAHQAaABvAGQAXAB1ADAAMAAyADcAIABjAG8AbAB1AG0AbgBzACAAdABvACAAYQBpAGQAIABsAG8AbwBrAHUAcAAuAFwAIgA7AFwAbgAgACAAIAAgACAAIAAgACAAIAAgAFwAIgBEAHUAcABsAGkAYwBhAHQAZQBkACAAXAB1ADAAMAAyADcAbgBvAG4ALQBpAHIAcgBpAGcAYQB0AGUAZAAgAHAAYQBzAHQAdQByAGUAXAB1ADAAMAAyAD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XAB1ADAAMAAyAD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XAB1ADAAMAAyAD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FwAdQAwADAAMgA3AEQAcgB5ACAAYwBsAGkAbQBhAHQAZQAgAHoAbwBuAGUAcwBcAHUAMAAwADIANwAgAHQAbwAgAHMAaQBuAGcAdQBsAGEAcgAgAFwAdQAwADAAMgA3AEQAcgB5ACAAYwBsAGkAbQBhAHQAZQAgAHoAbwBuAGUAXAB1ADAAMAAyADcAIAB0AG8AIABhAGkAZAAgAGwAbwBvAGsAdQBwAC4AXAAiACkAOwBcAG4AXABuAFwAbgAvACoAIABcAG4ALQAtAC0ALQAtAC0ALQAtAC0ALQAtAC0ALQAtAC0ALQAtAC0ALQAtAC0ALQAtAC0ALQAtAC0ALQAtAC0ALQAtAC0ALQAtAC0ALQAtAFwAbgBDAG8AbQBtAG8AbgBfAFMAbwB1AHIAYwBlAEQAYQB0AGEAXwBNAG8AbgB0AGgAcwBUAG8AUwBlAGEAcwBvAG4AcwBcAG4ALQAtAC0ALQAtAC0ALQAtAC0ALQAtAC0ALQAtAC0ALQAtAC0ALQAtAC0ALQAtAC0ALQAtAC0ALQAtAC0ALQAtAC0ALQAtAC0ALQAtAFwAbgAqAC8AXABuAFwAbgBDAG8AbQBtAG8AbgBfAFMAbwB1AHIAYwBlAEQAYQB0AGEAXwBNAG8AbgB0AGgAcwBUAG8AUwBlAGEAcwBvAG4AcwBfAFQAaQB0AGwAZQBcAG4AIAAgAD0ATABBAE0AQgBEAEEAKABcACIATQBvAG4AdABoAHMAIAB0AG8AIABTAGUAYQBzAG8AbgBzACAATQBhAHAAcABpAG4AZwBcACIAKQA7AFwAbgBcAG4AQwBvAG0AbQBvAG4AXwBTAG8AdQByAGMAZQBEAGEAdABhAF8ATQBvAG4AdABoAHMAVABvAFMAZQBhAHMAbwBuAHMAXwBVAG4AaQB0AFwAbgAgACAAPQBMAEEATQBCAEQAQQAoAFwAIgBcACIAKQA7AFwAbgBcAG4AQwBvAG0AbQBvAG4AXwBTAG8AdQByAGMAZQBEAGEAdABhAF8ATQBvAG4AdABoAHMAVABvAFMAZQBhAHMAbwBuAHMAXwBTAG8AdQByAGMAZQBcAG4AIAAgAD0ATABBAE0AQgBEAEEAKABcACIAXAAiACkAOwBcAG4AXABuAEMAbwBtAG0AbwBuAF8AUwBvAHUAcgBjAGUARABhAHQAYQBfAE0AbwBuAHQAaABzAFQAbwBTAGUAYQBzAG8AbgBzAF8ATgBJAFIAUgBlAGYAZQByAGUAbgBjAGUAXABuACAAIAA9AEwAQQBNAEIARABBACgAXAAiAFwAIgApADsAXABuAFwAbgBDAG8AbQBtAG8AbgBfAFMAbwB1AHIAYwBlAEQAYQB0AGEAXwBNAG8AbgB0AGgAcwBUAG8AUwBlAGEAcwBvAG4AcwBfAEQAYQB0AGEAXABuACAAIAA9AEwAQQBNAEIARABBACgAXABuACAAIAAgACAATQBBAEsARQBBAFIAUgBBAFkAKAAxADMALAAgADIALAAgAFwAbgAgACAAIAAgACAAIABMAEEATQBCAEQAQQAoAHIALABjACwAIABcAG4AIAAgACAAIAAgACAAIAAgAEkATgBEAEUAWAAoAHsAXABuACAAIAAgACAAIAAgACAAIAAgACAAXAAiAE0AbwBuAHQAaABcACIALAAgAFwAIgBTAGUAYQBzAG8AbgBcACIAOwBcAG4AIAAgACAAIAAgACAAIAAgACAAIABcACIASgBhAG4AdQBhAHIAeQBcACIALAAgAFwAIgBTAHUAbQBtAGUAcgBcACIAOwBcAG4AIAAgACAAIAAgACAAIAAgACAAIABcACIARgBlAGIAcgB1AGEAcgB5AFwAIgAsACAAXAAiAFMAdQBtAG0AZQByAFwAIgA7AFwAbgAgACAAIAAgACAAIAAgACAAIAAgAFwAIgBNAGEAcgBjAGgAXAAiACwAIABcACIAQQB1AHQAdQBtAG4AXAAiADsAXABuACAAIAAgACAAIAAgACAAIAAgACAAXAAiAEEAcAByAGkAbABcACIALAAgAFwAIgBBAHUAdAB1AG0AbgBcACIAOwBcAG4AIAAgACAAIAAgACAAIAAgACAAIABcACIATQBhAHkAXAAiACwAIABcACIAQQB1AHQAdQBtAG4AXAAiADsAXABuACAAIAAgACAAIAAgACAAIAAgACAAXAAiAEoAdQBuAGUAXAAiACwAIABcACIAVwBpAG4AdABlAHIAXAAiADsAXABuACAAIAAgACAAIAAgACAAIAAgACAAXAAiAEoAdQBsAHkAXAAiACwAIABcACIAVwBpAG4AdABlAHIAXAAiADsAXABuACAAIAAgACAAIAAgACAAIAAgACAAXAAiAEEAdQBnAHUAcwB0AFwAIgAsACAAXAAiAFcAaQBuAHQAZQByAFwAIgA7AFwAbgAgACAAIAAgACAAIAAgACAAIAAgAFwAIgBTAGUAcAB0AGUAbQBiAGUAcgBcACIALAAgAFwAIgBTAHAAcgBpAG4AZwBcACIAOwBcAG4AIAAgACAAIAAgACAAIAAgACAAIABcACIATwBjAHQAbwBiAGUAcgBcACIALAAgAFwAIgBTAHAAcgBpAG4AZwBcACIAOwBcAG4AIAAgACAAIAAgACAAIAAgACAAIABcACIATgBvAHYAZQBtAGIAZQByAFwAIgAsACAAXAAiAFMAcAByAGkAbgBnAFwAIgA7AFwAbgAgACAAIAAgACAAIAAgACAAIAAgAFwAIgBEAGUAYwBlAG0AYgBlAHIAXAAiACwAIABcACIAUwB1AG0AbQBlAHIAXAAiAFwAbgAgACAAIAAgACAAIAAgACAAfQAsACAAcgAsACAAYwApAFwAbgAgACAAIAAgACAAIAApAFwAbgAgACAAIAAgACkAXABuACAAIAApADsAXABuAFwAbgAgACAAQwBvAG0AbQBvAG4AXwBTAG8AdQByAGMAZQBEAGEAdABhAF8ATQBvAG4AdABoAHMAVABvAFMAZQBhAHMAbwBuAHMAXwBWAGEAcgBpAGEAdABpAG8AbgBcAG4AIAAgAD0ATABBAE0AQgBEAEEAKABcACIAXAAiACkAOwBcAG4AXABuAFwAbgBcAG4ALwAqACAAXABuAC0ALQAtAC0ALQAtAC0ALQAtAC0ALQAtAC0ALQAtAC0ALQAtAC0ALQAtAC0ALQAtAC0ALQAtAC0ALQAtAC0ALQAtAC0ALQAtAC0ALQBcAG4AQwBvAG0AbQBvAG4AXwBTAG8AdQByAGMAZQBEAGEAdABhAF8ATQBDAEYAVABlAG0AcABlAHIAYQB0AHUAcgBlAFoAbwBuAGUAXABuAC0ALQAtAC0ALQAtAC0ALQAtAC0ALQAtAC0ALQAtAC0ALQAtAC0ALQAtAC0ALQAtAC0ALQAtAC0ALQAtAC0ALQAtAC0ALQAtAC0ALQBcAG4AKgAvAFwAbgBcAG4AQwBvAG0AbQBvAG4AXwBTAG8AdQByAGMAZQBEAGEAdABhAF8ATQBDAEYAVABlAG0AcABlAHIAYQB0AHUAcgBlAFoAbwBuAGUAXwBUAGkAdABsAGUAXABuACAAIAA9AEwAQQBNAEIARABBACgAXAAiAE0AYQBuAHUAcgBlACAATQBhAG4AYQBnAGUAbQBlAG4AdAAgABMgIABNAGUAdABoAGEAbgBlACAAYwBvAG4AdgBlAHIAcwBpAG8AbgAgAGYAYQBjAHQAbwByACAAcABlAHIAIAB0AGUAbQBwAGUAcgBhAHQAdQByAGUAIAB6AG8AbgBlACAAKABmAHIAYQBjAHQAaQBvAG4AKQAgACgATQBDAEYAaQBtACkAXAAiACkAOwBcAG4AXABuAEMAbwBtAG0AbwBuAF8AUwBvAHUAcgBjAGUARABhAHQAYQBfAE0AQwBGAFQAZQBtAHAAZQByAGEAdAB1AHIAZQBaAG8AbgBlAF8AVQBuAGkAdABcAG4AIAAgAD0ATABBAE0AQgBEAEEAKABcACIAZgByAGEAYwB0AGkAbwBuAFwAIgApADsAXABuAFwAbgBDAG8AbQBtAG8AbgBfAFMAbwB1AHIAYwBlAEQAYQB0AGEAXwBNAEMARgBUAGUAbQBwAGUAcgBhAHQAdQByAGUAWgBvAG4AZQBfAFMAbwB1AHIAYwBlAFwAbgAgACAAPQBMAEEATQBCAEQAQQAoAFwAIgBWAEUARQBSAEcAIAAyADAAMgA2ADoAIABUAGEAYgBsAGUAIABBAC4AMQAuADgALgAxAFwAIgApADsAXABuAFwAbgBDAG8AbQBtAG8AbgBfAFMAbwB1AHIAYwBlAEQAYQB0AGEAXwBNAEMARgBUAGUAbQBwAGUAcgBhAHQAdQByAGUAWgBvAG4AZQBfAEQAYQB0AGEAXABuACAAIAA9AEwAQQBNAEIARABBACgAXABuACAAIAAgACAATQBBAEsARQBBAFIAUgBBAFkAKAAyADEALAAgADEANgAsACAAXABuACAAIAAgACAAIAAgAEwAQQBNAEIARABBACgAcgAsAGMALAAgAFwAbgAgACAAIAAgACAAIAAgACAASQBOAEQARQBYACgAewBcAG4AIAAgACAAIAAgACAAIAAgACAAIABcACIAVABlAG0AcABlAHIAYQB0AHUAcgBlACAAegBvAG4AZQBcACIALAAgAFwAIgBNAEEAVAAgACgAugBDACkAXAAiACwAIABcACIAVQBuAGMAbwB2AGUAcgBlAGQAIABhAG4AZQByAG8AYgBpAGMAIABsAGEAZwBvAG8AbgBcACIALAAgAFwAIgBDAG8AdgBlAHIAZQBkACAAbABhAGcAbwBvAG4AXAAiACwAIABcACIATABpAHEAdQBpAGQAIABTAGwAdQByAHIAeQAgACgAdwBpAHQAaABvAHUAdAAgAG4AYQB0AHUAcgBhAGwAIABjAHIAdQBzAHQAKQBcACIALAAgAFwAIgBEAGEAaQBsAHkAIABzAHAAcgBlAGEAZAAgACgAYgApAFwAIgAsACAAXAAiAEMAbwBtAHAAbwBzAHQAaQBuAGcAIAAoAHAAYQBzAHMAaQB2AGUAIAB3AGkAbgBkAHIAbwB3ACkAXAAiACwAIABcACIAUwBvAGwAaQBkACAAUwB0AG8AcgBhAGcAZQBcACIALAAgAFwAIgBQAGkAdAAgAFMAdABvAHIAYQBnAGUAIABcAHUAMAAwADMAYw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XAB1ADAAMAAyADcAUABvAHUAbAB0AHIAeQAgAHcAaQB0AGgAIABhAG4AZAAgAHcAaQB0AGgAbwB1AHQAIABsAGkAdAB0AGUAcgBcAHUAMAAwADIANwAgAGMAbwBsAHUAbQBuACAAdwBpAHQAaAAgAHMAZQBwAGEAcgBhAHQAZQAgAE4ASQBSACAAZABlAGYAaQBuAGkAdABpAG8AbgBzACAAdABvACAAYQBpAGQAIABsAG8AbwBrAHUAcAAuACAAQQBkAGQAZQBkACAAXAB1ADAAMAAyADcATQBBAFQAIAByAGEAdwBcAHUAMAAwADIAN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BcAHUAMAAwADIANgAgAEUARgBOADIATwBpAFwAIgApADsAXABuAFwAbgBDAG8AbQBtAG8AbgBfAFMAbwB1AHIAYwBlAEQAYQB0AGEAXwBFAEYATwByAGcAYQBuAGkAYwBGAGUAcgB0AGkAbABpAHMAZQByAEEAbgBkAEMAcgBvAHAAUgBlAHMAaQBkAHUAZQBzAF8AVQBuAGkAdABcAG4AIAAgAD0ATABBAE0AQgBEAEEAKABcACIAawBnACAATgAyAE8AIAAtACAATgAgAC8AIABrAGcAIABOAFwAIgApADsAXABuAFwAbgBDAG8AbQBtAG8AbgBfAFMAbwB1AHIAYwBlAEQAYQB0AGEAXwBFAEYATwByAGcAYQBuAGkAYwBGAGUAcgB0AGkAbABpAHMAZQByAEEAbgBkAEMAcgBvAHAAUgBlAHMAaQBkAHUAZQBzAF8AUwBvAHUAcgBjAGUAXABuACAAIAA9AEwAQQBNAEIARABBACgAXAAiAFYARQBFAFIARwAgADIAMAAyADYAOgAgAFQAYQBiAGwAZQAgAEEALgAyAC4AMQAuADQAXAAiACkAOwBcAG4AXABuAEMAbwBtAG0AbwBuAF8AUwBvAHUAcgBjAGUARABhAHQAYQBfAEUARgBPAHIAZwBhAG4AaQBjAEYAZQByAHQAaQBsAGkAcwBlAHIAQQBuAGQAQwByAG8AcABSAGUAcwBpAGQAdQBlAHMAXwBOAEkAUgBSAGUAZgBlAHIAZQBuAGMAZQBcAG4AIAAgAD0ATABBAE0AQgBEAEEAKABcACIAXAAiACkAOwBcAG4AXABuAEMAbwBtAG0AbwBuAF8AUwBvAHUAcgBjAGUARABhAHQAYQBfAEUARgBPAHIAZwBhAG4AaQBjAEYAZQByAHQAaQBsAGkAcwBlAHIAQQBuAGQAQwByAG8AcABSAGUAcwBpAGQAdQBlAHM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E4AaQAgAFwAdQAwADAAMgA2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AsAHsAIgBwAGEAdABoACIAOgAiAC8AcAByAG8AagBlAGMAdABzAC8ATQBNAFMAXwBQAG8AdQBsAHQAcgB5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QAgAE0AZQB0AGgAbwBkACAAMQAgAC0AIABNAGEAbgB1AHIAZQAgAE0AZQB0AGgAYQBuAGU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QBfAF8AMQBfAFQAbwB0AGEAbABBAG4AbgB1AGEAbABNAGUAdABoAGEAbgBlAEUAbQBpAHMAcwBpAG8AbgBzAFwAbgBUAG8AdABhAGwAIABhAG4AbgB1AGEAbAAgAG0AZQB0AGgAYQBuAGUAIABlAG0AaQBzAHMAaQBvAG4AcwAgAGYAcgBvAG0AIABtAGEAbgB1AHIAZQAgAG0AYQBuAGEAZwBlAG0AZQBuAHQAXABuAEUAXwBDAEgANABcAG4AdAAgAEMASAA0AFwAbgBFAF8AewBDAEgANAB9AD0AXABcAHMAdQBtAF8AewBqAH0AXABcAHMAdQBtAF8AewBrAH0AXABcAHMAdQBtAF8AewBtAH0AXABcAHMAdQBtAF8AewBUAH0AKABEAF8AewBqAGsAfQBcAFwAdABpAG0AZQBzACAATQBfAHsAagBrAG0AVAB9AFwAXAB0AGkAbQBlAHMAIABOAF8AewBqAGsAfQApAFwAXAB0AGkAbQBlAHMAMQAwAF4AewAtADMAfQBcAG4ARABfAGoAawAgAD0AIABkAHUAcgBhAHQAaQBvAG4AIABvAGYAIABzAHQAYQB5ACAAbwBmACAAZQBhAGMAaAAgAGMAbABhAHMAcwAgAGEAbgBkACAAcwB1AGIAYwBsAGEAcwBzACAAbwBmACAAcABvAHUAbAB0AHIAeQAgADoAIABkAGEAeQBzAFwAbgBNAF8AagBrAG0AVAAgAD0AIABtAGUAdABoAGEAbgBlACAAcAByAG8AZAB1AGMAdABpAG8AbgAgAGYAcgBvAG0AIABtAGEAbgB1AHIAZQAgAHAAZQByACAAYwBsAGEAcwBzACwAIABzAHUAYgBjAGwAYQBzAHMALAAgAE0ATQBTACwAIABhAG4AZAAgAHQAcgBlAGEAdABtAGUAbgB0ACAAcwB0AGEAZwBlACAAOgAgAGsAZwAgAEMASAA0AC8AYgBpAHIAZAAvAGQAYQB5AFwAbgBOAF8AagBrACAAPQAgAG4AdQBtAGIAZQByAHMAIABvAGYAIABwAG8AdQBsAHQAcgB5ACAAaQBuACAAZQBhAGMAaAAgAGMAbABhAHMAcwAgAGEAbgBkACAAcwB1AGIAYwBsAGEAcwBzACAAOgAgAGIAaQByAGQAXABuAC0ALQAtAC0ALQAtAC0ALQAtAC0ALQAtAC0ALQAtAC0ALQAtAC0ALQAtAC0ALQAtAC0ALQAtAC0ALQAtAC0ALQAtAC0ALQAtAC0ALQBcAG4AKgAvAFwAbgBcAG4AVgBFAEUAUgBHAF8ANABfADYAXwAxAF8AMQBfAF8AMQBfAFQAbwB0AGEAbABBAG4AbgB1AGEAbABNAGUAdABoAGEAbgBlAEUAbQBpAHMAcwBpAG8AbgBzAFwAbgAgACAAPQBMAEEATQBCAEQAQQAoAFwAbgAgACAAIAAgAEQAXwBqAGsALAAgAE0AXwBqAGsAbQBUACwAIABOAF8AagBrACwAXABuACAAIAAgACAAKABEAF8AagBrACAAKgAgAE0AXwBqAGsAbQBUACAAKgAgAE4AXwBqAGsAKQAgACoAIAAxADAAIABeACAALQAzAFwAbgAgACAAKQA7AFwAbgBcAG4AVgBFAEUAUgBHAF8ANABfADY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2AF8AMQBfADEAXwBfADEAXwBUAG8AdABhAGwAQQBuAG4AdQBhAGwATQBlAHQAaABhAG4AZQBFAG0AaQBzAHMAaQBvAG4AcwBfAFYAYQByAGkAYQBiAGwAZQBcAG4AIAAgAD0ATABBAE0AQgBEAEEAKABcACIARQBfAEMASAA0AFwAIgApADsAXABuAFwAbgBWAEUARQBSAEcAXwA0AF8ANgBfADEAXwAxAF8AXwAxAF8AVABvAHQAYQBsAEEAbgBuAHUAYQBsAE0AZQB0AGgAYQBuAGUARQBtAGkAcwBzAGkAbwBuAHMAXwBVAG4AaQB0AFwAbgAgACAAPQBMAEEATQBCAEQAQQAoAFwAIgB0ACAAQwBIADQAXAAiACkAOwBcAG4AXABuAFYARQBFAFIARwBfADQAXwA2AF8AMQBfADEAXwBfADEAXwBUAG8AdABhAGwAQQBuAG4AdQBhAGwATQBlAHQAaABhAG4AZQBFAG0AaQBzAHMAaQBvAG4AcwBfAFMAbwB1AHIAYwBlAFwAbgAgACAAPQBMAEEATQBCAEQAQQAoAFwAIgBWAEUARQBSAEcAIAAyADAAMgA2ADoAIAA0AC4ANAAuADEALgAxACwAIABFAHEAdQBhAHQAaQBvAG4AIAAoADEAKQBcACIAKQA7AFwAbgBcAG4AVgBFAEUAUgBHAF8ANABfADYAXwAxAF8AMQBfAF8AMQBfAFQAbwB0AGEAbABBAG4AbgB1AGEAbABNAGUAdABoAGEAbgBlAEUAbQBpAHMAcwBpAG8AbgBzAF8ATgBJAFIAUgBlAGYAZQByAGUAbgBjAGUAXABuACAAIAA9AEwAQQBNAEIARABBACgAXAAiAFwAIgApADsAXABuAFwAbgBWAEUARQBSAEcAXwA0AF8ANgBfADEAXwAxAF8AXwAxAF8AVABvAHQAYQBsAEEAbgBuAHUAYQBsAE0AZQB0AGgAYQBuAGUARQBtAGkAcwBzAGkAbwBuAHMAXwBMAGEAdABlAHgARQBxAHUAYQB0AGkAbwBuAFwAbgAgACAAPQBMAEEATQBCAEQAQQAoAFwAIgBFAF8AewBDAEgANAB9AD0AXABcAHMAdQBtAF8AewBqAH0AXABcAHMAdQBtAF8AewBrAH0AXABcAHMAdQBtAF8AewBtAH0AXABcAHMAdQBtAF8AewBUAH0AKABEAF8AewBqAGsAfQBcAFwAdABpAG0AZQBzACAATQBfAHsAagBrAG0AVAB9AFwAXAB0AGkAbQBlAHMAIABOAF8AewBqAGsAfQApAFwAXAB0AGkAbQBlAHMAMQAwAF4AewAtADMAfQBcACIAKQA7AFwAbgBcAG4AVgBFAEUAUgBHAF8ANABfADY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XwBqAGsAXAAiACwAXAAiAGQAdQByAGEAdABpAG8AbgAgAG8AZgAgAHMAdABhAHkAIABvAGYAIABlAGEAYwBoACAAYwBsAGEAcwBzACAAYQBuAGQAIABzAHUAYgBjAGwAYQBzAHMAIABvAGYAIABwAG8AdQBsAHQAcgB5AFwAIgAsACAAXAAiAGQAYQB5AHMAXAAiACwAIABcACIASQBuAHAAdQB0AFwAIgA7AFwAbgAgACAAIAAgACAAIAAgACAAIAAgAFwAIgBNAF8AagBrAG0AVABcACIALABcACIAbQBlAHQAaABhAG4AZQAgAHAAcgBvAGQAdQBjAHQAaQBvAG4AIABmAHIAbwBtACAAbQBhAG4AdQByAGUAIABwAGUAcgAgAGMAbABhAHMAcwAsACAAcwB1AGIAYwBsAGEAcwBzACwAIABNAE0AUwAsACAAYQBuAGQAIAB0AHIAZQBhAHQAbQBlAG4AdAAgAHMAdABhAGcAZQBcACIALAAgAFwAIgBrAGcAIABDAEgANAAvAGIAaQByAGQALwBkAGEAeQBcACIALAAgAFwAIgBDAGEAbABjAHUAbABhAHQAZQBkACAAZgByAG8AbQAgADQALgA2AC4AMQAuADEAIAAoADIAKQAoADMAKQBcACIAOwBcAG4AIAAgACAAIAAgACAAIAAgACAAIABcACIATgBfAGoAawBcACIALABcACIAbgB1AG0AYgBlAHIAcwAgAG8AZgAgAHAAbwB1AGwAdAByAHkAIABpAG4AIABlAGEAYwBoACAAYwBsAGEAcwBzACAAYQBuAGQAIABzAHUAYgBjAGwAYQBzAHMAXAAiACwAIABcACIAYgBpAHIAZA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yAF8AUwB0AGEAZwBlADEATQBlAHQAaABhAG4AZQBQAHIAbwBkAHUAYwB0AGkAbwBuAFwAbgBQAHIAbwBkAHUAYwB0AGkAbwBuACAAbwBmACAAbQBlAHQAaABhAG4AZQAgAGkAbgAgAHQAcgBlAGEAdABtAGUAbgB0ACAAcwB0AGEAZwBlACAAMQAgAE0ATQBTAFwAbgBNAF8AagBrAG0AVAAxAFwAbgBrAGcAIABDAEgANAAvAGIAaQByAGQALwBkAGEAeQBcAG4ATQBfAHsAagBrAG0AVAA9ADEAfQA9AFYAUwBfAHsAagBrAH0AXABcAHQAaQBtAGUAcwAgAEIATwBfAHsAagB9AFwAXAB0AGkAbQBlAHMAIABNAE0AUwBfAHsAagBtAFQAPQAxAH0AXABcAHQAaQBtAGUAcwAgAE0AQwBGAF8AewBpAG0AfQBcAFwAdABpAG0AZQBzACAAXABcAHIAaABvAFwAbgBWAFMAXwBqAGsAIAA9ACAAdgBvAGwAYQB0AGkAbABlACAAcwBvAGwAaQBkACAAcAByAG8AZAB1AGMAdABpAG8AbgAgAHAAbwB1AGwAdAByAHkAIABjAGwAYQBzAHMAZQBzACAAOgAgAGsAZwAgAFYAUwAvAGIAaQByAGQALwBkAGEAeQBcAG4AQgBPAF8AagAgAD0AIABlAG0AaQBzAHMAaQBvAG4AcwAgAHAAbwB0AGUAbgB0AGkAYQBsACAAcABlAHIAIABjAGwAYQBzAHMAIAA6ACAAbQAzACAAQwBIADQALwBrAGcAIABWAFMAXABuAE0ATQBTAF8AagBtAFQAMQAgAD0AIABmAHIAYQBjAHQAaQBvAG4AIABvAGYAIABtAGEAbgB1AHIAZQAgAGkAbgAgAGUAYQBjAGgAIABwAHIAaQBtAGEAcgB5ACAAcwB5AHMAdABlAG0AIAA6ACAAZgByAGEAYwB0AGkAbwBuAFwAbgBNAEMARgBfAGkAbQAgAD0AIABtAGUAdABoAGEAbgBlACAAYwBvAG4AdgBlAHIAcwBpAG8AbgAgAGYAYQBjAHQAbwByACAAZgBvAHIAIAB0AGUAbQBwAGUAcgBhAHQAdQByAGUAIAB6AG8Ab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NgBfADEAXwAxAF8AXwAyAF8AUwB0AGEAZwBlADEATQBlAHQAaABhAG4AZQBQAHIAbwBkAHUAYwB0AGkAbwBuAFwAbgAgACAAPQBMAEEATQBCAEQAQQAoAFwAbgAgACAAIAAgAFYAUwBfAGoAawAsACAAQgBPAF8AagAsACAATQBNAFMAXwBqAG0AVAAxACwAIABNAEMARgBfAGkAbQAsACAAcgBoAG8ALABcAG4AIAAgACAAIABWAFMAXwBqAGsAIAAqACAAQgBPAF8AagAgACoAIABNAE0AUwBfAGoAbQBUADEAIAAqACAATQBDAEYAXwBpAG0AIAAqACAAcgBoAG8AXABuACAAIAApADsAXABuAFwAbgBWAEUARQBSAEcAXwA0AF8ANgBfADEAXwAxAF8AXwAyAF8AUwB0AGEAZwBlADEATQBlAHQAaABhAG4AZQBQAHIAbwBkAHUAYwB0AGkAbwBuAF8AVABpAHQAbABlAFwAbgAgACAAPQBMAEEATQBCAEQAQQAoAFwAIgBQAHIAbwBkAHUAYwB0AGkAbwBuACAAbwBmACAAbQBlAHQAaABhAG4AZQAgAGkAbgAgAHQAcgBlAGEAdABtAGUAbgB0ACAAcwB0AGEAZwBlACAAMQAgAE0ATQBTAFwAIgApADsAXABuAFwAbgBWAEUARQBSAEcAXwA0AF8ANgBfADEAXwAxAF8AXwAyAF8AUwB0AGEAZwBlADEATQBlAHQAaABhAG4AZQBQAHIAbwBkAHUAYwB0AGkAbwBuAF8AVgBhAHIAaQBhAGIAbABlAFwAbgAgACAAPQBMAEEATQBCAEQAQQAoAFwAIgBNAF8AagBrAG0AVAAxAFwAIgApADsAXABuAFwAbgBWAEUARQBSAEcAXwA0AF8ANgBfADEAXwAxAF8AXwAyAF8AUwB0AGEAZwBlADEATQBlAHQAaABhAG4AZQBQAHIAbwBkAHUAYwB0AGkAbwBuAF8AVQBuAGkAdABcAG4AIAAgAD0ATABBAE0AQgBEAEEAKABcACIAawBnACAAQwBIADQALwBiAGkAcgBkAC8AZABhAHkAXAAiACkAOwBcAG4AXABuAFYARQBFAFIARwBfADQAXwA2AF8AMQBfADEAXwBfADIAXwBTAHQAYQBnAGUAMQBNAGUAdABoAGEAbgBlAFAAcgBvAGQAdQBjAHQAaQBvAG4AXwBTAG8AdQByAGMAZQBcAG4AIAAgAD0ATABBAE0AQgBEAEEAKABcACIAVgBFAEUAUgBHACAAMgAwADIANgA6ACAANAAuADQALgAxAC4AMQAsACAARQBxAHUAYQB0AGkAbwBuACAAKAAyACkAXAAiACkAOwBcAG4AXABuAFYARQBFAFIARwBfADQAXwA2AF8AMQBfADEAXwBfADIAXwBTAHQAYQBnAGUAMQBNAGUAdABoAGEAbgBlAFAAcgBvAGQAdQBjAHQAaQBvAG4AXwBOAEkAUgBSAGUAZgBlAHIAZQBuAGMAZQBcAG4AIAAgAD0ATABBAE0AQgBEAEEAKABcACIAXAAiACkAOwBcAG4AXABuAFYARQBFAFIARwBfADQAXwA2AF8AMQBfADEAXwBfADIAXwBTAHQAYQBnAGUAMQBNAGUAdABoAGEAbgBlAFAAcgBvAGQAdQBjAHQAaQBvAG4AXwBMAGEAdABlAHgARQBxAHUAYQB0AGkAbwBuAFwAbgAgACAAPQBMAEEATQBCAEQAQQAoAFwAIgBNAF8AewBqAGsAbQBUAD0AMQB9AD0AVgBTAF8AewBqAGsAfQBcAFwAdABpAG0AZQBzACAAQgBPAF8AewBqAH0AXABcAHQAaQBtAGUAcwAgAE0ATQBTAF8AewBqAG0AVAA9ADEAfQBcAFwAdABpAG0AZQBzACAATQBDAEYAXwB7AGkAbQB9AFwAXAB0AGkAbQBlAHMAIABcAFwAcgBoAG8AXAAiACkAOwBcAG4AXABuAFYARQBFAFIARwBfADQAXwA2AF8AMQBfADEAXwBfADIAXwBTAHQAYQBnAGUAMQ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8AagBrAFwAIgAsAFwAIgB2AG8AbABhAHQAaQBsAGUAIABzAG8AbABpAGQAIABwAHIAbwBkAHUAYwB0AGkAbwBuACAAcABvAHUAbAB0AHIAeQAgAGMAbABhAHMAcwBlAHMAXAAiACwAIABcACIAawBnACAAVgBTAC8AYgBpAHIAZAAvAGQAYQB5AFwAIgAsACAAXAAiAEMAYQBsAGMAdQBsAGEAdABlAGQAIABmAHIAbwBtACAANAAuADYALgAxAC4AMQAgACgANQApAFwAIgA7AFwAbgAgACAAIAAgACAAIAAgACAAIAAgAFwAIgBCAE8AXwBqAFwAIgAsAFwAIgBlAG0AaQBzAHMAaQBvAG4AcwAgAHAAbwB0AGUAbgB0AGkAYQBsACAAcABlAHIAIABjAGwAYQBzAHMAXAAiACwAIABcACIAbQAzACAAQwBIADQALwBrAGcAIABWAFMAXAAiACwAIABcACIAQwBvAG4AcwB0AGEAbgB0AFwAIgA7AFwAbgAgACAAIAAgACAAIAAgACAAIAAgAFwAIgBNAE0AUwBfAGoAbQBUADEAXAAiACwAXAAiAGYAcgBhAGMAdABpAG8AbgAgAG8AZgAgAG0AYQBuAHUAcgBlACAAaQBuACAAZQBhAGMAaAAgAHAAcgBpAG0AYQByAHkAIABzAHkAcwB0AGUAbQBcACIALAAgAFwAIgBmAHIAYQBjAHQAaQBvAG4AXAAiACwAIABcACIASQBuAHAAdQB0AFwAIgA7AFwAbgAgACAAIAAgACAAIAAgACAAIAAgAFwAIgBNAEMARgBfAGkAbQBcACIAL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QAXwA2AF8AMQBfADEAXwBfADIAXwBTAHQAYQBnAGUAMQBNAGUAdABoAGEAb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awBcACIALABcACIAdgBvAGwAYQB0AGkAbABlACAAcwBvAGwAaQBkACAAcAByAG8AZAB1AGMAdABpAG8AbgAgAHAAbwB1AGwAdAByAHkAIABjAGwAYQBzAHMAZQBzAFwAIgAsACAAXAAiAGsAZwAgAFYAUwAvAGIAaQByAGQALwBkAGEAeQBcACIALAAgAFwAIgBDAGEAbABjAHUAbABhAHQAZQBkACAAZgByAG8AbQAgADQALgA2AC4AMQAuADEAIAAoADUAKQBcACIAOwBcAG4AIAAgACAAIAAgACAAIAAgACAAIABcACIAQgBPAF8AagBcACIALABcACIAZQBtAGkAcwBzAGkAbwBuAHMAIABwAG8AdABlAG4AdABpAGEAbAAgAHAAZQByACAAYwBsAGEAcwBzAFwAIgAsACAAXAAiAG0AMwAgAEMASAA0AC8AawBnACAAVgBTAFwAIgAsACAAXAAiAEMAbwBuAHMAdABhAG4AdABcACIAOwBcAG4AIAAgACAAIAAgACAAIAAgACAAIABcACIATQBNAFMAXwBqAG0AVAAxAFwAIgAsAFwAIgBmAHIAYQBjAHQAaQBvAG4AIABvAGYAIABtAGEAbgB1AHIAZQAgAGkAbgAgAGUAYQBjAGgAIABwAHIAaQBt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G0AZQBhAG4AIABhAG4AbgB1AGEAbAAgAHQAZQBtAHAAZQByAGEAdAB1AHIAZQBcACIALAAgAFwAIgCwAEMAXAAiACwAIABcACIASQBuAHAAdQB0AFwAIgBcAG4AIAAgACAAIAAgACAAIAAgAH0ALAAgAHIALAAgAGMAKQBcAG4AIAAgACAAIAAgACAAKQBcAG4AIAAgACAAIAApAFwAbgAgACAAKQA7AFwAbgBcAG4AVgBFAEUAUgBHAF8ANABfADYAXwAxAF8AMQBfAF8AMgBfAFMAdABhAGcAZQAxAE0AZQB0AGgAYQBuAGUAUAByAG8AZAB1AGMAdABpAG8AbgBfAFYAYQByAGkAYQB0AGkAbwBuAFwAbgAgACAAIAA9AEwAQQBNAEIARABBACgAXABuACAAIAAgACAATQBBAEsARQBBAFIAUgBBAFkAKAAzACwAIAAxACwAXABuACAAIAAgACAAIAAgAEwAQQBNAEIARABBACgAcgAsAGMALABcAG4AIAAgACAAIAAgACAAIAAgAEkATgBEAEUAWAAoAHsAXABuACAAIAAgACAAIAAgACAAIAAgACAAXAAiAFYAQQBSAEkAQQBUAEkATwBOACAATwBOACAAUwBPAFUAUgBDAEUAOgBcACIAOwBcAG4AIAAgACAAIAAgACAAIAAgACAAIABcACIAVQBzAGUAZAAgAG0AZQBhAG4AIABhAG4AbgB1AGEAbAAgAHQAZQBtAHAAZQByAGEAdAB1AHIAZQAgAGkAbgBzAHQAZQBhAGQAIABvAGYAIAB0AGUAbQBwAGUAcgBhAHQAdQByAGUAIAB6AG8AbgBlACAAdABvACAAZABlAHQAZQByAG0AaQBuAGUAIABNAEMARgAgAGEAcwAgAE0AQwBGACAAdgBhAGwAdQBlAHMAIABhAHIAZQAgAHMAcABlAGMAaQBmAGkAYwAgAHQAbwAgAHQAZQBtAHAAZQByAGEAdAB1AHIAZQBcACIAOwBcAG4AIAAgACAAIAAgACAAIAAgACAAIABcACIATQBlAHQAaABvAGQAIAAyADoAIABVAHMAZQBkACAAcwB0AGEAdABlACAAYgBhAHMAZQBkACAATQBDAEYAIAB2AGEAbAB1AGUAcwAgAGYAbwByACAAXAB1ADAAMAAyADcAQgBlAGwAdAAgAG0AYQBuAHUAcgBlACAAcgBlAG0AbwB2AGEAbABcAHUAMAAwADIANwAgAGEAbgBkACAAXAB1ADAAMAAyADcATQBhAG4AdQByAGUAIABzAHQAbwByAGUAZAAgAGkAbgAgAGgAbwB1AHMAZQBcAHUAMAAwADIANwAgAE0ATQBTACAAYQBzACAAbgBvACAAdABlAG0AcABlAHIAYQB0AHUAcgBlACAAdgBhAGwAdQBlAHMAIABlAHgAaQBzAHQAIABpAG4AIABUAGEAYgBsAGUAIABBAC4AMQAuADgALgAxAFwAIgBcAG4AIAAgACAAIAAgACAAIAAgAH0ALAAgAHIALAAgAGMAKQBcAG4AIAAgACAAIAAgACAAKQBcAG4AIAAgACAAIAApAFwAbgAgACAAKQA7AFwAbgBcAG4ALwAqAFwAbgAtAC0ALQAtAC0ALQAtAC0ALQAtAC0ALQAtAC0ALQAtAC0ALQAtAC0ALQAtAC0ALQAtAC0ALQAtAC0ALQAtAC0ALQAtAC0ALQAtAC0AXABuAFYARQBFAFIARwBfADQAXwA2AF8AMQBfADEAXwBfADMAXwBTAHQAYQBnAGUAMgBNAGUAdABoAGEAbgBlAFAAcgBvAGQAdQBjAHQAaQBvAG4AXABuAFAAcgBvAGQAdQBjAHQAaQBvAG4AIABvAGYAIABtAGUAdABoAGEAbgBlACAAaQBuACAAdAByAGUAYQB0AG0AZQBuAHQAIABzAHQAYQBnAGUAIAAyACAATQBNAFMAXABuAE0AXwBqAGsAbQBUADIAXABuAGsAZwAgAEMASAA0AC8AYgBpAHIAZAAvAGQAYQB5AFwAbgBNAF8AewBqAGsAbQBUAD0AMgB9AD0AVgBTAFQAXwB7AGoAawB9AFwAXAB0AGkAbQBlAHMAIABCAE8AXABcAHQAaQBtAGUAcwAgAE0ATQBTAF8AewBqAG0AVAA9ADIAfQBcAFwAdABpAG0AZQBzACAATQBDAEYAXwB7AGkAbQB9AFwAXAB0AGkAbQBlAHMAIABcAFwAcgBoAG8AXABuAFYAUwBUAF8AagBrACAAPQAgAHYAbwBsAGEAdABpAGwAZQAgAHMAbwBsAGkAZABzACAAdAByAGEAbgBzAGYAZQByAHIAZQBkACAAdABvACAAdAByAGUAYQB0AG0AZQBuAHQAIABzAHQAYQBnAGUAIAAyACAATQBNAFMAIAA6ACAAawBnACAAVgBTAC8AYgBpAHIAZAAvAGQAYQB5AFwAbgBCAE8AIAA9ACAAZQBtAGkAcwBzAGkAbwBuAHMAIABwAG8AdABlAG4AdABpAGEAbAAgADoAIABtADMAIABDAEgANAAvAGsAZwAgAFYAUwBcAG4ATQBNAFMAXwBqAG0AVAAyACAAPQAgAGYAcgBhAGMAdABpAG8AbgAgAG8AZgAgAG0AYQBuAHUAcgBlACAAaQBuACAAZQBhAGMAaAAgAHMAZQBjAG8AbgBkAGEAcgB5ACAAcwB5AHMAdABlAG0AIAA6ACAAZgByAGEAYwB0AGkAbwBuAFwAbgBNAEMARgBfAGkAbQAgAD0AIABtAGUAdABoAGEAbgBlACAAYwBvAG4AdgBlAHIAcwBpAG8AbgAgAGYAYQBjAHQAbwByACAAZgBvAHIAIAB0AGUAbQBwAGUAcgBhAHQAdQByAGUAIAB6AG8Ab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NgBfADEAXwAxAF8AXwAzAF8AUwB0AGEAZwBlADIATQBlAHQAaABhAG4AZQBQAHIAbwBkAHUAYwB0AGkAbwBuAFwAbgAgACAAPQBMAEEATQBCAEQAQQAoAFwAbgAgACAAIAAgAFYAUwBUAF8AagBrACwAIABCAE8ALAAgAE0ATQBTAF8AagBtAFQAMgAsACAATQBDAEYAXwBpAG0ALAAgAHIAaABvACwAXABuACAAIAAgACAAVgBTAFQAXwBqAGsAIAAqACAAQgBPACAAKgAgAE0ATQBTAF8AagBtAFQAMgAgACoAIABNAEMARgBfAGkAbQAgACoAIAByAGgAbwBcAG4AIAAgACkAOwBcAG4AXABuAFYARQBFAFIARwBfADQAXwA2AF8AMQBfADEAXwBfADMAXwBTAHQAYQBnAGUAMgBNAGUAdABoAGEAbgBlAFAAcgBvAGQAdQBjAHQAaQBvAG4AXwBUAGkAdABsAGUAXABuACAAIAA9AEwAQQBNAEIARABBACgAXAAiAFAAcgBvAGQAdQBjAHQAaQBvAG4AIABvAGYAIABtAGUAdABoAGEAbgBlACAAaQBuACAAdAByAGUAYQB0AG0AZQBuAHQAIABzAHQAYQBnAGUAIAAyACAATQBNAFMAXAAiACkAOwBcAG4AXABuAFYARQBFAFIARwBfADQAXwA2AF8AMQBfADEAXwBfADMAXwBTAHQAYQBnAGUAMgBNAGUAdABoAGEAbgBlAFAAcgBvAGQAdQBjAHQAaQBvAG4AXwBWAGEAcgBpAGEAYgBsAGUAXABuACAAIAA9AEwAQQBNAEIARABBACgAXAAiAE0AXwBqAGsAbQBUADIAXAAiACkAOwBcAG4AXABuAFYARQBFAFIARwBfADQAXwA2AF8AMQBfADEAXwBfADMAXwBTAHQAYQBnAGUAMgBNAGUAdABoAGEAbgBlAFAAcgBvAGQAdQBjAHQAaQBvAG4AXwBVAG4AaQB0AFwAbgAgACAAPQBMAEEATQBCAEQAQQAoAFwAIgBrAGcAIABDAEgANAAvAGIAaQByAGQALwBkAGEAeQBcACIAKQA7AFwAbgBcAG4AVgBFAEUAUgBHAF8ANABfADYAXwAxAF8AMQBfAF8AMwBfAFMAdABhAGcAZQAyAE0AZQB0AGgAYQBuAGUAUAByAG8AZAB1AGMAdABpAG8AbgBfAFMAbwB1AHIAYwBlAFwAbgAgACAAPQBMAEEATQBCAEQAQQAoAFwAIgBWAEUARQBSAEcAIAAyADAAMgA2ADoAIAA0AC4ANAAuADEALgAxACwAIABFAHEAdQBhAHQAaQBvAG4AIAAoADMAKQBcACIAKQA7AFwAbgBcAG4AVgBFAEUAUgBHAF8ANABfADYAXwAxAF8AMQBfAF8AMwBfAFMAdABhAGcAZQAyAE0AZQB0AGgAYQBuAGUAUAByAG8AZAB1AGMAdABpAG8AbgBfAE4ASQBSAFIAZQBmAGUAcgBlAG4AYwBlAFwAbgAgACAAPQBMAEEATQBCAEQAQQAoAFwAIgBcACIAKQA7AFwAbgBcAG4AVgBFAEUAUgBHAF8ANABfADYAXwAxAF8AMQBfAF8AMwBfAFMAdABhAGcAZQAyAE0AZQB0AGgAYQBuAGUAUAByAG8AZAB1AGMAdABpAG8AbgBfAEwAYQB0AGUAeABFAHEAdQBhAHQAaQBvAG4AXABuACAAIAA9AEwAQQBNAEIARABBACgAXAAiAE0AXwB7AGoAawBtAFQAPQAyAH0APQBWAFMAVABfAHsAagBrAH0AXABcAHQAaQBtAGUAcwAgAEIATwBcAFwAdABpAG0AZQBzACAATQBNAFMAXwB7AGoAbQBUAD0AMgB9AFwAXAB0AGkAbQBlAHMAIABNAEMARgBfAHsAaQBtAH0AXABcAHQAaQBtAGUAcwAgAFwAXAByAGgAbwBcACIAKQA7AFwAbgBcAG4AVgBFAEUAUgBHAF8ANABfADYAXwAxAF8AMQBfAF8AMwBfAFMAdABhAGcAZQAyAE0AZQB0AGgAYQBu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VABfAGoAawBcACIALABcACIAdgBvAGwAYQB0AGkAbABlACAAcwBvAGwAaQBkAHMAIAB0AHIAYQBuAHMAZgBlAHIAcgBlAGQAIAB0AG8AIAB0AHIAZQBhAHQAbQBlAG4AdAAgAHMAdABhAGcAZQAgADIAIABNAE0AUwBcACIALAAgAFwAIgBrAGcAIABWAFMALwBiAGkAcgBkAC8AZABhAHkAXAAiACwAIABcACIAQwBhAGwAYwB1AGwAYQB0AGUAZAAgAGYAcgBvAG0AIAA0AC4ANgAuADEALgAxACAAKAA0ACkAXAAiADsAXABuACAAIAAgACAAIAAgACAAIAAgACAAXAAiAEIATwBcACIALABcACIAZQBtAGkAcwBzAGkAbwBuAHMAIABwAG8AdABlAG4AdABpAGEAbABcACIALAAgAFwAIgBtADMAIABDAEgANAAvAGsAZwAgAFYAUwBcACIALAAgAFwAIgBDAG8AbgBzAHQAYQBuAHQAXAAiADsAXABuACAAIAAgACAAIAAgACAAIAAgACAAXAAiAE0ATQBTAF8AagBtAFQAMgBcACIALABcACIAZgByAGEAYwB0AGkAbwBuACAAbwBmACAAbQBhAG4AdQByAGUAIABpAG4AIABlAGEAYwBoACAAcwBlAGMAbwBuAGQAYQByAHkAIABzAHkAcwB0AGUAbQBcACIALAAgAFwAIgBmAHIAYQBjAHQAaQBvAG4AXAAiACwAIABcACIASQBuAHAAdQB0AFwAIgA7AFwAbgAgACAAIAAgACAAIAAgACAAIAAgAFwAIgBNAEMARgBfAGkAbQBcACIAL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QAXwA2AF8AMQBfADEAXwBfADMAXwBTAHQAYQBnAGUAMgBNAGUAdABoAGEAb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UAF8AagBrAFwAIgAsAFwAIgB2AG8AbABhAHQAaQBsAGUAIABzAG8AbABpAGQAcwAgAHQAcgBhAG4AcwBmAGUAcgByAGUAZAAgAHQAbwAgAHQAcgBlAGEAdABtAGUAbgB0ACAAcwB0AGEAZwBlACAAMgAgAE0ATQBTAFwAIgAsACAAXAAiAGsAZwAgAFYAUwAvAGIAaQByAGQALwBkAGEAeQBcACIALAAgAFwAIgBDAGEAbABjAHUAbABhAHQAZQBkACAAZgByAG8AbQAgADQALgA2AC4AMQAuADEAIAAoADQAKQBcACIAOwBcAG4AIAAgACAAIAAgACAAIAAgACAAIABcACIAQgBPAFwAIgAsAFwAIgBlAG0AaQBzAHMAaQBvAG4AcwAgAHAAbwB0AGUAbgB0AGkAYQBsAFwAIgAsACAAXAAiAG0AMwAgAEMASAA0AC8AawBnACAAVgBTAFwAIgAsACAAXAAiAEMAbwBuAHMAdABhAG4AdABcACIAOwBcAG4AIAAgACAAIAAgACAAIAAgACAAIABcACIATQBNAFMAXwBqAG0AVAAyAFwAIgAsAFwAIgBmAHIAYQBjAHQAaQBvAG4AIABvAGYAIABtAGEAbgB1AHIAZQAgAGkAbgAgAGUAYQBjAGgAIABzAGUAYwBvAG4AZABhAHIAeQAgAHMAeQBzAHQAZQBtAFwAIgAsACAAXAAiAGYAcgBhAGMAdABpAG8AbgBcACIALAAgAFwAIgBJAG4AcAB1AHQAXAAiADsAXABuACAAIAAgACAAIAAgACAAIAAgACAAXAAiAE0AQwBGAF8AaQBtAFwAIgAs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tAGUAYQBuACAAYQBuAG4AdQBhAGwAIAB0AGUAbQBwAGUAcgBhAHQAdQByAGUAXAAiACwAIABcACIAsABDAFwAIgAsACAAXAAiAEkAbgBwAHUAdABcACIAXABuACAAIAAgACAAIAAgACAAIAB9ACwAIAByACwAIABjACkAXABuACAAIAAgACAAIAAgACkAXABuACAAIAAgACAAKQBcAG4AIAAgACkAOwBcAG4AXABuAFYARQBFAFIARwBfADQAXwA2AF8AMQBfADEAXwBfADMAXwBTAHQAYQBnAGUAMgBNAGUAdABoAGEAbgBlAFAAcgBvAGQAdQBjAHQAaQBvAG4AXwBWAGEAcgBpAGEAdABpAG8AbgBcAG4AIAAgACAAPQBMAEEATQBCAEQAQQAoAFwAIgBWAEEAUgBJAEEAVABJAE8ATgAgAE8ATgAgAFMATwBVAFIAQwBFADoAIABVAHMAZQBkACAAbQBlAGEAbgAgAGEAbgBuAHUAYQBsACAAdABlAG0AcABlAHIAYQB0AHUAcgBlACAAaQBuAHMAdABlAGEAZAAgAG8AZgAgAHQAZQBtAHAAZQByAGEAdAB1AHIAZQAgAHoAbwBuAGUAIAB0AG8AIABkAGUAdABlAHIAbQBpAG4AZQAgAE0AQwBGACAAYQBzACAATQBDAEYAIAB2AGEAbAB1AGUAcwAgAGEAcgBlACAAcwBwAGUAYwBpAGYAaQBjACAAdABvACAAdABlAG0AcABlAHIAYQB0AHUAcgBlAFwAIgApADsAXABuAFwAbgAvACoAXABuAC0ALQAtAC0ALQAtAC0ALQAtAC0ALQAtAC0ALQAtAC0ALQAtAC0ALQAtAC0ALQAtAC0ALQAtAC0ALQAtAC0ALQAtAC0ALQAtAC0ALQBcAG4AVgBFAEUAUgBHAF8ANABfADYAXwAxAF8AMQBfAF8ANABfAFYAbwBsAGEAdABpAGwAZQBTAG8AbABpAGQAcwBUAHIAYQBuAHMAZgBlAHIAcgBlAGQAXABuAFYAbwBsAGEAdABpAGwAZQAgAHMAbwBsAGkAZABzACAAdAByAGEAbgBzAGYAZQByAHIAZQBkACAAdABvACAAdAByAGUAYQB0AG0AZQBuAHQAIABzAHQAYQBnAGUAIAAyACAATQBNAFMAXABuAFYAUwBUAF8AagBrAFwAbgBrAGcAIABWAFMALwBiAGkAcgBkAC8AZABhAHkAXABuAFYAUwBUAF8AewBqAGsAfQA9AFYAUwBfAHsAagBrAH0AXABcAHQAaQBtAGUAcwAgAE0ATQBTAF8AewBqAG0AVAA9ADEAfQBcAFwAdABpAG0AZQBzACAAKAAxAC0AVgBTAEwAXwB7AG0AVAA9ADEAfQApAFwAbgBWAFMAXwBqAGsAIAA9ACAAdgBvAGwAYQB0AGkAbABlACAAcwBvAGwAaQBkACAAcAByAG8AZAB1AGMAdABpAG8AbgAgAHAAbwB1AGwAdAByAHkAIABjAGwAYQBzAHMAZQBzACAAOgAgAGsAZwAgAFYAUwAvAGIAaQByAGQALwBkAGEAeQBcAG4ATQBNAFMAXwBqAG0AVAAxACAAPQAgAGYAcgBhAGMAdABpAG8AbgAgAG8AZgAgAG0AYQBuAHUAcgBlACAAaQBuACAAZQBhAGMAaAAgAHAAcgBpAG0AYQByAHkAIABzAHkAcwB0AGUAbQAgADoAIABmAHIAYQBjAHQAaQBvAG4AXABuAFYAUwBMAF8AbQBUADEAIAA9ACAAZgByAGEAYwB0AGkAbwBuACAAbwBmACAAdgBvAGwAYQB0AGkAbABlACAAcwBvAGwAaQBkAHMAIABsAG8AcwB0ACAAZAB1AHIAaQBuAGcAIABzAHQAbwByAGEAZwBlACAAaQBuACAAdABoAGUAIABwAHIAaQBtAGEAcgB5ACAAcwB5AHMAdABlAG0AIAA6ACAAZgByAGEAYwB0AGkAbwBuAFwAbgAtAC0ALQAtAC0ALQAtAC0ALQAtAC0ALQAtAC0ALQAtAC0ALQAtAC0ALQAtAC0ALQAtAC0ALQAtAC0ALQAtAC0ALQAtAC0ALQAtAC0AXABuACoALwBcAG4AXABuAFYARQBFAFIARwBfADQAXwA2AF8AMQBfADEAXwBfADQAXwBWAG8AbABhAHQAaQBsAGUAUwBvAGwAaQBkAHMAVAByAGEAbgBzAGYAZQByAHIAZQBkAFwAbgAgACAAPQBMAEEATQBCAEQAQQAoAFwAbgAgACAAIAAgAFYAUwBfAGoAawAsACAATQBNAFMAXwBqAG0AVAAxACwAIABWAFMATABfAG0AVAAxACwAXABuACAAIAAgACAAVgBTAF8AagBrACAAKgAgAE0ATQBTAF8AagBtAFQAMQAgACoAIAAoADEAIAAtACAAVgBTAEwAXwBtAFQAMQApAFwAbgAgACAAKQA7AFwAbgBcAG4AVgBFAEUAUgBHAF8ANABfADYAXwAxAF8AMQBfAF8ANABfAFYAbwBsAGEAdABpAGwAZQBTAG8AbABpAGQAcwBUAHIAYQBuAHMAZgBlAHIAcgBlAGQAXwBUAGkAdABsAGUAXABuACAAIAA9AEwAQQBNAEIARABBACgAXAAiAFYAbwBsAGEAdABpAGwAZQAgAHMAbwBsAGkAZABzACAAdAByAGEAbgBzAGYAZQByAHIAZQBkACAAdABvACAAdAByAGUAYQB0AG0AZQBuAHQAIABzAHQAYQBnAGUAIAAyACAATQBNAFMAXAAiACkAOwBcAG4AXABuAFYARQBFAFIARwBfADQAXwA2AF8AMQBfADEAXwBfADQAXwBWAG8AbABhAHQAaQBsAGUAUwBvAGwAaQBkAHMAVAByAGEAbgBzAGYAZQByAHIAZQBkAF8AVgBhAHIAaQBhAGIAbABlAFwAbgAgACAAPQBMAEEATQBCAEQAQQAoAFwAIgBWAFMAVABfAGoAawBcACIAKQA7AFwAbgBcAG4AVgBFAEUAUgBHAF8ANABfADYAXwAxAF8AMQBfAF8ANABfAFYAbwBsAGEAdABpAGwAZQBTAG8AbABpAGQAcwBUAHIAYQBuAHMAZgBlAHIAcgBlAGQAXwBVAG4AaQB0AFwAbgAgACAAPQBMAEEATQBCAEQAQQAoAFwAIgBrAGcAIABWAFMALwBiAGkAcgBkAC8AZABhAHkAXAAiACkAOwBcAG4AXABuAFYARQBFAFIARwBfADQAXwA2AF8AMQBfADEAXwBfADQAXwBWAG8AbABhAHQAaQBsAGUAUwBvAGwAaQBkAHMAVAByAGEAbgBzAGYAZQByAHIAZQBkAF8AUwBvAHUAcgBjAGUAXABuACAAIAA9AEwAQQBNAEIARABBACgAXAAiAFYARQBFAFIARwAgADIAMAAyADYAOgAgADQALgA0AC4AMQAuADEALAAgAEUAcQB1AGEAdABpAG8AbgAgACgANAApAFwAIgApADsAXABuAFwAbgBWAEUARQBSAEcAXwA0AF8ANgBfADEAXwAxAF8AXwA0AF8AVgBvAGwAYQB0AGkAbABlAFMAbwBsAGkAZABzAFQAcgBhAG4AcwBmAGUAcgByAGUAZABfAE4ASQBSAFIAZQBmAGUAcgBlAG4AYwBlAFwAbgAgACAAPQBMAEEATQBCAEQAQQAoAFwAIgBcACIAKQA7AFwAbgBcAG4AVgBFAEUAUgBHAF8ANABfADYAXwAxAF8AMQBfAF8ANABfAFYAbwBsAGEAdABpAGwAZQBTAG8AbABpAGQAcwBUAHIAYQBuAHMAZgBlAHIAcgBlAGQAXwBMAGEAdABlAHgARQBxAHUAYQB0AGkAbwBuAFwAbgAgACAAPQBMAEEATQBCAEQAQQAoAFwAIgBWAFMAVABfAHsAagBrAH0APQBWAFMAXwB7AGoAawB9AFwAXAB0AGkAbQBlAHMAIABNAE0AUwBfAHsAagBtAFQAPQAxAH0AXABcAHQAaQBtAGUAcwAgACgAMQAtAFYAUwBMAF8AewBtAFQAPQAxAH0AKQBcACIAKQA7AFwAbgBcAG4AVgBFAEUAUgBHAF8ANABfADYAXwAxAF8AMQBfAF8ANABfAFYAbwBsAGEAdABpAGwAZQBTAG8AbABpAGQAcwBUAHIAYQBuAHMAZgBlAHIAcgBlAGQAXwBBAHIAZwB1AG0AZQBuAHQAcwBcAG4AIAAgAD0ATABBAE0AQgBEAEEAKABcAG4AIAAgACAAIABNAEEASwBFAEEAUgBSAEEAWQAoADMALAAgADQALABcAG4AIAAgACAAIAAgACAATABBAE0AQgBEAEEAKAByACwAYwAsAFwAbgAgACAAIAAgACAAIAAgACAASQBOAEQARQBYACgAewBcAG4AIAAgACAAIAAgACAAIAAgACAAIABcACIAVgBTAF8AagBrAFwAIgAsAFwAIgB2AG8AbABhAHQAaQBsAGUAIABzAG8AbABpAGQAIABwAHIAbwBkAHUAYwB0AGkAbwBuACAAcABvAHUAbAB0AHIAeQAgAGMAbABhAHMAcwBlAHMAXAAiACwAIABcACIAawBnACAAVgBTAC8AYgBpAHIAZAAvAGQAYQB5AFwAIgAsACAAXAAiAEMAYQBsAGMAdQBsAGEAdABlAGQAIABmAHIAbwBtACAANAAuADYALgAxAC4AMQAgACgANQApAFwAIgA7AFwAbgAgACAAIAAgACAAIAAgACAAIAAgAFwAIgBNAE0AUwBfAGoAbQBUADEAXAAiACwAXAAiAGYAcgBhAGMAdABpAG8AbgAgAG8AZgAgAG0AYQBuAHUAcgBlACAAaQBuACAAZQBhAGMAaAAgAHAAcgBpAG0AYQByAHkAIABzAHkAcwB0AGUAbQBcACIALAAgAFwAIgBmAHIAYQBjAHQAaQBvAG4AXAAiACwAIABcACIASQBuAHAAdQB0AFwAIgA7AFwAbgAgACAAIAAgACAAIAAgACAAIAAgAFwAIgBWAFMATABfAG0AVAAxAFwAIgAsAFwAIgBmAHIAYQBjAHQAaQBvAG4AIABvAGYAIAB2AG8AbABhAHQAaQBsAGUAIABzAG8AbABpAGQAcwAgAGwAbwBzAHQAIABkAHUAcgBpAG4AZwAgAHMAdABvAHIAYQBnAGUAIABpAG4AIAB0AGgAZQAgAHAAcgBpAG0AYQByAHkAIABzAHkAcwB0AGUAbQ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EAXwBfADUAXwBWAG8AbABhAHQAaQBsAGUAUwBvAGwAaQBkAFAAcgBvAGQAdQBjAHQAaQBvAG4AXABuAFYAbwBsAGEAdABpAGwAZQAgAHMAbwBsAGkAZAAgAHAAcgBvAGQAdQBjAHQAaQBvAG4AIABwAG8AdQBsAHQAcgB5ACAAYwBsAGEAcwBzAGUAcwBcAG4AVgBTAF8AagBrAFwAbgBrAGcAIABWAFMALwBiAGkAcgBkAC8AZABhAHkAXABuAFYAUwBfAHsAagBrAH0APQBJAF8AewBqAGsAfQBcAFwAdABpAG0AZQBzACAAKAAxAC0ARABNAEQAXwB7AGoAawB9ACkAXABcAHQAaQBtAGUAcwAgACgAMQAtAEEAXwB7AGoAfQApAFwAbgBJAF8AagBrACAAPQAgAGQAcgB5ACAAbQBhAHQAdABlAHIAIABpAG4AdABhAGsAZQAgAGYAbwByACAAZQBhAGMAaAAgAGMAbABhAHMAcwAgAGEAbgBkACAAcwB1AGIAYwBsAGEAcwBzACAAOgAgAGsAZwAgAEQATQAvAGIAaQByAGQALwBkAGEAeQBcAG4ARABNAEQAXwBqAGsAIAA9ACAAZAByAHkAIABtAGEAdAB0AGUAcgAgAGQAaQBnAGUAcwB0AGkAYgBpAGwAaQB0AHkAIABmAG8AcgAgAGUAYQBjAGgAIABjAGwAYQBzAHMAIABhAG4AZAAgAHMAdQBiAGMAbABhAHMAcwAgADoAIABmAHIAYQBjAHQAaQBvAG4AXABuAEEAXwBqACAAPQAgAGEAcwBoACAAYwBvAG4AdABlAG4AdAAgAG8AZgAgAG0AYQBuAHUAcgBlACAAZgBvAHIAIABlAGEAYwBoACAAYwBsAGEAcwBzACAAYQBuAGQAIABzAHUAYgBjAGwAYQBzAHMAIAA6ACAAZgByAGEAYwB0AGkAbwBuAFwAbgAtAC0ALQAtAC0ALQAtAC0ALQAtAC0ALQAtAC0ALQAtAC0ALQAtAC0ALQAtAC0ALQAtAC0ALQAtAC0ALQAtAC0ALQAtAC0ALQAtAC0AXABuACoALwBcAG4AXABuAFYARQBFAFIARwBfADQAXwA2AF8AMQBfADEAXwBfADUAXwBWAG8AbABhAHQAaQBsAGUAUwBvAGwAaQBkAFAAcgBvAGQAdQBjAHQAaQBvAG4AXABuACAAIAA9AEwAQQBNAEIARABBACgAXABuACAAIAAgACAASQBfAGoAawAsACAARABNAEQAXwBqAGsALAAgAEEAXwBqACwAXABuACAAIAAgACAASQBfAGoAawAgACoAIAAoADEAIAAtACAARABNAEQAXwBqAGsAKQAgACoAIAAoADEAIAAtACAAQQBfAGoAKQBcAG4AIAAgACkAOwBcAG4AXABuAFYARQBFAFIARwBfADQAXwA2AF8AMQBfADEAXwBfADUAXwBWAG8AbABhAHQAaQBsAGUAUwBvAGwAaQBkAFAAcgBvAGQAdQBjAHQAaQBvAG4AXwBUAGkAdABsAGUAXABuACAAIAA9AEwAQQBNAEIARABBACgAXAAiAFYAbwBsAGEAdABpAGwAZQAgAHMAbwBsAGkAZAAgAHAAcgBvAGQAdQBjAHQAaQBvAG4AIABwAG8AdQBsAHQAcgB5ACAAYwBsAGEAcwBzAGUAcwBcACIAKQA7AFwAbgBcAG4AVgBFAEUAUgBHAF8ANABfADYAXwAxAF8AMQBfAF8ANQBfAFYAbwBsAGEAdABpAGwAZQBTAG8AbABpAGQAUAByAG8AZAB1AGMAdABpAG8AbgBfAFYAYQByAGkAYQBiAGwAZQBcAG4AIAAgAD0ATABBAE0AQgBEAEEAKABcACIAVgBTAF8AagBrAFwAIgApADsAXABuAFwAbgBWAEUARQBSAEcAXwA0AF8ANgBfADEAXwAxAF8AXwA1AF8AVgBvAGwAYQB0AGkAbABlAFMAbwBsAGkAZABQAHIAbwBkAHUAYwB0AGkAbwBuAF8AVQBuAGkAdABcAG4AIAAgAD0ATABBAE0AQgBEAEEAKABcACIAawBnACAAVgBTAC8AYgBpAHIAZAAvAGQAYQB5AFwAIgApADsAXABuAFwAbgBWAEUARQBSAEcAXwA0AF8ANgBfADEAXwAxAF8AXwA1AF8AVgBvAGwAYQB0AGkAbABlAFMAbwBsAGkAZABQAHIAbwBkAHUAYwB0AGkAbwBuAF8AUwBvAHUAcgBjAGUAXABuACAAIAA9AEwAQQBNAEIARABBACgAXAAiAFYARQBFAFIARwAgADIAMAAyADYAOgAgADQALgA0AC4AMQAuADEALAAgAEUAcQB1AGEAdABpAG8AbgAgACgANQApAFwAIgApADsAXABuAFwAbgBWAEUARQBSAEcAXwA0AF8ANgBfADEAXwAxAF8AXwA1AF8AVgBvAGwAYQB0AGkAbABlAFMAbwBsAGkAZABQAHIAbwBkAHUAYwB0AGkAbwBuAF8ATgBJAFIAUgBlAGYAZQByAGUAbgBjAGUAXABuACAAIAA9AEwAQQBNAEIARABBACgAXAAiAFwAIgApADsAXABuAFwAbgBWAEUARQBSAEcAXwA0AF8ANgBfADEAXwAxAF8AXwA1AF8AVgBvAGwAYQB0AGkAbABlAFMAbwBsAGkAZABQAHIAbwBkAHUAYwB0AGkAbwBuAF8ATABhAHQAZQB4AEUAcQB1AGEAdABpAG8AbgBcAG4AIAAgAD0ATABBAE0AQgBEAEEAKABcACIAVgBTAF8AewBqAGsAfQA9AEkAXwB7AGoAawB9AFwAXAB0AGkAbQBlAHMAIAAoADEALQBEAE0ARABfAHsAagBrAH0AKQBcAFwAdABpAG0AZQBzACAAKAAxAC0AQQBfAHsAagB9ACkAXAAiACkAOwBcAG4AXABuAFYARQBFAFIARwBfADQAXwA2AF8AMQBfADEAXwBfADUAXwBWAG8AbABhAHQAaQBsAGUAUwBvAGwAaQBkAFAAcgBvAGQAdQBjAHQAaQBvAG4AXwBBAHIAZwB1AG0AZQBuAHQAcwBcAG4AIAAgAD0ATABBAE0AQgBEAEEAKABcAG4AIAAgACAAIABNAEEASwBFAEEAUgBSAEEAWQAoADMALAAgADQALABcAG4AIAAgACAAIAAgACAATABBAE0AQgBEAEEAKAByACwAYwAsAFwAbgAgACAAIAAgACAAIAAgACAASQBOAEQARQBYACgAewBcAG4AIAAgACAAIAAgACAAIAAgACAAIABcACIASQBfAGoAawBcACIALABcACIAZAByAHkAIABtAGEAdAB0AGUAcgAgAGkAbgB0AGEAawBlACAAZgBvAHIAIABlAGEAYwBoACAAYwBsAGEAcwBzACAAYQBuAGQAIABzAHUAYgBjAGwAYQBzAHMAXAAiACwAIABcACIAawBnACAARABNAC8AYgBpAHIAZAAvAGQAYQB5AFwAIgAsACAAXAAiAEkAbgBwAHUAdABcACIAOwBcAG4AIAAgACAAIAAgACAAIAAgACAAIABcACIARABNAEQAXwBqAGsAXAAiACwAXAAiAGQAcgB5ACAAbQBhAHQAdABlAHIAIABkAGkAZwBlAHMAdABpAGIAaQBsAGkAdAB5ACAAZgBvAHIAIABlAGEAYwBoACAAYwBsAGEAcwBzACAAYQBuAGQAIABzAHUAYgBjAGwAYQBzAHMAXAAiACwAIABcACIAZgByAGEAYwB0AGkAbwBuAFwAIgAsACAAXAAiAEkAbgBwAHUAdABcACIAOwBcAG4AIAAgACAAIAAgACAAIAAgACAAIABcACIAQQBfAGoAXAAiACwAXAAiAGEAcwBoACAAYwBvAG4AdABlAG4AdAAgAG8AZgAgAG0AYQBuAHUAcgBlACAAZgBvAHIAIABlAGEAYwBoACAAYwBsAGEAcwBzACAAYQBuAGQAIABzAHUAYgBjAGwAYQBzAHMAXAAiACwAIABcACIAZgByAGEAYwB0AGkAbwBuAFwAIgAsACAAXAAiAEMAbwBuAHMAdABhAG4AdABcACIAXABuACAAIAAgACAAIAAgACAAIAB9ACwAIAByACwAIABjACkAXABuACAAIAAgACAAIAAgACkAXABuACAAIAAgACAAKQBcAG4AIAAgACkAOwBcAG4AIgB9ACwAewAiAHAAYQB0AGgAIgA6ACIALwBwAHIAbwBqAGUAYwB0AHMALwBNAE0AUwBfAFAAbwB1AGwAdAByAHk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wAgAE0AZQB0AGgAbwBkACAAMQAgAC0AIABNAGEAbgB1AHIAZQAgAEQAaQByAGUAYwB0ACAATgAyAE8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wBfAF8AMQBfAFQAbwB0AGEAbABBAG4AbgB1AGEAbABEAGkAcgBlAGMAdABOAGkAdAByAG8AdQBzAE8AeABpAGQAZQBFAG0AaQBzAHMAaQBvAG4AcwBGAHIAbwBtAE0ATQBT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sAfQBcAFwAcwB1AG0AXwB7AG0AfQBcAFwAcwB1AG0AXwB7AFQAfQAoAE0ATgBfAHsAagBrAG0AVAB9AFwAXAB0AGkAbQBlAHMAIABFAEYAXwB7AGoAbQB9AFwAXAB0AGkAbQBlAHMAIABDAF8AewBOADIATwB9ACkAXABcAHQAaQBtAGUAcwAxADAAXgB7AC0AMwB9AFwAbgBNAE4AXwBqAGsAbQBUACAAPQAgAG4AaQB0AHIAbwBnAGUAbgAgAHAAZQByACAAcABvAHUAbAB0AHIAeQAgAGMAbABhAHMAcwAsACAAcwB1AGIAYwBsAGEAcwBzACwAIABNAE0AUwAgAGEAbgBkACAAdAByAGUAYQB0AG0AZQBuAHQAIABzAHQAYQBnAGUAIAA6ACAAawBnACAATgBcAG4ARQBGAF8AagBtACAAPQAgAG4AaQB0AHIAbwB1AHMAIABvAHgAaQBkAGUAIABlAG0AaQBzAHMAaQBvAG4AIABmAGEAYwB0AG8AcgAgAGYAbwByACAATQBNAFMAIAA6ACAAawBnACAATgAyAE8ALQBOAC8AawBnACAATgBcAG4AQwBfAE4AMgBPACAAPQAgAGYAYQBjAHQAbwByACAAdABvACAAYwBvAG4AdgBlAHIAdAAgAGUAbABlAG0AZQBuAHQAYQBsACAAbQBhAHMAcwAgAG8AZgAgAG4AaQB0AHIAbwB1AHMAIABvAHgAaQBkAGUAIAB0AG8AIABtAG8AbABlAGMAdQBsAGEAcgAgAG0AYQBzAHMAIAA6ACAAcgBhAHQAaQBvAFwAbgAtAC0ALQAtAC0ALQAtAC0ALQAtAC0ALQAtAC0ALQAtAC0ALQAtAC0ALQAtAC0ALQAtAC0ALQAtAC0ALQAtAC0ALQAtAC0ALQAtAC0AXABuACoALwBcAG4AXABuAFYARQBFAFIARwBfADQAXwA2AF8AMQBfADMAXwBfADEAXwBUAG8AdABhAGwAQQBuAG4AdQBhAGwARABpAHIAZQBjAHQATgBpAHQAcgBvAHUAcwBPAHgAaQBkAGUARQBtAGkAcwBzAGkAbwBuAHMARgByAG8AbQBNAE0AUwBcAG4AIAAgAD0ATABBAE0AQgBEAEEAKABcAG4AIAAgACAAIABNAE4AXwBqAGsAbQBUACwAIABFAEYAXwBqAG0ALAAgAEMAXwBOADIATwAsAFwAbgAgACAAIAAgAE0ATgBfAGoAawBtAFQAIAAqACAARQBGAF8AagBtACAAKgAgAEMAXwBOADIATwAgACoAIAAxADAAIABeACAALQAzAFwAbgAgACAAKQA7AFwAbgBcAG4AVgBFAEUAUgBHAF8ANABfADY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2AF8AMQBfADMAXwBfADEAXwBUAG8AdABhAGwAQQBuAG4AdQBhAGwARABpAHIAZQBjAHQATgBpAHQAcgBvAHUAcwBPAHgAaQBkAGUARQBtAGkAcwBzAGkAbwBuAHMARgByAG8AbQBNAE0AUwBfAFYAYQByAGkAYQBiAGwAZQBcAG4AIAAgAD0ATABBAE0AQgBEAEEAKABcACIARQBfAE4AMgBPAGQAaQByAFwAIgApADsAXABuAFwAbgBWAEUARQBSAEcAXwA0AF8ANgBfADEAXwAzAF8AXwAxAF8AVABvAHQAYQBsAEEAbgBuAHUAYQBsAEQAaQByAGUAYwB0AE4AaQB0AHIAbwB1AHMATwB4AGkAZABlAEUAbQBpAHMAcwBpAG8AbgBzAEYAcgBvAG0ATQBNAFMAXwBVAG4AaQB0AFwAbgAgACAAPQBMAEEATQBCAEQAQQAoAFwAIgB0ACAATgAyAE8AXAAiACkAOwBcAG4AXABuAFYARQBFAFIARwBfADQAXwA2AF8AMQBfADMAXwBfADEAXwBUAG8AdABhAGwAQQBuAG4AdQBhAGwARABpAHIAZQBjAHQATgBpAHQAcgBvAHUAcwBPAHgAaQBkAGUARQBtAGkAcwBzAGkAbwBuAHMARgByAG8AbQBNAE0AUwBfAFMAbwB1AHIAYwBlAFwAbgAgACAAPQBMAEEATQBCAEQAQQAoAFwAIgBWAEUARQBSAEcAIAAyADAAMgA2ADoAIAA0AC4ANgAuADEALgAzACwAIABFAHEAdQBhAHQAaQBvAG4AIAAoADEAKQBcACIAKQA7AFwAbgBcAG4AVgBFAEUAUgBHAF8ANABfADYAXwAxAF8AMwBfAF8AMQBfAFQAbwB0AGEAbABBAG4AbgB1AGEAbABEAGkAcgBlAGMAdABOAGkAdAByAG8AdQBzAE8AeABpAGQAZQBFAG0AaQBzAHMAaQBvAG4AcwBGAHIAbwBtAE0ATQBTAF8ATgBJAFIAUgBlAGYAZQByAGUAbgBjAGUAXABuACAAIAA9AEwAQQBNAEIARABBACgAXAAiAFwAIgApADsAXABuAFwAbgBWAEUARQBSAEcAXwA0AF8ANgBfADEAXwAzAF8AXwAxAF8AVABvAHQAYQBsAEEAbgBuAHUAYQBsAEQAaQByAGUAYwB0AE4AaQB0AHIAbwB1AHMATwB4AGkAZABlAEUAbQBpAHMAcwBpAG8AbgBzAEYAcgBvAG0ATQBNAFMAXwBMAGEAdABlAHgARQBxAHUAYQB0AGkAbwBuAFwAbgAgACAAPQBMAEEATQBCAEQAQQAoAFwAIgBFAF8AewBOADIATwAsAGQAaQByAH0APQBcAFwAcwB1AG0AXwB7AGoAfQBcAFwAcwB1AG0AXwB7AGsAfQBcAFwAcwB1AG0AXwB7AG0AfQBcAFwAcwB1AG0AXwB7AFQAfQAoAE0ATgBfAHsAagBrAG0AVAB9AFwAXAB0AGkAbQBlAHMAIABFAEYAXwB7AGoAbQB9AFwAXAB0AGkAbQBlAHMAIABDAF8AewBOADIATwB9ACkAXABcAHQAaQBtAGUAcwAxADAAXgB7AC0AMwB9AFwAIgApADsAXABuAFwAbgBWAEUARQBSAEcAXwA0AF8ANgBfADEAXwAzAF8AXwAxAF8AVABvAHQAYQBsAEEAbgBuAHUAYQBsAEQAaQByAGUAYwB0AE4AaQB0AHIAbwB1AHMATwB4AGkAZABlAEUAbQBpAHMAcwBpAG8AbgBzAEYAcgBvAG0ATQBNAFMAXwBBAHIAZwB1AG0AZQBuAHQAcwBcAG4AIAAgAD0ATABBAE0AQgBEAEEAKABcAG4AIAAgACAAIABNAEEASwBFAEEAUgBSAEEAWQAoADMALAAgADQALABcAG4AIAAgACAAIAAgACAATABBAE0AQgBEAEEAKAByACwAYwAsAFwAbgAgACAAIAAgACAAIAAgACAASQBOAEQARQBYACgAewBcAG4AIAAgACAAIAAgACAAIAAgACAAIABcACIATQBOAF8AagBrAG0AVABcACIALABcACIAbgBpAHQAcgBvAGcAZQBuACAAcABlAHIAIABwAG8AdQBsAHQAcgB5ACAAYwBsAGEAcwBzACwAIABzAHUAYgBjAGwAYQBzAHMALAAgAE0ATQBTACAAYQBuAGQAIAB0AHIAZQBhAHQAbQBlAG4AdAAgAHMAdABhAGcAZQBcACIALAAgAFwAIgBrAGcAIABOAFwAIgAsACAAXAAiAEMAYQBsAGMAdQBsAGEAdABlAGQAIABmAHIAbwBtACAANAAuADYALgAxAC4AMwAgACgAMgApACgANgApAFwAIgA7AFwAbgAgACAAIAAgACAAIAAgACAAIAAgAFwAIgBFAEYAXwBqAG0AXAAiACwAXAAiAG4AaQB0AHIAbwB1AHMAIABvAHgAaQBkAGUAIABlAG0AaQBzAHMAaQBvAG4AIABmAGEAYwB0AG8AcgAgAGYAbwByACAATQBNAFM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IAXwBTAHQAYQBnAGUAMQBOAGkAdAByAG8AZwBlAG4ASQBuAE0ATQBTAFwAbgBOAGkAdAByAG8AZwBlAG4AIABpAG4AIAB0AHIAZQBhAHQAbQBlAG4AdAAgAHMAdABhAGcAZQAgADEAIABNAE0AUwBcAG4ATQBOAF8AagBrAG0AVAAxAFwAbgBrAGcAIABOAFwAbgBNAE4AXwB7AGoAawBtACwAVAA9ADEAfQA9AEEARQBfAHsAagBrAH0AXABcAHQAaQBtAGUAcwAgAE0ATQBTAF8AewBqAG0ALABUAD0AMQB9AFwAbgBBAEUAXwBqAGsAIAA9ACAAdABvAHQAYQBsACAAbgBpAHQAcgBvAGcAZQBuACAAZQB4AGMAcgBlAHQAZQBkACAAYgB5ACAAZQBhAGMAaAAgAHAAbwB1AGwAdAByAHkAIABjAGwAYQBzAHMAIABhAG4AZAAgAHMAdQBiAGMAbABhAHMAcwAgADoAIABrAGcAIABOAFwAbgBNAE0AUwBfAGoAbQBUADEAIAA9ACAAZgByAGEAYwB0AGkAbwBuACAAbwBmACAAbQBhAG4AdQByAGUAIABpAG4AIABlAGEAYwBoACAAcAByAGkAbQBhAHIAeQAgAHMAeQBzAHQAZQBtACAAOgAgAGYAcgBhAGMAdABpAG8AbgBcAG4ALQAtAC0ALQAtAC0ALQAtAC0ALQAtAC0ALQAtAC0ALQAtAC0ALQAtAC0ALQAtAC0ALQAtAC0ALQAtAC0ALQAtAC0ALQAtAC0ALQAtAFwAbgAqAC8AXABuAFwAbgBWAEUARQBSAEcAXwA0AF8ANgBfADEAXwAzAF8AXwAyAF8AUwB0AGEAZwBlADEATgBpAHQAcgBvAGcAZQBuAEkAbgBNAE0AUwBcAG4AIAAgAD0ATABBAE0AQgBEAEEAKABcAG4AIAAgACAAIABBAEUAXwBqAGsALAAgAE0ATQBTAF8AagBtAFQAMQAsAFwAbgAgACAAIAAgAEEARQBfAGoAawAgACoAIABNAE0AUwBfAGoAbQBUADEAXABuACAAIAApADsAXABuAFwAbgBWAEUARQBSAEcAXwA0AF8ANgBfADEAXwAzAF8AXwAyAF8AUwB0AGEAZwBlADEATgBpAHQAcgBvAGcAZQBuAEkAbgBNAE0AUwBfAFQAaQB0AGwAZQBcAG4AIAAgAD0ATABBAE0AQgBEAEEAKABcACIATgBpAHQAcgBvAGcAZQBuACAAaQBuACAAdAByAGUAYQB0AG0AZQBuAHQAIABzAHQAYQBnAGUAIAAxACAATQBNAFMAXAAiACkAOwBcAG4AXABuAFYARQBFAFIARwBfADQAXwA2AF8AMQBfADMAXwBfADIAXwBTAHQAYQBnAGUAMQBOAGkAdAByAG8AZwBlAG4ASQBuAE0ATQBTAF8AVgBhAHIAaQBhAGIAbABlAFwAbgAgACAAPQBMAEEATQBCAEQAQQAoAFwAIgBNAE4AXwBqAGsAbQBUADEAXAAiACkAOwBcAG4AXABuAFYARQBFAFIARwBfADQAXwA2AF8AMQBfADMAXwBfADIAXwBTAHQAYQBnAGUAMQBOAGkAdAByAG8AZwBlAG4ASQBuAE0ATQBTAF8AVQBuAGkAdABcAG4AIAAgAD0ATABBAE0AQgBEAEEAKABcACIAawBnACAATgBcACIAKQA7AFwAbgBcAG4AVgBFAEUAUgBHAF8ANABfADYAXwAxAF8AMwBfAF8AMgBfAFMAdABhAGcAZQAxAE4AaQB0AHIAbwBnAGUAbgBJAG4ATQBNAFMAXwBTAG8AdQByAGMAZQBcAG4AIAAgAD0ATABBAE0AQgBEAEEAKABcACIAVgBFAEUAUgBHACAAMgAwADIANgA6ACAANAAuADYALgAxAC4AMwAsACAARQBxAHUAYQB0AGkAbwBuACAAKAAyACkAXAAiACkAOwBcAG4AXABuAFYARQBFAFIARwBfADQAXwA2AF8AMQBfADMAXwBfADIAXwBTAHQAYQBnAGUAMQBOAGkAdAByAG8AZwBlAG4ASQBuAE0ATQBTAF8ATgBJAFIAUgBlAGYAZQByAGUAbgBjAGUAXABuACAAIAA9AEwAQQBNAEIARABBACgAXAAiAFwAIgApADsAXABuAFwAbgBWAEUARQBSAEcAXwA0AF8ANgBfADEAXwAzAF8AXwAyAF8AUwB0AGEAZwBlADEATgBpAHQAcgBvAGcAZQBuAEkAbgBNAE0AUwBfAEwAYQB0AGUAeABFAHEAdQBhAHQAaQBvAG4AXABuACAAIAA9AEwAQQBNAEIARABBACgAXAAiAE0ATgBfAHsAagBrAG0ALABUAD0AMQB9AD0AQQBFAF8AewBqAGsAfQBcAFwAdABpAG0AZQBzACAATQBNAFMAXwB7AGoAbQAsAFQAPQAxAH0AXAAiACkAOwBcAG4AXABuAFYARQBFAFIARwBfADQAXwA2AF8AMQBfADMAXwBfADIAXwBTAHQAYQBnAGUAMQ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EARQBfAGoAawBcACIALABcACIAdABvAHQAYQBsACAAbgBpAHQAcgBvAGcAZQBuACAAZQB4AGMAcgBlAHQAZQBkACAAYgB5ACAAZQBhAGMAaAAgAHAAbwB1AGwAdAByAHkAIABjAGwAYQBzAHMAIABhAG4AZAAgAHMAdQBiAGMAbABhAHMAcwBcACIALAAgAFwAIgBrAGcAIABOAFwAIgAsACAAXAAiAEMAYQBsAGMAdQBsAGEAdABlAGQAIABmAHIAbwBtACAANAAuADYALgAxAC4AMwAgACgAMwApAFwAIgA7AFwAbgAgACAAIAAgACAAIAAgACAAIAAgAFwAIgBNAE0AUwBfAGoAbQBUADEAXAAiACwAXAAiAGYAcgBhAGMAdABpAG8AbgAgAG8AZgAgAG0AYQBuAHUAcgBlACAAaQBuACAAZQBhAGMAaAAgAHAAcgBpAG0AYQByAHkAIABzAHkAcwB0AGU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MAXwBBAG4AbgB1AGEAbABOAGkAdAByAG8AZwBlAG4ARQB4AGMAcgBlAHQAaQBvAG4AXABuAEEAbgBuAHUAYQBsACAAbgBpAHQAcgBvAGcAZQBuACAAZQB4AGMAcgBlAHQAaQBvAG4AIABmAG8AcgAgAGUAYQBjAGgAIABwAG8AdQBsAHQAcgB5ACAAYwBsAGEAcwBzACAAYQBuAGQAIABzAHUAYgBjAGwAYQBzAHMAXABuAEEARQBfAGoAawBcAG4AawBnACAATgBcAG4AQQBFAF8AewBqAGsAfQA9AE4AXwB7AGoAawB9AFwAXAB0AGkAbQBlAHMAIABOAEUAXwB7AGoAawB9AFwAXAB0AGkAbQBlAHMAIABEAF8AewBqAGsAfQBcAG4ATgBfAGoAawAgAD0AIABuAHUAbQBiAGUAcgAgAG8AZgAgAHAAbwB1AGwAdAByAHkAIABpAG4AIABlAGEAYwBoACAAYwBsAGEAcwBzACAAYQBuAGQAIABzAHUAYgBjAGwAYQBzAHMAIAA6ACAAYgBpAHIAZABcAG4ATgBFAF8AagBrACAAPQAgAG4AaQB0AHIAbwBnAGUAbgAgAGUAeABjAHIAZQB0AGkAbwBuACAAOgAgAGsAZwAgAE4ALwBiAGkAcgBkAC8AZABhAHkAXABuAEQAXwBqAGsAIAA9ACAAZAB1AHIAYQB0AGkAbwBuACAAbwBmACAAcwB0AGEAeQAgAG8AZgAgAGUAYQBjAGgAIABjAGwAYQBzAHMAIABhAG4AZAAgAHMAdQBiAGMAbABhAHMAcwAgADoAIABkAGEAeQBzAFwAbgAtAC0ALQAtAC0ALQAtAC0ALQAtAC0ALQAtAC0ALQAtAC0ALQAtAC0ALQAtAC0ALQAtAC0ALQAtAC0ALQAtAC0ALQAtAC0ALQAtAC0AXABuACoALwBcAG4AXABuAFYARQBFAFIARwBfADQAXwA2AF8AMQBfADMAXwBfADMAXwBBAG4AbgB1AGEAbABOAGkAdAByAG8AZwBlAG4ARQB4AGMAcgBlAHQAaQBvAG4AXABuACAAIAA9AEwAQQBNAEIARABBACgAXABuACAAIAAgACAATgBfAGoAawAsACAATgBFAF8AagBrACwAIABEAF8AagBrACwAXABuACAAIAAgACAATgBfAGoAawAgACoAIABOAEUAXwBqAGsAIAAqACAARABfAGoAawBcAG4AIAAgACkAOwBcAG4AXABuAFYARQBFAFIARwBfADQAXwA2AF8AMQBfADMAXwBfADMAXwBBAG4AbgB1AGEAbABOAGkAdAByAG8AZwBlAG4ARQB4AGMAcgBlAHQAaQBvAG4AXwBUAGkAdABsAGUAXABuACAAIAA9AEwAQQBNAEIARABBACgAXAAiAEEAbgBuAHUAYQBsACAAbgBpAHQAcgBvAGcAZQBuACAAZQB4AGMAcgBlAHQAaQBvAG4AIABmAG8AcgAgAGUAYQBjAGgAIABwAG8AdQBsAHQAcgB5ACAAYwBsAGEAcwBzACAAYQBuAGQAIABzAHUAYgBjAGwAYQBzAHMAXAAiACkAOwBcAG4AXABuAFYARQBFAFIARwBfADQAXwA2AF8AMQBfADMAXwBfADMAXwBBAG4AbgB1AGEAbABOAGkAdAByAG8AZwBlAG4ARQB4AGMAcgBlAHQAaQBvAG4AXwBWAGEAcgBpAGEAYgBsAGUAXABuACAAIAA9AEwAQQBNAEIARABBACgAXAAiAEEARQBfAGoAawBcACIAKQA7AFwAbgBcAG4AVgBFAEUAUgBHAF8ANABfADYAXwAxAF8AMwBfAF8AMwBfAEEAbgBuAHUAYQBsAE4AaQB0AHIAbwBnAGUAbgBFAHgAYwByAGUAdABpAG8AbgBfAFUAbgBpAHQAXABuACAAIAA9AEwAQQBNAEIARABBACgAXAAiAGsAZwAgAE4AXAAiACkAOwBcAG4AXABuAFYARQBFAFIARwBfADQAXwA2AF8AMQBfADMAXwBfADMAXwBBAG4AbgB1AGEAbABOAGkAdAByAG8AZwBlAG4ARQB4AGMAcgBlAHQAaQBvAG4AXwBTAG8AdQByAGMAZQBcAG4AIAAgAD0ATABBAE0AQgBEAEEAKABcACIAVgBFAEUAUgBHACAAMgAwADIANgA6ACAANAAuADYALgAxAC4AMwAsACAARQBxAHUAYQB0AGkAbwBuACAAKAAzACkAXAAiACkAOwBcAG4AXABuAFYARQBFAFIARwBfADQAXwA2AF8AMQBfADMAXwBfADMAXwBBAG4AbgB1AGEAbABOAGkAdAByAG8AZwBlAG4ARQB4AGMAcgBlAHQAaQBvAG4AXwBOAEkAUgBSAGUAZgBlAHIAZQBuAGMAZQBcAG4AIAAgAD0ATABBAE0AQgBEAEEAKABcACIAXAAiACkAOwBcAG4AXABuAFYARQBFAFIARwBfADQAXwA2AF8AMQBfADMAXwBfADMAXwBBAG4AbgB1AGEAbABOAGkAdAByAG8AZwBlAG4ARQB4AGMAcgBlAHQAaQBvAG4AXwBMAGEAdABlAHgARQBxAHUAYQB0AGkAbwBuAFwAbgAgACAAPQBMAEEATQBCAEQAQQAoAFwAIgBBAEUAXwB7AGoAawB9AD0ATgBfAHsAagBrAH0AXABcAHQAaQBtAGUAcwAgAE4ARQBfAHsAagBrAH0AXABcAHQAaQBtAGUAcwAgAEQAXwB7AGoAawB9AFwAIgApADsAXABuAFwAbgBWAEUARQBSAEcAXwA0AF8ANgBfADEAXwAzAF8AXwAzAF8AQQBuAG4AdQBhAGwATgBpAHQAcgBvAGcAZQBuAEUAeABjAHIAZQB0AGkAbwBuAF8AQQByAGcAdQBtAGUAbgB0AHMAXABuACAAIAA9AEwAQQBNAEIARABBACgAXABuACAAIAAgACAATQBBAEsARQBBAFIAUgBBAFkAKAAzACwAIAA0ACwAXABuACAAIAAgACAAIAAgAEwAQQBNAEIARABBACgAcgAsAGMALABcAG4AIAAgACAAIAAgACAAIAAgAEkATgBEAEUAWAAoAHsAXABuACAAIAAgACAAIAAgACAAIAAgACAAXAAiAE4AXwBqAGsAXAAiACwAXAAiAG4AdQBtAGIAZQByACAAbwBmACAAcABvAHUAbAB0AHIAeQAgAGkAbgAgAGUAYQBjAGgAIABjAGwAYQBzAHMAIABhAG4AZAAgAHMAdQBiAGMAbABhAHMAcwBcACIALAAgAFwAIgBiAGkAcgBkAFwAIgAsACAAXAAiAEkAbgBwAHUAdABcACIAOwBcAG4AIAAgACAAIAAgACAAIAAgACAAIABcACIATgBFAF8AagBrAFwAIgAsAFwAIgBuAGkAdAByAG8AZwBlAG4AIABlAHgAYwByAGUAdABpAG8AbgBcACIALAAgAFwAIgBrAGcAIABOAC8AYgBpAHIAZAAvAGQAYQB5AFwAIgAsACAAXAAiAEMAYQBsAGMAdQBsAGEAdABlAGQAIABmAHIAbwBtACAANAAuADYALgAxAC4AMwAgACgANAApAFwAIgA7AFwAbgAgACAAIAAgACAAIAAgACAAIAAgAFwAIgBEAF8AagBrAFwAIgAsAFwAIgBkAHUAcgBhAHQAaQBvAG4AIABvAGYAIABzAHQAYQB5ACAAbwBmACAAZQBhAGMAaAAgAGMAbABhAHMAcwAgAGEAbgBkACAAcwB1AGI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QAXwBOAGkAdAByAG8AZwBlAG4ARQB4AGMAcgBlAHQAaQBvAG4AUABlAHIAQgBpAHIAZABcAG4ATgBpAHQAcgBvAGcAZQBuACAAZQB4AGMAcgBlAHQAaQBvAG4AIABwAGUAcgAgAGIAaQByAGQAIABwAGUAcgAgAGQAYQB5AFwAbgBOAEUAXwBqAGsAXABuAGsAZwAgAE4ALwBiAGkAcgBkAC8AZABhAHkAXABuAE4ARQBfAHsAagBrAH0APQBOAEkAXwB7AGoAawB9AFwAXAB0AGkAbQBlAHMAKAAxAC0ATgBSAF8AewBqAGsAfQApAFwAbgBOAEkAXwBqAGsAIAA9ACAAbgBpAHQAcgBvAGcAZQBuACAAaQBuAHQAYQBrAGUAIAA6ACAAawBnACAATgAvAGIAaQByAGQALwBkAGEAeQBcAG4ATgBSAF8AagBrACAAPQAgAG4AaQB0AHIAbwBnAGUAbgAgAHIAZQB0AGUAbgB0AGkAbwBuACAAZQB4AHAAcgBlAHMAcwBlAGQAIABhAHMAIABhACAAZgByAGEAYwB0AGkAbwBuACAAbwBmACAAaQBuAHQAYQBrAGUAIAA6ACAAZgByAGEAYwB0AGkAbwBuAFwAbgAtAC0ALQAtAC0ALQAtAC0ALQAtAC0ALQAtAC0ALQAtAC0ALQAtAC0ALQAtAC0ALQAtAC0ALQAtAC0ALQAtAC0ALQAtAC0ALQAtAC0AXABuACoALwBcAG4AXABuAFYARQBFAFIARwBfADQAXwA2AF8AMQBfADMAXwBfADQAXwBOAGkAdAByAG8AZwBlAG4ARQB4AGMAcgBlAHQAaQBvAG4AUABlAHIAQgBpAHIAZABcAG4AIAAgAD0ATABBAE0AQgBEAEEAKABcAG4AIAAgACAAIABOAEkAXwBqAGsALAAgAE4AUgBfAGoAawAsAFwAbgAgACAAIAAgAE4ASQBfAGoAawAgACoAIAAoADEAIAAtACAATgBSAF8AagBrACkAXABuACAAIAApADsAXABuAFwAbgBWAEUARQBSAEcAXwA0AF8ANgBfADEAXwAzAF8AXwA0AF8ATgBpAHQAcgBvAGcAZQBuAEUAeABjAHIAZQB0AGkAbwBuAFAAZQByAEIAaQByAGQAXwBUAGkAdABsAGUAXABuACAAIAA9AEwAQQBNAEIARABBACgAXAAiAE4AaQB0AHIAbwBnAGUAbgAgAGUAeABjAHIAZQB0AGkAbwBuACAAcABlAHIAIABiAGkAcgBkACAAcABlAHIAIABkAGEAeQBcACIAKQA7AFwAbgBcAG4AVgBFAEUAUgBHAF8ANABfADYAXwAxAF8AMwBfAF8ANABfAE4AaQB0AHIAbwBnAGUAbgBFAHgAYwByAGUAdABpAG8AbgBQAGUAcgBCAGkAcgBkAF8AVgBhAHIAaQBhAGIAbABlAFwAbgAgACAAPQBMAEEATQBCAEQAQQAoAFwAIgBOAEUAXwBqAGsAXAAiACkAOwBcAG4AXABuAFYARQBFAFIARwBfADQAXwA2AF8AMQBfADMAXwBfADQAXwBOAGkAdAByAG8AZwBlAG4ARQB4AGMAcgBlAHQAaQBvAG4AUABlAHIAQgBpAHIAZABfAFUAbgBpAHQAXABuACAAIAA9AEwAQQBNAEIARABBACgAXAAiAGsAZwAgAE4ALwBiAGkAcgBkAC8AZABhAHkAXAAiACkAOwBcAG4AXABuAFYARQBFAFIARwBfADQAXwA2AF8AMQBfADMAXwBfADQAXwBOAGkAdAByAG8AZwBlAG4ARQB4AGMAcgBlAHQAaQBvAG4AUABlAHIAQgBpAHIAZABfAFMAbwB1AHIAYwBlAFwAbgAgACAAPQBMAEEATQBCAEQAQQAoAFwAIgBWAEUARQBSAEcAIAAyADAAMgA2ADoAIAA0AC4ANgAuADEALgAzACwAIABFAHEAdQBhAHQAaQBvAG4AIAAoADQAKQBcACIAKQA7AFwAbgBcAG4AVgBFAEUAUgBHAF8ANABfADYAXwAxAF8AMwBfAF8ANABfAE4AaQB0AHIAbwBnAGUAbgBFAHgAYwByAGUAdABpAG8AbgBQAGUAcgBCAGkAcgBkAF8ATgBJAFIAUgBlAGYAZQByAGUAbgBjAGUAXABuACAAIAA9AEwAQQBNAEIARABBACgAXAAiAFwAIgApADsAXABuAFwAbgBWAEUARQBSAEcAXwA0AF8ANgBfADEAXwAzAF8AXwA0AF8ATgBpAHQAcgBvAGcAZQBuAEUAeABjAHIAZQB0AGkAbwBuAFAAZQByAEIAaQByAGQAXwBMAGEAdABlAHgARQBxAHUAYQB0AGkAbwBuAFwAbgAgACAAPQBMAEEATQBCAEQAQQAoAFwAIgBOAEUAXwB7AGoAawB9AD0ATgBJAF8AewBqAGsAfQBcAFwAdABpAG0AZQBzACgAMQAtAE4AUgBfAHsAagBrAH0AKQBcACIAKQA7AFwAbgBcAG4AVgBFAEUAUgBHAF8ANABfADYAXwAxAF8AMwBfAF8ANABfAE4AaQB0AHIAbwBnAGUAbgBFAHgAYwByAGUAdABpAG8AbgBQAGUAcgBCAGkAcgBkAF8AQQByAGcAdQBtAGUAbgB0AHMAXABuACAAIAA9AEwAQQBNAEIARABBACgAXABuACAAIAAgACAATQBBAEsARQBBAFIAUgBBAFkAKAAyACwAIAA0ACwAXABuACAAIAAgACAAIAAgAEwAQQBNAEIARABBACgAcgAsAGMALABcAG4AIAAgACAAIAAgACAAIAAgAEkATgBEAEUAWAAoAHsAXABuACAAIAAgACAAIAAgACAAIAAgACAAXAAiAE4ASQBfAGoAawBcACIALABcACIAbgBpAHQAcgBvAGcAZQBuACAAaQBuAHQAYQBrAGUAXAAiACwAXAAiAGsAZwAgAE4ALwBiAGkAcgBkAC8AZABhAHkAXAAiACwAIABcACIAQwBhAGwAYwB1AGwAYQB0AGUAZAAgAGYAcgBvAG0AIAA0AC4ANgAuADEALgAzACAAKAA1ACkAXAAiADsAXABuACAAIAAgACAAIAAgACAAIAAgACAAXAAiAE4AUgBfAGoAawBcACIALABcACIAbgBpAHQAcgBvAGcAZQBuACAAcgBlAHQAZQBuAHQAaQBvAG4AIABlAHgAcAByAGUAcwBzAGUAZAAgAGEAcwAgAGEAIABmAHIAYQBjAHQAaQBvAG4AIABvAGYAIABpAG4AdABhAGsAZQ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UAXwBOAGkAdAByAG8AZwBlAG4ASQBuAHQAYQBrAGUAXABuAE4AaQB0AHIAbwBnAGUAbgAgAGkAbgB0AGEAawBlACAAbwBmACAAcABvAHUAbAB0AHIAeQBcAG4ATgBJAF8AagBrAFwAbgBrAGcAIABOAC8AYgBpAHIAZAAvAGQAYQB5AFwAbgBOAEkAXwB7AGoAawB9AD0ASQBfAHsAagBrAH0AXABcAHQAaQBtAGUAcwAgAEMAUABfAHsAagBrAH0AXABcAGQAaQB2ACAANgAuADIANQBcAG4ASQBfAGoAawAgAD0AIABkAHIAeQAgAG0AYQB0AHQAZQByACAAaQBuAHQAYQBrAGUAIABmAG8AcgAgAGUAYQBjAGgAIABjAGwAYQBzAHMAIABhAG4AZAAgAHMAdQBiAGMAbABhAHMAcwAgADoAIABrAGcAIABEAE0ALwBiAGkAcgBkAC8AZABhAHkAXABuAEMAUABfAGoAawAgAD0AIABjAHIAdQBkAGUAIABwAHIAbwB0AGUAaQBuACAAYwBvAG4AdABlAG4AdAAgAG8AZgAgAGYAZQBlAGQAIAA6ACAAZgByAGEAYwB0AGkAbwBuAFwAbgA2AC4AMgA1ACAAPQAgAGYAYQBjAHQAbwByACAAZgBvAHIAIABjAG8AbgB2AGUAcgB0AGkAbgBnACAAYwByAHUAZABlACAAcAByAG8AdABlAGkAbgAgAGkAbgB0AG8AIABuAGkAdAByAG8AZwBlAG4AIAA6ACAAcgBhAHQAaQBvAFwAbgAtAC0ALQAtAC0ALQAtAC0ALQAtAC0ALQAtAC0ALQAtAC0ALQAtAC0ALQAtAC0ALQAtAC0ALQAtAC0ALQAtAC0ALQAtAC0ALQAtAC0AXABuACoALwBcAG4AXABuAFYARQBFAFIARwBfADQAXwA2AF8AMQBfADMAXwBfADUAXwBOAGkAdAByAG8AZwBlAG4ASQBuAHQAYQBrAGUAXABuACAAIAA9AEwAQQBNAEIARABBACgAXABuACAAIAAgACAASQBfAGoAawAsACAAQwBQAF8AagBrACwAXABuACAAIAAgACAASQBfAGoAawAgACoAIABDAFAAXwBqAGsAIAAvACAANgAuADIANQBcAG4AIAAgACkAOwBcAG4AXABuAFYARQBFAFIARwBfADQAXwA2AF8AMQBfADMAXwBfADUAXwBOAGkAdAByAG8AZwBlAG4ASQBuAHQAYQBrAGUAXwBUAGkAdABsAGUAXABuACAAIAA9AEwAQQBNAEIARABBACgAXAAiAE4AaQB0AHIAbwBnAGUAbgAgAGkAbgB0AGEAawBlACAAbwBmACAAcABvAHUAbAB0AHIAeQBcACIAKQA7AFwAbgBcAG4AVgBFAEUAUgBHAF8ANABfADYAXwAxAF8AMwBfAF8ANQBfAE4AaQB0AHIAbwBnAGUAbgBJAG4AdABhAGsAZQBfAFYAYQByAGkAYQBiAGwAZQBcAG4AIAAgAD0ATABBAE0AQgBEAEEAKABcACIATgBJAF8AagBrAFwAIgApADsAXABuAFwAbgBWAEUARQBSAEcAXwA0AF8ANgBfADEAXwAzAF8AXwA1AF8ATgBpAHQAcgBvAGcAZQBuAEkAbgB0AGEAawBlAF8AVQBuAGkAdABcAG4AIAAgAD0ATABBAE0AQgBEAEEAKABcACIAawBnACAATgAvAGIAaQByAGQALwBkAGEAeQBcACIAKQA7AFwAbgBcAG4AVgBFAEUAUgBHAF8ANABfADYAXwAxAF8AMwBfAF8ANQBfAE4AaQB0AHIAbwBnAGUAbgBJAG4AdABhAGsAZQBfAFMAbwB1AHIAYwBlAFwAbgAgACAAPQBMAEEATQBCAEQAQQAoAFwAIgBWAEUARQBSAEcAIAAyADAAMgA2ADoAIAA0AC4ANgAuADEALgAzACwAIABFAHEAdQBhAHQAaQBvAG4AIAAoADUAKQBcACIAKQA7AFwAbgBcAG4AVgBFAEUAUgBHAF8ANABfADYAXwAxAF8AMwBfAF8ANQBfAE4AaQB0AHIAbwBnAGUAbgBJAG4AdABhAGsAZQBfAE4ASQBSAFIAZQBmAGUAcgBlAG4AYwBlAFwAbgAgACAAPQBMAEEATQBCAEQAQQAoAFwAIgBcACIAKQA7AFwAbgBcAG4AVgBFAEUAUgBHAF8ANABfADYAXwAxAF8AMwBfAF8ANQBfAE4AaQB0AHIAbwBnAGUAbgBJAG4AdABhAGsAZQBfAEwAYQB0AGUAeABFAHEAdQBhAHQAaQBvAG4AXABuACAAIAA9AEwAQQBNAEIARABBACgAXAAiAE4ASQBfAHsAagBrAH0APQBJAF8AewBqAGsAfQBcAFwAdABpAG0AZQBzACAAQwBQAF8AewBqAGsAfQBcAFwAZABpAHYAIAA2AC4AMgA1AFwAIgApADsAXABuAFwAbgBWAEUARQBSAEcAXwA0AF8ANgBfADEAXwAzAF8AXwA1AF8ATgBpAHQAcgBvAGcAZQBuAEkAbgB0AGEAawBlAF8AQQByAGcAdQBtAGUAbgB0AHMAXABuACAAIAA9AEwAQQBNAEIARABBACgAXABuACAAIAAgACAATQBBAEsARQBBAFIAUgBBAFkAKAAzACwAIAA0ACwAXABuACAAIAAgACAAIAAgAEwAQQBNAEIARABBACgAcgAsAGMALABcAG4AIAAgACAAIAAgACAAIAAgAEkATgBEAEUAWAAoAHsAXABuACAAIAAgACAAIAAgACAAIAAgACAAXAAiAEkAXwBqAGsAXAAiACwAXAAiAGQAcgB5ACAAbQBhAHQAdABlAHIAIABpAG4AdABhAGsAZQAgAGYAbwByACAAZQBhAGMAaAAgAGMAbABhAHMAcwAgAGEAbgBkACAAcwB1AGIAYwBsAGEAcwBzAFwAIgAsACAAXAAiAGsAZwAgAEQATQAvAGIAaQByAGQALwBkAGEAeQBcACIALAAgAFwAIgBJAG4AcAB1AHQAXAAiADsAXABuACAAIAAgACAAIAAgACAAIAAgACAAXAAiAEMAUABfAGoAawBcACIALABcACIAYwByAHUAZABlACAAcAByAG8AdABlAGkAbgAgAGMAbwBuAHQAZQBuAHQAIABvAGYAIABmAGUAZQBkAFwAIgAsACAAXAAiAGYAcgBhAGMAdABpAG8AbgBcACIALAAgAFwAIgBJAG4AcAB1AHQAXAAiADsAXABuACAAIAAgACAAIAAgACAAIAAgACAAXAAiADYALgAyADUAXAAiACwAXAAiAGYAYQBjAHQAbwByACAAZgBvAHIAIABjAG8AbgB2AGUAcgB0AGkAbgBnACAAYwByAHUAZABlACAAcAByAG8AdABlAGkAbgAgAGkAbgB0AG8AIABuAGkAdAByAG8AZwBlAG4AXAAiACwAI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2AF8AUwB0AGEAZwBlADIATgBpAHQAcgBvAGcAZQBuAEkAbgBNAE0AUwBcAG4ATgBpAHQAcgBvAGcAZQBuACAAaQBuACAAdAByAGUAYQB0AG0AZQBuAHQAIABzAHQAYQBnAGUAIAAyACAATQBNAFMAXABuAE0ATgBfAGoAawBtAFQAMgBcAG4AawBnACAATgBcAG4ATQBOAF8AewBqAGsAbQAsAFQAPQAyAH0APQBOAFQAXwB7AGoAawBtACwAVAA9ADIAfQBcAFwAdABpAG0AZQBzACAATQBNAFMAXwB7AG0ALABUAD0AMgB9AFwAbgBOAFQAXwBqAGsAbQBUADIAIAA9ACAAbgBpAHQAcgBvAGcAZQBuACAAdAByAGEAbgBzAGYAZQByAHIAZQBkACAAdABvACAAcwBlAGMAbwBuAGQAYQByAHkAIAB0AHIAZQBhAHQAbQBlAG4AdAAgAE0ATQBTACAAOgAgAGsAZwAgAE4AXABuAE0ATQBTAF8AbQBUADIAIAA9ACAAZgByAGEAYwB0AGkAbwBuACAAbwBmACAAbQBhAG4AdQByAGUAIABpAG4AIABlAGEAYwBoACAAcwBlAGMAbwBuAGQAYQByAHkAIABzAHkAcwB0AGUAbQAgADoAIABmAHIAYQBjAHQAaQBvAG4AXABuAE4AbwB0AGUAIAA9ACAAZABpAHIAZQBjAHQAIABhAHAAcABsAGkAYwBhAHQAaQBvAG4AIABhAHQAIABtAD0AMQAzACwAdAA9ADIAIABpAHMAIABtAG8AdgBlAGQAIAB0AG8AIABtAGEAbgB1AHIAZQAgAGEAcABwAGwAaQBlAGQAIAB0AG8AIABzAG8AaQBsAHMAIABhAG4AZAAgAGUAeABjAGwAdQBkAGUAZAAgAGYAcgBvAG0AIAB0AGgAaQBzACAAZQBxAHUAYQB0AGkAbwBuAFwAbgAtAC0ALQAtAC0ALQAtAC0ALQAtAC0ALQAtAC0ALQAtAC0ALQAtAC0ALQAtAC0ALQAtAC0ALQAtAC0ALQAtAC0ALQAtAC0ALQAtAC0AXABuACoALwBcAG4AXABuAFYARQBFAFIARwBfADQAXwA2AF8AMQBfADMAXwBfADYAXwBTAHQAYQBnAGUAMgBOAGkAdAByAG8AZwBlAG4ASQBuAE0ATQBTAFwAbgAgACAAPQBMAEEATQBCAEQAQQAoAFwAbgAgACAAIAAgAE4AVABfAGoAawBtAFQAMgAsACAATQBNAFMAXwBtAFQAMgAsAFwAbgAgACAAIAAgAE4AVABfAGoAawBtAFQAMgAgACoAIABNAE0AUwBfAG0AVAAyAFwAbgAgACAAKQA7AFwAbgBcAG4AVgBFAEUAUgBHAF8ANABfADYAXwAxAF8AMwBfAF8ANgBfAFMAdABhAGcAZQAyAE4AaQB0AHIAbwBnAGUAbgBJAG4ATQBNAFMAXwBUAGkAdABsAGUAXABuACAAIAA9AEwAQQBNAEIARABBACgAXAAiAE4AaQB0AHIAbwBnAGUAbgAgAGkAbgAgAHQAcgBlAGEAdABtAGUAbgB0ACAAcwB0AGEAZwBlACAAMgAgAE0ATQBTAFwAIgApADsAXABuAFwAbgBWAEUARQBSAEcAXwA0AF8ANgBfADEAXwAzAF8AXwA2AF8AUwB0AGEAZwBlADIATgBpAHQAcgBvAGcAZQBuAEkAbgBNAE0AUwBfAFYAYQByAGkAYQBiAGwAZQBcAG4AIAAgAD0ATABBAE0AQgBEAEEAKABcACIATQBOAF8AagBrAG0AVAAyAFwAIgApADsAXABuAFwAbgBWAEUARQBSAEcAXwA0AF8ANgBfADEAXwAzAF8AXwA2AF8AUwB0AGEAZwBlADIATgBpAHQAcgBvAGcAZQBuAEkAbgBNAE0AUwBfAFUAbgBpAHQAXABuACAAIAA9AEwAQQBNAEIARABBACgAXAAiAGsAZwAgAE4AXAAiACkAOwBcAG4AXABuAFYARQBFAFIARwBfADQAXwA2AF8AMQBfADMAXwBfADYAXwBTAHQAYQBnAGUAMgBOAGkAdAByAG8AZwBlAG4ASQBuAE0ATQBTAF8AUwBvAHUAcgBjAGUAXABuACAAIAA9AEwAQQBNAEIARABBACgAXAAiAFYARQBFAFIARwAgADIAMAAyADYAOgAgADQALgA2AC4AMQAuADMALAAgAEUAcQB1AGEAdABpAG8AbgAgACgANgApAFwAIgApADsAXABuAFwAbgBWAEUARQBSAEcAXwA0AF8ANgBfADEAXwAzAF8AXwA2AF8AUwB0AGEAZwBlADIATgBpAHQAcgBvAGcAZQBuAEkAbgBNAE0AUwBfAE4ASQBSAFIAZQBmAGUAcgBlAG4AYwBlAFwAbgAgACAAPQBMAEEATQBCAEQAQQAoAFwAIgBcACIAKQA7AFwAbgBcAG4AVgBFAEUAUgBHAF8ANABfADYAXwAxAF8AMwBfAF8ANgBfAFMAdABhAGcAZQAyAE4AaQB0AHIAbwBnAGUAbgBJAG4ATQBNAFMAXwBMAGEAdABlAHgARQBxAHUAYQB0AGkAbwBuAFwAbgAgACAAPQBMAEEATQBCAEQAQQAoAFwAIgBNAE4AXwB7AGoAawBtACwAVAA9ADIAfQA9AE4AVABfAHsAagBrAG0ALABUAD0AMgB9AFwAXAB0AGkAbQBlAHMAIABNAE0AUwBfAHsAbQAsAFQAPQAyAH0AXAAiACkAOwBcAG4AXABuAFYARQBFAFIARwBfADQAXwA2AF8AMQBfADMAXwBfADYAXwBTAHQAYQBnAGUAMg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4AVABfAGoAawBtAFQAMgBcACIALABcACIAbgBpAHQAcgBvAGcAZQBuACAAdAByAGEAbgBzAGYAZQByAHIAZQBkACAAdABvACAAcwBlAGMAbwBuAGQAYQByAHkAIAB0AHIAZQBhAHQAbQBlAG4AdAAgAE0ATQBTAFwAIgAsACAAXAAiAGsAZwAgAE4AXAAiACwAIABcACIAQwBhAGwAYwB1AGwAYQB0AGUAZAAgAGYAcgBvAG0AIAA0AC4ANgAuADEALgAzACAAKAA3ACkAXAAiADsAXABuACAAIAAgACAAIAAgACAAIAAgACAAXAAiAE0ATQBTAF8AbQBUADIAXAAiACwAXAAiAGYAcgBhAGMAdABpAG8AbgAgAG8AZgAgAG0AYQBuAHUAcgBlACAAaQBuACAAZQBhAGMAaAAgAHMAZQBjAG8AbgBk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3AF8ATgBpAHQAcgBvAGcAZQBuAFQAcgBhAG4AcwBmAGUAcgByAGUAZABUAG8AUwB0AGEAZwBlADIATQBNAFMAXABuAE4AaQB0AHIAbwBnAGUAbgAgAHQAcgBhAG4AcwBmAGUAcgByAGUAZAAgAHQAbwAgAHQAcgBlAGEAdABtAGUAbgB0ACAAcwB0AGEAZwBlACAAMgAgAE0ATQBTAFwAbgBOAFQAXwBqAGsAbQBUADIAXABuAGsAZwAgAE4AXABuAE4AVABfAHsAagBrAG0ALABUAD0AMgB9AD0ATQBOAF8AewBqAGsAbQAsAFQAPQAxAH0AXABcAHQAaQBtAGUAcwAoADEALQBGAHIAYQBjAEcAQQBTAE0AXwB7AG0ALABUAD0AMQB9AC0ARQBGAF8AewBtACwAVAA9ADEAfQApAFwAbgBNAE4AXwBqAGsAbQBUADEAIAA9ACAAbgBpAHQAcgBvAGcAZQBuACAAaQBuACAATQBNAFMAIAB0AHIAZQBhAHQAbQBlAG4AdAAgAHMAdABhAGcAZQAgADEAIAA6ACAAawBnACAATgBcAG4ARgByAGEAYwBHAEEAUwBNAF8AbQBUADEAIAA9ACAAZgByAGEAYwB0AGkAbwBuACAAbwBmACAATgAgAHYAbwBsAGEAdABpAGwAaQBzAGUAZAAgAGYAcgBvAG0AIABNAE0AUwAgAHQAcgBlAGEAdABtAGUAbgB0ACAAYQB0ACAAcwB0AGEAZwBlACAAMQAgADoAIABmAHIAYQBjAHQAaQBvAG4AXABuAEUARgBfAG0AVAAxACAAPQAgAG4AaQB0AHIAbwB1AHMAIABvAHgAaQBkAGUAIABlAG0AaQBzAHMAaQBvAG4AIABmAGEAYwB0AG8AcgAgAGYAbwByACAATQBNAFMAIAB0AHIAZQBhAHQAbQBlAG4AdAAgAGEAdAAgAHMAdABhAGcAZQAgADEAIAA6ACAAawBnACAATgAyAE8ALQBOAC8AawBnACAATgBcAG4ALQAtAC0ALQAtAC0ALQAtAC0ALQAtAC0ALQAtAC0ALQAtAC0ALQAtAC0ALQAtAC0ALQAtAC0ALQAtAC0ALQAtAC0ALQAtAC0ALQAtAFwAbgAqAC8AXABuAFwAbgBWAEUARQBSAEcAXwA0AF8ANgBfADEAXwAzAF8AXwA3AF8ATgBpAHQAcgBvAGcAZQBuAFQAcgBhAG4AcwBmAGUAcgByAGUAZABUAG8AUwB0AGEAZwBlADIATQBNAFMAXABuACAAIAA9AEwAQQBNAEIARABBACgAXABuACAAIAAgACAATQBOAF8AagBrAG0AVAAxACwAIABGAHIAYQBjAEcAQQBTAE0AXwBtAFQAMQAsACAARQBGAF8AbQBUADEALABcAG4AIAAgACAAIABNAE4AXwBqAGsAbQBUADEAIAAqACAAKAAxACAALQAgAEYAcgBhAGMARwBBAFMATQBfAG0AVAAxACAALQAgAEUARgBfAG0AVAAxACkAXABuACAAIAApADsAXABuAFwAbgBWAEUARQBSAEcAXwA0AF8ANgBfADEAXwAzAF8AXwA3AF8ATgBpAHQAcgBvAGcAZQBuAFQAcgBhAG4AcwBmAGUAcgByAGUAZABUAG8AUwB0AGEAZwBlADIATQBNAFMAXwBUAGkAdABsAGUAXABuACAAIAA9AEwAQQBNAEIARABBACgAXAAiAE4AaQB0AHIAbwBnAGUAbgAgAHQAcgBhAG4AcwBmAGUAcgByAGUAZAAgAHQAbwAgAHQAcgBlAGEAdABtAGUAbgB0ACAAcwB0AGEAZwBlACAAMgAgAE0ATQBTAFwAIgApADsAXABuAFwAbgBWAEUARQBSAEcAXwA0AF8ANgBfADEAXwAzAF8AXwA3AF8ATgBpAHQAcgBvAGcAZQBuAFQAcgBhAG4AcwBmAGUAcgByAGUAZABUAG8AUwB0AGEAZwBlADIATQBNAFMAXwBWAGEAcgBpAGEAYgBsAGUAXABuACAAIAA9AEwAQQBNAEIARABBACgAXAAiAE4AVABfAGoAawBtAFQAMgBcACIAKQA7AFwAbgBcAG4AVgBFAEUAUgBHAF8ANABfADYAXwAxAF8AMwBfAF8ANwBfAE4AaQB0AHIAbwBnAGUAbgBUAHIAYQBuAHMAZgBlAHIAcgBlAGQAVABvAFMAdABhAGcAZQAyAE0ATQBTAF8AVQBuAGkAdABcAG4AIAAgAD0ATABBAE0AQgBEAEEAKABcACIAawBnACAATgBcACIAKQA7AFwAbgBcAG4AVgBFAEUAUgBHAF8ANABfADYAXwAxAF8AMwBfAF8ANwBfAE4AaQB0AHIAbwBnAGUAbgBUAHIAYQBuAHMAZgBlAHIAcgBlAGQAVABvAFMAdABhAGcAZQAyAE0ATQBTAF8AUwBvAHUAcgBjAGUAXABuACAAIAA9AEwAQQBNAEIARABBACgAXAAiAFYARQBFAFIARwAgADIAMAAyADYAOgAgADQALgA2AC4AMQAuADMALAAgAEUAcQB1AGEAdABpAG8AbgAgACgANwApAFwAIgApADsAXABuAFwAbgBWAEUARQBSAEcAXwA0AF8ANgBfADEAXwAzAF8AXwA3AF8ATgBpAHQAcgBvAGcAZQBuAFQAcgBhAG4AcwBmAGUAcgByAGUAZABUAG8AUwB0AGEAZwBlADIATQBNAFMAXwBOAEkAUgBSAGUAZgBlAHIAZQBuAGMAZQBcAG4AIAAgAD0ATABBAE0AQgBEAEEAKABcACIAXAAiACkAOwBcAG4AXABuAFYARQBFAFIARwBfADQAXwA2AF8AMQBfADMAXwBfADcAXwBOAGkAdAByAG8AZwBlAG4AVAByAGEAbgBzAGYAZQByAHIAZQBkAFQAbwBTAHQAYQBnAGUAMgBNAE0AUwBfAEwAYQB0AGUAeABFAHEAdQBhAHQAaQBvAG4AXABuACAAIAA9AEwAQQBNAEIARABBACgAXAAiAE4AVABfAHsAagBrAG0ALABUAD0AMgB9AD0ATQBOAF8AewBqAGsAbQAsAFQAPQAxAH0AXABcAHQAaQBtAGUAcwAoADEALQBGAHIAYQBjAEcAQQBTAE0AXwB7AG0ALABUAD0AMQB9AC0ARQBGAF8AewBtACwAVAA9ADEAfQApAFwAIgApADsAXABuAFwAbgBWAEUARQBSAEcAXwA0AF8ANgBfADEAXwAzAF8AXwA3AF8ATgBpAHQAcgBvAGcAZQBuAFQAcgBhAG4AcwBmAGUAcgByAGUAZABUAG8AUwB0AGEAZwBlADIATQBNAFMAXwBBAHIAZwB1AG0AZQBuAHQAcwBcAG4AIAAgAD0ATABBAE0AQgBEAEEAKABcAG4AIAAgACAAIABNAEEASwBFAEEAUgBSAEEAWQAoADMALAAgADQALABcAG4AIAAgACAAIAAgACAATABBAE0AQgBEAEEAKAByACwAYwAsAFwAbgAgACAAIAAgACAAIAAgACAASQBOAEQARQBYACgAewBcAG4AIAAgACAAIAAgACAAIAAgACAAIABcACIATQBOAF8AagBrAG0AVAAxAFwAIgAsAFwAIgBuAGkAdAByAG8AZwBlAG4AIABpAG4AIABNAE0AUwAgAHQAcgBlAGEAdABtAGUAbgB0ACAAcwB0AGEAZwBlACAAMQBcACIALAAgAFwAIgBrAGcAIABOAFwAIgAsACAAXAAiAEMAYQBsAGMAdQBsAGEAdABlAGQAIABmAHIAbwBtACAANAAuADYALgAxAC4AMwAgACgANgApAFwAIgA7AFwAbgAgACAAIAAgACAAIAAgACAAIAAgAFwAIgBGAHIAYQBjAEcAQQBTAE0AXwBtAFQAMQBcACIALABcACIAZgByAGEAYwB0AGkAbwBuACAAbwBmACAATgAgAHYAbwBsAGEAdABpAGwAaQBzAGUAZAAgAGYAcgBvAG0AIABNAE0AUwAgAHQAcgBlAGEAdABtAGUAbgB0ACAAYQB0ACAAcwB0AGEAZwBlACAAMQBcACIALAAgAFwAIgBmAHIAYQBjAHQAaQBvAG4AXAAiACwAIABcACIAQwBvAG4AcwB0AGEAbgB0AFwAIgA7AFwAbgAgACAAIAAgACAAIAAgACAAIAAgAFwAIgBFAEYAXwBtAFQAMQBcACIALABcACIAbgBpAHQAcgBvAHUAcwAgAG8AeABpAGQAZQAgAGUAbQBpAHMAcwBpAG8AbgAgAGYAYQBjAHQAbwByACAAZgBvAHIAIABNAE0AUwAgAHQAcgBlAGEAdABtAGUAbgB0ACAAYQB0ACAAcwB0AGEAZwBlACAAMQBcACIALAAgAFwAIgBrAGcAIABOADIATwAtAE4ALwBrAGcAIABOAFwAIgAsACAAXAAiAEMAbwBuAHMAdABhAG4AdABcACIAXABuACAAIAAgACAAIAAgACAAIAB9ACwAIAByACwAIABjACkAXABuACAAIAAgACAAIAAgACkAXABuACAAIAAgACAAKQBcAG4AIAAgACkAOwBcAG4AXABuACIAfQAsAHsAIgBwAGEAdABoACIAOgAiAC8AcAByAG8AagBlAGMAdABzAC8ATQBNAFMAXwBQAG8AdQBsAHQAcgB5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UAIABNAGUAdABoAG8AZAAgADEAIAAtACAATQBhAG4AdQByAGUAIABBAHQAbQBvAHMAcABoAGUAcgBpAGMAIABEAGUAcABvAHMAaQB0AGkAbwBu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UAXwBfADEAXwBUAG8AdABhAGwAQQBuAG4AdQBhAGwAQQB0AG0AbwBzAHAAaABlAHIAaQBjAEQAZQBwAG8AcwBpAHQAaQBvAG4ARQBtAGkAcwBzAGkAbwBuAHMARgByAG8AbQBNAE0AUwBcAG4AVABvAHQAYQBsACAAYQBuAG4AdQBhAGwAIABhAHQAbQBvAHMAcABoAGUAcgBpAGMAIABkAGUAcABvAHMAaQB0AGkAbwBuACAAZQBtAGkAcwBzAGkAbwBuAHMAIABmAHIAbwBtACAAbQBhAG4AdQByAGUAIABtAGEAbgBhAGcAZQBtAGUAbgB0AFwAbgBFAF8ATgAyAE8AYQBkAFwAbgB0ACAATgAyAE8AXABuAEUAXwB7AE4AMgBPACwAYQBkAH0APQAoAE0ATQBTAF8AewBBAFQATQBPAFMAfQBcAFwAdABpAG0AZQBzACAARQBGAF8AewBOADIATwB9AFwAXAB0AGkAbQBlAHMAIABDAF8AewBOADIATwB9ACkAXABcAHQAaQBtAGUAcwAxADAAXgB7AC0AMwB9AFwAbgBNAE0AUwBfAEEAVABNAE8AUwAgAD0AIABtAGEAcwBzACAAbwBmACAATgAgAHYAbwBsAGEAdABpAGwAaQBzAGUAZAAgAGYAcgBvAG0AIABNAE0AUwAgADoAIABrAGcAIABOAFwAbgBFAEYAXwBOADIATwAgAD0AIABuAGkAdAByAG8AdQBzACAAbwB4AGkAZABlACAAZQBtAGkAcwBzAGkAbwBuACAAZgBhAGMAdABvAHIAIABmAG8AcgAgAGEAdABtAG8AcwBwAGgAZQByAGkAYwAgAGQAZQBwAG8AcwBpAHQAaQBvAG4AIAA6ACAAawBnACAATgAyAE8ALQBOAC8AawBnACAATgBcAG4AQwBfAE4AMgBPACAAPQAgAGYAYQBjAHQAbwByACAAdABvACAAYwBvAG4AdgBlAHIAdAAgAGUAbABlAG0AZQBuAHQAYQBsACAAbQBhAHMAcwAgAG8AZgAgAG4AaQB0AHIAbwB1AHMAIABvAHgAaQBkAGUAIAB0AG8AIABtAG8AbABlAGMAdQBsAGEAcgAgAG0AYQBzAHMAIAA6ACAAcgBhAHQAaQBvAFwAbgAtAC0ALQAtAC0ALQAtAC0ALQAtAC0ALQAtAC0ALQAtAC0ALQAtAC0ALQAtAC0ALQAtAC0ALQAtAC0ALQAtAC0ALQAtAC0ALQAtAC0AXABuACoALwBcAG4AXABuAFYARQBFAFIARwBfADQAXwA2AF8AMQBfADUAXwBfADEAXwBUAG8AdABhAGwAQQBuAG4AdQBhAGwAQQB0AG0AbwBzAHAAaABlAHIAaQBjAEQAZQBwAG8AcwBpAHQAaQBvAG4ARQBtAGkAcwBzAGkAbwBuAHMARgByAG8AbQBNAE0AUwBcAG4AIAAgAD0ATABBAE0AQgBEAEEAKABcAG4AIAAgACAAIABNAE0AUwBfAEEAVABNAE8AUwAsACAARQBGAF8ATgAyAE8ALAAgAEMAXwBOADIATwAsAFwAbgAgACAAIAAgACgATQBNAFMAXwBBAFQATQBPAFMAIAAqACAARQBGAF8ATgAyAE8AIAAqACAAQwBfAE4AMgBPACkAIAAqACAAMQAwACAAXgAgAC0AMwBcAG4AIAAgACkAOwBcAG4AXABuAFYARQBFAFIARwBfADQAXwA2AF8AMQBfADUAXwBfADEAXwBUAG8AdABhAGwAQQBuAG4AdQBhAGwAQQB0AG0AbwBzAHAAaABlAHIAaQBjAEQAZQBwAG8AcwBpAHQAaQBvAG4ARQBtAGkAcwBzAGkAbwBuAHMARgByAG8AbQBNAE0AUwBfAFQAaQB0AGwAZQBcAG4AIAAgAD0ATABBAE0AQgBEAEEAKABcACIAVABvAHQAYQBsACAAYQBuAG4AdQBhAGwAIABhAHQAbQBvAHMAcABoAGUAcgBpAGMAIABkAGUAcABvAHMAaQB0AGkAbwBuACAAZQBtAGkAcwBzAGkAbwBuAHMAIABmAHIAbwBtACAAbQBhAG4AdQByAGUAIABtAGEAbgBhAGcAZQBtAGUAbgB0AFwAIgApADsAXABuAFwAbgBWAEUARQBSAEcAXwA0AF8ANgBfADEAXwA1AF8AXwAxAF8AVABvAHQAYQBsAEEAbgBuAHUAYQBsAEEAdABtAG8AcwBwAGgAZQByAGkAYwBEAGUAcABvAHMAaQB0AGkAbwBuAEUAbQBpAHMAcwBpAG8AbgBzAEYAcgBvAG0ATQBNAFMAXwBWAGEAcgBpAGEAYgBsAGUAXABuACAAIAA9AEwAQQBNAEIARABBACgAXAAiAEUAXwBOADIATwBhAGQAXAAiACkAOwBcAG4AXABuAFYARQBFAFIARwBfADQAXwA2AF8AMQBfADUAXwBfADEAXwBUAG8AdABhAGwAQQBuAG4AdQBhAGwAQQB0AG0AbwBzAHAAaABlAHIAaQBjAEQAZQBwAG8AcwBpAHQAaQBvAG4ARQBtAGkAcwBzAGkAbwBuAHMARgByAG8AbQBNAE0AUwBfAFUAbgBpAHQAXABuACAAIAA9AEwAQQBNAEIARABBACgAXAAiAHQAIABOADIATwBcACIAKQA7AFwAbgBcAG4AVgBFAEUAUgBHAF8ANABfADYAXwAxAF8ANQBfAF8AMQBfAFQAbwB0AGEAbABBAG4AbgB1AGEAbABBAHQAbQBvAHMAcABoAGUAcgBpAGMARABlAHAAbwBzAGkAdABpAG8AbgBFAG0AaQBzAHMAaQBvAG4AcwBGAHIAbwBtAE0ATQBTAF8AUwBvAHUAcgBjAGUAXABuACAAIAA9AEwAQQBNAEIARABBACgAXAAiAFYARQBFAFIARwAgADIAMAAyADYAOgAgADQALgA2AC4AMQAuADUALAAgAEUAcQB1AGEAdABpAG8AbgAgACgAMQApAFwAIgApADsAXABuAFwAbgBWAEUARQBSAEcAXwA0AF8ANgBfADEAXwA1AF8AXwAxAF8AVABvAHQAYQBsAEEAbgBuAHUAYQBsAEEAdABtAG8AcwBwAGgAZQByAGkAYwBEAGUAcABvAHMAaQB0AGkAbwBuAEUAbQBpAHMAcwBpAG8AbgBzAEYAcgBvAG0ATQBNAFMAXwBOAEkAUgBSAGUAZgBlAHIAZQBuAGMAZQBcAG4AIAAgAD0ATABBAE0AQgBEAEEAKABcACIAXAAiACkAOwBcAG4AXABuAFYARQBFAFIARwBfADQAXwA2AF8AMQBfADUAXwBfADEAXwBUAG8AdABhAGwAQQBuAG4AdQBhAGwAQQB0AG0AbwBzAHAAaABlAHIAaQBjAEQAZQBwAG8AcwBpAHQAaQBvAG4ARQBtAGkAcwBzAGkAbwBuAHMARgByAG8AbQBNAE0AUwBfAEwAYQB0AGUAeABFAHEAdQBhAHQAaQBvAG4AXABuACAAIAA9AEwAQQBNAEIARABBACgAXAAiAEUAXwB7AE4AMgBPACwAYQBkAH0APQAoAE0ATQBTAF8AewBBAFQATQBPAFMAfQBcAFwAdABpAG0AZQBzACAARQBGAF8AewBOADIATwB9AFwAXAB0AGkAbQBlAHMAIABDAF8AewBOADIATwB9ACkAXABcAHQAaQBtAGUAcwAxADAAXgB7AC0AMwB9AFwAIgApADsAXABuAFwAbgBWAEUARQBSAEcAXwA0AF8ANgBfADEAXwA1AF8AXwAxAF8AVABvAHQAYQBs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NAFMAXwBBAFQATQBPAFMAXAAiACwAXAAiAG0AYQBzAHMAIABvAGYAIABOACAAdgBvAGwAYQB0AGkAbABpAHMAZQBkACAAZgByAG8AbQAgAE0ATQBTAFwAIgAsACAAXAAiAGsAZwAgAE4AXAAiACwAIABcACIAQwBhAGwAYwB1AGwAYQB0AGUAZAAgAGYAcgBvAG0AIAA0AC4ANgAuADEALgA1ACAAKAAyACkAXAAiADsAXABuACAAIAAgACAAIAAgACAAIAAgACAAXAAiAEUARgBfAE4AMgBPAFwAIgAs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yAGEAdABpAG8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1AF8AXwAyAF8AVABvAHQAYQBsAE4AaQB0AHIAbwBnAGUAbgBWAG8AbABhAHQAaQBsAGkAcwBlAGQARgByAG8AbQBNAE0AUwBcAG4AVABvAHQAYQBsACAAbgBpAHQAcgBvAGcAZQBuACAAdgBvAGwAYQB0AGkAbABpAHMAZQBkACAAZgByAG8AbQAgAG0AYQBuAHUAcgBlACAAbQBhAG4AYQBnAGUAbQBlAG4AdAAgAHMAeQBzAHQAZQBtAHMAXABuAE0ATQBTAF8AQQBUAE0ATwBTAFwAbgBrAGcAIABOAFwAbgBNAE0AUwBfAHsAQQBUAE0ATwBTAH0APQBcAFwAcwB1AG0AXwB7AGoAfQBcAFwAcwB1AG0AXwB7AGsAfQBcAFwAcwB1AG0AXwB7AG0AfQBcAFwAcwB1AG0AXwB7AFQAfQAoAE0ATgBfAHsAagBrAG0AVAB9AFwAXAB0AGkAbQBlAHMAIABGAHIAYQBjAEcAQQBTAE0AXwB7AG0AVAB9ACkAXABuAE0ATgBfAGoAawBtAFQAIAA9ACAAbgBpAHQAcgBvAGcAZQBuACAAaQBuACAAZQBhAGMAaAAgAHQAcgBlAGEAdABtAGUAbgB0ACAAcwB0AGEAZwBlACAATQBNAFMAIAAoAGUAeABjAGwAdQBkAGkAbgBnACAATQBOAF8AagBrAG0AMQAzAFQAMgApACAAOgAgAGsAZwAgAE4AXABuAEYAcgBhAGMARwBBAFMATQBfAG0AVAAgAD0AIABmAHIAYQBjAHQAaQBvAG4AIABvAGYAIABOACAAdgBvAGwAYQB0AGkAbABpAHMAZQBkACAAaQBuACAAZQBhAGMAaAAgAE0ATQBTACAAOgAgACgAawBnACAATgBIADMALQBOACAAKwAgAE4ATwB4AC0ATgApAC8AawBnACAATgBcAG4ALQAtAC0ALQAtAC0ALQAtAC0ALQAtAC0ALQAtAC0ALQAtAC0ALQAtAC0ALQAtAC0ALQAtAC0ALQAtAC0ALQAtAC0ALQAtAC0ALQAtAFwAbgAqAC8AXABuAFwAbgBWAEUARQBSAEcAXwA0AF8ANgBfADEAXwA1AF8AXwAyAF8AVABvAHQAYQBsAE4AaQB0AHIAbwBnAGUAbgBWAG8AbABhAHQAaQBsAGkAcwBlAGQARgByAG8AbQBNAE0AUwBcAG4AIAAgAD0ATABBAE0AQgBEAEEAKABcAG4AIAAgACAAIABNAE4AXwBqAGsAbQBUACwAIABGAHIAYQBjAEcAQQBTAE0AXwBtAFQALABcAG4AIAAgACAAIABNAE4AXwBqAGsAbQBUACAAKgAgAEYAcgBhAGMARwBBAFMATQBfAG0AVABcAG4AIAAgACkAOwBcAG4AXABuAFYARQBFAFIARwBfADQAXwA2AF8AMQBfADUAXwBfADIAXwBUAG8AdABhAGwATgBpAHQAcgBvAGcAZQBuAFYAbwBsAGEAdABpAGwAaQBzAGUAZABGAHIAbwBtAE0ATQBTAF8AVABpAHQAbABlAFwAbgAgACAAPQBMAEEATQBCAEQAQQAoAFwAIgBUAG8AdABhAGwAIABuAGkAdAByAG8AZwBlAG4AIAB2AG8AbABhAHQAaQBsAGkAcwBlAGQAIABmAHIAbwBtACAAbQBhAG4AdQByAGUAIABtAGEAbgBhAGcAZQBtAGUAbgB0ACAAcwB5AHMAdABlAG0AcwBcACIAKQA7AFwAbgBcAG4AVgBFAEUAUgBHAF8ANABfADYAXwAxAF8ANQBfAF8AMgBfAFQAbwB0AGEAbABOAGkAdAByAG8AZwBlAG4AVgBvAGwAYQB0AGkAbABpAHMAZQBkAEYAcgBvAG0ATQBNAFMAXwBWAGEAcgBpAGEAYgBsAGUAXABuACAAIAA9AEwAQQBNAEIARABBACgAXAAiAE0ATQBTAF8AQQBUAE0ATwBTAFwAIgApADsAXABuAFwAbgBWAEUARQBSAEcAXwA0AF8ANgBfADEAXwA1AF8AXwAyAF8AVABvAHQAYQBsAE4AaQB0AHIAbwBnAGUAbgBWAG8AbABhAHQAaQBsAGkAcwBlAGQARgByAG8AbQBNAE0AUwBfAFUAbgBpAHQAXABuACAAIAA9AEwAQQBNAEIARABBACgAXAAiAGsAZwAgAE4AXAAiACkAOwBcAG4AXABuAFYARQBFAFIARwBfADQAXwA2AF8AMQBfADUAXwBfADIAXwBUAG8AdABhAGwATgBpAHQAcgBvAGcAZQBuAFYAbwBsAGEAdABpAGwAaQBzAGUAZABGAHIAbwBtAE0ATQBTAF8AUwBvAHUAcgBjAGUAXABuACAAIAA9AEwAQQBNAEIARABBACgAXAAiAFYARQBFAFIARwAgADIAMAAyADYAOgAgADQALgA2AC4AMQAuADUALAAgAEUAcQB1AGEAdABpAG8AbgAgACgAMgApAFwAIgApADsAXABuAFwAbgBWAEUARQBSAEcAXwA0AF8ANgBfADEAXwA1AF8AXwAyAF8AVABvAHQAYQBsAE4AaQB0AHIAbwBnAGUAbgBWAG8AbABhAHQAaQBsAGkAcwBlAGQARgByAG8AbQBNAE0AUwBfAE4ASQBSAFIAZQBmAGUAcgBlAG4AYwBlAFwAbgAgACAAPQBMAEEATQBCAEQAQQAoAFwAIgBcACIAKQA7AFwAbgBcAG4AVgBFAEUAUgBHAF8ANABfADYAXwAxAF8ANQBfAF8AMgBfAFQAbwB0AGEAbABOAGkAdAByAG8AZwBlAG4AVgBvAGwAYQB0AGkAbABpAHMAZQBkAEYAcgBvAG0ATQBNAFMAXwBMAGEAdABlAHgARQBxAHUAYQB0AGkAbwBuAFwAbgAgACAAPQBMAEEATQBCAEQAQQAoAFwAIgBNAE0AUwBfAHsAQQBUAE0ATwBTAH0APQBcAFwAcwB1AG0AXwB7AGoAfQBcAFwAcwB1AG0AXwB7AGsAfQBcAFwAcwB1AG0AXwB7AG0AfQBcAFwAcwB1AG0AXwB7AFQAfQAoAE0ATgBfAHsAagBrAG0AVAB9AFwAXAB0AGkAbQBlAHMAIABGAHIAYQBjAEcAQQBTAE0AXwB7AG0AVAB9ACkAXAAiACkAOwBcAG4AXABuAFYARQBFAFIARwBfADQAXwA2AF8AMQBfADUAXwBfADIAXwBUAG8AdABhAGwATgBpAHQAcgBvAGcAZQBuAFYAbwBsAGEAdABpAGwAaQBzAGUAZABGAHIAbwBtAE0ATQBTAF8AQQByAGcAdQBtAGUAbgB0AHMAXABuACAAIAA9AEwAQQBNAEIARABBACgAXABuACAAIAAgACAATQBBAEsARQBBAFIAUgBBAFkAKAAyACwAIAA0ACwAXABuACAAIAAgACAAIAAgAEwAQQBNAEIARABBACgAcgAsAGMALABcAG4AIAAgACAAIAAgACAAIAAgAEkATgBEAEUAWAAoAHsAXABuACAAIAAgACAAIAAgACAAIAAgACAAXAAiAE0ATgBfAGoAawBtAFQAXAAiACwAXAAiAG4AaQB0AHIAbwBnAGUAbgAgAGkAbgAgAGUAYQBjAGgAIAB0AHIAZQBhAHQAbQBlAG4AdAAgAHMAdABhAGcAZQAgAE0ATQBTACAAKABlAHgAYwBsAHUAZABpAG4AZwAgAE0ATgBfAGoAawBtADEAMwBUADIAKQBcACIALAAgAFwAIgBrAGcAIABOAFwAIgAsACAAXAAiAEMAYQBsAGMAdQBsAGEAdABlAGQAIABmAHIAbwBtACAANAAuADYALgAxAC4AMwAgACgAMgApACgANgApAFwAIgA7AFwAbgAgACAAIAAgACAAIAAgACAAIAAgAFwAIgBGAHIAYQBjAEcAQQBTAE0AXwBtAFQAXAAiACwAXAAiAGYAcgBhAGMAdABpAG8AbgAgAG8AZgAgAE4AIAB2AG8AbABhAHQAaQBsAGkAcwBlAGQAIABpAG4AIABlAGEAYwBoACAATQBNAF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FAAbwB1AGwAdAByAHkAXwBMAGUAYQBjAGgAaQBuAGcAQQBuAGQAUgB1AG4AbwBmAGY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cAIABNAGUAdABoAG8AZAAgADEAIAAtACAATQBhAG4AdQByAGUAIABMAGUAYQBjAGgAaQBuAGcAIABhAG4AZAAgAFIAdQBuAG8AZgBmACAATgAyAE8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NwBfAF8AMQBfAEEAbgBuAHUAYQBsAEUAbQBpAHMAcwBpAG8AbgBzAEYAcgBvAG0ATABlAGEAYwBoAGkAbgBnAEEAbgBkAFIAdQBuAG8AZgBmAEYAcgBvAG0ATQBNAFMAXABuAEEAbgBuAHUAYQBsACAAZQBtAGkAcwBzAGkAbwBuAHMAIABmAHIAbwBtACAAbABlAGEAYwBoAGkAbgBnACAAYQBuAGQAIAByAHUAbgBvAGYAZgAgAGYAcgBvAG0AIABlAGEAYwBoACAATQBNAFMAXABuAEUAXwBOADIATwBsAGUAYQBjAGgAXABuAHQAIABOADIATwBcAG4ARQBfAHsATgAyAE8ALABsAGUAYQBjAGgAfQA9AE0ATgBMAGUAYQBjAGgAXwB7AGoAawBtAD0ANAB9AFwAXAB0AGkAbQBlAHMAIABFAEYAXwB7AGwAZQBhAGMAaAB9AFwAXAB0AGkAbQBlAHMAIABDAF8AewBOADIATwB9AFwAXAB0AGkAbQBlAHMAMQAwAF4AewAtADMAfQBcAG4ATQBOAEwAZQBhAGMAaABfAGoAawBtADQAIAA9ACAAbQBhAHMAcwAgAG8AZgAgAE4AIABsAG8AcwB0ACAAdABoAHIAbwB1AGcAaAAgAGwAZQBhAGMAaABpAG4AZwAgAGEAbgBkACAAcgB1AG4AbwBmAGYAIABmAHIAbwBtACAAZQBhAGMAaAAgAE0ATQBTACAAOgAgAGsAZwAgAE4AXABuAEUARgBfAGwAZQBhAGMAaAAgAD0AIABlAG0AaQBzAHMAaQBvAG4AIABmAGEAYwB0AG8AcgAgAGYAbwByACAAbABlAGEAYwBoAGkAbgBnACAAYQBuAGQAIAByAHUAbgBvAGYAZgAgADoAIABrAGcAIABOADIATwAtAE4ALwBrAGcAIABOAFwAbgBDAF8ATgAyAE8AIAA9ACAAZgBhAGMAdABvAHIAIAB0AG8AIABjAG8AbgB2AGUAcgB0ACAAZQBsAGUAbQBlAG4AdABhAGwAIABtAGEAcwBzACAAbwBmACAATgAyAE8AIAB0AG8AIABtAG8AbABlAGMAdQBsAGEAcgAgAG0AYQBzAHMAIAA6ACAAcgBhAHQAaQBvAFwAbgBWAEEAUgBJAEEAVABJAE8ATgAgAE8ARgAgAFMATwBVAFIAQwBFADoAIABGAG8AcgAgAE0AZQB0AGgAbwBkACAAMQAsACAAZQBtAGkAcwBzAGkAbwBuAHMAIABhAHIAZQAgAGUAcwB0AGkAbQBhAHQAZQBkACAAZgBvAHIAIABzAG8AbABpAGQAIABzAHQAbwByAGEAZwBlACAAKABtAD0ANAApAC4AXABuAC0ALQAtAC0ALQAtAC0ALQAtAC0ALQAtAC0ALQAtAC0ALQAtAC0ALQAtAC0ALQAtAC0ALQAtAC0ALQAtAC0ALQAtAC0ALQAtAC0ALQBcAG4AKgAvAFwAbgBcAG4AVgBFAEUAUgBHAF8ANABfADYAXwAxAF8ANwBfAF8AMQBfAEEAbgBuAHUAYQBsAEUAbQBpAHMAcwBpAG8AbgBzAEYAcgBvAG0ATABlAGEAYwBoAGkAbgBnAEEAbgBkAFIAdQBuAG8AZgBmAEYAcgBvAG0ATQBNAFMAXABuACAAIAA9AEwAQQBNAEIARABBACgAXABuACAAIAAgACAATQBOAEwAZQBhAGMAaABfAGoAawBtADQALAAgAEUARgBfAGwAZQBhAGMAaAAsACAAQwBfAE4AMgBPACwAXABuACAAIAAgACAAKABNAE4ATABlAGEAYwBoAF8AagBrAG0ANAAgACoAIABFAEYAXwBsAGUAYQBjAGgAIAAqACAAQwBfAE4AMgBPACkAIAAqACAAMQAwACAAXgAgAC0AMwBcAG4AIAAgACkAOwBcAG4AXABuAFYARQBFAFIARwBfADQAXwA2AF8AMQBfADcAXwBfADEAXwBBAG4AbgB1AGEAbABFAG0AaQBzAHMAaQBvAG4AcwBGAHIAbwBtAEwAZQBhAGMAaABpAG4AZwBBAG4AZABSAHUAbgBvAGYAZgBGAHIAbwBtAE0ATQBTAF8AVABpAHQAbABlAFwAbgAgACAAPQBMAEEATQBCAEQAQQAoAFwAIgBBAG4AbgB1AGEAbAAgAGUAbQBpAHMAcwBpAG8AbgBzACAAZgByAG8AbQAgAGwAZQBhAGMAaABpAG4AZwAgAGEAbgBkACAAcgB1AG4AbwBmAGYAIABmAHIAbwBtACAAZQBhAGMAaAAgAE0ATQBTAFwAIgApADsAXABuAFwAbgBWAEUARQBSAEcAXwA0AF8ANgBfADEAXwA3AF8AXwAxAF8AQQBuAG4AdQBhAGwARQBtAGkAcwBzAGkAbwBuAHMARgByAG8AbQBMAGUAYQBjAGgAaQBuAGcAQQBuAGQAUgB1AG4AbwBmAGYARgByAG8AbQBNAE0AUwBfAFYAYQByAGkAYQBiAGwAZQBcAG4AIAAgAD0ATABBAE0AQgBEAEEAKABcACIARQBfAE4AMgBPAGwAZQBhAGMAaABcACIAKQA7AFwAbgBcAG4AVgBFAEUAUgBHAF8ANABfADYAXwAxAF8ANwBfAF8AMQBfAEEAbgBuAHUAYQBsAEUAbQBpAHMAcwBpAG8AbgBzAEYAcgBvAG0ATABlAGEAYwBoAGkAbgBnAEEAbgBkAFIAdQBuAG8AZgBmAEYAcgBvAG0ATQBNAFMAXwBVAG4AaQB0AFwAbgAgACAAPQBMAEEATQBCAEQAQQAoAFwAIgB0ACAATgAyAE8AXAAiACkAOwBcAG4AXABuAFYARQBFAFIARwBfADQAXwA2AF8AMQBfADcAXwBfADEAXwBBAG4AbgB1AGEAbABFAG0AaQBzAHMAaQBvAG4AcwBGAHIAbwBtAEwAZQBhAGMAaABpAG4AZwBBAG4AZABSAHUAbgBvAGYAZgBGAHIAbwBtAE0ATQBTAF8AUwBvAHUAcgBjAGUAXABuACAAIAA9AEwAQQBNAEIARABBACgAXAAiAFYARQBFAFIARwAgADIAMAAyADYAOgAgADQALgA2AC4AMQAuADcALAAgAEUAcQB1AGEAdABpAG8AbgAgACgAMQApAFwAIgApADsAXABuAFwAbgBWAEUARQBSAEcAXwA0AF8ANgBfADEAXwA3AF8AXwAxAF8AQQBuAG4AdQBhAGwARQBtAGkAcwBzAGkAbwBuAHMARgByAG8AbQBMAGUAYQBjAGgAaQBuAGcAQQBuAGQAUgB1AG4AbwBmAGYARgByAG8AbQBNAE0AUwBfAE4ASQBSAFIAZQBmAGUAcgBlAG4AYwBlAFwAbgAgACAAPQBMAEEATQBCAEQAQQAoAFwAIgBcACIAKQA7AFwAbgBcAG4AVgBFAEUAUgBHAF8ANABfADYAXwAxAF8ANwBfAF8AMQBfAEEAbgBuAHUAYQBsAEUAbQBpAHMAcwBpAG8AbgBzAEYAcgBvAG0ATABlAGEAYwBoAGkAbgBnAEEAbgBkAFIAdQBuAG8AZgBmAEYAcgBvAG0ATQBNAFMAXwBMAGEAdABlAHgARQBxAHUAYQB0AGkAbwBuAFwAbgAgACAAPQBMAEEATQBCAEQAQQAoAFwAIgBFAF8AewBOADIATwAsAGwAZQBhAGMAaAB9AD0ATQBOAEwAZQBhAGMAaABfAHsAagBrAG0APQA0AH0AXABcAHQAaQBtAGUAcwAgAEUARgBfAHsAbABlAGEAYwBoAH0AXABcAHQAaQBtAGUAcwAgAEMAXwB7AE4AMgBPAH0AXABcAHQAaQBtAGUAcwAxADAAXgB7AC0AMwB9AFwAIgApADsAXABuAFwAbgBWAEUARQBSAEcAXwA0AF8ANgBfADEAXwA3AF8AXwAxAF8AQQBuAG4AdQBhAGwARQBtAGkAcwBzAGkAbwBuAHMARgByAG8AbQBMAGUAYQBjAGgAaQBuAGcAQQBuAGQAUgB1AG4AbwBmAGYARgByAG8AbQBNAE0AUwBfAEEAcgBnAHUAbQBlAG4AdABzAFwAbgAgACAAPQBMAEEATQBCAEQAQQAoAFwAbgAgACAAIAAgAE0AQQBLAEUAQQBSAFIAQQBZACgAMwAsACAANAAsAFwAbgAgACAAIAAgACAAIABMAEEATQBCAEQAQQAoAHIALABjACwAXABuACAAIAAgACAAIAAgACAAIABJAE4ARABFAFgAKAB7AFwAbgAgACAAIAAgACAAIAAgACAAIAAgAFwAIgBNAE4ATABlAGEAYwBoAF8AagBrAG0ANABcACIALABcACIAbQBhAHMAcwAgAG8AZgAgAE4AIABsAG8AcwB0ACAAdABoAHIAbwB1AGcAaAAgAGwAZQBhAGMAaABpAG4AZwAgAGEAbgBkACAAcgB1AG4AbwBmAGYAIABmAHIAbwBtACAAZQBhAGMAaAAgAE0ATQBTAFwAIgAsACAAXAAiAGsAZwAgAE4AXAAiACwAIABcACIAQwBhAGwAYwB1AGwAYQB0AGUAZAAgAGYAcgBvAG0AIAA0AC4ANgAuADEALgA3ACAAKAAyACkAXAAiADsAXABuACAAIAAgACAAIAAgACAAIAAgACAAXAAiAEUARgBfAGwAZQBhAGMAaABcACIALABcACIAZQBtAGkAcwBzAGkAbwBuACAAZgBhAGMAdABvAHIAIABmAG8Ac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TgAyAE8AIAB0AG8AIABtAG8AbABlAGMAdQBsAGEAcgAgAG0AYQBzAHMAXAAiACwAI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3AF8AXwAyAF8ATQBhAHMAcwBPAGYATgBpAHQAcgBvAGcAZQBuAEwAbwBzAHQAVABvAEwAZQBhAGMAaABpAG4AZwBBAG4AZABSAHUAbgBvAGYAZgBGAHIAbwBtAFMAbwBsAGkAZABTAHQAbwByAGEAZwBlAFwAbgBNAGEAcwBzACAAbwBmACAAbgBpAHQAcgBvAGcAZQBuACAAbABvAHMAdAAgAHQAbwAgAGwAZQBhAGMAaABpAG4AZwAgAGEAbgBkACAAcgB1AG4AbwBmAGYAIABmAHIAbwBtACAAcwBvAGwAaQBkACAAcwB0AG8AcgBhAGcAZQAgAHMAeQBzAHQAZQBtAHMAXABuAE0ATgBMAGUAYQBjAGgAXwBqAGsAbQA0AFwAbgBrAGcAIABOAFwAbgBNAE4ATABlAGEAYwBoAF8AewBqAGsAbQA9ADQAfQA9AE0ATgBfAHsAagBrAG0APQA0ACwAVAA9ADEAfQBcAFwAdABpAG0AZQBzACAARgByAGEAYwBXAEUAVABcAFwAdABpAG0AZQBzACAARgByAGEAYwBMAEUAQQBDAEgAXwB7AE0AUwB9AFwAbgBNAE4AXwBqAGsAbQA0AFQAMQAgAD0AIABuAGkAdAByAG8AZwBlAG4AIABpAG4AIABzAG8AbABpAGQAIABzAHQAbwByAGEAZwBlACAATQBNAFMAIAB0AHIAZQBhAHQAbQBlAG4AdAAgAHMAdABhAGcAZQAgADEAIAA6ACAAawBnACAATgBcAG4ARgByAGEAYwBXAEUAVAAgAD0AIABmAHIAYQBjAHQAaQBvAG4AIABvAGYAIABOACAAYQB2AGEAaQBsAGEAYgBsAGUAIABmAG8AcgAgAGwAZQBhAGMAaABpAG4AZwAgAGEAbgBkACAAcgB1AG4AbwBmAGYAIAA6ACAAZgByAGEAYwB0AGkAbwBuAFwAbgBGAHIAYQBjAEwARQBBAEMASABfAE0AUwAgAD0AIABmAHIAYQBjAHQAaQBvAG4AIABvAGYAIABOACAAbABvAHMAdAAgAHQAaAByAG8AdQBnAGgAIABsAGUAYQBjAGgAaQBuAGcAIABhAG4AZAAgAHIAdQBuAG8AZgBmACAAOgAgAGYAcgBhAGMAdABpAG8AbgBcAG4ALQAtAC0ALQAtAC0ALQAtAC0ALQAtAC0ALQAtAC0ALQAtAC0ALQAtAC0ALQAtAC0ALQAtAC0ALQAtAC0ALQAtAC0ALQAtAC0ALQAtAFwAbgAqAC8AXABuAFwAbgBWAEUARQBSAEcAXwA0AF8ANgBfADEAXwA3AF8AXwAyAF8ATQBhAHMAcwBPAGYATgBpAHQAcgBvAGcAZQBuAEwAbwBzAHQAVABvAEwAZQBhAGMAaABpAG4AZwBBAG4AZABSAHUAbgBvAGYAZgBGAHIAbwBtAFMAbwBsAGkAZABTAHQAbwByAGEAZwBlAFwAbgAgACAAPQBMAEEATQBCAEQAQQAoAFwAbgAgACAAIAAgAE0ATgBfAGoAawBtADQAVAAyACwAIABGAHIAYQBjAFcARQBUACwAIABGAHIAYQBjAEwARQBBAEMASABfAE0AUwAsAFwAbgAgACAAIAAgAE0ATgBfAGoAawBtADQAVAAyACAAKgAgAEYAcgBhAGMAVwBFAFQAIAAqACAARgByAGEAYwBMAEUAQQBDAEgAXwBNAFMAXABuACAAIAApADsAXABuAFwAbgBWAEUARQBSAEcAXwA0AF8ANgBfADEAXwA3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2AF8AMQBfADcAXwBfADIAXwBNAGEAcwBzAE8AZgBOAGkAdAByAG8AZwBlAG4ATABvAHMAdABUAG8ATABlAGEAYwBoAGkAbgBnAEEAbgBkAFIAdQBuAG8AZgBmAEYAcgBvAG0AUwBvAGwAaQBkAFMAdABvAHIAYQBnAGUAXwBWAGEAcgBpAGEAYgBsAGUAXABuACAAIAA9AEwAQQBNAEIARABBACgAXAAiAE0ATgBMAGUAYQBjAGgAXwBqAGsAbQA0AFwAIgApADsAXABuAFwAbgBWAEUARQBSAEcAXwA0AF8ANgBfADEAXwA3AF8AXwAyAF8ATQBhAHMAcwBPAGYATgBpAHQAcgBvAGcAZQBuAEwAbwBzAHQAVABvAEwAZQBhAGMAaABpAG4AZwBBAG4AZABSAHUAbgBvAGYAZgBGAHIAbwBtAFMAbwBsAGkAZABTAHQAbwByAGEAZwBlAF8AVQBuAGkAdABcAG4AIAAgAD0ATABBAE0AQgBEAEEAKABcACIAawBnACAATgBcACIAKQA7AFwAbgBcAG4AVgBFAEUAUgBHAF8ANABfADYAXwAxAF8ANwBfAF8AMgBfAE0AYQBzAHMATwBmAE4AaQB0AHIAbwBnAGUAbgBMAG8AcwB0AFQAbwBMAGUAYQBjAGgAaQBuAGcAQQBuAGQAUgB1AG4AbwBmAGYARgByAG8AbQBTAG8AbABpAGQAUwB0AG8AcgBhAGcAZQBfAFMAbwB1AHIAYwBlAFwAbgAgACAAPQBMAEEATQBCAEQAQQAoAFwAIgBWAEUARQBSAEcAIAAyADAAMgA2ADoAIAA0AC4ANgAuADEALgA3ACwAIABFAHEAdQBhAHQAaQBvAG4AIAAoADIAKQBcACIAKQA7AFwAbgBcAG4AVgBFAEUAUgBHAF8ANABfADYAXwAxAF8ANwBfAF8AMgBfAE0AYQBzAHMATwBmAE4AaQB0AHIAbwBnAGUAbgBMAG8AcwB0AFQAbwBMAGUAYQBjAGgAaQBuAGcAQQBuAGQAUgB1AG4AbwBmAGYARgByAG8AbQBTAG8AbABpAGQAUwB0AG8AcgBhAGcAZQBfAE4ASQBSAFIAZQBmAGUAcgBlAG4AYwBlAFwAbgAgACAAPQBMAEEATQBCAEQAQQAoAFwAIgBcACIAKQA7AFwAbgBcAG4AVgBFAEUAUgBHAF8ANABfADYAXwAxAF8ANwBfAF8AMgBfAE0AYQBzAHMATwBmAE4AaQB0AHIAbwBnAGUAbgBMAG8AcwB0AFQAbwBMAGUAYQBjAGgAaQBuAGcAQQBuAGQAUgB1AG4AbwBmAGYARgByAG8AbQBTAG8AbABpAGQAUwB0AG8AcgBhAGcAZQBfAEwAYQB0AGUAeABFAHEAdQBhAHQAaQBvAG4AXABuACAAIAA9AEwAQQBNAEIARABBACgAXAAiAE0ATgBMAGUAYQBjAGgAXwB7AGoAawBtAD0ANAB9AD0ATQBOAF8AewBqAGsAbQA9ADQALABUAD0AMgB9AFwAXAB0AGkAbQBlAHMAIABGAHIAYQBjAFcARQBUAFwAXAB0AGkAbQBlAHMAIABGAHIAYQBjAEwARQBBAEMASABfAHsATQBTAH0AXAAiACkAOwBcAG4AXABuAFYARQBFAFIARwBfADQAXwA2AF8AMQBfADcAXwBfADIAXwBNAGEAcwBzAE8AZgBOAGkAdAByAG8AZwBlAG4ATABvAHMAdABUAG8ATABlAGEAYwBoAGkAbgBnAEEAbgBkAFIAdQBuAG8AZgBmAEYAcgBvAG0AUwBvAGwAaQBkAFMAdABvAHIAYQBnAGUAXwBBAHIAZwB1AG0AZQBuAHQAcwBcAG4AIAAgAD0ATABBAE0AQgBEAEEAKABcAG4AIAAgACAAIABNAEEASwBFAEEAUgBSAEEAWQAoADYALAAgADQALABcAG4AIAAgACAAIAAgACAATABBAE0AQgBEAEEAKAByACwAYwAsAFwAbgAgACAAIAAgACAAIAAgACAASQBOAEQARQBYACgAewBcAG4AIAAgACAAIAAgACAAIAAgACAAIABcACIATQBOAF8AagBrAG0ANABUADIAXAAiACwAXAAiAG4AaQB0AHIAbwBnAGUAbgAgAGkAbgAgAHMAbwBsAGkAZAAgAHMAdABvAHIAYQBnAGUAIABNAE0AUwAgAHQAcgBlAGEAdABtAGUAbgB0ACAAcwB0AGEAZwBlACAAMgBcACIALAAgAFwAIgBrAGcAIABOAFwAIgAsACAAXAAiAEMAYQBsAGMAdQBsAGEAdABlAGQAIABmAHIAbwBtACAANAAuADYALgAxAC4AMwAgACgANgApAFwAIgA7AFwAbgAgACAAIAAgACAAIAAgACAAIAAgAFwAIgBGAHIAYQBjAFcARQBU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wBNAFMAXAAiACwAXAAiAGYAcgBhAGMAdABpAG8AbgAgAG8AZgAgAE4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FAAbwB1AGwAdAByAHkAXwBNAGEAbgB1AHIAZQBBAHAAcABsAGkAZQBkAFQAb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AoAE0ATgBfAHsAagBtACwAVAA9ADIAfQBcAFwAdABpAG0AZQBzACgAMQAtAEUARgBfAHsAbQBUAD0AMgB9AC0ARgByAGEAYwBHAEEAUwBNAF8AewBtAFQAPQAyAH0AKQAtAE0ATgBMAGUAYQBjAGgAXwB7AE0ATQBTAH0AKQBcAFwAdABpAG0AZQBzACAAUABGAFwAbgBNAE4AXwBqAG0AVAAyACAAPQAgAG0AYQBzAHMAIABvAGYAIABOACAAaQBuACAAcwBlAGMAbwBuAGQAYQByAHkAIAB0AHIAZQBhAHQAbQBlAG4AdAAgAHMAdABhAGcAZQAgAGEAcwAgAGMAYQBsAGMAdQBsAGEAdABlAGQAIABmAG8AcgAgAG0AYQBuAHUAcgBlACAAbQBhAG4AYQBnAGUAbQBlAG4AdAAgADoAIABrAGcAIABOAFwAbgBFAEYAXwBtAFQAMgAgAD0AIABuAGkAdAByAG8AdQBzACAAbwB4AGkAZABlACAAZQBtAGkAcwBzAGkAbwBuACAAZgBhAGMAdABvAHIAIABmAG8AcgAgAGUAYQBjAGgAIABNAE0AUwAgADoAIABrAGcAIABOADIATwAtAE4ALwBrAGcAIABOAFwAbgBGAHIAYQBjAEcAQQBTAE0AXwBtAFQAMgAgAD0AIABmAHIAYQBjAHQAaQBvAG4AIABvAGYAIABhAG4AaQBtAGEAbAAgAHcAYQBzAHQAZQAgAE4AIAB2AG8AbABhAHQAaQBsAGkAcwBlAGQAIABpAG4AIABlAGEAYwBoACAATQBNAFMAIAA6ACAAKABrAGcAIABOAEgAMwAtAE4AIAArACAATgBPAHgALQBOACkALwBrAGcAIABOAFwAbgBNAE4ATABlAGEAYwBoAF8ATQBNAFMAIAA9ACAAbQBhAHMAcwAgAG8AZgAgAE4AIABsAG8AcwB0ACAAdABoAHIAbwB1AGcAaAAgAGwAZQBhAGMAaABpAG4AZwAgAGEAbgBkACAAcgB1AG4AbwBmAGYAIABmAHIAbwBtACAATQBNAFMAIAA6ACAAawBnACAATgBcAG4AUABGACAAPQAgAGYAcgBhAGMAdABpAG8AbgAgAG8AZgAgAG0AYQBuAHUAcgBlACAAYQBwAHAAbABpAGUAZAAgAHQAbwAgAHMAbwBpAGwAIAB3AGkAdABoAGkAbgAgAHQAaABlACAAZgBhAHIAbQAgAGIAbwB1AG4AZABhAHIAeQAgADoAIABmAHIAYQBjAHQAaQBvAG4AXABuAC0ALQAtAC0ALQAtAC0ALQAtAC0ALQAtAC0ALQAtAC0ALQAtAC0ALQAtAC0ALQAtAC0ALQAtAC0ALQAtAC0ALQAtAC0ALQAtAC0ALQBcAG4AKgAvAFwAbgBcAG4AVgBFAEUAUgBHAF8ANABfADYAXwAxAF8AOQBfAF8AMQBfAE0AYQBzAHMATwBmAE4AaQB0AHIAbwBnAGUAbgBBAHAAcABsAGkAZQBkAFQAbwBTAG8AaQBsAHMAUwBjAG8AcABlADEAXABuACAAIAA9AEwAQQBNAEIARABBACgAXABuACAAIAAgACAATQBOAF8AagBtAFQAMgAsACAARQBGAF8AbQBUADIALAAgAEYAcgBhAGMARwBBAFMATQBfAG0AVAAyACwAIABNAE4ATABlAGEAYwBoAF8ATQBNAFMALAAgAFAARgAsAFwAbgAgACAAIAAgACgATQBOAF8AagBtAFQAMgAgACoAIAAoADEAIAAtACAARQBGAF8AbQBUADIAIAAtACAARgByAGEAYwBHAEEAUwBNAF8AbQBUADIAKQAgAC0AIABNAE4ATABlAGEAYwBoAF8ATQBNAFMAKQAgACoAIABQAEYAXABuACAAIAApADsAXABuAFwAbgBWAEUARQBSAEcAXwA0AF8ANg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YAXwAxAF8AOQBfAF8AMQBfAE0AYQBzAHMATwBmAE4AaQB0AHIAbwBnAGUAbgBBAHAAcABsAGkAZQBkAFQAbwBTAG8AaQBsAHMAUwBjAG8AcABlADEAXwBWAGEAcgBpAGEAYgBsAGUAXABuACAAIAA9AEwAQQBNAEIARABBACgAXAAiAE0ATgBTAG8AaQBsAF8AcwBjAG8AcABlADEAXAAiACkAOwBcAG4AXABuAFYARQBFAFIARwBfADQAXwA2AF8AMQBfADkAXwBfADEAXwBNAGEAcwBzAE8AZgBOAGkAdAByAG8AZwBlAG4AQQBwAHAAbABpAGUAZABUAG8AUwBvAGkAbABzAFMAYwBvAHAAZQAxAF8AVQBuAGkAdABcAG4AIAAgAD0ATABBAE0AQgBEAEEAKABcACIAawBnACAATgBcACIAKQA7AFwAbgBcAG4AVgBFAEUAUgBHAF8ANABfADYAXwAxAF8AOQBfAF8AMQBfAE0AYQBzAHMATwBmAE4AaQB0AHIAbwBnAGUAbgBBAHAAcABsAGkAZQBkAFQAbwBTAG8AaQBsAHMAUwBjAG8AcABlADEAXwBTAG8AdQByAGMAZQBcAG4AIAAgAD0ATABBAE0AQgBEAEEAKABcACIAVgBFAEUAUgBHACAAMgAwADIANgA6ACAANAAuADYALgAxAC4AOQAsACAARQBxAHUAYQB0AGkAbwBuACAAKAAxACkAXAAiACkAOwBcAG4AXABuAFYARQBFAFIARwBfADQAXwA2AF8AMQBfADkAXwBfADEAXwBNAGEAcwBzAE8AZgBOAGkAdAByAG8AZwBlAG4AQQBwAHAAbABpAGUAZABUAG8AUwBvAGkAbABzAFMAYwBvAHAAZQAxAF8ATgBJAFIAUgBlAGYAZQByAGUAbgBjAGUAXABuACAAIAA9AEwAQQBNAEIARABBACgAXAAiAFwAIgApADsAXABuAFwAbgBWAEUARQBSAEcAXwA0AF8ANgBfADEAXwA5AF8AXwAxAF8ATQBhAHMAcwBPAGYATgBpAHQAcgBvAGcAZQBuAEEAcABwAGwAaQBlAGQAVABvAFMAbwBpAGwAcwBTAGMAbwBwAGUAMQBfAEwAYQB0AGUAeABFAHEAdQBhAHQAaQBvAG4AXABuACAAIAA9AEwAQQBNAEIARABBACgAXAAiAE0ATgBTAG8AaQBsAF8AewBzAGMAbwBwAGUAMQB9AD0AXABcAHMAdQBtAF8AewBqAH0AXABcAHMAdQBtAF8AewBtAH0AKABNAE4AXwB7AGoAbQAsAFQAPQAyAH0AXABcAHQAaQBtAGUAcwAoADEALQBFAEYAXwB7AG0AVAA9ADIAfQAtAEYAcgBhAGMARwBBAFMATQBfAHsAbQBUAD0AMgB9ACkALQBNAE4ATABlAGEAYwBoAF8AewBNAE0AUwB9ACkAXABcAHQAaQBtAGUAcwAgAFAARgBcACIAKQA7AFwAbgBcAG4AVgBFAEUAUgBHAF8ANABfADYAXwAxAF8AOQ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QAMgBcACIALABcACIAbQBhAHMAcwAgAG8AZgAgAE4AIABpAG4AIABzAGUAYwBvAG4AZABhAHIAeQAgAHQAcgBlAGEAdABtAGUAbgB0ACAAcwB0AGEAZwBlACAAYQBzACAAYwBhAGwAYwB1AGwAYQB0AGUAZAAgAGYAbwByACAAbQBhAG4AdQByAGUAIABtAGEAbgBhAGcAZQBtAGUAbgB0AFwAIgAsACAAXAAiAGsAZwAgAE4AXAAiACwAIABcACIAQwBhAGwAYwB1AGwAYQB0AGUAZAAgAGYAcgBvAG0AIAA0AC4ANgAuADEALgAzACAAKAA2ACkAXAAiADsAXABuACAAIAAgACAAIAAgACAAIAAgACAAXAAiAEUARgBfAG0AVAAyAFwAIgAsAFwAIgBuAGkAdAByAG8AdQBzACAAbwB4AGkAZABlACAAZQBtAGkAcwBzAGkAbwBuACAAZgBhAGMAdABvAHIAIABmAG8AcgAgAGUAYQBjAGgAIABNAE0AUw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BcACIALAAgAFwAIgAoAGsAZwAgAE4ASAAzAC0ATgAgACsAIABOAE8AeAAtAE4AKQAvAGsAZwAgAE4AXAAiACwAIABcACIAQwBvAG4AcwB0AGEAbgB0AFwAIgA7AFwAbgAgACAAIAAgACAAIAAgACAAIAAgAFwAIgBNAE4ATABlAGEAYwBoAF8ATQBNAFMAXAAiACwAXAAiAG0AYQBzAHMAIABvAGYAIABOACAAbABvAHMAdAAgAHQAaAByAG8AdQBnAGgAIABsAGUAYQBjAGgAaQBuAGcAIABhAG4AZAAgAHIAdQBuAG8AZgBmACAAZgByAG8AbQAgAE0ATQBTAFwAIgAsACAAXAAiAGsAZwAgAE4AXAAiACwAIABcACIAQwBhAGwAYwB1AGwAYQB0AGUAZAAgAGYAcgBvAG0AIAA0AC4ANgAuADEALgA3ACAAKAAyACkAXAAiADsAXABuACAAIAAgACAAIAAgACAAIAAgACAAXAAiAFAARgBcACIALABcACIAZgByAGEAYwB0AGkAbwBuACAAbwBmACAAbQBhAG4AdQByAGUAIABhAHAAcABsAGkAZQBkACAAdABvACAAcwBvAGkAbAAgAHcAaQB0AGgAaQBuACAAdABoAGUAIABmAGEAcgBtACAAYgBvAHUAbgBkAGEAcgB5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OQBfAF8AMgBfAE0AYQBzAHMATwBmAE4AaQB0AHIAbwBnAGUAbgBBAHAAcABsAGkAZQBkAFQAbwBTAG8AaQBsAHMAUwBjAG8AcABlADMAXABuAE0AYQBzAHMAIABvAGYAIABuAGkAdAByAG8AZwBlAG4AIABhAHAAcABsAGkAZQBkACAAdABvACAAcwBvAGkAbABzACAAZgBvAHIAIABzAGMAbwBwAGUAIAAzACAAZQBtAGkAcwBzAGkAbwBuAHMAXABuAE0ATgBTAG8AaQBsAF8AcwBjAG8AcABlADMAXABuAGsAZwAgAE4AXABuAE0ATgBTAG8AaQBsAF8AewBzAGMAbwBwAGUAMwB9AD0AXABcAHMAdQBtAF8AewBqAH0AXABcAHMAdQBtAF8AewBtAH0AKABNAE4AXwB7AGoAbQAsAFQAPQAyAH0AXABcAHQAaQBtAGUAcwAoADEALQBFAEYAXwB7AG0AVAA9ADIAfQAtAEYAcgBhAGMARwBBAFMATQBfAHsAbQBUAD0AMgB9ACkALQBNAE4ATABlAGEAYwBoAF8AewBNAE0AUwB9ACkAXABcAHQAaQBtAGUAcwAoADEALQBQAEYAKQBcAG4ATQBOAF8AagBtAFQAMgAgAD0AIABtAGEAcwBzACAAbwBmACAATgAgAGkAbgAgAHMAZQBjAG8AbgBkAGEAcgB5ACAAdAByAGUAYQB0AG0AZQBuAHQAIABzAHQAYQBnAGUAIABhAHMAIABjAGEAbABjAHUAbABhAHQAZQBkACAAZgBvAHIAIABtAGEAbgB1AHIAZQAgAG0AYQBuAGEAZwBlAG0AZQBuAHQAIAA6ACAAawBnACAATgBcAG4ARQBGAF8AbQBUADIAIAA9ACAAbgBpAHQAcgBvAHUAcwAgAG8AeABpAGQAZQAgAGUAbQBpAHMAcwBpAG8AbgAgAGYAYQBjAHQAbwByACAAZgBvAHIAIABlAGEAYwBoACAATQBNAFMAIAA6ACAAawBnACAATgAyAE8ALQBOAC8AawBnACAATgBcAG4ARgByAGEAYwBHAEEAUwBNAF8AbQBUADIAIAA9ACAAZgByAGEAYwB0AGkAbwBuACAAbwBmACAAYQBuAGkAbQBhAGwAIAB3AGEAcwB0AGUAIABOACAAdgBvAGwAYQB0AGkAbABpAHMAZQBkACAAaQBuACAAZQBhAGMAaAAgAE0ATQBTACAAOgAgACgAawBnACAATgBIADMALQBOACAAKwAgAE4ATwB4AC0ATgApAC8AawBnACAATgBcAG4ATQBOAEwAZQBhAGMAaABfAE0ATQBTACAAPQAgAG0AYQBzAHMAIABvAGYAIABOACAAbABvAHMAdAAgAHQAaAByAG8AdQBnAGgAIABsAGUAYQBjAGgAaQBuAGcAIABhAG4AZAAgAHIAdQBuAG8AZgBmACAAZgByAG8AbQAgAE0ATQBTACAAOgAgAGsAZwAgAE4AXABuAFAARgAgAD0AIABmAHIAYQBjAHQAaQBvAG4AIABvAGYAIABtAGEAbgB1AHIAZQAgAGEAcABwAGwAaQBlAGQAIAB0AG8AIABzAG8AaQBsACAAdwBpAHQAaABpAG4AIAB0AGgAZQAgAGYAYQByAG0AIABiAG8AdQBuAGQAYQByAHkAIAA6ACAAZgByAGEAYwB0AGkAbwBuAFwAbgAtAC0ALQAtAC0ALQAtAC0ALQAtAC0ALQAtAC0ALQAtAC0ALQAtAC0ALQAtAC0ALQAtAC0ALQAtAC0ALQAtAC0ALQAtAC0ALQAtAC0AXABuACoALwBcAG4AXABuAFYARQBFAFIARwBfADQAXwA2AF8AMQBfADkAXwBfADIAXwBNAGEAcwBzAE8AZgBOAGkAdAByAG8AZwBlAG4AQQBwAHAAbABpAGUAZABUAG8AUwBvAGkAbABzAFMAYwBvAHAAZQAzAFwAbgAgACAAPQBMAEEATQBCAEQAQQAoAFwAbgAgACAAIAAgAE0ATgBfAGoAbQBUADIALAAgAEUARgBfAG0AVAAyACwAIABGAHIAYQBjAEcAQQBTAE0AXwBtAFQAMgAsACAATQBOAEwAZQBhAGMAaABfAE0ATQBTACwAIABQAEYALABcAG4AIAAgACAAIAAoAE0ATgBfAGoAbQBUADIAIAAqACAAKAAxACAALQAgAEUARgBfAG0AVAAyACAALQAgAEYAcgBhAGMARwBBAFMATQBfAG0AVAAyACkAIAAtACAATQBOAEwAZQBhAGMAaABfAE0ATQBTACkAIAAqACAAKAAxACAALQAgAFAARgApAFwAbgAgACAAKQA7AFwAbgBcAG4AVgBFAEUAUgBHAF8ANABfADY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2AF8AMQBfADkAXwBfADIAXwBNAGEAcwBzAE8AZgBOAGkAdAByAG8AZwBlAG4AQQBwAHAAbABpAGUAZABUAG8AUwBvAGkAbABzAFMAYwBvAHAAZQAzAF8AVgBhAHIAaQBhAGIAbABlAFwAbgAgACAAPQBMAEEATQBCAEQAQQAoAFwAIgBNAE4AUwBvAGkAbABfAHMAYwBvAHAAZQAzAFwAIgApADsAXABuAFwAbgBWAEUARQBSAEcAXwA0AF8ANgBfADEAXwA5AF8AXwAyAF8ATQBhAHMAcwBPAGYATgBpAHQAcgBvAGcAZQBuAEEAcABwAGwAaQBlAGQAVABvAFMAbwBpAGwAcwBTAGMAbwBwAGUAMwBfAFUAbgBpAHQAXABuACAAIAA9AEwAQQBNAEIARABBACgAXAAiAGsAZwAgAE4AXAAiACkAOwBcAG4AXABuAFYARQBFAFIARwBfADQAXwA2AF8AMQBfADkAXwBfADIAXwBNAGEAcwBzAE8AZgBOAGkAdAByAG8AZwBlAG4AQQBwAHAAbABpAGUAZABUAG8AUwBvAGkAbABzAFMAYwBvAHAAZQAzAF8AUwBvAHUAcgBjAGUAXABuACAAIAA9AEwAQQBNAEIARABBACgAXAAiAFYARQBFAFIARwAgADIAMAAyADYAOgAgADQALgA2AC4AMQAuADkALAAgAEUAcQB1AGEAdABpAG8AbgAgACgAMgApAFwAIgApADsAXABuAFwAbgBWAEUARQBSAEcAXwA0AF8ANgBfADEAXwA5AF8AXwAyAF8ATQBhAHMAcwBPAGYATgBpAHQAcgBvAGcAZQBuAEEAcABwAGwAaQBlAGQAVABvAFMAbwBpAGwAcwBTAGMAbwBwAGUAMwBfAE4ASQBSAFIAZQBmAGUAcgBlAG4AYwBlAFwAbgAgACAAPQBMAEEATQBCAEQAQQAoAFwAIgBcACIAKQA7AFwAbgBcAG4AVgBFAEUAUgBHAF8ANABfADYAXwAxAF8AOQBfAF8AMgBfAE0AYQBzAHMATwBmAE4AaQB0AHIAbwBnAGUAbgBBAHAAcABsAGkAZQBkAFQAbwBTAG8AaQBsAHMAUwBjAG8AcABlADMAXwBMAGEAdABlAHgARQBxAHUAYQB0AGkAbwBuAFwAbgAgACAAPQBMAEEATQBCAEQAQQAoAFwAIgBNAE4AUwBvAGkAbABfAHsAcwBjAG8AcABlADMAfQA9AFwAXABzAHUAbQBfAHsAagB9AFwAXABzAHUAbQBfAHsAbQB9ACgATQBOAF8AewBqAG0ALABUAD0AMgB9AFwAXAB0AGkAbQBlAHMAKAAxAC0ARQBGAF8AewBtAFQAPQAyAH0ALQBGAHIAYQBjAEcAQQBTAE0AXwB7AG0AVAA9ADIAfQApAC0ATQBOAEwAZQBhAGMAaABfAHsATQBNAFMAfQApAFwAXAB0AGkAbQBlAHMAKAAxAC0AUABGACkAXAAiACkAOwBcAG4AXABuAFYARQBFAFIARwBfADQAXwA2AF8AMQBfADk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UADIAXAAiACwAXAAiAG0AYQBzAHMAIABvAGYAIABOACAAaQBuACAAcwBlAGMAbwBuAGQAYQByAHkAIAB0AHIAZQBhAHQAbQBlAG4AdAAgAHMAdABhAGcAZQAgAGEAcwAgAGMAYQBsAGMAdQBsAGEAdABlAGQAIABmAG8AcgAgAG0AYQBuAHUAcgBlACAAbQBhAG4AYQBnAGUAbQBlAG4AdABcACIALAAgAFwAIgBrAGcAIABOAFwAIgAsACAAXAAiAEMAYQBsAGMAdQBsAGEAdABlAGQAIABmAHIAbwBtACAANAAuADYALgAxAC4AMwAgACgANgApAFwAIgA7AFwAbgAgACAAIAAgACAAIAAgACAAIAAgAFwAIgBFAEYAXwBtAFQAMgBcACIALABcACIAbgBpAHQAcgBvAHUAcwAgAG8AeABpAGQAZQAgAGUAbQBpAHMAcwBpAG8AbgAgAGYAYQBjAHQAbwByACAAZgBvAHIAIABlAGEAYwBoACAATQBNAFM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XAAiACwAIABcACIAKABrAGcAIABOAEgAMwAtAE4AIAArACAATgBPAHgALQBOACkALwBrAGcAIABOAFwAIgAsACAAXAAiAEMAbwBuAHMAdABhAG4AdABcACIAOwBcAG4AIAAgACAAIAAgACAAIAAgACAAIABcACIATQBOAEwAZQBhAGMAaABfAE0ATQBTAFwAIgAsAFwAIgBtAGEAcwBzACAAbwBmACAATgAgAGwAbwBzAHQAIAB0AGgAcgBvAHUAZwBoACAAbABlAGEAYwBoAGkAbgBnACAAYQBuAGQAIAByAHUAbgBvAGYAZgAgAGYAcgBvAG0AIABNAE0AUwBcACIALAAgAFwAIgBrAGcAIABOAFwAIgAsACAAXAAiAEMAYQBsAGMAdQBsAGEAdABlAGQAIABmAHIAbwBtACAANAAuADYALgAxAC4ANwAgACgAMgApAFwAIgA7AFwAbgAgACAAIAAgACAAIAAgACAAIAAgAFwAIgBQAEYAXAAiACwAXAAiAGYAcgBhAGMAdABpAG8AbgAgAG8AZgAgAG0AYQBuAHUAcgBlACAAYQBwAHAAbABpAGUAZAAgAHQAbwAgAHMAbwBpAGwAIAB3AGkAdABoAGkAbgAgAHQAaABlACAAZgBhAHIAbQAgAGIAbwB1AG4AZABhAHIAeQBcACIALAAgAFwAIgBmAHIAYQBjAHQAaQBvAG4AXAAiACwAIABcACIASQBuAHAAdQB0AFwAIgBcAG4AIAAgACAAIAAgACAAIAAgAH0ALAAgAHIALAAgAGMAKQBcAG4AIAAgACAAIAAgACAAKQBcAG4AIAAgACAAIAApAFwAbgAgACAAKQA7AFwAbgAiAH0ALAB7ACIAcABhAHQAaAAiADoAIgAvAHAAcgBvAGoAZQBjAHQAcwAvAE0ATQBTAF8AUABvAHUAbAB0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QAwACAATQBlAHQAaABvAGQAIAAxACAALQAgAFMAbwBpAGwAIABEAGkAcgBlAGMAdA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MABfAF8AMQBfAEQAaQByAGUAYwB0AE4AaQB0AHIAbwB1AHMATwB4AGkAZABlAEUAbQBpAHMAcwBpAG8AbgBzAEYAcgBvAG0AUABvAHUAbAB0AHIAeQBNAGEAbgB1AHIAZQBcAG4ARABpAHIAZQBjAHQAIABuAGkAdAByAG8AdQBzACAAbwB4AGkAZABlACAAZQBtAGkAcwBzAGkAbwBuAHMAIABmAHIAbwBtACAAcABvAHUAbAB0AHIAeQAgAG0AYQBuAHUAcgBlACAAbwBuACAAcABhAHMAdAB1AHIAZQBcAG4ARQBNAF8ATgAyAE8AUABSAFAAZABpAHIAXABuAHQAIABOADIATwBcAG4ARQBNAF8AewBOADIATwAsAFAAUgBQACwAZABpAHIAfQA9AFwAXABzAHUAbQBfAHsAagB9AFwAXABzAHUAbQBfAHsAawB9ACgATQBOAF8AewBqAGsAbQA9ADEANAAsAFQAPQAxAH0AXABcAHQAaQBtAGUAcwAgAEUARgBfAHsAUABSAFAAfQBcAFwAdABpAG0AZQBzACAAQwBfAHsATgAyAE8AfQApAFwAXAB0AGkAbQBlAHMAIAAxADAAXgB7AC0AMwB9AFwAbgBNAE4AXwBqAGsAbQAxADQAVAAxACAAPQAgAG0AYQBzAHMAIABvAGYAIABuAGkAdAByAG8AZwBlAG4AIABlAHgAYwByAGUAdABlAGQAIABkAGkAcgBlAGMAdABsAHkAIABvAG4AIABwAGEAcwB0AHUAcgBlACAAYgB5ACAAcABvAHUAbAB0AHIAeQAgAGMAbABhAHMAcwAgAGEAbgBkACAAcwB1AGIAYwBsAGEAcwBzACAAKABrAGcAIABOACkAXABuAEUARgBfAFAAUgBQACAAPQAgAG4AaQB0AHIAbwB1AHMAIABvAHgAaQBkAGUAIABlAG0AaQBzAHMAaQBvAG4AIABmAGEAYwB0AG8AcgAgAGYAbwByACAAbQBhAG4AdQByAGUAIABkAGUAcABvAHMAaQB0AGUAZAAgAG8AbgAgAHAAYQBzAHQAdQByAGU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YAXwAxAF8AMQAwAF8AXwAxAF8ARABpAHIAZQBjAHQATgBpAHQAcgBvAHUAcwBPAHgAaQBkAGUARQBtAGkAcwBzAGkAbwBuAHMARgByAG8AbQBQAG8AdQBsAHQAcgB5AE0AYQBuAHUAcgBlAFwAbgAgACAAPQBMAEEATQBCAEQAQQAoAFwAbgAgACAAIAAgAE0ATgBfAGoAawBtADEANABUADEALAAgAEUARgBfAFAAUgBQACwAIABDAF8ATgAyAE8ALABcAG4AIAAgACAAIABNAE4AXwBqAGsAbQAxADQAVAAxACAAKgAgAEUARgBfAFAAUgBQACAAKgAgAEMAXwBOADIATwAgACoAIAAxADAAIABeACAALQAzAFwAbgAgACAAKQA7AFwAbgBcAG4AVgBFAEUAUgBHAF8ANABfADYAXwAxAF8AMQAwAF8AXwAxAF8ARABpAHIAZQBjAHQATgBpAHQAcgBvAHUAcwBPAHgAaQBkAGUARQBtAGkAcwBzAGkAbwBuAHMARgByAG8AbQBQAG8AdQBsAHQAcgB5AE0AYQBuAHUAcgBlAF8AVABpAHQAbABlAFwAbgAgACAAPQBMAEEATQBCAEQAQQAoAFwAIgBEAGkAcgBlAGMAdAAgAG4AaQB0AHIAbwB1AHMAIABvAHgAaQBkAGUAIABlAG0AaQBzAHMAaQBvAG4AcwAgAGYAcgBvAG0AIABwAG8AdQBsAHQAcgB5ACAAbQBhAG4AdQByAGUAIABvAG4AIABwAGEAcwB0AHUAcgBlAFwAIgApADsAXABuAFwAbgBWAEUARQBSAEcAXwA0AF8ANgBfADEAXwAxADAAXwBfADEAXwBEAGkAcgBlAGMAdABOAGkAdAByAG8AdQBzAE8AeABpAGQAZQBFAG0AaQBzAHMAaQBvAG4AcwBGAHIAbwBtAFAAbwB1AGwAdAByAHkATQBhAG4AdQByAGUAXwBWAGEAcgBpAGEAYgBsAGUAXABuACAAIAA9AEwAQQBNAEIARABBACgAXAAiAEUATQBfAE4AMgBPAFAAUgBQAGQAaQByAFwAIgApADsAXABuAFwAbgBWAEUARQBSAEcAXwA0AF8ANgBfADEAXwAxADAAXwBfADEAXwBEAGkAcgBlAGMAdABOAGkAdAByAG8AdQBzAE8AeABpAGQAZQBFAG0AaQBzAHMAaQBvAG4AcwBGAHIAbwBtAFAAbwB1AGwAdAByAHkATQBhAG4AdQByAGUAXwBVAG4AaQB0AFwAbgAgACAAPQBMAEEATQBCAEQAQQAoAFwAIgB0ACAATgAyAE8AXAAiACkAOwBcAG4AXABuAFYARQBFAFIARwBfADQAXwA2AF8AMQBfADEAMABfAF8AMQBfAEQAaQByAGUAYwB0AE4AaQB0AHIAbwB1AHMATwB4AGkAZABlAEUAbQBpAHMAcwBpAG8AbgBzAEYAcgBvAG0AUABvAHUAbAB0AHIAeQBNAGEAbgB1AHIAZQBfAFMAbwB1AHIAYwBlAFwAbgAgACAAPQBMAEEATQBCAEQAQQAoAFwAIgBWAEUARQBSAEcAIAAyADAAMgA2ADoAIAA0AC4ANgAuADEALgAxADAALAAgAEUAcQB1AGEAdABpAG8AbgAgACgAMQApAFwAIgApADsAXABuAFwAbgBWAEUARQBSAEcAXwA0AF8ANgBfADEAXwAxADAAXwBfADEAXwBEAGkAcgBlAGMAdABOAGkAdAByAG8AdQBzAE8AeABpAGQAZQBFAG0AaQBzAHMAaQBvAG4AcwBGAHIAbwBtAFAAbwB1AGwAdAByAHkATQBhAG4AdQByAGUAXwBOAEkAUgBSAGUAZgBlAHIAZQBuAGMAZQBcAG4AIAAgAD0ATABBAE0AQgBEAEEAKABcACIAXAAiACkAOwBcAG4AXABuAFYARQBFAFIARwBfADQAXwA2AF8AMQBfADEAMABfAF8AMQBfAEQAaQByAGUAYwB0AE4AaQB0AHIAbwB1AHMATwB4AGkAZABlAEUAbQBpAHMAcwBpAG8AbgBzAEYAcgBvAG0AUABvAHUAbAB0AHIAeQBNAGEAbgB1AHIAZQBfAEwAYQB0AGUAeABFAHEAdQBhAHQAaQBvAG4AXABuACAAIAA9AEwAQQBNAEIARABBACgAXAAiAEUATQBfAHsATgAyAE8ALABQAFIAUAAsAGQAaQByAH0APQBcAFwAcwB1AG0AXwB7AGoAfQBcAFwAcwB1AG0AXwB7AGsAfQAoAE0ATgBfAHsAagBrAG0APQAxADQALABUAD0AMQB9AFwAXAB0AGkAbQBlAHMAIABFAEYAXwB7AFAAUgBQAH0AXABcAHQAaQBtAGUAcwAgAEMAXwB7AE4AMgBPAH0AKQBcAFwAdABpAG0AZQBzACAAMQAwAF4AewAtADMAfQBcACIAKQA7AFwAbgBcAG4AVgBFAEUAUgBHAF8ANABfADYAXwAxAF8AMQAwAF8AXwAxAF8ARABpAHIAZQBjAHQATgBpAHQAcgBvAHUAcwBPAHgAaQBkAGUARQBtAGkAcwBzAGkAbwBuAHMARgByAG8AbQBQAG8AdQBsAHQAcgB5AE0AYQBuAHUAcgBlAF8AQQByAGcAdQBtAGUAbgB0AHMAXABuACAAIAA9AEwAQQBNAEIARABBACgAXABuACAAIAAgACAATQBBAEsARQBBAFIAUgBBAFkAKAAzACwAIAA0ACwAXABuACAAIAAgACAAIAAgAEwAQQBNAEIARABBACgAcgAsAGMALABcAG4AIAAgACAAIAAgACAAIAAgAEkATgBEAEUAWAAoAHsAXABuACAAIAAgACAAIAAgACAAIAAgACAAXAAiAE0ATgBfAGoAawBtADEANABUADEAXAAiACwAIABcACIAbQBhAHMAcwAgAG8AZgAgAG4AaQB0AHIAbwBnAGUAbgAgAGUAeABjAHIAZQB0AGUAZAAgAGQAaQByAGUAYwB0AGwAeQAgAG8AbgAgAHAAYQBzAHQAdQByAGUAIABiAHkAIABwAG8AdQBsAHQAcgB5ACAAYwBsAGEAcwBzACAAYQBuAGQAIABzAHUAYgBjAGwAYQBzAHMAXAAiACwAIABcACIAawBnACAATgBcACIALAAgAFwAIgBDAGEAbABjAHUAbABhAHQAZQBkACAAZgByAG8AbQAgADQALgA2AC4AMQAuADMAIAAoADIAKQBcACIAOwBcAG4AIAAgACAAIAAgACAAIAAgACAAIABcACIARQBGAF8AUABSAFAAXAAiACwAIABcACIAbgBpAHQAcgBvAHUAcwAgAG8AeABpAGQAZQAgAGUAbQBpAHMAcwBpAG8AbgAgAGYAYQBjAHQAbwByACAAZgBvAHIAIABtAGEAbgB1AHIAZQAgAGQAZQBwAG8AcwBpAHQAZQBkACAAbwBuACAAcABhAHMAdAB1AHIAZQ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cgBhAHQAaQBvAFwAIgAsACAAXAAiAEMAbwBuAHMAdABhAG4AdABcACIAXABuACAAIAAgACAAIAAgACAAIAB9ACwAIAByACwAIABjACkAXABuACAAIAAgACAAIAAgACkAXABuACAAIAAgACAAKQBcAG4AIAAgACkAOwBcAG4AIgB9ACwAewAiAHAAYQB0AGgAIgA6ACIALwBwAHIAbwBqAGUAYwB0AHMALwBNAE0AUwBfAFAAbwB1AGwAdAByAHk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MgAgAE0AZQB0AGgAbwBkACAAMQAgAC0AIABTAG8AaQBsACAAQQB0AG0AbwBzAHAAaABlAHIAaQBjACAARABlAHAAbwBzAGkAdABpAG8Abg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MgBfAF8AMQBfAEEAdABtAG8AcwBwAGgAZQByAGkAYwBEAGUAcABvAHMAaQB0AGkAbwBuAEUAbQBpAHMAcwBpAG8AbgBzAEYAcgBvAG0AUABvAHUAbAB0AHIAeQBNAGEAbgB1AHIAZQBPAG4AUABhAHMAdAB1AHIAZQBcAG4AQQB0AG0AbwBzAHAAaABlAHIAaQBjACAAZABlAHAAbwBzAGkAdABpAG8AbgAgAGUAbQBpAHMAcwBpAG8AbgBzACAAZgByAG8AbQAgAHAAbwB1AGwAdAByAHkAIABtAGEAbgB1AHIAZQ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tAGEAbgB1AHIAZQAgAGQAZQBwAG8AcwBpAHQAZQBkACAAbwBuACAAcABhAHMAdAB1AHIAZQAgACgAawBnACAATgApAFwAbgBFAEYAXwBOADIATwAgAD0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YAXwAxAF8AMQAyAF8AXwAxAF8AQQB0AG0AbwBzAHAAaABlAHIAaQBjAEQAZQBwAG8AcwBpAHQAaQBvAG4ARQBtAGkAcwBzAGkAbwBuAHMARgByAG8AbQBQAG8AdQBsAHQAcgB5AE0AYQBuAHUAcgBlAE8AbgBQAGEAcwB0AHUAcgBlAFwAbgAgACAAPQBMAEEATQBCAEQAQQAoAFwAbgAgACAAIAAgAE0AXwB2AG8AbABfAG0AMQA0ACwAIABFAEYAXwBOADIATwAsACAAQwBfAE4AMgBPACwAXABuACAAIAAgACAATQBfAHYAbwBsAF8AbQAxADQAIAAqACAARQBGAF8ATgAyAE8AIAAqACAAQwBfAE4AMgBPACAAKgAgADEAMAAgAF4AIAAtADMAXABuACAAIAApADsAXABuAFwAbgBWAEUARQBSAEcAXwA0AF8ANgBfADEAXwAxADIAXwBfADEAXwBBAHQAbQBvAHMAcABoAGUAcgBpAGMARABlAHAAbwBzAGkAdABpAG8AbgBFAG0AaQBzAHMAaQBvAG4AcwBGAHIAbwBtAFAAbwB1AGwAdAByAHkATQBhAG4AdQByAGUATwBuAFAAYQBzAHQAdQByAGUAXwBUAGkAdABsAGUAXABuACAAIAA9AEwAQQBNAEIARABBACgAXAAiAEEAdABtAG8AcwBwAGgAZQByAGkAYwAgAGQAZQBwAG8AcwBpAHQAaQBvAG4AIABlAG0AaQBzAHMAaQBvAG4AcwAgAGYAcgBvAG0AIABwAG8AdQBsAHQAcgB5ACAAbQBhAG4AdQByAGUAIABkAGUAcABvAHMAaQB0AGUAZAAgAG8AbgAgAHAAYQBzAHQAdQByAGUAXAAiACkAOwBcAG4AXABuAFYARQBFAFIARwBfADQAXwA2AF8AMQBfADEAMgBfAF8AMQBfAEEAdABtAG8AcwBwAGgAZQByAGkAYwBEAGUAcABvAHMAaQB0AGkAbwBuAEUAbQBpAHMAcwBpAG8AbgBzAEYAcgBvAG0AUABvAHUAbAB0AHIAeQBNAGEAbgB1AHIAZQBPAG4AUABhAHMAdAB1AHIAZQBfAFYAYQByAGkAYQBiAGwAZQBcAG4AIAAgAD0ATABBAE0AQgBEAEEAKABcACIARQBfAE4AMgBPAGEAZABcACIAKQA7AFwAbgBcAG4AVgBFAEUAUgBHAF8ANABfADYAXwAxAF8AMQAyAF8AXwAxAF8AQQB0AG0AbwBzAHAAaABlAHIAaQBjAEQAZQBwAG8AcwBpAHQAaQBvAG4ARQBtAGkAcwBzAGkAbwBuAHMARgByAG8AbQBQAG8AdQBsAHQAcgB5AE0AYQBuAHUAcgBlAE8AbgBQAGEAcwB0AHUAcgBlAF8AVQBuAGkAdABcAG4AIAAgAD0ATABBAE0AQgBEAEEAKABcACIAdAAgAE4AMgBPAFwAIgApADsAXABuAFwAbgBWAEUARQBSAEcAXwA0AF8ANgBfADEAXwAxADIAXwBfADEAXwBBAHQAbQBvAHMAcABoAGUAcgBpAGMARABlAHAAbwBzAGkAdABpAG8AbgBFAG0AaQBzAHMAaQBvAG4AcwBGAHIAbwBtAFAAbwB1AGwAdAByAHkATQBhAG4AdQByAGUATwBuAFAAYQBzAHQAdQByAGUAXwBTAG8AdQByAGMAZQBcAG4AIAAgAD0ATABBAE0AQgBEAEEAKABcACIAVgBFAEUAUgBHACAAMgAwADIANgA6ACAANAAuADYALgAxAC4AMQAyACwAIABFAHEAdQBhAHQAaQBvAG4AIAAoADEAKQBcACIAKQA7AFwAbgBcAG4AVgBFAEUAUgBHAF8ANABfADYAXwAxAF8AMQAyAF8AXwAxAF8AQQB0AG0AbwBzAHAAaABlAHIAaQBjAEQAZQBwAG8AcwBpAHQAaQBvAG4ARQBtAGkAcwBzAGkAbwBuAHMARgByAG8AbQBQAG8AdQBsAHQAcgB5AE0AYQBuAHUAcgBlAE8AbgBQAGEAcwB0AHUAcgBlAF8ATgBJAFIAUgBlAGYAZQByAGUAbgBjAGUAXABuACAAIAA9AEwAQQBNAEIARABBACgAXAAiAFwAIgApADsAXABuAFwAbgBWAEUARQBSAEcAXwA0AF8ANgBfADEAXwAxADIAXwBfADEAXwBBAHQAbQBvAHMAcABoAGUAcgBpAGMARABlAHAAbwBzAGkAdABpAG8AbgBFAG0AaQBzAHMAaQBvAG4AcwBGAHIAbwBtAFAAbwB1AGwAdAByAHkATQBhAG4AdQByAGUATwBuAFAAYQBzAHQAdQByAGUAXwBMAGEAdABlAHgARQBxAHUAYQB0AGkAbwBuAFwAbgAgACAAPQBMAEEATQBCAEQAQQAoAFwAIgBFAF8AewBOADIATwAsAGEAZAB9AD0ATQBfAHsAdgBvAGwALABtAD0AMQA0AH0AXABcAHQAaQBtAGUAcwAgAEUARgBfAHsATgAyAE8AfQBcAFwAdABpAG0AZQBzACAAQwBfAHsATgAyAE8AfQBcAFwAdABpAG0AZQBzACAAMQAwAF4AewAtADMAfQBcACIAKQA7AFwAbgBcAG4AVgBFAEUAUgBHAF8ANABfADYAXwAxAF8AMQAyAF8AXwAxAF8AQQB0AG0AbwBzAHAAaABlAHIAaQBjAEQAZQBwAG8AcwBpAHQAaQBvAG4ARQBtAGkAcwBzAGkAbwBuAHMARgByAG8AbQBQAG8AdQBsAHQAcgB5AE0AYQBuAHUAcgBlAE8AbgBQAGEAcwB0AHUAcgBlAF8AQQByAGcAdQBtAGUAbgB0AHMAXABuACAAIAA9AEwAQQBNAEIARABBACgAXABuACAAIAAgACAATQBBAEsARQBBAFIAUgBBAFkAKAA2ACwAIAA0ACwAXABuACAAIAAgACAAIAAgAEwAQQBNAEIARABBACgAcgAsAGMALABcAG4AIAAgACAAIAAgACAAIAAgAEkATgBEAEUAWAAoAHsAXABuACAAIAAgACAAIAAgACAAIAAgACAAXAAiAE0AXwB2AG8AbABfAG0AMQA0AFwAIgAsACAAXAAiAG0AYQBzAHMAIABvAGYAIABuAGkAdAByAG8AZwBlAG4AIAB2AG8AbABhAHQAaQBsAGkAcwBlAGQAIABmAHIAbwBtACAAbQBhAG4AdQByAGUAIABkAGUAcABvAHMAaQB0AGUAZAAgAG8AbgAgAHAAYQBzAHQAdQByAGUAXAAiACwAXAAiAGsAZwAgAE4AXAAiACwAIABcACIAQwBhAGwAYwB1AGwAYQB0AGUAZAAgAGYAcgBvAG0AIAA0AC4ANgAuADEALgAxADIAIAAoADIAKQBcACIAOwBcAG4AIAAgACAAIAAgACAAIAAgACAAIABcACIARQBGAF8ATgAyAE8AXAAiACwAIABcACIAZQBtAGkAcwBzAGkAbwBuACAAZgBhAGMAdABvAHIAIABmAG8AcgAgAGEAdABtAG8AcwBwAGgAZQByAGkAYwAgAGQAZQBwAG8AcwBpAHQAaQBvAG4AIAAoAGsAZwAgAE4AMgBPAC0ATgAvAGsAZwAgAE4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HIAYQB0AGkAbw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EAMgBfAF8AMgBfAE0AYQBzAHMATwBmAE4AaQB0AHIAbwBnAGUAbgBWAG8AbABhAHQAaQBsAGkAcwBlAGQARgByAG8AbQBQAG8AdQBsAHQAcgB5AE0AYQBuAHUAcgBlAE8AbgBQAGEAcwB0AHUAcgBlAFwAbgBNAGEAcwBzACAAbwBmACAAbgBpAHQAcgBvAGcAZQBuACAAdgBvAGwAYQB0AGkAbABpAHMAZQBkACAAZgByAG8AbQAgAHAAbwB1AGwAdAByAHkAIABtAGEAbgB1AHIAZQAgAGQAZQBwAG8AcwBpAHQAZQBkACAAbwBuACAAcABhAHMAdAB1AHIAZQBcAG4ATQBfAHYAbwBsAF8AbQAxADQAXABuAGsAZwAgAE4AXABuAE0AXwB7AHYAbwBsACwAbQA9ADEANAB9AD0ATQBOAF8AewBqAGsAbQA9ADEANAAsAFQAPQAxAH0AXABcAHQAaQBtAGUAcwAgAEYAcgBhAGMARwBBAFMATQBzAG8AaQBsAFwAbgBNAE4AXwBqAGsAbQAxADQAVAAxACAAPQAgAG0AYQBzAHMAIABvAGYAIABuAGkAdAByAG8AZwBlAG4AIABlAHgAYwByAGUAdABlAGQAIABkAGkAcgBlAGMAdABsAHkAIABvAG4AIABwAGEAcwB0AHUAcgBlACAAYgB5ACAAcABvAHUAbAB0AHIAeQAgAGMAbABhAHMAcwAgAGEAbgBkACAAcwB1AGIAYwBsAGEAcwBzACAAKABrAGcAIABOACkAXABuAEYAcgBhAGMARwBBAFMATQBzAG8AaQBsACAAPQAgAGYAcgBhAGMAdABpAG8AbgAgAG8AZgAgAG4AaQB0AHIAbwBnAGUAbgAgAHYAbwBsAGEAdABpAGwAaQBzAGUAZAAgAGYAcgBvAG0AIABtAGEAbgB1AHIAZQAgAGQAZQBwAG8AcwBpAHQAZQBkACAAbwBuACAAcABhAHMAdAB1AHIAZQAgACgAKABrAGcAIABOAEgAMwAtAE4AIAArACAATgBPAHgALQBOACkALwBrAGcAIABOACkAXABuAC0ALQAtAC0ALQAtAC0ALQAtAC0ALQAtAC0ALQAtAC0ALQAtAC0ALQAtAC0ALQAtAC0ALQAtAC0ALQAtAC0ALQAtAC0ALQAtAC0ALQBcAG4AKgAvAFwAbgBcAG4AVgBFAEUAUgBHAF8ANABfADYAXwAxAF8AMQAyAF8AXwAyAF8ATQBhAHMAcwBPAGYATgBpAHQAcgBvAGcAZQBuAFYAbwBsAGEAdABpAGwAaQBzAGUAZABGAHIAbwBtAFAAbwB1AGwAdAByAHkATQBhAG4AdQByAGUATwBuAFAAYQBzAHQAdQByAGUAXABuACAAIAA9AEwAQQBNAEIARABBACgAXABuACAAIAAgACAATQBOAF8AagBrAG0AMQA0AFQAMQAsACAARgByAGEAYwBHAEEAUwBNAHMAbwBpAGwALABcAG4AIAAgACAAIABNAE4AXwBqAGsAbQAxADQAVAAxACAAKgAgAEYAcgBhAGMARwBBAFMATQBzAG8AaQBsAFwAbgAgACAAKQA7AFwAbgBcAG4AVgBFAEUAUgBHAF8ANABfADYAXwAxAF8AMQAyAF8AXwAyAF8ATQBhAHMAcwBPAGYATgBpAHQAcgBvAGcAZQBuAFYAbwBsAGEAdABpAGwAaQBzAGUAZABGAHIAbwBtAFAAbwB1AGwAdAByAHkATQBhAG4AdQByAGUATwBuAFAAYQBzAHQAdQByAGUAXwBUAGkAdABsAGUAXABuACAAIAA9AEwAQQBNAEIARABBACgAXAAiAE0AYQBzAHMAIABvAGYAIABuAGkAdAByAG8AZwBlAG4AIAB2AG8AbABhAHQAaQBsAGkAcwBlAGQAIABmAHIAbwBtACAAcABvAHUAbAB0AHIAeQAgAG0AYQBuAHUAcgBlACAAZABlAHAAbwBzAGkAdABlAGQAIABvAG4AIABwAGEAcwB0AHUAcgBlAFwAIgApADsAXABuAFwAbgBWAEUARQBSAEcAXwA0AF8ANgBfADEAXwAxADIAXwBfADIAXwBNAGEAcwBzAE8AZgBOAGkAdAByAG8AZwBlAG4AVgBvAGwAYQB0AGkAbABpAHMAZQBkAEYAcgBvAG0AUABvAHUAbAB0AHIAeQBNAGEAbgB1AHIAZQBPAG4AUABhAHMAdAB1AHIAZQBfAFYAYQByAGkAYQBiAGwAZQBcAG4AIAAgAD0ATABBAE0AQgBEAEEAKABcACIATQBfAHYAbwBsAF8AbQAxADQAXAAiACkAOwBcAG4AXABuAFYARQBFAFIARwBfADQAXwA2AF8AMQBfADEAMgBfAF8AMgBfAE0AYQBzAHMATwBmAE4AaQB0AHIAbwBnAGUAbgBWAG8AbABhAHQAaQBsAGkAcwBlAGQARgByAG8AbQBQAG8AdQBsAHQAcgB5AE0AYQBuAHUAcgBlAE8AbgBQAGEAcwB0AHUAcgBlAF8AVQBuAGkAdABcAG4AIAAgAD0ATABBAE0AQgBEAEEAKABcACIAawBnACAATgBcACIAKQA7AFwAbgBcAG4AVgBFAEUAUgBHAF8ANABfADYAXwAxAF8AMQAyAF8AXwAyAF8ATQBhAHMAcwBPAGYATgBpAHQAcgBvAGcAZQBuAFYAbwBsAGEAdABpAGwAaQBzAGUAZABGAHIAbwBtAFAAbwB1AGwAdAByAHkATQBhAG4AdQByAGUATwBuAFAAYQBzAHQAdQByAGUAXwBTAG8AdQByAGMAZQBcAG4AIAAgAD0ATABBAE0AQgBEAEEAKABcACIAVgBFAEUAUgBHACAAMgAwADIANgA6ACAANAAuADYALgAxAC4AMQAyACwAIABFAHEAdQBhAHQAaQBvAG4AIAAoADIAKQBcACIAKQA7AFwAbgBcAG4AVgBFAEUAUgBHAF8ANABfADYAXwAxAF8AMQAyAF8AXwAyAF8ATQBhAHMAcwBPAGYATgBpAHQAcgBvAGcAZQBuAFYAbwBsAGEAdABpAGwAaQBzAGUAZABGAHIAbwBtAFAAbwB1AGwAdAByAHkATQBhAG4AdQByAGUATwBuAFAAYQBzAHQAdQByAGUAXwBOAEkAUgBSAGUAZgBlAHIAZQBuAGMAZQBcAG4AIAAgAD0ATABBAE0AQgBEAEEAKABcACIAXAAiACkAOwBcAG4AXABuAFYARQBFAFIARwBfADQAXwA2AF8AMQBfADEAMgBfAF8AMgBfAE0AYQBzAHMATwBmAE4AaQB0AHIAbwBnAGUAbgBWAG8AbABhAHQAaQBsAGkAcwBlAGQARgByAG8AbQBQAG8AdQBsAHQAcgB5AE0AYQBuAHUAcgBlAE8AbgBQAGEAcwB0AHUAcgBlAF8ATABhAHQAZQB4AEUAcQB1AGEAdABpAG8AbgBcAG4AIAAgAD0ATABBAE0AQgBEAEEAKABcACIATQBfAHsAdgBvAGwALABtAD0AMQA0AH0APQBcAFwAcwB1AG0AXwB7AGoAfQBcAFwAcwB1AG0AXwB7AGsAfQAoAE0ATgBfAHsAagBrAG0APQAxADQALABUAD0AMQB9AFwAXAB0AGkAbQBlAHMAIABGAHIAYQBjAEcAQQBTAE0AcwBvAGkAbAApAFwAIgApADsAXABuAFwAbgBWAEUARQBSAEcAXwA0AF8ANgBfADEAXwAxADIAXwBfADIAXwBNAGEAcwBzAE8AZgBOAGkAdAByAG8AZwBlAG4AVgBvAGwAYQB0AGkAbABpAHMAZQBkAEYAcgBvAG0AUABvAHUAbAB0AHIAeQBNAGEAbgB1AHIAZQBPAG4AUABhAHMAdAB1AHIAZQBfAEEAcgBnAHUAbQBlAG4AdABzAFwAbgAgACAAPQBMAEEATQBCAEQAQQAoAFwAbgAgACAAIAAgAE0AQQBLAEUAQQBSAFIAQQBZACgAMgAsACAANA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FwAIgAsACAAXAAiAGsAZwAgAE4AXAAiACwAIABcACIAQwBhAGwAYwB1AGwAYQB0AGUAZAAgAGYAcgBvAG0AIAA0AC4ANgAuADEALgAzACAAKAAyACkAXAAiADsAXABuACAAIAAgACAAIAAgACAAIAAgACAAXAAiAEYAcgBhAGMARwBBAFMATQBzAG8AaQBsAFwAIgAsACAAXAAiAGYAcgBhAGMAdABpAG8AbgAgAG8AZgAgAG4AaQB0AHIAbwBnAGUAbgAgAHYAbwBsAGEAdABpAGwAaQBzAGUAZAAgAGYAcgBvAG0AIABtAGEAbgB1AHIAZQAgAGQAZQBwAG8AcwBpAHQAZQBkACAAbwBuACAAcABhAHMAdAB1AHIAZQ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UABvAHUAbAB0AHIAeQBfAFMAbwBpAGwAXwBMAGUAYQBjAGgAaQBuAGcAQQBuAGQAUgB1AG4AbwBmAGY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NAAgAE0AZQB0AGgAbwBkACAAMQAgAC0AIABTAG8AaQBsACAATABlAGEAYwBoAGkAbgBnACAAQQBuAGQAIABSAHUAbgBvAGYAZg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NABfAF8AMQBfAEwAZQBhAGMAaABpAG4AZwBBAG4AZABSAHUAbgBvAGYAZgBFAG0AaQBzAHMAaQBvAG4AcwBGAHIAbwBtAFAAbwB1AGwAdAByAHkATQBhAG4AdQByAGUATwBuAFAAYQBzAHQAdQByAGUAXABuAEwAZQBhAGMAaABpAG4AZwAgAGEAbgBkACAAcgB1AG4AbwBmAGYAIABlAG0AaQBzAHMAaQBvAG4AcwAgAGYAcgBvAG0AIABwAG8AdQBsAHQAcgB5ACAAbQBhAG4AdQByAGU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wAG8AdQBsAHQAcgB5ACAAbQBhAG4AdQByAGUAIABkAGUAcABvAHMAaQB0AGUAZAAgAG8AbgAgAHAAYQBzAHQAdQByAGUAIAAoAGsAZwAgAE4AKQBcAG4ARQBGAF8AbABlAGEAYwBoACAAP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NgBfADEAXwAxADQAXwBfADEAXwBMAGUAYQBjAGgAaQBuAGcAQQBuAGQAUgB1AG4AbwBmAGYARQBtAGkAcwBzAGkAbwBuAHMARgByAG8AbQBQAG8AdQBsAHQAcgB5AE0AYQBuAHUAcgBl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YAXwAxAF8AMQA0AF8AXwAxAF8ATABlAGEAYwBoAGkAbgBnAEEAbgBkAFIAdQBuAG8AZgBmAEUAbQBpAHMAcwBpAG8AbgBzAEYAcgBvAG0AUABvAHUAbAB0AHIAeQBNAGEAbgB1AHIAZQBPAG4AUABhAHMAdAB1AHIAZQBfAFQAaQB0AGwAZQBcAG4AIAAgAD0ATABBAE0AQgBEAEEAKABcACIATABlAGEAYwBoAGkAbgBnACAAYQBuAGQAIAByAHUAbgBvAGYAZgAgAGUAbQBpAHMAcwBpAG8AbgBzACAAZgByAG8AbQAgAHAAbwB1AGwAdAByAHkAIABtAGEAbgB1AHIAZQAgAGQAZQBwAG8AcwBpAHQAZQBkACAAbwBuACAAcABhAHMAdAB1AHIAZQBcACIAKQA7AFwAbgBcAG4AVgBFAEUAUgBHAF8ANABfADYAXwAxAF8AMQA0AF8AXwAxAF8ATABlAGEAYwBoAGkAbgBnAEEAbgBkAFIAdQBuAG8AZgBmAEUAbQBpAHMAcwBpAG8AbgBzAEYAcgBvAG0AUABvAHUAbAB0AHIAeQBNAGEAbgB1AHIAZQBPAG4AUABhAHMAdAB1AHIAZQBfAFYAYQByAGkAYQBiAGwAZQBcAG4AIAAgAD0ATABBAE0AQgBEAEEAKABcACIARQBfAE4AMgBPAGwAZQBhAGMAaABcACIAKQA7AFwAbgBcAG4AVgBFAEUAUgBHAF8ANABfADYAXwAxAF8AMQA0AF8AXwAxAF8ATABlAGEAYwBoAGkAbgBnAEEAbgBkAFIAdQBuAG8AZgBmAEUAbQBpAHMAcwBpAG8AbgBzAEYAcgBvAG0AUABvAHUAbAB0AHIAeQBNAGEAbgB1AHIAZQBPAG4AUABhAHMAdAB1AHIAZQBfAFUAbgBpAHQAXABuACAAIAA9AEwAQQBNAEIARABBACgAXAAiAHQAIABOADIATwBcACIAKQA7AFwAbgBcAG4AVgBFAEUAUgBHAF8ANABfADYAXwAxAF8AMQA0AF8AXwAxAF8ATABlAGEAYwBoAGkAbgBnAEEAbgBkAFIAdQBuAG8AZgBmAEUAbQBpAHMAcwBpAG8AbgBzAEYAcgBvAG0AUABvAHUAbAB0AHIAeQBNAGEAbgB1AHIAZQBPAG4AUABhAHMAdAB1AHIAZQBfAFMAbwB1AHIAYwBlAFwAbgAgACAAPQBMAEEATQBCAEQAQQAoAFwAIgBWAEUARQBSAEcAIAAyADAAMgA2ADoAIAA0AC4ANgAuADEALgAxADQALAAgAEUAcQB1AGEAdABpAG8AbgAgACgAMQApAFwAIgApADsAXABuAFwAbgBWAEUARQBSAEcAXwA0AF8ANgBfADEAXwAxADQAXwBfADEAXwBMAGUAYQBjAGgAaQBuAGcAQQBuAGQAUgB1AG4AbwBmAGYARQBtAGkAcwBzAGkAbwBuAHMARgByAG8AbQBQAG8AdQBsAHQAcgB5AE0AYQBuAHUAcgBlAE8AbgBQAGEAcwB0AHUAcgBlAF8ATgBJAFIAUgBlAGYAZQByAGUAbgBjAGUAXABuACAAIAA9AEwAQQBNAEIARABBACgAXAAiAFwAIgApADsAXABuAFwAbgBWAEUARQBSAEcAXwA0AF8ANgBfADEAXwAxADQAXwBfADEAXwBMAGUAYQBjAGgAaQBuAGcAQQBuAGQAUgB1AG4AbwBmAGYARQBtAGkAcwBzAGkAbwBuAHMARgByAG8AbQBQAG8AdQBsAHQAcgB5AE0AYQBuAHUAcgBl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YAXwAxAF8AMQA0AF8AXwAxAF8ATABlAGEAYwBoAGkAbgBnAEEAbgBkAFIAdQBuAG8AZgBmAEUAbQBpAHMAcwBpAG8AbgBzAEYAcgBvAG0AUABvAHUAbAB0AHIAeQBNAGEAbgB1AHIAZQBPAG4AUABhAHMAdAB1AHIAZQBfAEEAcgBnAHUAbQBlAG4AdABzAFwAbgAgACAAPQBMAEEATQBCAEQAQQAoAFwAbgAgACAAIAAgAE0AQQBLAEUAQQBSAFIAQQBZACgAMwAsACAANAAsAFwAbgAgACAAIAAgACAAIABMAEEATQBCAEQAQQAoAHIALABjACwAXABuACAAIAAgACAAIAAgACAAIABJAE4ARABFAFgAKAB7AFwAbgAgACAAIAAgACAAIAAgACAAIAAgAFwAIgBNAF8AbABlAGEAYwBoAF8AbQAxADQAXAAiACwAIABcACIAbQBhAHMAcwAgAG8AZgAgAG4AaQB0AHIAbwBnAGUAbgAgAGwAbwBzAHQAIAB0AG8AIABsAGUAYQBjAGgAaQBuAGcAIABhAG4AZAAgAHIAdQBuAG8AZgBmACAAZgByAG8AbQAgAHAAbwB1AGwAdAByAHkAIABtAGEAbgB1AHIAZQAgAGQAZQBwAG8AcwBpAHQAZQBkACAAbwBuACAAcABhAHMAdAB1AHIAZQBcACIALABcACIAawBnACAATgBcACIALAAgAFwAIgBDAGEAbABjAHUAbABhAHQAZQBkACAAZgByAG8AbQAgADQALgA2AC4AMQAuADEANAAgACgAMgApAFwAIgA7AFwAbgAgACAAIAAgACAAIAAgACAAIAAgAFwAIgBFAEYAXwBsAGUAYQBjAGgAXAAiACwAIABcACIAZQBtAGkAcwBzAGkAbwBuACAAZgBhAGMAdABvAHIAIABmAG8AcgAgAGwAZQBhAGMAaABpAG4AZwAgAGEAbgBkACAAcgB1AG4AbwBmAGYAIAAoAGsAZwAgAE4AMgBPAC0ATgAvAGsAZwAgAE4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QA0AF8AXwAyAF8ATQBhAHMAcwBPAGYATgBpAHQAcgBvAGcAZQBuAEwAbwBzAHQAVABvAEwAZQBhAGMAaABpAG4AZwBBAG4AZABSAHUAbgBvAGYAZgBGAHIAbwBtAFAAbwB1AGwAdAByAHkATQBhAG4AdQByAGUATwBuAFAAYQBzAHQAdQByAGUAXABuAE0AYQBzAHMAIABvAGYAIABuAGkAdAByAG8AZwBlAG4AIABsAG8AcwB0ACAAdABvACAAbABlAGEAYwBoAGkAbgBnACAAYQBuAGQAIAByAHUAbgBvAGYAZgAgAGYAcgBvAG0AIABwAG8AdQBsAHQAcgB5ACAAbQBhAG4AdQByAGUAIABkAGUAcABvAHMAaQB0AGUAZAAgAG8AbgAgAHAAYQBzAHQAdQByAGUAXABuAE0AXwBsAGUAYQBjAGgAXwBtADEANABcAG4AawBnACAATgBcAG4ATQBfAHsAbABlAGEAYwBoACwAbQA9ADEANAB9AD0ATQBOAF8AewBqAGsAbQA9ADEANAAsAFQAPQAxAH0AXABcAHQAaQBtAGUAcwAgAEYAcgBhAGMAVwBlAHQAXABcAHQAaQBtAGUAcwAgAEYAcgBhAGMATABFAEEAQwBIAF8ATQBTAFwAbgBNAE4AXwBqAGsAbQAxADQAVAAxACAAPQAgAG0AYQBzAHMAIABvAGYAIABuAGkAdAByAG8AZwBlAG4AIABlAHgAYwByAGUAdABlAGQAIABkAGkAcgBlAGMAdABsAHkAIABvAG4AIABwAGEAcwB0AHUAcgBlACAAYgB5ACAAcABvAHUAbAB0AHIAeQAgAGMAbABhAHMAcwAgAGEAbgBkACAAcwB1AGIAYwBsAGEAcwBzACAAKABrAGcAIABOACkAXABuAEYAcgBhAGMAVwBlAHQAIAA9ACAAZgByAGEAYwB0AGkAbwBuACAAbwBmACAATgAgAGEAdgBhAGkAbABhAGIAbABlACAAZgBvAHIAIABsAGUAYQBjAGgAaQBuAGcAIABhAG4AZAAgAHIAdQBuAG8AZgBmAFwAbgBGAHIAYQBjAEwARQBBAEMASABfAE0AUwAgAD0AIABmAHIAYQBjAHQAaQBvAG4AIABvAGYAIABOACAAdABoAGEAdAAgAGkAcwAgAGwAbwBzAHQAIAB0AGgAcgBvAHUAZwBoACAAbABlAGEAYwBoAGkAbgBnACAAYQBuAGQAIAByAHUAbgBvAGYAZgBcAG4ALQAtAC0ALQAtAC0ALQAtAC0ALQAtAC0ALQAtAC0ALQAtAC0ALQAtAC0ALQAtAC0ALQAtAC0ALQAtAC0ALQAtAC0ALQAtAC0ALQAtAFwAbgAqAC8AXABuAFwAbgBWAEUARQBSAEcAXwA0AF8ANgBfADEAXwAxADQAXwBfADIAXwBNAGEAcwBzAE8AZgBOAGkAdAByAG8AZwBlAG4ATABvAHMAdABUAG8ATABlAGEAYwBoAGkAbgBnAEEAbgBkAFIAdQBuAG8AZgBmAEYAcgBvAG0AUABvAHUAbAB0AHIAeQBNAGEAbgB1AHIAZQBPAG4AUABhAHMAdAB1AHIAZQBcAG4AIAAgAD0ATABBAE0AQgBEAEEAKABcAG4AIAAgACAAIABNAE4AXwBqAGsAbQAxADQAVAAxACwAIABGAHIAYQBjAFcAZQB0ACwAIABGAHIAYQBjAEwARQBBAEMASABfAE0AUwAsAFwAbgAgACAAIAAgAE0ATgBfAGoAawBtADEANABUADEAIAAqACAARgByAGEAYwBXAGUAdAAgACoAIABGAHIAYQBjAEwARQBBAEMASABfAE0AUwBcAG4AIAAgACkAOwBcAG4AXABuAFYARQBFAFIARwBfADQAXwA2AF8AMQBfADEANABfAF8AMgBfAE0AYQBzAHMATwBmAE4AaQB0AHIAbwBnAGUAbgBMAG8AcwB0AFQAbwBMAGUAYQBjAGgAaQBuAGcAQQBuAGQAUgB1AG4AbwBmAGYARgByAG8AbQBQAG8AdQBsAHQAcgB5AE0AYQBuAHUAcgBlAE8AbgBQAGEAcwB0AHUAcgBlAF8AVABpAHQAbABlAFwAbgAgACAAPQBMAEEATQBCAEQAQQAoAFwAIgBNAGEAcwBzACAAbwBmACAAbgBpAHQAcgBvAGcAZQBuACAAbABvAHMAdAAgAHQAbwAgAGwAZQBhAGMAaABpAG4AZwAgAGEAbgBkACAAcgB1AG4AbwBmAGYAIABmAHIAbwBtACAAcABvAHUAbAB0AHIAeQAgAG0AYQBuAHUAcgBlACAAZABlAHAAbwBzAGkAdABlAGQAIABvAG4AIABwAGEAcwB0AHUAcgBlAFwAIgApADsAXABuAFwAbgBWAEUARQBSAEcAXwA0AF8ANgBfADEAXwAxADQAXwBfADIAXwBNAGEAcwBzAE8AZgBOAGkAdAByAG8AZwBlAG4ATABvAHMAdABUAG8ATABlAGEAYwBoAGkAbgBnAEEAbgBkAFIAdQBuAG8AZgBmAEYAcgBvAG0AUABvAHUAbAB0AHIAeQBNAGEAbgB1AHIAZQBPAG4AUABhAHMAdAB1AHIAZQBfAFYAYQByAGkAYQBiAGwAZQBcAG4AIAAgAD0ATABBAE0AQgBEAEEAKABcACIATQBfAGwAZQBhAGMAaABfAG0AMQA0AFwAIgApADsAXABuAFwAbgBWAEUARQBSAEcAXwA0AF8ANgBfADEAXwAxADQAXwBfADIAXwBNAGEAcwBzAE8AZgBOAGkAdAByAG8AZwBlAG4ATABvAHMAdABUAG8ATABlAGEAYwBoAGkAbgBnAEEAbgBkAFIAdQBuAG8AZgBmAEYAcgBvAG0AUABvAHUAbAB0AHIAeQBNAGEAbgB1AHIAZQBPAG4AUABhAHMAdAB1AHIAZQBfAFUAbgBpAHQAXABuACAAIAA9AEwAQQBNAEIARABBACgAXAAiAGsAZwAgAE4AXAAiACkAOwBcAG4AXABuAFYARQBFAFIARwBfADQAXwA2AF8AMQBfADEANABfAF8AMgBfAE0AYQBzAHMATwBmAE4AaQB0AHIAbwBnAGUAbgBMAG8AcwB0AFQAbwBMAGUAYQBjAGgAaQBuAGcAQQBuAGQAUgB1AG4AbwBmAGYARgByAG8AbQBQAG8AdQBsAHQAcgB5AE0AYQBuAHUAcgBlAE8AbgBQAGEAcwB0AHUAcgBlAF8AUwBvAHUAcgBjAGUAXABuACAAIAA9AEwAQQBNAEIARABBACgAXAAiAFYARQBFAFIARwAgADIAMAAyADYAOgAgADQALgA2AC4AMQAuADEANAAsACAARQBxAHUAYQB0AGkAbwBuACAAKAAyACkAXAAiACkAOwBcAG4AXABuAFYARQBFAFIARwBfADQAXwA2AF8AMQBfADEANABfAF8AMgBfAE0AYQBzAHMATwBmAE4AaQB0AHIAbwBnAGUAbgBMAG8AcwB0AFQAbwBMAGUAYQBjAGgAaQBuAGcAQQBuAGQAUgB1AG4AbwBmAGYARgByAG8AbQBQAG8AdQBsAHQAcgB5AE0AYQBuAHUAcgBlAE8AbgBQAGEAcwB0AHUAcgBlAF8ATgBJAFIAUgBlAGYAZQByAGUAbgBjAGUAXABuACAAIAA9AEwAQQBNAEIARABBACgAXAAiAFwAIgApADsAXABuAFwAbgBWAEUARQBSAEcAXwA0AF8ANgBfADEAXwAxADQAXwBfADIAXwBNAGEAcwBzAE8AZgBOAGkAdAByAG8AZwBlAG4ATABvAHMAdABUAG8ATABlAGEAYwBoAGkAbgBnAEEAbgBkAFIAdQBuAG8AZgBmAEYAcgBvAG0AUABvAHUAbAB0AHIAeQBNAGEAbgB1AHIAZQBPAG4AUABhAHMAdAB1AHIAZQBfAEwAYQB0AGUAeABFAHEAdQBhAHQAaQBvAG4AXABuACAAIAA9AEwAQQBNAEIARABBACgAXAAiAE0AXwB7AGwAZQBhAGMAaAAsAG0APQAxADQAfQA9AFwAXABzAHUAbQBfAHsAagB9AFwAXABzAHUAbQBfAHsAawB9ACgATQBOAF8AewBqAGsAbQA9ADEANAAsAFQAPQAxAH0AXABcAHQAaQBtAGUAcwAgAEYAcgBhAGMAVwBlAHQAXABcAHQAaQBtAGUAcwAgAEYAcgBhAGMATABFAEEAQwBIAF8ATQBTACkAXAAiACkAOwBcAG4AXABuAFYARQBFAFIARwBfADQAXwA2AF8AMQBfADEANABfAF8AMgBfAE0AYQBzAHMATwBmAE4AaQB0AHIAbwBnAGUAbgBMAG8AcwB0AFQAbwBMAGUAYQBjAGgAaQBuAGcAQQBuAGQAUgB1AG4AbwBmAGYARgByAG8AbQBQAG8AdQBsAHQAcgB5AE0AYQBuAHUAcgBlAE8AbgBQAGEAcwB0AHUAcgBlAF8AQQByAGcAdQBtAGUAbgB0AHMAXABuACAAIAA9AEwAQQBNAEIARABBACgAXABuACAAIAAgACAATQBBAEsARQBBAFIAUgBBAFkAKAA2ACwAIAA0ACwAXABuACAAIAAgACAAIAAgAEwAQQBNAEIARABBACgAcgAsAGMALABcAG4AIAAgACAAIAAgACAAIAAgAEkATgBEAEUAWAAoAHsAXABuACAAIAAgACAAIAAgACAAIAAgACAAXAAiAE0ATgBfAGoAawBtADEANABUADEAXAAiACwAIABcACIAbQBhAHMAcwAgAG8AZgAgAG4AaQB0AHIAbwBnAGUAbgAgAGUAeABjAHIAZQB0AGUAZAAgAGQAaQByAGUAYwB0AGwAeQAgAG8AbgAgAHAAYQBzAHQAdQByAGUAIABiAHkAIABwAG8AdQBsAHQAcgB5ACAAYwBsAGEAcwBzACAAYQBuAGQAIABzAHUAYgBjAGwAYQBzAHMAXAAiACwAIABcACIAawBnACAATgBcACIALAAgAFwAIgBDAGEAbABjAHUAbABhAHQAZQBkACAAZgByAG8AbQAgADQALgA2AC4AMQAuADMAIAAoADIAKQBcACIAOwBcAG4AIAAgACAAIAAgACAAIAAgACAAIABcACIARgByAGEAYwBXAGUAdABcACIALAAgAFwAIgBmAHIAYQBjAHQAaQBvAG4AIABvAGYAIABOACAAYQB2AGEAaQBsAGEAYgBsAGUAIABmAG8AcgAgAGwAZQBhAGMAaABpAG4AZwAgAGEAbgBkACAAcgB1AG4AbwBmAGY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TAG8AdQByAGMAZQBEAGEAdABhAF8AUABvAHUAbAB0AHIAeQAiACwAIgB0AGUAeAB0ACIAOgAiAC8AKgAgAFwAbgAtAC0ALQAtAC0ALQAtAC0ALQAtAC0ALQAtAC0ALQAtAC0ALQAtAC0ALQAtAC0ALQAtAC0ALQAtAC0ALQAtAC0ALQAtAC0ALQAtAC0AXABuAFMAbwB1AHIAYwBlAEQAYQB0AGEAXwBQAG8AdQBsAHQAcgB5AF8ARABpAGUAdABQAHIAbwBwAGUAcgB0AGkAZQBzAFwAbgBUAGEAYgBsAGUAIABBAC4AMQAuADcALgAxADoAIABQAG8AdQBsAHQAcgB5ACAALQAgAEQAaQBlAHQAIABwAHIAbwBwAGUAcgB0AGkAZQBzAFwAbgAtAC0ALQAtAC0ALQAtAC0ALQAtAC0ALQAtAC0ALQAtAC0ALQAtAC0ALQAtAC0ALQAtAC0ALQAtAC0ALQAtAC0ALQAtAC0ALQAtAC0AXABuACoALwBcAG4AXABuAFMAbwB1AHIAYwBlAEQAYQB0AGEAXwBQAG8AdQBsAHQAcgB5AF8ARABpAGUAdABQAHIAbwBwAGUAcgB0AGkAZQBzAF8AVABpAHQAbABlAFwAbgAgACAAPQBMAEEATQBCAEQAQQAoAFwAIgBQAG8AdQBsAHQAcgB5ACAALQAgAEQAaQBlAHQAIABwAHIAbwBwAGUAcgB0AGkAZQBzAFwAIgApADsAXABuAFwAbgBTAG8AdQByAGMAZQBEAGEAdABhAF8AUABvAHUAbAB0AHIAeQBfAEQAaQBlAHQAUAByAG8AcABlAHIAdABpAGUAcwBfAFUAbgBpAHQAXABuACAAIAA9AEwAQQBNAEIARABBACgAXAAiAFwAIgApADsAXABuAFwAbgBTAG8AdQByAGMAZQBEAGEAdABhAF8AUABvAHUAbAB0AHIAeQBfAEQAaQBlAHQAUAByAG8AcABlAHIAdABpAGUAcwBfAFMAbwB1AHIAYwBlAFwAbgAgACAAPQBMAEEATQBCAEQAQQAoAFwAIgBWAEUARQBSAEcAIAAyADAAMgA2ADoAIABUAGEAYgBsAGUAIABBAC4AMQAuADcALgAxADoAIABQAG8AdQBsAHQAcgB5ACAALQAgAEQAaQBlAHQAIABwAHIAbwBwAGUAcgB0AGkAZQBzAFwAIgApADsAXABuAFwAbgBTAG8AdQByAGMAZQBEAGEAdABhAF8AUABvAHUAbAB0AHIAeQBfAEQAaQBlAHQAUAByAG8AcABlAHIAdABpAGUAcwBfAFYAYQByAGkAYQB0AGkAbwBuAFwAbgAgACAAPQBMAEEATQBCAEQAQQAoAFwAIgBcACIAKQA7AFwAbgBcAG4AUwBvAHUAcgBjAGUARABhAHQAYQBfAFAAbwB1AGwAdAByAHkAXwBEAGkAZQB0AFAAcgBvAHAAZQByAHQAaQBlAHMAXwBEAGEAdABhAFwAbgAgACAAPQBMAEEATQBCAEQAQQAoAFwAbgAgACAAIAAgAE0AQQBLAEUAQQBSAFIAQQBZACgANgAsACAANQAsACAAXABuACAAIAAgACAAIAAgAEwAQQBNAEIARABBACgAcgAsAGMALAAgAFwAbgAgACAAIAAgACAAIAAgACAASQBOAEQARQBYACgAewBcAG4AIAAgACAAIAAgACAAIAAgACAAIABcACIATgB1AHQAcgBpAGUAbgB0ACAAYQBuAGEAbAB5AHMAaQBzAFwAIgAsACAAXAAiAEwAYQB5AGUAcgBzAFwAIgAsACAAXAAiAE0AZQBhAHQAIABjAGgAaQBjAGsAZQBuACAAZwByAG8AdwBlAHIAcwBcACIALAAgAFwAIgBNAGUAYQB0ACAAYwBoAGkAYwBrAGUAbgAgAGIAcgBlAGUAZABlAHIAXAAiACwAIABcACIATQBlAGEAdAAgAG8AdABoAGUAcgBcACIAOwBcAG4AIAAgACAAIAAgACAAIAAgACAAIABcACIARAByAHkAIABtAGEAdAB0AGUAcgAgAGkAbgB0AGEAawBlACAAKABrAGcALwBoAGUAYQBkAC8AZABhAHkAKQBcACIALAAgADAALgAwADgANgAsACAAMAAuADAAOQAzACwAIAAwAC4AMQAwADMALAAgADAALgAwADkAMwA7ACAAXABuACAAIAAgACAAIAAgACAAIAAgACAAXAAiAEQAcgB5ACAAbQBhAHQAdABlAHIAIABkAGkAZwBlAHMAdABpAGIAaQBsAGkAdAB5AFwAIgAsACAAMAAuADgAMAAsACAAMAAuADgAMAAsACAAMAAuADgAMAAsACAAMAAuADgAMAA7AFwAbgAgACAAIAAgACAAIAAgACAAIAAgAFwAIgBDAHIAdQBkAGUAIABwAHIAbwB0AGUAaQBuAFwAIgAsACAAMAAuADEAOQAsACAAMAAuADIAMwAsACAAMAAuADEAOQAsACAAMAAuADIAMwA7AFwAbgAgACAAIAAgACAAIAAgACAAIAAgAFwAIgBOAGkAdAByAG8AZwBlAG4AIAByAGUAdABlAG4AdABpAG8AbgAgAHIAYQB0AGUAXAAiACwAIAAwAC4AMwA1ACwAIAAwAC4ANAA3ACwAIAAwAC4AMwAyACwAIAAwAC4ANAA3ADsAXABuACAAIAAgACAAIAAgACAAIAAgACAAXAAiAE0AYQBuAHUAcgBlACAAYQBzAGgAXAAiACwAIAAwAC4AMQA4ACwAIAAwAC4AMQA1ACwAIAAwAC4AMQA4ACwAIAAwAC4AMQA1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E0AQwBGAFwAbgBUAGEAYgBsAGUAIABBAC4AMQAuADcALgA0ADoAIABQAG8AdQBsAHQAcgB5ACAALQAgAE0AQwBGAHMAXABuAC0ALQAtAC0ALQAtAC0ALQAtAC0ALQAtAC0ALQAtAC0ALQAtAC0ALQAtAC0ALQAtAC0ALQAtAC0ALQAtAC0ALQAtAC0ALQAtAC0ALQBcAG4AKgAvAFwAbgBcAG4AUwBvAHUAcgBjAGUARABhAHQAYQBfAFAAbwB1AGwAdAByAHkAXwBNAEMARgBfAFQAaQB0AGwAZQBcAG4AIAAgAD0ATABBAE0AQgBEAEEAKABcACIAUABvAHUAbAB0AHIAeQAgAC0AIABNAEMARgBzAFwAIgApADsAXABuAFwAbgBTAG8AdQByAGMAZQBEAGEAdABhAF8AUABvAHUAbAB0AHIAeQBfAE0AQwBGAF8AVQBuAGkAdABcAG4AIAAgAD0ATABBAE0AQgBEAEEAKABcACIAXAAiACkAOwBcAG4AXABuAFMAbwB1AHIAYwBlAEQAYQB0AGEAXwBQAG8AdQBsAHQAcgB5AF8ATQBDAEYAXwBTAG8AdQByAGMAZQBcAG4AIAAgAD0ATABBAE0AQgBEAEEAKABcACIAVgBFAEUAUgBHACAAMgAwADIANgA6ACAAVABhAGIAbABlACAAQQAuADEALgA3AC4ANAA6ACAAUABvAHUAbAB0AHIAeQAgAC0AIABNAEMARgBzAFwAIgApADsAXABuAFwAbgBTAG8AdQByAGMAZQBEAGEAdABhAF8AUABvAHUAbAB0AHIAeQBfAE0AQwBG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TgAgAFMATwBVAFIAQwBFADoAXAAiADsAXABuACAAIAAgACAAIAAgACAAIAAgACAAXAAiAFMAcABsAGkAdAAgAE4AUwBXACAAYQBuAGQAIABBAEMAVAAgAGkAbgB0AG8AIABzAGUAcABhAHIAYQB0AGUAIABzAHQAYQB0AGUAcwAuACAAUwBwAGwAaQB0ACAAUQBMAEQAIABhAG4AZAAgAE4AVAAgAGkAbgB0AG8AIABzAGUAcABhAHIAYQB0AGUAIABzAHQAYQB0AGUAcwAuAFwAIgA7AFwAbgAgACAAIAAgACAAIAAgACAAIAAgAFwAIgBJAG4AYwBsAHUAZABlAGQAIAB2AGEAbAB1AGUAcwAgAGYAbwByACAAZQBhAGMAaAAgAHMAdABhAHQAZQAgAHcAaABlAG4AIABcAHUAMAAwADIANwBBAGwAbAAgAHMAdABhAHQAZQBzAFwAdQAwADAAMgA3ACAAdgBhAGwAdQBlACAAaQBzACAAZwBpAHYAZQBuAC4AXAAiADsAXABuACAAIAAgACAAIAAgACAAIAAgACAAXAAiAEEAZABkAGUAZAAgAFwAdQAwADAAMgA3AE4ASQBSACAAZABlAGYAaQBuAGkAdABpAG8AbgBcAHUAMAAwADIANwAgAGMAbwBsAHUAbQBuACAAdwBpAHQAaAAgAE0ATQBTACAAbgBhAG0AZQBzACAAdABoAGEAdAAgAG0AYQB0AGMAaAAgAE4ASQBSACAAZABlAGYAaQBuAGkAdABpAG8AbgBzAC4AXAAiADsAXABuACAAIAAgACAAIAAgACAAIAAgACAAXAAiAEQAdQBwAGwAaQBjAGEAdABlAGQAIABcAHUAMAAwADIANwBQAG8AdQBsAHQAcgB5ACAAbQBhAG4AdQByAGUAIAB3AGkAdABoAG8AdQB0ACAAbABpAHQAdABlAHIAXAB1ADAAMAAyADcAIAByAG8AdwAgAGYAbwByACAATgBJAFIAIABNAE0AUwAgAFwAdQAwADAAMgA3AEIAZQBsAHQAIABtAGEAbgB1AHIAZQAgAHIAZQBtAG8AdgBhAGwAXAB1ADAAMAAyADcAIABhAG4AZAAgAFwAdQAwADAAMgA3AE0AYQBuAHUAcgBlACAAcwB0AG8AcgBlAGQAIABpAG4AIABoAG8AdQBzAGUAXAB1ADAAMAAyADcAXAAiAFwAbgAgACAAIAAgACAAIAAgACAAfQAsACAAcgAsACAAYwApAFwAbgAgACAAIAAgACAAIAApAFwAbgAgACAAIAAgACkAXABuACAAIAApADsAXABuAFwAbgBTAG8AdQByAGMAZQBEAGEAdABhAF8AUABvAHUAbAB0AHIAeQBfAE0AQwBGAF8ARABhAHQAYQBcAG4AIAAgAD0ATABBAE0AQgBEAEEAKABcAG4AIAAgACAAIABNAEEASwBFAEEAUgBSAEEAWQAoADEAMAAsACAAMQAxACwAIABcAG4AIAAgACAAIAAgACAATABBAE0AQgBEAEEAKAByACwAYwAsACAAXABuACAAIAAgACAAIAAgACAAIABJAE4ARABFAFgAKAB7AFwAbgAgACAAIAAgACAAIAAgACAAIAAgAFwAIgBNAE0AUwAgAG0AXAAiACwAIABcACIAQQBsAGwAIABzAHQAYQB0AGUAcwBcACIALAAgAFwAIgBOAFMAVwBcACIALAAgAFwAIgBBAEMAVABcACIALAAgAFwAIgBRAEwARABcACIALAAgAFwAIgBOAFQAXAAiACwAIABcACIAVgBJAEMAXAAiACwAIABcACIAUwBBAFwAIgAsACAAXAAiAFcAQQBcACIALAAgAFwAIgBUAEEAUwBcACIALAAgAFwAIgBOAEkAUgAgAGQAZQBmAGkAbgBpAHQAaQBvAG4AXAAiADsAXABuACAAIAAgACAAIAAgACAAIAAgACAAXAAiAFAAbwB1AGwAdAByAHkAIABtAGEAbgB1AHIAZQAgAHcAaQB0AGgAIABsAGkAdAB0AGUAcgBcACIALAAgADAALgAwADEANQAsACAAMAAuADAAMQA1ACwAIAAwAC4AMAAxADUALAAgADAALgAwADEANQAsACAAMAAuADAAMQA1ACwAIAAwAC4AMAAxADUALAAgADAALgAwADEANQAsACAAMAAuADAAMQA1ACwAIAAwAC4AMAAxADUALAAgAFwAIgBQAG8AdQBsAHQAcgB5ACAAbQBhAG4AdQByAGUAIAB3AGkAdABoACAAYgBlAGQAZABpAG4AZwBcACIAOwAg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QgBlAGwAdAAgAG0AYQBuAHUAcgBlACAAcgBlAG0AbwB2AGEAbABcACIAOwBcAG4AIAAgACAAIAAgACAAIAAgACAAIABcACIAUABvAHUAbAB0AHIAeQAgAG0AYQBuAHUAcgBlACAAdwBpAHQAaABvAHUAdAAgAGwAaQB0AHQAZQByAFwAIgAsACAAMAAuADAAMQA1ACwAIAAwAC4AMAAxADUALAAgADAALgAwADEANQAsACAAMAAuADAAMQA1ACwAIAAwAC4AMAAxADUALAAgADAALgAwADEANQAsACAAMAAuADAAMQA1ACwAIAAwAC4AMAAxADUALAAgADAALgAwADEANQAsACAAXAAiAE0AYQBuAHUAcgBlACAAcwB0AG8AcgBlAGQAIABpAG4AIABoAG8AdQBzAGUAXAAiADsAXABuACAAIAAgACAAIAAgACAAIAAgACAAXAAiAFAAYQBzAHQAdQByAGUAIAByAGEAbgBnAGUAIABhAG4AZAAgAHAAYQBkAGQAbwBjAGsAXAAiACwAIABcACIAbgAvAGEAXAAiACwAIAAwAC4AMAAxACwAIAAwAC4AMAAxACwAIAAwAC4AMAAzACwAIAAwAC4AMAAzACwAIAAwAC4AMAAxACwAIAAwAC4AMAAxACwAIAAwAC4AMAAxACwAIAAwAC4AMAAxACwAIABcACIAUABhAHMAdAB1AHIAZQAgAHIAYQBuAGcAZQAgAGEAbgBkACAAcABhAGQAZABvAGMAawBcACIAOwBcAG4AIAAgACAAIAAgACAAIAAgACAAIABcACIAUwBvAGwAaQBkACAAcwB0AG8AcgBhAGcAZQBcACIALAAgADAALgAwADIALAAgADAALgAwADIALAAgADAALgAwADIALAAgADAALgAwADIALAAgADAALgAwADIALAAgADAALgAwADIALAAgADAALgAwADIALAAgADAALgAwADIALAAgADAALgAwADIALAAgAFwAIgBTAG8AbABpAGQAIABzAHQAbwByAGEAZwBlAFwAIgA7AFwAbgAgACAAIAAgACAAIAAgACAAIAAgAFwAIgBDAG8AbQBwAG8AcwB0AGkAbgBnACAAKABwAGEAcwBzAGkAdgBlACAAdwBpAG4AZAByAG8AdwApAFwAIgAsACAAXAAiAG4ALwBhAFwAIgAsACAAMAAuADAAMQAsACAAMAAuADAAMQAsACAAMAAuADAAMQAsACAAMAAuADAAMQAsACAAMAAuADAAMQAsACAAMAAuADAAMQAsACAAMAAuADAAMQAsACAAMAAuADAAMAA1ACwAIABcACIAQwBvAG0AcABvAHMAdABpAG4AZwAgACgAcABhAHMAcwBpAHYAZQAgAHcAaQBuAGQAcgBvAHcAKQBcACIAOwBcAG4AIAAgACAAIAAgACAAIAAgACAAIABcACIAQQBuAGEAZQByAG8AYgBpAGMAIABkAGkAZwBlAHMAdABlAHIAIAAvACAAQwBvAHYAZQByAGUAZAAgAHAAbwBuAGQAXAAiACwAIAAwAC4AMQAsACAAMAAuADEALAAgADAALgAxACwAIAAwAC4AMQAsACAAMAAuADEALAAgADAALgAxACwAIAAwAC4AMQAsACAAMAAuADEALAAgADAALgAxACwAIABcACIARABpAGcAZQBzAHQAZQByACAALwAgAGMAbwB2AGUAcgBlAGQAIABsAGEAZwBvAG8AbgBzAFwAIgA7AFwAbgAgACAAIAAgACAAIAAgACAAIAAgAFwAIgBEAGkAcgBlAGMAdAAgAHAAcgBvAGMAZQBzAHMAaQBuAGcAXAAiACwAIAAwACwAIAAwACwAIAAwACwAIAAwACwAIAAwACwAIAAwACwAIAAwACwAIAAwACwAIAAwACwAIABcACIARABpAHIAZQBjAHQAIABwAHIAbwBjAGUAcwBzAGkAbgBnAFwAIgA7AFwAbgAgACAAIAAgACAAIAAgACAAIAAgAFwAIgBEAGkAcgBlAGMAdAAgAGEAcABwAGwAaQBjAGEAdABpAG8AbgAgAHQAbwAgAHMAbwBpAGwAXAAiACwAIAAwACwAIAAwACwAIAAwACwAIAAwACwAIAAwACwAIAAwACwAIAAwACwAIAAwACwAIAAwACwAIABcACIARABpAHIAZQBjAHQAIABhAHAAcABsAGkAYwBhAHQAaQBvAG4AXAAiAFwAbgAgACAAIAAgACAAIAAgACAAfQAsACAAcgAsACAAYwApAFwAbgAgACAAIAAgACAAIAApAFwAbgAgACAAIAAgACkAXABuACAAIAApADsAXABuAFwAbgBTAG8AdQByAGMAZQBEAGEAdABhAF8AUABvAHUAbAB0AHIAeQBfAE0AQwBGAF8ATgBvAHQAZQBzAFwAbgAgACAAPQBMAEEATQBCAEQAQQAoAFwAIgBcAHUAMAAwADIANwBQAGEAcwB0AHUAcgBlACAAcgBhAG4AZwBlACAAYQBuAGQAIABwAGEAZABkAG8AYwBrAFwAdQAwADAAMgA3ACAAYQBwAHAAbABpAGUAcwAgAE0AQwBGACAAZgBvAHIAIABkAHIAeQBsAG8AdAAuAFwAIgApADsAXABuAFwAbgBcAG4ALwAqACAAXABuAC0ALQAtAC0ALQAtAC0ALQAtAC0ALQAtAC0ALQAtAC0ALQAtAC0ALQAtAC0ALQAtAC0ALQAtAC0ALQAtAC0ALQAtAC0ALQAtAC0ALQBcAG4AUwBvAHUAcgBjAGUARABhAHQAYQBfAFAAbwB1AGwAdAByAHkAXwBNAGUAdABoAGEAbgBlAEUAbQBpAHMAcwBpAG8AbgBzAFAAbwB0AGUAbgB0AGkAYQBsAFwAbgBNAGUAdABoAGEAbgBlACAAZQBtAGkAcwBzAGkAbwBuAHMAIABwAG8AdABlAG4AdABpAGEAbAAgAHAAZQByACAAcABvAHUAbAB0AHIAeQAgAGMAbABhAHMAcwBcAG4ALQAtAC0ALQAtAC0ALQAtAC0ALQAtAC0ALQAtAC0ALQAtAC0ALQAtAC0ALQAtAC0ALQAtAC0ALQAtAC0ALQAtAC0ALQAtAC0ALQAtAFwAbgAqAC8AXABuAFwAbgBTAG8AdQByAGMAZQBEAGEAdABhAF8AUABvAHUAbAB0AHIAeQBfAE0AZQB0AGgAYQBuAGUARQBtAGkAcwBzAGkAbwBuAHMAUABvAHQAZQBuAHQAaQBhAGwAXwBUAGkAdABsAGUAXABuACAAIAA9AEwAQQBNAEIARABBACgAXAAiAFAAbwB1AGwAdAByAHkAIAAtACAATQBlAHQAaABhAG4AZQAgAGUAbQBpAHMAcwBpAG8AbgBzACAAcABvAHQAZQBuAHQAaQBhAGwAIABwAGUAcgAgAGMAbABhAHMAcwBcACIAKQA7AFwAbgBcAG4AUwBvAHUAcgBjAGUARABhAHQAYQBfAFAAbwB1AGwAdAByAHkAXwBNAGUAdABoAGEAbgBlAEUAbQBpAHMAcwBpAG8AbgBzAFAAbwB0AGUAbgB0AGkAYQBsAF8AVQBuAGkAdABcAG4AIAAgAD0ATABBAE0AQgBEAEEAKABcACIAbQAzACAAQwBIADQALwBrAGcAIABWAFMAXAAiACkAOwBcAG4AXABuAFMAbwB1AHIAYwBlAEQAYQB0AGEAXwBQAG8AdQBsAHQAcgB5AF8ATQBlAHQAaABhAG4AZQBFAG0AaQBzAHMAaQBvAG4AcwBQAG8AdABlAG4AdABpAGEAbABfAFMAbwB1AHIAYwBlAFwAbgAgACAAPQBMAEEATQBCAEQAQQAoAFwAIgBWAEUARQBSAEcAIAAyADAAMgA2ADoAIAA0AC4ANgAuADIALgAzACAAQwBPAE4AUwBUAEEATgBUADoAIABQAG8AdQBsAHQAcgB5ACAALQAgAE0AZQB0AGgAYQBuAGUAIABlAG0AaQBzAHMAaQBvAG4AcwAgAHAAbwB0AGUAbgB0AGkAYQBsACAAcABlAHIAIABjAGwAYQBzAHMAXAAiACkAOwBcAG4AXABuAFMAbwB1AHIAYwBlAEQAYQB0AGEAXwBQAG8AdQBsAHQAcgB5AF8ATQBlAHQAaABhAG4AZQBFAG0AaQBzAHMAaQBvAG4AcwBQAG8AdABlAG4AdABpAGEAbABfAFYAYQByAGkAYQB0AGkAbwBuAFwAbgAgACAAPQBMAEEATQBCAEQAQQAoAFwAIgBcACIAKQA7AFwAbgBcAG4AUwBvAHUAcgBjAGUARABhAHQAYQBfAFAAbwB1AGwAdAByAHkAXwBNAGUAdABoAGEAbgBlAEUAbQBpAHMAcwBpAG8AbgBzAFAAbwB0AGUAbgB0AGkAYQBsAF8ARABhAHQAYQBcAG4AIAAgAD0ATABBAE0AQgBEAEEAKABcAG4AIAAgACAAIABNAEEASwBFAEEAUgBSAEEAWQAoADMALAAgADIALAAgAFwAbgAgACAAIAAgACAAIABMAEEATQBCAEQAQQAoAHIALABjACwAIABcAG4AIAAgACAAIAAgACAAIAAgAEkATgBEAEUAWAAoAHsAXABuACAAIAAgACAAIAAgACAAIAAgACAAXAAiAFAAbwB1AGwAdAByAHkAIABjAGwAYQBzAHMAXAAiACwAIABcACIAQgAwAFwAIgA7AFwAbgAgACAAIAAgACAAIAAgACAAIAAgAFwAIgBMAGEAeQBlAHIAcwBcACIALAAgADAALgAzADkAOwAgAFwAbgAgACAAIAAgACAAIAAgACAAIAAgAFwAIgBNAGUAYQB0ACAAYwBoAGkAYwBrAGUAbgBzAFwAIgAsACAAMAAuADMANg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QAHIAbwBkAHUAYwB0AGkAbwBuAFMAeQBzAHQAZQBtAHMAXABuAFAAbwB1AGwAdAByAHkAIABwAHIAbwBkAHUAYwB0AGkAbwBuACAAcwB5AHMAdABlAG0AcwBcAG4ALQAtAC0ALQAtAC0ALQAtAC0ALQAtAC0ALQAtAC0ALQAtAC0ALQAtAC0ALQAtAC0ALQAtAC0ALQAtAC0ALQAtAC0ALQAtAC0ALQAtAFwAbgAqAC8AXABuAFwAbgBTAG8AdQByAGMAZQBEAGEAdABhAF8AUABvAHUAbAB0AHIAeQBfAFAAcgBvAGQAdQBjAHQAaQBvAG4AUwB5AHMAdABlAG0AcwBfAFQAaQB0AGwAZQBcAG4AIAAgAD0ATABBAE0AQgBEAEEAKABcACIAUABvAHUAbAB0AHIAeQAgAC0AIABQAHIAbwBkAHUAYwB0AGkAbwBuACAAcwB5AHMAdABlAG0AcwBcACIAKQA7AFwAbgBcAG4AUwBvAHUAcgBjAGUARABhAHQAYQBfAFAAbwB1AGwAdAByAHkAXwBQAHIAbwBkAHUAYwB0AGkAbwBuAFMAeQBzAHQAZQBtAHMAXwBVAG4AaQB0AFwAbgAgACAAPQBMAEEATQBCAEQAQQAoAFwAIgBcACIAKQA7AFwAbgBcAG4AUwBvAHUAcgBjAGUARABhAHQAYQBfAFAAbwB1AGwAdAByAHkAXwBQAHIAbwBkAHUAYwB0AGkAbwBuAFMAeQBzAHQAZQBtAHMAXwBTAG8AdQByAGMAZQBcAG4AIAAgAD0ATABBAE0AQgBEAEEAKABcACIAVgBFAEUAUgBHACAAMgAwADIANgA6ACAANAAuADYAIABQAG8AdQBsAHQAcgB5AFwAIgApADsAXABuAFwAbgBTAG8AdQByAGMAZQBEAGEAdABhAF8AUABvAHUAbAB0AHIAeQBfAFAAcgBvAGQAdQBjAHQAaQBvAG4AUwB5AHMAdABlAG0AcwBfAFYAYQByAGkAYQB0AGkAbwBuAFwAbgAgACAAPQBMAEEATQBCAEQAQQAoAFwAIgBcACIAKQA7AFwAbgBcAG4AUwBvAHUAcgBjAGUARABhAHQAYQBfAFAAbwB1AGwAdAByAHkAXwBQAHIAbwBkAHUAYwB0AGkAbwBuAFMAeQBzAHQAZQBtAHMAXwBEAGEAdABhAFwAbgAgACAAPQBMAEEATQBCAEQAQQAoAFwAbgAgACAAIAAgAE0AQQBLAEUAQQBSAFIAQQBZACgANAAsACAAMQAsACAAXABuACAAIAAgACAAIAAgAEwAQQBNAEIARABBACgAcgAsAGMALAAgAFwAbgAgACAAIAAgACAAIAAgACAASQBOAEQARQBYACgAewBcAG4AIAAgACAAIAAgACAAIAAgACAAIABcACIAUAByAG8AZAB1AGMAdABpAG8AbgAgAHMAeQBzAHQAZQBtAFwAIgA7AFwAbgAgACAAIAAgACAAIAAgACAAIAAgAFwAIgBGAHIAZQBlACAAcgBhAG4AZwBlAFwAIgA7ACAAXABuACAAIAAgACAAIAAgACAAIAAgACAAXAAiAEIAYQByAG4AXAAiADsAXABuACAAIAAgACAAIAAgACAAIAAgACAAXAAiAEM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AAbwB1AGwAdAByAHk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FAAbwB1AGwAdAByAHkAXwBWAFMATABfAFQAaQB0AGwAZQBcAG4AIAAgAD0ATABBAE0AQgBEAEEAKABcACIAUABvAHUAbAB0AHIAeQAgAC0AIABGAHIAYQBjAHQAaQBvAG4AIABvAGYAIAB2AG8AbABhAHQAaQBsAGUAIABzAG8AbABpAGQAcwAgAGwAbwBzAHQAIABpAG4AIAB0AGgAZQAgAHAAcgBpAG0AYQByAHkAIABNAE0AUwBcACIAKQA7AFwAbgBcAG4AUwBvAHUAcgBjAGUARABhAHQAYQBfAFAAbwB1AGwAdAByAHkAXwBWAFMATABfAFUAbgBpAHQAXABuACAAIAA9AEwAQQBNAEIARABBACgAXAAiAFwAIgApADsAXABuAFwAbgBTAG8AdQByAGMAZQBEAGEAdABhAF8AUABvAHUAbAB0AHIAeQBfAFYAUwBMAF8AUwBvAHUAcgBjAGUAXABuACAAIAA9AEwAQQBNAEIARABBACgAXAAiAFYARQBFAFIARwAgADIAMAAyADYAOgAgADQALgA2AC4AMgAuADMAIABDAE8ATgBTAFQAQQBOAFQAXAAiACkAOwBcAG4AXABuAFMAbwB1AHIAYwBlAEQAYQB0AGEAXwBQAG8AdQBsAHQAcgB5AF8AVgBTAEwAXwBWAGEAcgBpAGEAdABpAG8AbgBcAG4AIAAgAD0ATABBAE0AQgBEAEEAKABcACIAVgBBAFIASQBBAFQASQBPAE4AIABPAE4AIABTAE8AVQBSAEMARQA6ACAAVABhAGIAbABlACAAZwBlAG4AZQByAGEAdABlAGQAIABmAHIAbwBtACAAbABpAG4AZQAgAGkAdABlAG0AcwAuACAAQQBkAGQAZQBkACAAXAB1ADAAMAAyADcATgBJAFIAIABkAGUAZgBpAG4AaQB0AGkAbwBuACAAYwBvAGwAdQBtAG4AXAB1ADAAMAAyADcALgBcACIAKQA7AFwAbgBcAG4AUwBvAHUAcgBjAGUARABhAHQAYQBfAFAAbwB1AGwAdAByAHkAXwBWAFMATABfAEQAYQB0AGEAXABuACAAIAA9AEwAQQBNAEIARABBACgAXABuACAAIAAgACAATQBBAEsARQBBAFIAUgBBAFkAKAA0ACwAIAAzACwAIABcAG4AIAAgACAAIAAgACAATABBAE0AQgBEAEEAKAByACwAYwAsACAAXABuACAAIAAgACAAIAAgACAAIABJAE4ARABFAFgAKAB7AFwAbgAgACAAIAAgACAAIAAgACAAIAAgAFwAIgBNAE0AUwBcACIALAAgAFwAIgBWAFMATABcACIALAAgAFwAIgBOAEkAUgAgAGQAZQBmAGkAbgBpAHQAaQBvAG4AXAAiADsAXABuACAAIAAgACAAIAAgACAAIAAgACAAXAAiAFAAbwB1AGwAdAByAHkAIABtAGEAbgB1AHIAZQAgAHcAaQB0AGgAIABsAGkAdAB0AGUAcgBcACIALAAgADAALgAxADUALAAgAFwAIgBQAG8AdQBsAHQAcgB5ACAAbQBhAG4AdQByAGUAIAB3AGkAdABoACAAYgBlAGQAZABpAG4AZwBcACIAOwBcAG4AIAAgACAAIAAgACAAIAAgACAAIABcACIAUABvAHUAbAB0AHIAeQAgAG0AYQBuAHUAcgBlACAAdwBpAHQAaABvAHUAdAAgAGwAaQB0AHQAZQByACAALQAgAHMAdABvAHIAZQBkACAAaQBuACAAaABvAHUAcwBlAFwAIgAsACAAMAAuADIALAAgAFwAIgBNAGEAbgB1AHIAZQAgAHMAdABvAHIAZQBkACAAaQBuACAAaABvAHUAcwBlAFwAIgA7AFwAbgAgACAAIAAgACAAIAAgACAAIAAgAFwAIgBQAG8AdQBsAHQAcgB5ACAAbQBhAG4AdQByAGUAIAB3AGkAdABoAG8AdQB0ACAAbABpAHQAdABlAHIAIAAtACAAYgBlAGwAdAAgAHIAZQBtAG8AdgBhAGwAXAAiACwAIAAwACwAIABcACIAQgBlAGwAdAAgAG0AYQBuAHUAcgBlACAAcgBlAG0AbwB2AGEAbA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bwB1AGwAdAByAHkAXwBGAHIAYQBjAEcAQQBTAE0AbQBUAFwAbgBUAGEAYgBsAGUAIABBAC4AMQAuADcALgAyADoAIABQAG8AdQBsAHQAcgB5ACAALQAgAEYAcgBhAGMAdABpAG8AbgAgAG8AZgAgAE4AIAB2AG8AbABhAHQAaQBsAGkAcwBlAGQAIABiAHkAIABNAE0AUwAgACgAKABrAGcAIABOAEgAMwAtAE4AIAArACAATgBPAHgALQBOACkALwBrAGcATgApACAAKABGAHIAYQBjAEcAQQBTAE0AbQBUACkAXABuAC0ALQAtAC0ALQAtAC0ALQAtAC0ALQAtAC0ALQAtAC0ALQAtAC0ALQAtAC0ALQAtAC0ALQAtAC0ALQAtAC0ALQAtAC0ALQAtAC0ALQBcAG4AKgAvAFwAbgBcAG4AUwBvAHUAcgBjAGUARABhAHQAYQBfAFAAbwB1AGwAdAByAHkAXwBGAHIAYQBjAEcAQQBTAE0AbQBUAF8AVABpAHQAbABlAFwAbgAgACAAPQBMAEEATQBCAEQAQQAoAFwAIgBQAG8AdQBsAHQAcgB5ACAALQAgAEYAcgBhAGMAdABpAG8AbgAgAG8AZgAgAE4AIAB2AG8AbABhAHQAaQBsAGkAcwBlAGQAIABiAHkAIABNAE0AUwAgACgAKABrAGcAIABOAEgAMwAtAE4AIAArACAATgBPAHgALQBOACkALwBrAGcATgApACAAKABGAHIAYQBjAEcAQQBTAE0AbQBUACkAXAAiACkAOwBcAG4AXABuAFMAbwB1AHIAYwBlAEQAYQB0AGEAXwBQAG8AdQBsAHQAcgB5AF8ARgByAGEAYwBHAEEAUwBNAG0AVABfAFUAbgBpAHQAXABuACAAIAA9AEwAQQBNAEIARABBACgAXAAiACgAawBnACAATgBIADMALQBOACAAKwAgAE4ATwB4AC0ATgApAC8AawBnAE4AXAAiACkAOwBcAG4AXABuAFMAbwB1AHIAYwBlAEQAYQB0AGEAXwBQAG8AdQBsAHQAcgB5AF8ARgByAGEAYwBHAEEAUwBNAG0AVABfAFMAbwB1AHIAYwBlAFwAbgAgACAAPQBMAEEATQBCAEQAQQAoAFwAIgBWAEUARQBSAEcAIAAyADAAMgA2ADoAIABUAGEAYgBsAGUAIABBAC4AMQAuADcALgAyAFwAIgApADsAXABuAFwAbgBTAG8AdQByAGMAZQBEAGEAdABhAF8AUABvAHUAbAB0AHIAeQBfAEYAcgBhAGMARwBBAFMATQBtAFQAXwBWAGEAcgBpAGEAdABpAG8AbgBcAG4AIAAgAD0ATABBAE0AQgBEAEEAKABcACIAVgBBAFIASQBBAFQASQBPAE4AIABPAE4AIABTAE8AVQBSAEMARQA6ACAAQQBkAGQAZQBkACAAXAB1ADAAMAAyADcATgBJAFIAIABkAGUAZgBpAG4AaQB0AGkAbwBuACAAYwBvAGwAdQBtAG4AXAB1ADAAMAAyADcALgBcACIAKQA7AFwAbgBcAG4AUwBvAHUAcgBjAGUARABhAHQAYQBfAFAAbwB1AGwAdAByAHkAXwBGAHIAYQBjAEcAQQBTAE0AbQBUAF8ARABhAHQAYQBcAG4AIAAgAD0ATABBAE0AQgBEAEEAKABcAG4AIAAgACAAIABNAEEASwBFAEEAUgBSAEEAWQAoADgALAAgADMALAAgAFwAbgAgACAAIAAgACAAIABMAEEATQBCAEQAQQAoAHIALABjACwAIABcAG4AIAAgACAAIAAgACAAIAAgAEkATgBEAEUAWAAoAHsAXABuACAAIAAgACAAIAAgACAAIAAgACAAXAAiAE0ATQBTACAAbQBcACIALAAgAFwAIgBGAHIAYQBjAEcAQQBTAE0AbQBUAFwAIgAsACAAXAAiAE4ASQBSACAAcgBlAGYAZQByAGUAbgBjAGUAXAAiADsAXABuACAAIAAgACAAIAAgACAAIAAgACAAXAAiAFAAbwB1AGwAdAByAHkAIABtAGEAbgB1AHIAZQAgAHcAaQB0AGgAIABsAGkAdAB0AGUAcgAgACgAaABvAHUAcwBpAG4AZwApAFwAIgAsACAAMAAuADMALAAgAFwAIgBQAG8AdQBsAHQAcgB5ACAAbQBhAG4AdQByAGUAIAB3AGkAdABoACAAYgBlAGQAZABpAG4AZwBcACIAOwBcAG4AIAAgACAAIAAgACAAIAAgACAAIABcACIAUABvAHUAbAB0AHIAeQAgAG0AYQBuAHUAcgBlACAAdwBpAHQAaABvAHUAdAAgAGwAaQB0AHQAZQByACAAKABoAG8AdQBzAGkAbgBnACkAIABCAGUAbAB0ACAAbQBhAG4AdQByAGUAIAByAGUAbQBvAHYAYQBsAFwAIgAsACAAMAAuADAANQAsACAAXAAiAEIAZQBsAHQAIABtAGEAbgB1AHIAZQAgAHIAZQBtAG8AdgBhAGwAXAAiADsAXABuACAAIAAgACAAIAAgACAAIAAgACAAXAAiAFAAbwB1AGwAdAByAHkAIABtAGEAbgB1AHIAZQAgAHcAaQB0AGgAbwB1AHQAIABsAGkAdAB0AGUAcgAgACgAaABvAHUAcwBpAG4AZwApACAATQBhAG4AdQByAGUAIABzAHQAbwByAGUAZAAgAGkAbgAgAGgAbwB1AHMAZQAgAHUAbgBkAGUAcgAgAGMAYQBnAGUAcwAgAG8AcgAgAHMAbABhAHQAXAAiACwAIAAwAC4ANAAsACAAXAAiAE0AYQBuAHUAcgBlACAAcwB0AG8AcgBlAGQAIABpAG4AIABoAG8AdQBzAGUAXAAiADsAXABuACAAIAAgACAAIAAgACAAIAAgACAAXAAiAFMAbwBsAGkAZAAgAHMAdABvAHIAYQBnAGUAIAAoAHMAdABvAGMAawBwAGkAbABlACkAXAAiACwAIAAwAC4AMgAsACAAXAAiAFMAbwBsAGkAZAAgAHMAdABvAHIAYQBnAGUAXAAiADsAXABuACAAIAAgACAAIAAgACAAIAAgACAAXAAiAEMAbwBtAHAAbwBzAHQAaQBuAGcAIAAoAHAAYQBzAHMAaQB2AGUAIAB3AGkAbgBkAHIAbwB3ACkAXAAiACwAIAAwAC4AMg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EUARgBtAFQAXABuAFQAYQBiAGwAZQAgAEEALgAxAC4ANwAuADMAOgAgAFAAbwB1AGwAdAByAHkAIAAtACAATgBpAHQAcgBvAHUAcwAgAG8AeABpAGQAZQAgAEUARgBzACAAYgB5ACAATQBNAFMAIAAoAGsAZwBOADIATwAtAE4ALwBrAGcATgApACAAKABFAEYAbQBUACkAXABuAC0ALQAtAC0ALQAtAC0ALQAtAC0ALQAtAC0ALQAtAC0ALQAtAC0ALQAtAC0ALQAtAC0ALQAtAC0ALQAtAC0ALQAtAC0ALQAtAC0ALQBcAG4AKgAvAFwAbgBcAG4AUwBvAHUAcgBjAGUARABhAHQAYQBfAFAAbwB1AGwAdAByAHkAXwBFAEYAbQBUAF8AVABpAHQAbABlAFwAbgAgACAAPQBMAEEATQBCAEQAQQAoAFwAIgBQAG8AdQBsAHQAcgB5ACAALQAgAE4AaQB0AHIAbwB1AHMAIABvAHgAaQBkAGUAIABFAEYAcwAgAGIAeQAgAE0ATQBTACAAKABrAGcATgAyAE8ALQBOAC8AawBnAE4AKQAgACgARQBGAG0AVAApAFwAIgApADsAXABuAFwAbgBTAG8AdQByAGMAZQBEAGEAdABhAF8AUABvAHUAbAB0AHIAeQBfAEUARgBtAFQAXwBVAG4AaQB0AFwAbgAgACAAPQBMAEEATQBCAEQAQQAoAFwAIgBrAGcATgAyAE8AIAAtACAATgAgAC8AIABrAGcATgBcACIAKQA7AFwAbgBcAG4AUwBvAHUAcgBjAGUARABhAHQAYQBfAFAAbwB1AGwAdAByAHkAXwBFAEYAbQBUAF8AUwBvAHUAcgBjAGUAXABuACAAIAA9AEwAQQBNAEIARABBACgAXAAiAFYARQBFAFIARwAgADIAMAAyADYAOgAgAFQAYQBiAGwAZQAgAEEALgAxAC4ANwAuADMAXAAiACkAOwBcAG4AXABuAFMAbwB1AHIAYwBlAEQAYQB0AGEAXwBQAG8AdQBsAHQAcgB5AF8ARQBGAG0AVABfAFYAYQByAGkAYQB0AGkAbwBuAFwAbgAgACAAPQBMAEEATQBCAEQAQQAoAFwAIgBWAEEAUgBJAEEAVABJAE8ATgAgAE8ATgAgAFMATwBVAFIAQwBFADoAIABBAGQAZABlAGQAIABcAHUAMAAwADIANwBOAEkAUgAgAGQAZQBmAGkAbgBpAHQAaQBvAG4AIABjAG8AbAB1AG0AbgBcAHUAMAAwADIANwAuACAARAB1AHAAbABpAGMAYQB0AGUAZAAgAFwAdQAwADAAMgA3AFAAbwB1AGwAdAByAHkAIABtAGEAbgB1AHIAZQAgAHcAaQB0AGgAbwB1AHQAIABsAGkAdAB0AGUAcgBcAHUAMAAwADIANwAgAHIAbwB3ACAAZgBvAHIAIABOAEkAUgAgAE0ATQBTACAAXAB1ADAAMAAyADcAQgBlAGwAdAAgAG0AYQBuAHUAcgBlACAAcgBlAG0AbwB2AGEAbABcAHUAMAAwADIANwAgAGEAbgBkACAAXAB1ADAAMAAyADcATQBhAG4AdQByAGUAIABzAHQAbwByAGUAZAAgAGkAbgAgAGgAbwB1AHMAZQBcAHUAMAAwADIANwAuAFwAIgApADsAXABuAFwAbgBTAG8AdQByAGMAZQBEAGEAdABhAF8AUABvAHUAbAB0AHIAeQBfAEUARgBtAFQAXwBEAGEAdABhAFwAbgAgACAAPQBMAEEATQBCAEQAQQAoAFwAbgAgACAAIAAgAE0AQQBLAEUAQQBSAFIAQQBZACgAOQAsACAAMwAsACAAXABuACAAIAAgACAAIAAgAEwAQQBNAEIARABBACgAcgAsAGMALAAgAFwAbgAgACAAIAAgACAAIAAgACAASQBOAEQARQBYACgAewBcAG4AIAAgACAAIAAgACAAIAAgACAAIABcACIATQBNAFMAIABtAFwAIgAsACAAXAAiAEUARgBtAFQAXAAiACwAIABcACIATgBJAFIAIAByAGUAZgBlAHIAZQBuAGMAZQBcACIAOwBcAG4AIAAgACAAIAAgACAAIAAgACAAIABcACIAUABvAHUAbAB0AHIAeQAgAG0AYQBuAHUAcgBlACAAdwBpAHQAaAAgAGwAaQB0AHQAZQByACAAKABoAG8AdQBzAGkAbgBnACkAXAAiACwAIAAwAC4AMAAwADEALAAgAFwAIgBQAG8AdQBsAHQAcgB5ACAAbQBhAG4AdQByAGUAIAB3AGkAdABoACAAYgBlAGQAZABpAG4AZwBcACIAOwBcAG4AIAAgACAAIAAgACAAIAAgACAAIABcACIAUABvAHUAbAB0AHIAeQAgAG0AYQBuAHUAcgBlACAAdwBpAHQAaABvAHUAdAAgAGwAaQB0AHQAZQByACAAKABoAG8AdQBzAGkAbgBnACkAXAAiACwAIAAwAC4AMAAwADEALAAgAFwAIgBCAGUAbAB0ACAAbQBhAG4AdQByAGUAIAByAGUAbQBvAHYAYQBsAFwAIgA7AFwAbgAgACAAIAAgACAAIAAgACAAIAAgAFwAIgBQAG8AdQBsAHQAcgB5ACAAbQBhAG4AdQByAGUAIAB3AGkAdABoAG8AdQB0ACAAbABpAHQAdABlAHIAIAAoAGgAbwB1AHMAaQBuAGcAKQBcACIALAAgADAALgAwADAAMQAsACAAXAAiAE0AYQBuAHUAcgBlACAAcwB0AG8AcgBlAGQAIABpAG4AIABoAG8AdQBzAGUAXAAiADsAXABuACAAIAAgACAAIAAgACAAIAAgACAAXAAiAFAAYQBzAHQAdQByAGUAIAByAGEAbgBnAGUAIABhAG4AZAAgAHAAYQBkAGQAbwBjAGsAIAAoAGYAcgBlAGUAIAByAGEAbgBnAGUAKQBcACIALAAgADAALgAwADIALAAgAFwAIgBQAGEAcwB0AHUAcgBlACAAcgBhAG4AZwBlACAAYQBuAGQAIABwAGEAZABkAG8AYwBrAFwAIgA7AFwAbgAgACAAIAAgACAAIAAgACAAIAAgAFwAIgBTAG8AbABpAGQAIABzAHQAbwByAGEAZwBlACAAKABzAHQAbwBjAGsAcABpAGwAZQApAFwAIgAsACAAMAAuADAAMAA1ACwAIABcACIAUwBvAGwAaQBkACAAcwB0AG8AcgBhAGcAZQBcACIAOwBcAG4AIAAgACAAIAAgACAAIAAgACAAIABcACIAQwBvAG0AcABvAHMAdABpAG4AZwAgACgAcABhAHMAcwBpAHYAZQAgAHcAaQBuAGQAcgBvAHcAKQBcACIALAAgADAALgAwADEALAAgAFwAIgBDAG8AbQBwAG8AcwB0AGkAbgBnACAAKABwAGEAcwBzAGkAdgBlACAAdwBpAG4AZAByAG8AdwApAFwAIgA7AFwAbgAgACAAIAAgACAAIAAgACAAIAAgAFwAIgBEAGkAcgBlAGMAdAAgAHAAcgBvAGMAZQBzAHMAaQBuAGcAXAAiACwAIAAwACwAIABcACIARABpAHIAZQBjAHQAIABwAHIAbwBjAGUAcwBzAGkAbgBnAFwAIgA7AFwAbgAgACAAIAAgACAAIAAgACAAIAAgAFwAIgBBAG4AYQBlAHIAbwBiAGkAYwAgAGQAaQBnAGUAcwB0AGUAcgAgAC8AIABjAG8AdgBlAHIAZQBkACAAcABvAG4AZABcACIALAAgADAALAAgAFwAIgBEAGkAZwBlAHMAdABlAHIAIAAvACAAYwBvAHYAZQByAGUAZAAgAGwAYQBnAG8AbwBuAHMAXAAi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EYAcgBhAGMAdABpAG8AbgBPAGYATgBpAHQAcgBvAGcAZQBuAEwAbwBzAHQAVABoAHIAbwB1AGcAaABMAGUAYQBjAGgAaQBuAGcAQQBuAGQAUgB1AG4AbwBmAGYAXABuAEYAcgBhAGMAdABpAG8AbgAgAG8AZgAgAE4AIAB0AGgAYQB0ACAAaQBzACAAbABvAHMAdAAgAHQAaAByAG8AdQBnAGgAIABsAGUAYQBjAGgAaQBuAGcAIABhAG4AZAAgAHIAdQBuAG8AZgBmACAAKABkAGkAbQBlAG4AcwBpAG8AbgBsAGUAcwBzACkAXABuAC0ALQAtAC0ALQAtAC0ALQAtAC0ALQAtAC0ALQAtAC0ALQAtAC0ALQAtAC0ALQAtAC0ALQAtAC0ALQAtAC0ALQAtAC0ALQAtAC0ALQBcAG4AKgAvAFwAbgBcAG4AUwBvAHUAcgBjAGUARABhAHQAYQBfAFAAbwB1AGwAdAByAHkAXwBGAHIAYQBjAHQAaQBvAG4ATwBmAE4AaQB0AHIAbwBnAGUAbgBMAG8AcwB0AFQAaAByAG8AdQBnAGgATABlAGEAYwBoAGkAbgBnAEEAbgBkAFIAdQBuAG8AZgBmAF8AVABpAHQAbABlAFwAbgAgACAAPQBMAEEATQBCAEQAQQAoAFwAIgBGAHIAYQBjAHQAaQBvAG4AIABvAGYAIABOACAAdABoAGEAdAAgAGkAcwAgAGwAbwBzAHQAIAB0AGgAcgBvAHUAZwBoACAAbABlAGEAYwBoAGkAbgBnACAAYQBuAGQAIAByAHUAbgBvAGYAZgBcACIAKQA7AFwAbgBcAG4AUwBvAHUAcgBjAGUARABhAHQAYQBfAFAAbwB1AGwAdAByAHkAXwBGAHIAYQBjAHQAaQBvAG4ATwBmAE4AaQB0AHIAbwBnAGUAbgBMAG8AcwB0AFQAaAByAG8AdQBnAGgATABlAGEAYwBoAGkAbgBnAEEAbgBkAFIAdQBuAG8AZgBmAF8AVgBhAHIAaQBhAGIAbABlAFwAbgAgACAAPQBMAEEATQBCAEQAQQAoAFwAIgBGAHIAYQBjAF8ATABFAEEAQwBIAF8ATQBTAFwAIgApADsAXABuAFwAbgBTAG8AdQByAGMAZQBEAGEAdABhAF8AUABvAHUAbAB0AHIAeQBfAEYAcgBhAGMAdABpAG8AbgBPAGYATgBpAHQAcgBvAGcAZQBuAEwAbwBzAHQAVABoAHIAbwB1AGcAaABMAGUAYQBjAGgAaQBuAGcAQQBuAGQAUgB1AG4AbwBmAGYAXwBVAG4AaQB0AFwAbgAgACAAPQBMAEEATQBCAEQAQQAoAFwAIgBEAGkAbQBlAG4AcwBpAG8AbgBsAGUAcwBzAFwAIgApADsAXABuAFwAbgBTAG8AdQByAGMAZQBEAGEAdABhAF8AUABvAHUAbAB0AHIAeQBfAEYAcgBhAGMAdABpAG8AbgBPAGYATgBpAHQAcgBvAGcAZQBuAEwAbwBzAHQAVABoAHIAbwB1AGcAaABMAGUAYQBjAGgAaQBuAGcAQQBuAGQAUgB1AG4AbwBmAGYAXwBTAG8AdQByAGMAZQBcAG4AIAAgAD0ATABBAE0AQgBEAEEAKABcACIAVgBFAEUAUgBHACAAMgAwADIANgA6ACAANAAuADYALgAyAC4AMwAgAEMATwBOAFMAVABBAE4AVABTAFwAIgApADsAXABuAFwAbgBTAG8AdQByAGMAZQBEAGEAdABhAF8AUABvAHUAbAB0AHIAeQBfAEYAcgBhAGMAdABpAG8AbgBPAGYATgBpAHQAcgBvAGcAZQBuAEwAbwBzAHQAVABoAHIAbwB1AGcAaABMAGUAYQBjAGgAaQBuAGcAQQBuAGQAUgB1AG4AbwBmAGYAXwBWAGEAcgBpAGEAdABpAG8AbgBcAG4AIAAgAD0ATABBAE0AQgBEAEEAKABcACIAXAAiACkAOwBcAG4AXABuAFMAbwB1AHIAYwBlAEQAYQB0AGEAXwBQAG8AdQBsAHQAcgB5AF8ARgByAGEAYwB0AGkAbwBuAE8AZgBOAGkAdAByAG8AZwBlAG4ATABvAHMAdABUAGgAcgBvAHUAZwBoAEwAZQBhAGMAaABpAG4AZwBBAG4AZABSAHUAbgBvAGYAZgBfAEQAYQB0AGEAXABuACAAIAA9AEwAQQBNAEIARABBACgAMAAuADAAMgApADsAXABuAFwAbgBcAG4ALwAqACAAXABuAC0ALQAtAC0ALQAtAC0ALQAtAC0ALQAtAC0ALQAtAC0ALQAtAC0ALQAtAC0ALQAtAC0ALQAtAC0ALQAtAC0ALQAtAC0ALQAtAC0ALQBcAG4AUwBvAHUAcgBjAGUARABhAHQAYQBfAFAAbwB1AGwAdAByAHkAXwBGAHIAYQBjAEcAQQBNAFM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bwB1AGwAdAByAHkAXwBGAHIAYQBjAEcAQQBNAFM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8AdQBsAHQAcgB5AF8ARgByAGEAYwBHAEEATQBTAFMAbwBpAGwAXwBWAGEAcgBpAGEAYgBsAGUAXABuACAAIAA9AEwAQQBNAEIARABBACgAXAAiAEYAcgBhAGMARwBBAFMATQBfAHMAbwBpAGwAXAAiACkAOwBcAG4AXABuAFMAbwB1AHIAYwBlAEQAYQB0AGEAXwBQAG8AdQBsAHQAcgB5AF8ARgByAGEAYwBHAEEATQBTAFMAbwBpAGwAXwBVAG4AaQB0AFwAbgAgACAAPQBMAEEATQBCAEQAQQAoAFwAIgAoAGsAZwAgAE4ASAAzAC0ATgAgACsAIABOAE8AeAAtAE4AKQAvAGsAZwAgAE4AXAAiACkAOwBcAG4AXABuAFMAbwB1AHIAYwBlAEQAYQB0AGEAXwBQAG8AdQBsAHQAcgB5AF8ARgByAGEAYwBHAEEATQBTAFMAbwBpAGwAXwBTAG8AdQByAGMAZQBcAG4AIAAgAD0ATABBAE0AQgBEAEEAKABcACIAVgBFAEUAUgBHACAAMgAwADIANgA6ACAANAAuADYALgAyAC4AMwAgAEMATwBOAFMAVABBAE4AVABTAFwAIgApADsAXABuAFwAbgBTAG8AdQByAGMAZQBEAGEAdABhAF8AUABvAHUAbAB0AHIAeQBfAEYAcgBhAGMARwBBAE0AUwBTAG8AaQBsAF8AVgBhAHIAaQBhAHQAaQBvAG4AXABuACAAIAA9AEwAQQBNAEIARABBACgAXAAiAFYAQQBSAEkAQQBUAEkATwBOACAATwBOACAAUwBPAFUAUgBDAEUAOgAgAFQAaABpAHMAIABjAG8AbgBzAHQAYQBuAHQAIABpAHMAIABuAG8AdAAgAGQAbwBjAHUAbQBlAG4AdABlAGQAIABpAG4AIAB0AGgAZQAgAGQAcgBhAGYAdAAsACAAdQBzAGUAZAAgAHQAaABlACAAcwBhAG0AZQAgAHYAYQBsAHUAZQAgAG8AZgAgADAALgAyADEAIABhAHMAIABhAGwAbAAgAG8AdABoAGUAcgAgAGwAaQB2AGUAcwB0AG8AYwBrAC4AXAAiACkAOwBcAG4AXABuAFMAbwB1AHIAYwBlAEQAYQB0AGEAXwBQAG8AdQBsAHQAcgB5AF8ARgByAGEAYwBHAEEATQBTAFMAbwBpAGwAXwBEAGEAdABhAFwAbgAgACAAPQBMAEEATQBCAEQAQQAoADAALgAyADEAKQA7AFwAbgBcAG4AXABuAC8AKgAgAFwAbgAtAC0ALQAtAC0ALQAtAC0ALQAtAC0ALQAtAC0ALQAtAC0ALQAtAC0ALQAtAC0ALQAtAC0ALQAtAC0ALQAtAC0ALQAtAC0ALQAtAC0AXABuAFMAbwB1AHIAYwBlAEQAYQB0AGEAXwBQAG8AdQBsAHQAcgB5AF8ATABpAHYAZQB3AGUAaQBnAGgAdABzAFwAbgBUAGEAYgBsAGUAIABBAC4AMQAuADcALgA1ADoAIABQAG8AdQBsAHQAcgB5ACAALQAgAEwAaQB2AGUAdwBlAGkAZwBoAHQAcwAgACgAVwBjAG8AKQAgACgAawBnACkAXABuAC0ALQAtAC0ALQAtAC0ALQAtAC0ALQAtAC0ALQAtAC0ALQAtAC0ALQAtAC0ALQAtAC0ALQAtAC0ALQAtAC0ALQAtAC0ALQAtAC0ALQBcAG4AKgAvAFwAbgBcAG4AUwBvAHUAcgBjAGUARABhAHQAYQBfAFAAbwB1AGwAdAByAHkAXwBMAGkAdgBlAHcAZQBpAGcAaAB0AHMAXwBUAGkAdABsAGUAXABuACAAIAA9AEwAQQBNAEIARABBACgAXAAiAFAAbwB1AGwAdAByAHkAIAAtACAATABpAHYAZQB3AGUAaQBnAGgAdABzACAAKABXAGMAbwApACAAKABrAGcAKQBcACIAKQA7AFwAbgBcAG4AUwBvAHUAcgBjAGUARABhAHQAYQBfAFAAbwB1AGwAdAByAHkAXwBMAGkAdgBlAHcAZQBpAGcAaAB0AHMAXwBVAG4AaQB0AFwAbgAgACAAPQBMAEEATQBCAEQAQQAoAFwAIgBrAGcAXAAiACkAOwBcAG4AXABuAFMAbwB1AHIAYwBlAEQAYQB0AGEAXwBQAG8AdQBsAHQAcgB5AF8ATABpAHYAZQB3AGUAaQBnAGgAdABzAF8AUwBvAHUAcgBjAGUAXABuACAAIAA9AEwAQQBNAEIARABBACgAXAAiAFYARQBFAFIARwAgADIAMAAyADYAOgAgAFQAYQBiAGwAZQAgAEEALgAxAC4ANwAuADUAXAAiACkAOwBcAG4AXABuAFMAbwB1AHIAYwBlAEQAYQB0AGEAXwBQAG8AdQBsAHQAcgB5AF8ATABpAHYAZQB3AGUAaQBnAGgAdABzAF8AVgBhAHIAaQBhAHQAaQBvAG4AXABuACAAIAA9AEwAQQBNAEIARABBACgAXAAiAFwAIgApADsAXABuAFwAbgBTAG8AdQByAGMAZQBEAGEAdABhAF8AUABvAHUAbAB0AHIAeQBfAEwAaQB2AGUAdwBlAGkAZwBoAHQAcwBfAEQAYQB0AGEAXABuACAAIAA9AEwAQQBNAEIARABBACgAXABuACAAIAAgACAATQBBAEsARQBBAFIAUgBBAFkAKAA1ACwAIAAyACwAIABcAG4AIAAgACAAIAAgACAATABBAE0AQgBEAEEAKAByACwAYwAsACAAXABuACAAIAAgACAAIAAgACAAIABJAE4ARABFAFgAKAB7AFwAbgAgACAAIAAgACAAIAAgACAAIAAgAFwAIgBMAGkAdgBlAHMAdABvAGMAawAgAEMAbABhAHMAcwAgAGoAXAAiACwAIABcACIAQQB2AGUAcgBhAGcAZQAgAEwAaQB2AGUAdwBlAGkAZwBoAHQAIAAoAGsAZwApAFwAIgA7AFwAbgAgACAAIAAgACAAIAAgACAAIAAgAFwAIgBDAGgAaQBjAGsAZQBuAFwAIgAsACAAMQAuADMAOwBcAG4AIAAgACAAIAAgACAAIAAgACAAIABcACIASABlAG4AIABcAHUAMAAwADMAZQAvAD0AMQAgAHkAcgBcACIALAAgADIAOwBcAG4AIAAgACAAIAAgACAAIAAgACAAIABcACIAUAB1AGwAbABlAHQAcwBcACIALAAgADEALgA0ADsAXABuACAAIAAgACAAIAAgACAAIAAgACAAXAAiAEIAcgBvAGkAbABlAHIAcwBcACIALAAgADEALgAyAFwAbgAgACAAIAAgACAAIAAgACAAfQAsACAAcgAsACAAYwApAFwAbgAgACAAIAAgACAAIAApAFwAbgAgACAAIAAgACkAXABuACAAIAApADsAIgB9ACwAewAiAHAAYQB0AGgAIgA6ACIALwBwAHIAbwBqAGUAYwB0AHMALwBFAGwAZQBjAHQAcgBpAGMAaQB0AHkAXwBFAHEAdQBhAHQAaQBvAG4AcwAiACwAIgB0AGUAeAB0ACIAOgAiAC8AKgBcAG4APQA9AD0APQA9AD0APQA9AD0APQA9AD0APQA9AD0APQA9AD0APQA9AD0APQA9AD0APQA9AD0APQA9AD0APQA9AD0APQA9AD0APQA9AD0APQA9AD0APQA9AD0APQA9AD0APQA9AD0APQA9AD0APQA9AD0APQA9AD0APQA9AD0APQA9AD0APQA9AD0APQA9AD0APQA9AD0APQBcAG4AMQA0ADoAIABFAGwAZQBjAHQAcgBpAGMAaQB0AHkAXABuAD0APQA9AD0APQA9AD0APQA9AD0APQA9AD0APQA9AD0APQA9AD0APQA9AD0APQA9AD0APQA9AD0APQA9AD0APQA9AD0APQA9AD0APQA9AD0APQA9AD0APQA9AD0APQA9AD0APQA9AD0APQA9AD0APQA9AD0APQA9AD0APQA9AD0APQA9AD0APQA9AD0APQA9AD0APQA9AD0AXABuADEANAAuADEALgAxACAAUAB1AHIAYwBoAGEAcwBlAGQAIABFAGwAZQBjAHQAcgBpAGMAaQB0AHkAIAAoAEwAbwBjAGEAdABpAG8AbgAtAEIAYQBzAGUAZAApAFwAbgAxADQALgAxAC4AMgAgAFAAdQByAGMAaABhAHMAZQBkACAARQBsAGUAYwB0AHIAaQBjAGkAdAB5ACAAKABNAGEAcgBrAGUAdAAtAEIAYQBzAGUAZAAp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0AF8AMQBfADEAXwBfADEAXwBMAG8AYwBhAHQAaQBvAG4AQgBhAHMAZQBkAFMAYwBvAHAAZQBFAGwAZQBjAHQAcgBpAGMAaQB0AHkARQBtAGkAcwBzAGkAbwBuAHMAXABuAEwAbwBjAGEAdABpAG8AbgAtAGIAYQBzAGUAZAAgAFMAYwBvAHAAZQAgADIAIABlAG0AaQBzAHMAaQBvAG4AcwAgAGYAcgBvAG0AIABwAHUAcgBjAGgAYQBzAGUAZAAgAGUAbABlAGMAdAByAGkAYwBpAHQAeQBcAG4ARQBfADIAZQBsAGUAYwBcAG4AdAAgAEMATwAyAGUAXABuAEUAXwB7ADIALABlAGwAZQBjAH0APQBRAF8AewBlAGwAZQBjAH0AXABcAHQAaQBtAGUAcwAgAEUARgBfAHsAMgAsAGUAbABlAGMAfQBcAFwAdABpAG0AZQBzACAAMQAwAF4AewAtADMAfQBcAG4AUQBfAGUAbABlAGMAIAA9ACAAYQBtAG8AdQBuAHQAIABvAGYAIABlAGwAZQBjAHQAcgBpAGMAaQB0AHkAIABwAHUAcgBjAGgAYQBzAGUAZAAgAGYAcgBvAG0AIAB0AGgAZQAgAGcAcgBpAGQAIAAoAGsAVwBoACkAXABuAEUARgBfADIAZQBsAGUAYwAgAD0AIABsAG8AYwBhAHQAaQBvAG4ALQBiAGEAcwBlAGQAIABTAGMAbwBwAGUAIAAyACAAZQBtAGkAcwBzAGkAbwBuACAAZgBhAGMAdABvAHIAIABmAG8AcgAgAGUAbABlAGMAdAByAGkAYwBpAHQAeQAgACgAawBnACAAQwBPADIAZQAvAGsAVwBoACkAXABuAC0ALQAtAC0ALQAtAC0ALQAtAC0ALQAtAC0ALQAtAC0ALQAtAC0ALQAtAC0ALQAtAC0ALQAtAC0ALQAtAC0ALQAtAC0ALQAtAC0ALQBcAG4AKgAvAFwAbgBcAG4AVgBFAEUAUgBHAF8AMQA0AF8AMQBfADEAXwBfADEAXwBMAG8AYwBhAHQAaQBvAG4AQgBhAHMAZQBkAFMAYwBvAHAAZQBFAGwAZQBjAHQAcgBpAGMAaQB0AHkARQBtAGkAcwBzAGkAbwBuAHMAXABuACAAIAA9AEwAQQBNAEIARABBACgAXABuACAAIAAgACAAUQBfAGUAbABlAGMALAAgAEUARgBfADIAZQBsAGUAYwAsAFwAbgAgACAAIAAgAFEAXwBlAGwAZQBjACAAKgAgAEUARgBfADIAZQBsAGUAYwAgACoAIAAxADAAIABeACAALQAzAFwAbgAgACAAKQA7AFwAbgBcAG4AVgBFAEUAUgBHAF8AMQA0AF8AMQBfADEAXwBfADEAXwBMAG8AYwBhAHQAaQBvAG4AQgBhAHMAZQBkAFMAYwBvAHAAZQBFAGwAZQBjAHQAcgBpAGMAaQB0AHkARQBtAGkAcwBzAGkAbwBuAHMAXwBUAGkAdABsAGUAXABuACAAIAA9AEwAQQBNAEIARABBACgAXAAiAEwAbwBjAGEAdABpAG8AbgAtAGIAYQBzAGUAZAAgAFMAYwBvAHAAZQAgADIAIABlAG0AaQBzAHMAaQBvAG4AcwAgAGYAcgBvAG0AIABwAHUAcgBjAGgAYQBzAGUAZAAgAGUAbABlAGMAdAByAGkAYwBpAHQAeQBcACIAKQA7AFwAbgBcAG4AVgBFAEUAUgBHAF8AMQA0AF8AMQBfADEAXwBfADEAXwBMAG8AYwBhAHQAaQBvAG4AQgBhAHMAZQBkAFMAYwBvAHAAZQBFAGwAZQBjAHQAcgBpAGMAaQB0AHkARQBtAGkAcwBzAGkAbwBuAHMAXwBWAGEAcgBpAGEAYgBsAGUAXABuACAAIAA9AEwAQQBNAEIARABBACgAXAAiAEUAXwAyAGUAbABlAGMAXAAiACkAOwBcAG4AXABuAFYARQBFAFIARwBfADEANABfADEAXwAxAF8AXwAxAF8ATABvAGMAYQB0AGkAbwBuAEIAYQBzAGUAZABTAGMAbwBwAGUARQBsAGUAYwB0AHIAaQBjAGkAdAB5AEUAbQBpAHMAcwBpAG8AbgBzAF8AVQBuAGkAdABcAG4AIAAgAD0ATABBAE0AQgBEAEEAKABcACIAdAAgAEMATwAyAGUAXAAiACkAOwBcAG4AXABuAFYARQBFAFIARwBfADEANABfADEAXwAxAF8AXwAxAF8ATABvAGMAYQB0AGkAbwBuAEIAYQBzAGUAZABTAGMAbwBwAGUARQBsAGUAYwB0AHIAaQBjAGkAdAB5AEUAbQBpAHMAcwBpAG8AbgBzAF8AUwBvAHUAcgBjAGUAXABuACAAIAA9AEwAQQBNAEIARABBACgAXAAiAFYARQBFAFIARwAgADIAMAAyADYAOgAgADEANAAuADEALgAxACwAIABFAHEAdQBhAHQAaQBvAG4AIAAoADEAKQBcACIAKQA7AFwAbgBcAG4AVgBFAEUAUgBHAF8AMQA0AF8AMQBfADEAXwBfADEAXwBMAG8AYwBhAHQAaQBvAG4AQgBhAHMAZQBkAFMAYwBvAHAAZQBFAGwAZQBjAHQAcgBpAGMAaQB0AHkARQBtAGkAcwBzAGkAbwBuAHMAXwBOAEkAUgBSAGUAZgBlAHIAZQBuAGMAZQBcAG4AIAAgAD0ATABBAE0AQgBEAEEAKABcACIAXAAiACkAOwBcAG4AXABuAFYARQBFAFIARwBfADEANABfADEAXwAxAF8AXwAxAF8ATABvAGMAYQB0AGkAbwBuAEIAYQBzAGUAZABTAGMAbwBwAGUARQBsAGUAYwB0AHIAaQBjAGkAdAB5AEUAbQBpAHMAcwBpAG8AbgBzAF8ATABhAHQAZQB4AEUAcQB1AGEAdABpAG8AbgBcAG4AIAAgAD0ATABBAE0AQgBEAEEAKABcACIARQBfAHsAMgAsAGUAbABlAGMAfQA9AFEAXwB7AGUAbABlAGMAfQBcAFwAdABpAG0AZQBzACAARQBGAF8AewAyACwAZQBsAGUAYwB9AFwAXAB0AGkAbQBlAHMAIAAxADAAXgB7AC0AMwB9AFwAIgApADsAXABuAFwAbgBWAEUARQBSAEcAXwAxADQAXwAxAF8AMQBfAF8AMQBfAEwAbwBjAGEAdABpAG8AbgBCAGEAcwBlAGQAUwBjAG8AcABlAEUAbABlAGMAdAByAGkAYwBpAHQAeQBFAG0AaQBzAHMAaQBvAG4Acw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IAZQBsAGUAYwBcACIALAAgAFwAIgBsAG8AYwBhAHQAaQBvAG4ALQBiAGEAcwBlAGQAIABTAGMAbwBwAGUAIAAyACAAZQBtAGkAcwBzAGkAbwBuACAAZgBhAGMAdABvAHIAIABmAG8AcgAgAGUAbABlAGMAdAByAGkAYwBpAHQAeQBcACIALAAgAFwAIgBrAGcAIABDAE8AMgBlAC8AawBXAGgAXAAiACwAIABcACIAQwBvAG4AcwB0AGEAbgB0AFwAIgA7AFwAbgAgACAAIAAgACAAIAAgACAAIAAgAFwAIgBnAFwAIgAsACAAXAAiAEcAcgBpAGQAIABlAGwAZQBjAHQAcgBpAGMAaQB0AHkAIAB3AGEAcwAgAHAAdQByAGMAaABhAHMAZQBkACAAZgByAG8AbQBcACIALAAgAFwAIgBcACIALAAgAFwAIgBJAG4AcAB1AHQAXAAiAFwAbgAgACAAIAAgACAAIAAgACAAfQAsACAAcgAsACAAYwApAFwAbgAgACAAIAAgACAAIAApAFwAbgAgACAAIAAgACkAXABuACAAIAApADsAXABuAFwAbgBWAEUARQBSAEcAXwAxADQAXwAxAF8AMQBfAF8AMQBfAEwAbwBjAGEAdABpAG8AbgBCAGEAcwBlAGQAUwBjAG8AcABlAEUAbABlAGMAdAByAGkAYwBpAHQAeQBFAG0AaQBzAHMAaQBvAG4AcwBfAFYAYQByAGkAYQB0AGkAbwBuAFwAbgAgACAAPQBMAEEATQBCAEQAQQAoAFwAIgBBAGQAZABlAGQAIABnACAAdgBhAHIAaQBhAGIAbABlACAAdABvACAAYwBhAHAAdAB1AHIAZQAgAHcAaABpAGMAaAAgAGcAcgBpAGQAIABlAGwAZQBjAHQAcgBpAGMAaQB0AHkAIAB3AGEAcwAgAHAAdQByAGMAaABhAHMAZQBkACAAZgByAG8AbQBcACIAKQA7AFwAbgBcAG4ALwAqAFwAbgAtAC0ALQAtAC0ALQAtAC0ALQAtAC0ALQAtAC0ALQAtAC0ALQAtAC0ALQAtAC0ALQAtAC0ALQAtAC0ALQAtAC0ALQAtAC0ALQAtAC0AXABuAFYARQBFAFIARwBfADEANABfADEAXwAyAF8AXwAxAF8ATQBhAHIAawBlAHQAQgBhAHMAZQBkAFMAYwBvAHAAZQBFAGwAZQBjAHQAcgBpAGMAaQB0AHkARQBtAGkAcwBzAGkAbwBuAHMAXABuAE0AYQByAGsAZQB0AC0AYgBhAHMAZQBkACAAUwBjAG8AcABlACAAMgAgAGUAbQBpAHMAcwBpAG8AbgBzACAAZgByAG8AbQAgAHAAdQByAGMAaABhAHMAZQBkACAAZQBsAGUAYwB0AHIAaQBjAGkAdAB5AFwAbgBFAF8AMgBlAGwAZQBjAFwAbgB0ACAAQwBPADIAZQBcAG4ARQBfAHsAMgAsAGUAbABlAGMAfQA9ACgAKABRAF8AewBlAGwAZQBjAH0AXABcAHQAaQBtAGUAcwAoADEALQAoAFIAUABQACsASgBSAFAAUAApACkAKQAtACgAKABSAEUAQwBfAHsAcwB1AHIAcgBlAG4AZABlAHIAZQBkAH0ALQBSAEUAQwBfAHsAbwBuAHMAaQB0AGUAfQApAFwAXAB0AGkAbQBlAHMAIAAxADAAXgB7AC0AMwB9ACkAKQBcAFwAdABpAG0AZQBzACAARQBGAF8AewBSAE0ARgAyACwAZQBsAGUAYwB9AFwAXAB0AGkAbQBlAHMAIAAxADAAXgB7AC0AMwB9AFwAbgBRAF8AZQBsAGUAYwAgAD0AIABhAG0AbwB1AG4AdAAgAG8AZgAgAGUAbABlAGMAdAByAGkAYwBpAHQAeQAgAHAAdQByAGMAaABhAHMAZQBkACAAZgByAG8AbQAgAHQAaABlACAAZwByAGkAZAAgACgAawBXAGgAKQBcAG4AUgBQAFAAIAA9ACAAUgBlAG4AZQB3AGEAYgBsAGUAIABQAG8AdwBlAHIAIABQAGUAcgBjAGUAbgB0AGEAZwBlACAAdQBuAGQAZQByACAAdABoAGUAIABMAGEAcgBnAGUALQBzAGMAYQBsAGUAIABSAGUAbgBlAHcAYQBiAGwAZQAgAEUAbgBlAHIAZwB5ACAAVABhAHIAZwBlAHQAIAAoAEwAUgBFAFQAKQAgAGYAbwByACAAdABoAGUAIABhAHAAcABsAGkAYwBhAGIAbABlACAAcABlAHIAaQBvAGQAIAAoAHAAZQByACAAYwBlAG4AdAApAFwAbgBKAFIAUABQACAAPQAgAGoAdQByAGkAcwBkAGkAYwB0AGkAbwBuAGEAbAAgAHIAZQBuAGUAdwBhAGIAbABlACAAcABvAHcAZQByACAAcABlAHIAYwBlAG4AdABhAGcAZQAgAGYAbwByACAAdABoAGUAIABhAHAAcABsAGkAYwBhAGIAbABlACAAcABlAHIAaQBvAGQAIAAoAG8AbgBsAHkAIABhAHAAcABsAGkAZQBzACAAdABvACAAdABoAGUAIABBAEMAVAApACAAKABwAGUAcgAgAGMAZQBuAHQAKQBcAG4AUgBFAEMAXwBzAHUAcgByAGUAbgBkAGUAcgBlAGQAIAA9ACAAbgB1AG0AYgBlAHIAIABvAGYAIABlAGwAaQBnAGkAYgBsAGUAIABSAGUAbgBlAHcAYQBiAGwAZQAgAEUAbgBlAHIAZwB5ACAAQwBlAHIAdABpAGYAaQBjAGEAdABlAHMAIAB2AG8AbAB1AG4AdABhAHIAaQBsAHkAIABzAHUAcgByAGUAbgBkAGUAcgBlAGQAIABpAG4AIAB0AGgAZQAgAHIAZQBwAG8AcgB0AGkAbgBnACAAeQBlAGEAcgAgAGUAcQB1AGkAdgBhAGwAZQBuAHQAIAB0AG8AIABtAGUAZwBhAHcAYQB0AHQAIABoAG8AdQByAHMAIAAoAE0AVwBoACkAXABuAFIARQBDAF8AbwBuAHMAaQB0AGUAIAA9ACAAbgB1AG0AYgBlAHIAIABvAGYAIABlAGwAaQBnAGkAYgBsAGUAIABSAGUAbgBlAHcAYQBiAGwAZQAgAEUAbgBlAHIAZwB5ACAAQwBlAHIAdABpAGYAaQBjAGEAdABlAHMAIAB0AGgAYQB0ACAAaABhAHYAZQAgAGIAZQBlAG4AIABvAHIAIAB3AGkAbABsACAAYgBlACAAaQBzAHMAdQBlAGQAIABmAG8AcgAgAGUAbABlAGMAdAByAGkAYwBpAHQAeQAgAHAAcgBvAGQAdQBjAGUAZAAgAG8AbgAtAHMAaQB0AGUAIABkAHUAcgBpAG4AZwAgAHQAaABlACAAeQBlAGEAcgAgAGEAbgBkACAAYwBvAG4AcwB1AG0AZQBkACAAYgB5ACAAdABoAGUAIABlAG4AdABpAHQAeQAgAGUAcQB1AGkAdgBhAGwAZQBuAHQAIAB0AG8AIABtAGUAZwBhAHcAYQB0AHQAIABoAG8AdQByAHMAIAAoAE0AVwBoACkAXABuAEUARgBfAFIATQBGADIAZQBsAGUAYwAgAD0AIABTAGMAbwBwAGUAIAAyACAAcgBlAHMAaQBkAHUAYQBsACAAbQBpAHgAIABlAG0AaQBzAHMAaQBvAG4AIABmAGEAYwB0AG8AcgAgAGYAbwByACAAZQBsAGUAYwB0AHIAaQBjAGkAdAB5ACAAKABrAGcAIABDAE8AMgBlAC8AawBXAGgAKQBcAG4ALQAtAC0ALQAtAC0ALQAtAC0ALQAtAC0ALQAtAC0ALQAtAC0ALQAtAC0ALQAtAC0ALQAtAC0ALQAtAC0ALQAtAC0ALQAtAC0ALQAtAFwAbgAqAC8AXABuAFwAbgBWAEUARQBSAEcAXwAxADQAXwAxAF8AMgBfAF8AMQBfAE0AYQByAGsAZQB0AEIAYQBzAGUAZABTAGMAbwBwAGUARQBsAGUAYwB0AHIAaQBjAGkAdAB5AEUAbQBpAHMAcwBpAG8AbgBzAFwAbgAgACAAPQBMAEEATQBCAEQAQQAoAFwAbgAgACAAIAAgAFEAXwBlAGwAZQBjACwAIABSAFAAUAAsACAASgBSAFAAUAAsACAAUgBFAEMAXwBzAHUAcgByAGUAbgBkAGUAcgBlAGQALAAgAFIARQBDAF8AbwBuAHMAaQB0AGUALAAgAEUARgBfAFIATQBGADIAZQBsAGUAYwAsAFwAbgAgACAAIAAgACgAKABRAF8AZQBsAGUAYwAgACoAIAAoADEAIAAtACAAKABSAFAAUAAgACsAIABKAFIAUABQACkAKQApACAALQAgACgAKABSAEUAQwBfAHMAdQByAHIAZQBuAGQAZQByAGUAZAAgAC0AIABSAEUAQwBfAG8AbgBzAGkAdABlACkAIAAqACAAMQAwACAAXgAgAC0AMwApACkAIAAqACAARQBGAF8AUgBNAEYAMgBlAGwAZQBjACAAKgAgADEAMAAgAF4AIAAtADMAXABuACAAIAApADsAXABuAFwAbgBWAEUARQBSAEcAXwAxADQAXwAxAF8AMgBfAF8AMQBfAE0AYQByAGsAZQB0AEIAYQBzAGUAZABTAGMAbwBwAGUARQBsAGUAYwB0AHIAaQBjAGkAdAB5AEUAbQBpAHMAcwBpAG8AbgBzAFYAYQByAGkAYQB0AGkAbwBuAFwAbgAgACAAPQBMAEEATQBCAEQAQQAoAFwAbgAgACAAIAAgAFEAXwBlAGwAZQBjACwAIABSAFAAUAAsACAASgBSAFAAUAAsACAAUgBFAEMAXwBzAHUAcgByAGUAbgBkAGUAcgBlAGQALAAgAFIARQBDAF8AbwBuAHMAaQB0AGUALAAgAEUARgBfAFIATQBGADIAZQBsAGUAYwAsAFwAbgAgACAAIAAgACgAKABRAF8AZQBsAGUAYwAgACoAIAAoADEAIAAtACAAKABSAFAAUAAgACsAIABKAFIAUABQACkAKQApACAALQAgACgAKABSAEUAQwBfAHMAdQByAHIAZQBuAGQAZQByAGUAZAAgAC0AIABSAEUAQwBfAG8AbgBzAGkAdABlACkAIAAqACAAMQAwACAAXgAgADMAKQApACAAKgAgAEUARgBfAFIATQBGADIAZQBsAGUAYwAgACoAIAAxADAAIABeACAALQAzAFwAbgAgACAAKQA7AFwAbgBcAG4AVgBFAEUAUgBHAF8AMQA0AF8AMQBfADIAXwBfADEAXwBNAGEAcgBrAGUAdABCAGEAcwBlAGQAUwBjAG8AcABlAEUAbABlAGMAdAByAGkAYwBpAHQAeQBFAG0AaQBzAHMAaQBvAG4AcwBfAFQAaQB0AGwAZQBcAG4AIAAgAD0ATABBAE0AQgBEAEEAKABcACIATQBhAHIAawBlAHQALQBiAGEAcwBlAGQAIABTAGMAbwBwAGUAIAAyACAAZQBtAGkAcwBzAGkAbwBuAHMAIABmAHIAbwBtACAAcAB1AHIAYwBoAGEAcwBlAGQAIABlAGwAZQBjAHQAcgBpAGMAaQB0AHkAXAAiACkAOwBcAG4AXABuAFYARQBFAFIARwBfADEANABfADEAXwAyAF8AXwAxAF8ATQBhAHIAawBlAHQAQgBhAHMAZQBkAFMAYwBvAHAAZQBFAGwAZQBjAHQAcgBpAGMAaQB0AHkARQBtAGkAcwBzAGkAbwBuAHMAXwBWAGEAcgBpAGEAYgBsAGUAXABuACAAIAA9AEwAQQBNAEIARABBACgAXAAiAEUAXwAyAGUAbABlAGMAXAAiACkAOwBcAG4AXABuAFYARQBFAFIARwBfADEANABfADEAXwAyAF8AXwAxAF8ATQBhAHIAawBlAHQAQgBhAHMAZQBkAFMAYwBvAHAAZQBFAGwAZQBjAHQAcgBpAGMAaQB0AHkARQBtAGkAcwBzAGkAbwBuAHMAXwBVAG4AaQB0AFwAbgAgACAAPQBMAEEATQBCAEQAQQAoAFwAIgB0ACAAQwBPADIAZQBcACIAKQA7AFwAbgBcAG4AVgBFAEUAUgBHAF8AMQA0AF8AMQBfADIAXwBfADEAXwBNAGEAcgBrAGUAdABCAGEAcwBlAGQAUwBjAG8AcABlAEUAbABlAGMAdAByAGkAYwBpAHQAeQBFAG0AaQBzAHMAaQBvAG4AcwBfAFMAbwB1AHIAYwBlAFwAbgAgACAAPQBMAEEATQBCAEQAQQAoAFwAIgBWAEUARQBSAEcAIAAyADAAMgA2ADoAIAAxADQALgAxAC4AMgAsACAARQBxAHUAYQB0AGkAbwBuACAAKAAxACkAXAAiACkAOwBcAG4AXABuAFYARQBFAFIARwBfADEANABfADEAXwAyAF8AXwAxAF8ATQBhAHIAawBlAHQAQgBhAHMAZQBkAFMAYwBvAHAAZQBFAGwAZQBjAHQAcgBpAGMAaQB0AHkARQBtAGkAcwBzAGkAbwBuAHMAXwBOAEkAUgBSAGUAZgBlAHIAZQBuAGMAZQBcAG4AIAAgAD0ATABBAE0AQgBEAEEAKABcACIAXAAiACkAOwBcAG4AXABuAFYARQBFAFIARwBfADEANABfADEAXwAyAF8AXwAxAF8ATQBhAHIAawBlAHQAQgBhAHMAZQBkAFMAYwBvAHAAZQBFAGwAZQBjAHQAcgBpAGMAaQB0AHkARQBtAGkAcwBzAGkAbwBuAHMAXwBMAGEAdABlAHgARQBxAHUAYQB0AGkAbwBuAFwAbgAgACAAPQBMAEEATQBCAEQAQQAoAFwAIgBFAF8AewAyACwAZQBsAGUAYwB9AD0AKABRAF8AewBlAGwAZQBjAH0AIABcAFwAdABpAG0AZQBzACAAKAAxAC0AKABSAFAAUAArAEoAUgBQAFAAKQApACAALQAgACgAKABSAEUAQwBfAHsAcwB1AHIAcgBlAG4AZABlAHIAZQBkAH0ALQBSAEUAQwBfAHsAbwBuAHMAaQB0AGUAfQApAFwAXAB0AGkAbQBlAHMAIAAxADAAXgB7AC0AMwB9ACkAKQAgAFwAXAB0AGkAbQBlAHMAIABFAEYAXwB7AFIATQBGADIALABlAGwAZQBjAH0AIABcAFwAdABpAG0AZQBzACAAMQAwAF4AewAtADMAfQBcACIAKQA7AFwAbgBcAG4AVgBFAEUAUgBHAF8AMQA0AF8AMQBfADIAXwBfADEAXwBNAGEAcgBrAGUAdABCAGEAcwBlAGQAUwBjAG8AcABlAEUAbABlAGMAdAByAGkAYwBpAHQAeQBFAG0AaQBzAHMAaQBvAG4AcwBWAGEAcgBpAGEAdABpAG8AbgBfAEwAYQB0AGUAeABFAHEAdQBhAHQAaQBvAG4AXABuACAAIAA9AEwAQQBNAEIARABBACgAXAAiAEUAXwB7ADIALABlAGwAZQBjAH0APQAoAFEAXwB7AGUAbABlAGMAfQAgAFwAXAB0AGkAbQBlAHMAIAAoADEALQAoAFIAUABQACsASgBSAFAAUAApACkAIAAtACAAKAAoAFIARQBDAF8AewBzAHUAcgByAGUAbgBkAGUAcgBlAGQAfQAtAFIARQBDAF8AewBvAG4AcwBpAHQAZQB9ACkAXABcAHQAaQBtAGUAcwAgADEAMABeAHsAMwB9ACkAKQAgAFwAXAB0AGkAbQBlAHMAIABFAEYAXwB7AFIATQBGADIALABlAGwAZQBjAH0AIABcAFwAdABpAG0AZQBzACAAMQAwAF4AewAtADMAfQBcACIAKQA7AFwAbgBcAG4AVgBFAEUAUgBHAF8AMQA0AF8AMQBfADIAXwBfADEAXwBNAGEAcgBrAGUAdABCAGEAcwBlAGQAUwBjAG8AcABlAEUAbABlAGMAdAByAGkAYwBpAHQAeQBFAG0AaQBzAHMAaQBvAG4Acw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FIAZQBuAGUAdwBhAGIAbABlACAAUABvAHcAZQByACAAUABlAHIAYwBlAG4AdABhAGcAZQAgAHUAbgBkAGUAcgAgAHQAaABlACAATABhAHIAZwBlAC0AcwBjAGEAbABlACAAUgBlAG4AZQB3AGEAYgBsAGUAIABFAG4AZQByAGcAeQAgAFQAYQByAGcAZQB0ACAAKABMAFIARQBUACkAXAAiACwAIABcACIAcABlAHIAIABjAGUAbgB0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CAAKABBAEMAVAAgAG8AbgBsAHkAKQBcACIALAAgAFwAIgBwAGUAcgAgAGMAZQBuAHQAXAAiACwAIABcACIASQBuAHAAdQB0AFwAIgA7AFwAbgAgACAAIAAgACAAIAAgACAAIAAgAFwAIgBSAEUAQwBfAHMAdQByAHIAZQBuAGQAZQByAGUAZABcACIALAAgAFwAIgBSAGUAbgBlAHcAYQBiAGwAZQAgAEUAbgBlAHIAZwB5ACAAQwBlAHIAdABpAGYAaQBjAGEAdABlAHMAIAB2AG8AbAB1AG4AdABhAHIAaQBsAHkAIABzAHUAcgByAGUAbgBkAGUAcgBlAGQAIABpAG4AIAB0AGgAZQAgAHIAZQBwAG8AcgB0AGkAbgBnACAAeQBlAGEAcgBcACIALAAgAFwAIgBNAFcAaABcACIALAAgAFwAIgBJAG4AcAB1AHQAXAAiADsAXABuACAAIAAgACAAIAAgACAAIAAgACAAXAAiAFIARQBDAF8AbwBuAHMAaQB0AGUAXAAiACwAIABcACIAUgBlAG4AZQB3AGEAYgBsAGUAIABFAG4AZQByAGcAeQAgAEMAZQByAHQAaQBmAGkAYwBhAHQAZQBzACAAaQBzAHMAdQBlAGQAIABmAG8AcgAgAGUAbABlAGMAdAByAGkAYwBpAHQAeQAgAHAAcgBvAGQAdQBjAGUAZAAgAG8AbgAtAHMAaQB0AGUAIABkAHUAcgBpAG4AZwAgAHQAaABlACAAeQBlAGEAcgAgAGEAbgBkACAAYwBvAG4AcwB1AG0AZQBkACAAYgB5ACAAdABoAGUAIABlAG4AdABpAHQAeQBcACIALAAgAFwAIgBNAFcAaABcACIALAAgAFwAIgBJAG4AcAB1AHQAXAAiADsAXABuACAAIAAgACAAIAAgACAAIAAgACAAXAAiAEUARgBfAFIATQBGADIAZQBsAGUAYwBcACIALAAgAFwAIgBTAGMAbwBwAGUAIAAyACAAcgBlAHMAaQBkAHUAYQBsACAAbQBpAHgAIABlAG0AaQBzAHMAaQBvAG4AIABmAGEAYwB0AG8AcgAgAGYAbwByACAAZQBsAGUAYwB0AHIAaQBjAGkAdAB5AFwAIgAsACAAXAAiAGsAZwAgAEMATwAyAGUALwBrAFcAaA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EANABfADEAXwAyAF8AXwAxAF8ATQBhAHIAawBlAHQAQgBhAHMAZQBkAFMAYwBvAHAAZQBFAGwAZQBjAHQAcgBpAGMAaQB0AHkARQBtAGkAcwBzAGkAbwBuAHMAXwBWAGEAcgBpAGEAdABpAG8AbgBcAG4AIAAgAD0ATABBAE0AQgBEAEEAKABcACIAVgBBAFIASQBBAFQASQBPAE4AIABPAE4AIABTAE8AVQBSAEMARQA6ACAASQBuACAAbwByAGQAZQByACAAdABvACAAYwBvAG4AdgBlAHIAdAAgAG0AZQBnAGEAdwBhAHQAdAAgAGgAbwB1AHIAcwAgAHQAbwAgAGsAaQBsAG8AdwBhAHQAdAAgAGgAbwB1AHIAcwAsACAAdABoAGUAIABSAEUAQwBfAHMAdQByAHIAZQBuAGQAZQByAGUAZAAgAGEAbgBkACAAUgBFAEMAXwBvAG4AcwBpAHQAZQAgAHYAYQByAGkAYQBiAGwAZQBzACAAYQByAGUAIABtAHUAbAB0AGkAcABsAGkAZQBkACAAYgB5ACAAMQAwAF4AMwAgAGkAbgBzAHQAZQBhAGQAIABvAGYAIAAxADAAXgAtADMALgBcACIAKQA7AFwAbgAiAH0ALAB7ACIAcABhAHQAaAAiADoAIgAvAHAAcgBvAGoAZQBjAHQAcwAvAEUAbABlAGMAdAByAGkAYwBpAHQAeQBfAFMAbwB1AHIAYwBlAEQAYQB0AGEAIgAsACIAdABlAHgAdAAiADoAIgAvACoAXABuAD0APQA9AD0APQA9AD0APQA9AD0APQA9AD0APQA9AD0APQA9AD0APQA9AD0APQA9AD0APQA9AD0APQA9AD0APQA9AD0APQA9AD0APQA9AD0APQA9AD0APQA9AD0APQA9AD0APQA9AD0APQA9AD0APQA9AD0APQA9AD0APQA9AD0APQA9AD0APQA9AD0APQA9AD0APQA9AD0AXABu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IABcAG4APQA9AD0APQA9AD0APQA9AD0APQA9AD0APQA9AD0APQA9AD0APQA9AD0APQA9AD0APQA9AD0APQA9AD0APQA9AD0APQA9AD0APQA9AD0APQA9AD0APQA9AD0APQA9AD0APQA9AD0APQA9AD0APQA9AD0APQA9AD0APQA9AD0APQA9AD0APQA9AD0APQA9AD0APQA9AD0APQBcAG4AKgAvAFwAbgBcAG4ARQBsAGUAYwB0AHIAaQBjAGkAdAB5AF8AUwBjAG8AcABlADIAUwBjAG8AcABlADMATABvAGMAYQB0AGkAbwBuAEIAYQBzAGUAZABfAFQAaQB0AGwAZQBcAG4APQBMAEEATQBCAEQAQQAoACgAXAAiAEUAbABlAGMAdAByAGkAYwBpAHQAeQAgAHMAYwBvAHAAZQAgADIAIABhAG4AZAAgAHMAYwBvAHAAZQAgADMAIABsAG8AYwBhAHQAaQBvAG4ALQBiAGEAcwBlAGQAIABlAG0AaQBzAHMAaQBvAG4AIABmAGEAYwB0AG8AcgBzAFwAIgApACkAOwBcAG4AXABuAEUAbABlAGMAdAByAGkAYwBpAHQAeQBfAFMAYwBvAHAAZQAyAEwAbwBjAGEAdABpAG8AbgBCAGEAcwBlAGQAXwBEAGUAcwBjAHIAaQBwAHQAaQBvAG4AXABuAD0ATABBAE0AQgBEAEEAKAAoAFwAI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FwAIgApACkAOwBcAG4AXABuAEUAbABlAGMAdAByAGkAYwBpAHQAeQBfAFMAYwBvAHAAZQAyAFMAYwBvAHAAZQAzAEwAbwBjAGEAdABpAG8AbgBCAGEAcwBlAGQAXwBTAG8AdQByAGMAZQBcAG4APQBMAEEATQBCAEQAQQAoACgAXAAiAEEAdQBzAHQAcgBhAGwAaQBhAG4AIABOAGEAdABpAG8AbgBhAGwAIABHAHIAZQBlAG4AaABvAHUAcwBlACAAQQBjAGMAbwB1AG4AdABzACAARgBhAGMAdABvAHIAcwAgADIAMAAyADUAIAAtACAAVABhAGIAbABlACAAMQBcACIAKQApADsAXABuAFwAbgBFAGwAZQBjAHQAcgBpAGMAaQB0AHkAXwBTAGMAbwBwAGUAMgBTAGMAbwBwAGUAMwBMAG8AYwBhAHQAaQBvAG4AQgBhAHMAZQBkAF8ARABhAHQAYQBcAG4APQBMAEEATQBCAEQAQQAoAFwAbgAgACAATQBBAEsARQBBAFIAUgBBAFkAKAAxADEALAAgADM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wAgAEUAbQBpAHMAcwBpAG8AbgAgAEYAYQBjAHQAbwByAHMAIAAoAGsAZwAgAEMATwAyAC0AZQAvAGsAVwBoACkAXAAiADsAXABuACAAIAAgACAAIAAgACAAIABcACIATgBlAHcAIABTAG8AdQB0AGgAIABXAGEAbABlAHMAXAAiACwAIAAwAC4ANgA0ACwAIAAwAC4AMAAzADsAXABuACAAIAAgACAAIAAgACAAIABcACIAQQBDAFQAXAAiACwAIAAwAC4ANgA0ACwAIAAwAC4AMAAzADsAXABuACAAIAAgACAAIAAgACAAIABcACIAVgBpAGMAdABvAHIAaQBhAFwAIgAsACAAMAAuADcAOAAsACAAMAAuADAAOQA7AFwAbgAgACAAIAAgACAAIAAgACAAXAAiAFEAdQBlAGUAbgBzAGwAYQBuAGQAXAAiACwAIAAwAC4ANgA3ACwAIAAwAC4AMAA5ADsAXABuACAAIAAgACAAIAAgACAAIABcACIAUwBvAHUAdABoACAAQQB1AHMAdAByAGEAbABpAGEAXAAiACwAIAAwAC4AMgAyACwAIAAwAC4AMAA0ADsAXABuACAAIAAgACAAIAAgACAAIABcACIAVwBlAHMAdABlAHIAbgAgAEEAdQBzAHQAcgBhAGwAaQBhACAALQAgAFMAbwB1AHQAaAAgAFcAZQBzAHQAIABJAG4AdABlAHIAYwBvAG4AbgBlAGMAdABlAGQAIABTAHkAcwB0AGUAbQAgACgAUwBXAEkAUwApAFwAIgAsACAAMAAuADUAMAAsACAAMAAuADAANgA7AFwAbgAgACAAIAAgACAAIAAgACAAXAAiAFcAZQBzAHQAZQByAG4AIABBAHUAcwB0AHIAYQBsAGkAYQAgAC0AIABOAG8AcgB0AGgAIABXAGUAcwB0AGUAcgBuACAASQBuAHQAZQByAGMAbwBuAG4AZQBjAHQAZQBkACAAUwB5AHMAdABlAG0AIAAoAE4AVwBJAFMAKQBcACIALAAgADAALgA1ADYALAAgADAALgAwADkAOwBcAG4AIAAgACAAIAAgACAAIAAgAFwAIgBUAGEAcwBtAGEAbgBpAGEAXAAiACwAIAAwAC4AMgAwACwAIAAwAC4AMAAzADsAXABuACAAIAAgACAAIAAgACAAIABcACIATgBvAHIAdABoAGUAcgBuACAAVABlAHIAcgBpAHQAbwByAHkAIAAtACAARABhAHIAdwBpAG4AIABLAGEAdABoAGUAcgBpAG4AZQAgAEkAbgB0AGUAcgBjAG8AbgBuAGUAYwB0AGUAZAAgAFMAeQBzAHQAZQBtACAAKABEAEsASQBTACkAXAAiACwAIAAwAC4ANQA2ACwAIAAwAC4AMAA5ADsAXABuACAAIAAgACAAIAAgACAAIABcACIATgBhAHQAaQBvAG4AYQBsAFwAIgAsACAAMAAuADYAMgAsACAAMAAuADAANwBcAG4AIAAgACAAIAAgACAAfQAsACAAcgAsACAAYwApAFwAbgApACkAKQA7AFwAbgBcAG4ARQBsAGUAYwB0AHIAaQBjAGkAdAB5AF8AUwBjAG8AcABlADIAUwBjAG8AcABlADMATABvAGMAYQB0AGkAbwBuAEIAYQBzAGUAZABfAFYAYQByAGkAYQB0AGkAbwBuAFwAbgA9AEwAQQBNAEIARABBACgAKABcACIAVgBBAFIASQBBAFQASQBPAE4AIABPAEYAIABTAE8AVQBSAEMARQAgAEQAQQBUAEEAOgAgAE4AUwBXACAAYQBuAGQAIABBAEMAVAAgAHMAcABsAGkAdAAgAGkAbgB0AG8AIABzAGUAcABhAHIAYQB0AGUAIAByAG8AdwBzAC4AXAAiACkAKQA7AFwAbgBcAG4AXABuAC8AKgBcAG4APQA9AD0APQA9AD0APQA9AD0APQA9AD0APQA9AD0APQA9AD0APQA9AD0APQA9AD0APQA9AD0APQA9AD0APQA9AD0APQA9AD0APQA9AD0APQA9AD0APQA9AD0APQA9AD0APQA9AD0APQA9AD0APQA9AD0APQA9AD0APQA9AD0APQA9AD0APQA9AD0APQA9AD0APQA9AD0APQBcAG4AUgBlAHMAaQBkAHUAYQBsACAATQBpAHgAIABGAGEAYwB0AG8AcgAgAGYAbwByACAAbQBhAHIAawBlAHQALQBiAGEAcwBlAGQAIABlAHEAdQBhAHQAaQBvAG4AcwBcAG4APQA9AD0APQA9AD0APQA9AD0APQA9AD0APQA9AD0APQA9AD0APQA9AD0APQA9AD0APQA9AD0APQA9AD0APQA9AD0APQA9AD0APQA9AD0APQA9AD0APQA9AD0APQA9AD0APQA9AD0APQA9AD0APQA9AD0APQA9AD0APQA9AD0APQA9AD0APQA9AD0APQA9AD0APQA9AD0APQBcAG4AKgAvAFwAbgBcAG4ARQBsAGUAYwB0AHIAaQBjAGkAdAB5AF8AUwBjAG8AcABlADIAUwBjAG8AcABlADMATQBhAHIAawBlAHQAQgBhAHMAZQBkAF8AVABpAHQAbABlAFwAbgA9AEwAQQBNAEIARABBACgAKABcACIARQBsAGUAYwB0AHIAaQBjAGkAdAB5ACAAcwBjAG8AcABlACAAMgAgAGEAbgBkACAAcwBjAG8AcABlACAAMwAgAG0AYQByAGsAZQB0AC0AYgBhAHMAZQBkACAAZQBtAGkAcwBzAGkAbwBuACAAZgBhAGMAdABvAHIAcwBcACIAKQApADsAXABuAFwAbgBFAGwAZQBjAHQAcgBpAGMAaQB0AHkAXwBTAGMAbwBwAGUAMgBNAGEAcgBrAGUAdABCAGEAcwBlAGQAXwBEAGUAcwBjAHIAaQBwAHQAaQBvAG4AXABuAD0ATABBAE0AQgBEAEEAKAAoAFwAIgBUAGEAYgBsAGUAIAAyAGEAIABJAG4AZABpAHIAZQBjAHQAIAAoAHMAYwBvAHAAZQAgADIAIABhAG4AZAAgAHMAYwBvAHAAZQAgADMAKQAgAGUAbQBpAHMAcwBpAG8AbgAgAGYAYQBjAHQAbwByAHMAIABmAHIAbwBtACAAYwBvAG4AcwB1AG0AcAB0AGkAbwBuACAAbwBmACAAcAB1AHIAYwBoAGEAcwBlAGQAIABvAHIAIABhAGMAcQB1AGkAcgBlAGQAIABlAGwAZQBjAHQAcgBpAGMAaQB0AHkAOgAgAG0AYQByAGsAZQB0AC0AYgBhAHMAZQBkACAAZgBhAGMAdABvAHIAcwAgAFwAIgApACkAOwBcAG4AXABuAEUAbABlAGMAdAByAGkAYwBpAHQAeQBfAFMAYwBvAHAAZQAyAFMAYwBvAHAAZQAzAE0AYQByAGsAZQB0AEIAYQBzAGUAZABfAFMAbwB1AHIAYwBlAFwAbgA9AEwAQQBNAEIARABBACgAKABcACIAQQB1AHMAdAByAGEAbABpAGEAbgAgAE4AYQB0AGkAbwBuAGEAbAAgAEcAcgBlAGUAbgBoAG8AdQBzAGUAIABBAGMAYwBvAHUAbgB0AHMAIABGAGEAYwB0AG8AcgBzACAAMgAwADIANQAgAC0AIABUAGEAYgBsAGUAIAAyAGEAXAAiACkAKQA7AFwAbgBcAG4ARQBsAGUAYwB0AHIAaQBjAGkAdAB5AF8AUwBjAG8AcABlADIAUwBjAG8AcABlADMATQBhAHIAawBlAHQAQgBhAHMAZQBkAF8ARABhAHQAYQBcAG4APQBMAEEATQBCAEQAQQAoAFwAbgAgACAATQBBAEsARQBBAFIAUgBBAFkAKAAyACwAIAA1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IAIABFAG0AaQBzAHMAaQBvAG4AIABGAGEAYwB0AG8AcgBzACAAKABrAGcAIABDAE8AMgAtAGUALwBHAEoAKQBcACIALAAgAFwAIgBTAGMAbwBwAGUAIAAzACAARQBtAGkAcwBzAGkAbwBuACAARgBhAGMAdABvAHIAcwAgACgAawBnACAAQwBPADIAIAAtACAAZQAgAC8AIABrAFcAaAApAFwAIgAsACAAXAAiAFMAYwBvAHAAZQAgADMAIABFAG0AaQBzAHMAaQBvAG4AIABGAGEAYwB0AG8AcgBzACAAKABrAGcAIABDAE8AMgAgAC0AIABlACAALwAgAEcASgApAFwAIgA7AFwAbgAgACAAIAAgACAAIAAgACAAXAAiAE4AYQB0AGkAbwBuAGEAbABcACIALAAgADAALgA4ADEALAAgADIAMgA2ACwAIAAwAC4AMQAwACwAIAAyADkAXABuACAAIAAgACAAIAAgAH0ALAAgAHIALAAgAGMAKQBcAG4AKQApACkAOwBcAG4AXABuAEUAbABlAGMAdAByAGkAYwBpAHQAeQBfAFMAYwBvAHAAZQAyAFMAYwBvAHAAZQAzAE0AYQByAGsAZQB0AEIAYQBzAGUAZABfAFYAYQByAGkAYQB0AGkAbwBuAFwAbgA9AEwAQQBNAEIARABBACgAKABcACIAXAAiACkAKQA7ACIAfQAsAHsAIgBwAGEAdABoACIAOgAiAC8AcAByAG8AagBlAGMAdABzAC8ARgB1AGUAbABfAEUAcQB1AGEAdABpAG8AbgBzACIALAAiAHQAZQB4AHQAIgA6ACIALwAqAFwAbgA9AD0APQA9AD0APQA9AD0APQA9AD0APQA9AD0APQA9AD0APQA9AD0APQA9AD0APQA9AD0APQA9AD0APQA9AD0APQA9AD0APQA9AD0AXABuADgAOgAgAEYAdQBlAGwAIABVAHMAZQBcAG4APQA9AD0APQA9AD0APQA9AD0APQA9AD0APQA9AD0APQA9AD0APQA9AD0APQA9AD0APQA9AD0APQA9AD0APQA9AD0APQA9AD0APQA9AFwAbgA4AC4AMQAgAEYAdQBlAGwAIABVAHMAZQAgAC0AIABUAHIAYQBuAHMAcABvAHIAdAAgAGYAdQBlAGwAXABuAD0APQA9AD0APQA9AD0APQA9AD0APQA9AD0APQA9AD0APQA9AD0APQA9AD0APQA9AD0APQA9AD0APQA9AD0APQA9AD0APQA9AD0APQBcAG4AKgAvAFwAbgBcAG4AXABuAFYARQBFAFIARwBfADgAXwBGAHUAZQBsAEMAbwBtAGIAdQBzAHQAaQBvAG4AXABuACAAIAA9AEwAQQBNAEIARABBACgAXABuACAAIAAgACAAUQAsACAARQBDACwAIABFAEYALABcAG4AIAAgACAAIAAoAFEAIAAqACAARQBDACAAKgAgAEUARgApACAAKgAgADEAMAAgAF4AIAAtACAAMwBcAG4AIAAgACkAXABuADsAXABuAFwAbgAvACoAIABcAG4ALQAtAC0ALQAtAC0ALQAtAC0ALQAtAC0ALQAtAC0ALQAtAC0ALQAtAC0ALQAtAC0ALQAtAC0ALQAtAC0ALQAtAC0ALQAtAC0ALQAtAFwAbgBWAEUARQBSAEcAXwA4AF8AMQBfADEAXwAxAF8AXwAxAF8ARgB1AGUAbABDAG8AbQBiAHUAcwB0AGkAbwBuAFQAcgBhAG4AcwBwAG8AcgB0AFwAbgBFAG0AaQBzAHMAaQBvAG4AcwAgAGYAbwByACAAZQBhAGMAaAAgAEcASABHACAAZgByAG8AbQAgAHQAaABlACAAYwBvAG0AYgB1AHMAdABpAG8AbgAgAG8AZgAgAGYAdQBlAGwAcwAgAGYAbwByACAAdAByAGEAbgBzAHAAbwByAHQAIABlAG4AZQByAGcAeQAgAHAAdQByAHAAbwBzAGUAcwBcAG4AUQAgADoAIABBAG0AbwB1AG4AdAAgAG8AZgAgAGYAdQBlAGwAIAB0AHkAcABlACAAcQAgAGMAbwBtAGIAdQBzAHQAZQBkACAAZgBvAHIAIAB0AHIAYQBuAHMAcABvAHIAdAAgAGUAbgBlAHIAZwB5ACAAcAB1AHIAcABvAHMAZQBzACAAOgAgAGsATABcAG4ARQBDACAAOgAgAGUAbgBlAHIAZwB5ACAAYwBvAG4AdABlAG4AdAAgAGYAYQBjAHQAbwByACAAZgBvAHIAIAB0AHIAYQBuAHMAcABvAHIAdAAgAGUAbgBlAHIAZwB5ACAAcAB1AHIAcABvAHMAZQBzACAAOgAgAEcASgAvAGsATABcAG4ARQBGACAAOgAgAFMAYwBvAHAAZQAgADEAIABlAG0AaQBzAHMAaQBvAG4AIABmAGEAYwB0AG8AcgAgAGYAbwByACAAdAByAGEAbgBzAHAAbwByAHQAIABlAG4AZQByAGcAeQAgAHAAdQByAHAAbwBzAGUAcwAgAGYAbwByACAAZQBhAGMAaAAgAGcAcgBlAGUAbgBoAG8AdQBzAGUAIABnAGEAcwAgADoAIABrAGcAIABDAE8AMgBlACAALwAgAEcASgBcAG4ALQAtAC0ALQAtAC0ALQAtAC0ALQAtAC0ALQAtAC0ALQAtAC0ALQAtAC0ALQAtAC0ALQAtAC0ALQAtAC0ALQAtAC0ALQAtAC0ALQAtAFwAbgAqAC8AXABuAFwAbgBcAG4AVgBFAEUAUgBHAF8AOABfADEAXwAxAF8AMQBfAF8AMQBfAEYAdQBlAGwAQwBvAG0AYgB1AHMAdABpAG8AbgBUAHIAYQBuAHMAcABvAHIAdABcAG4AIAAgAD0ATABBAE0AQgBEAEEAKABcAG4AIAAgACAAIABRAF8AVAByAGEAbgBzAHQAcQAsACAARQBDAF8AVAByAGEAbgBzAHEALAAgAEUARgBfAFQAcgBhAG4AcwAxAHQAcQBnACwAXABuACAAIAAgACAAVgBFAEUAUgBHAF8AOABfAEYAdQBlAGwAQwBvAG0AYgB1AHMAdABpAG8AbgAoAFEAXwBUAHIAYQBuAHMAdABxACwAIABFAEMAXwBUAHIAYQBuAHMAcQAsACAARQBGAF8AVAByAGEAbgBzADEAdABxAGcAKQBcAG4AIAAgACkAXABuADsAXABuAFwAbgBWAEUARQBSAEcAXwA4AF8AMQBfADEAXwAxAF8AXwAxAF8ARgB1AGUAbABDAG8AbQBiAHUAcwB0AGkAbwBuAFQAcgBhAG4AcwBwAG8AcgB0AF8AVABpAHQAbABlAFwAbgAgACAAPQBMAEEATQBCAEQAQQAoAFwAIgBFAG0AaQBzAHMAaQBvAG4AcwAgAGYAbwByACAAZQBhAGMAaAAgAEcASABHACAAZgByAG8AbQAgAHQAaABlACAAYwBvAG0AYgB1AHMAdABpAG8AbgAgAG8AZgAgAGYAdQBlAGwAcwAgAGYAbwByACAAdAByAGEAbgBzAHAAbwByAHQAIABlAG4AZQByAGcAeQAgAHAAdQByAHAAbwBzAGUAcwBcACIAKQA7AFwAbgBcAG4AVgBFAEUAUgBHAF8AOABfADEAXwAxAF8AMQBfAF8AMQBfAEYAdQBlAGwAQwBvAG0AYgB1AHMAdABpAG8AbgBUAHIAYQBuAHMAcABvAHIAdABfAFYAYQByAGkAYQBiAGwAZQBcAG4AIAAgAD0ATABBAE0AQgBEAEEAKABcACIARQBfAGcAXAAiACkAOwBcAG4AXABuAFYARQBFAFIARwBfADgAXwAxAF8AMQBfADEAXwBfADEAXwBGAHUAZQBsAEMAbwBtAGIAdQBzAHQAaQBvAG4AVAByAGEAbgBzAHAAbwByAHQAXwBVAG4AaQB0AFwAbgAgACAAPQBMAEEATQBCAEQAQQAoAFwAIgB0ACAAQwBPADIALQBlAFwAIgApADsAXABuAFwAbgBWAEUARQBSAEcAXwA4AF8AMQBfADEAXwAxAF8AXwAxAF8ARgB1AGUAbABDAG8AbQBiAHUAcwB0AGkAbwBuAFQAcgBhAG4AcwBwAG8AcgB0AF8AUwBvAHUAcgBjAGUAXABuACAAIAA9AEwAQQBNAEIARABBACgAXAAiAFYARQBFAFIARwAgADIAMAAyADYAOgAgADgALgAxAC4AMQAuADEALAAgAEUAcQB1AGEAdABpAG8AbgAgACgAMQApAFwAIgApADsAXABuAFwAbgBWAEUARQBSAEcAXwA4AF8AMQBfADEAXwAxAF8AXwAxAF8ARgB1AGUAbABDAG8AbQBiAHUAcwB0AGkAbwBuAFQAcgBhAG4AcwBwAG8AcgB0AF8ATgBJAFIAUgBlAGYAZQByAGUAbgBjAGUAXABuACAAIAA9AEwAQQBNAEIARABBACgAXAAiAEEAdQBzAHQAcgBhAGwAaQBhAG4AIABOAGEAdABpAG8AbgBhAGwAIABHAHIAZQBlAG4AaABvAHUAcwBlACAAQQBjAGMAbwB1AG4AdABzACAARgBhAGMAdABvAHIAcwAgADIAMAAyADUAIAAtACAAMgAuADMAIABFAHMAdABpAG0AYQB0AGkAbgBnACAAZQBtAGkAcwBzAGkAbwBuAHMAIABmAHIAbwBtACAAdAByAGEAbgBzAHAAbwByAHQAIABmAHUAZQBsAHMAXAAiACkAOwBcAG4AXABuAFYARQBFAFIARwBfADgAXwAxAF8AMQBfADEAXwBfADEAXwBGAHUAZQBsAEMAbwBtAGIAdQBzAHQAaQBvAG4AVAByAGEAbgBzAHAAbwByAHQAXwBMAGEAdABlAHgARQBxAHUAYQB0AGkAbwBuAFwAbgAgACAAPQBMAEEATQBCAEQAQQAoAFwAIgBFAF8AZwA9AFwAXABzAHUAbQBcAFwAbgBvAGwAaQBtAGkAdABzAF8AdAAgAFwAXABzAHUAbQBcAFwAbgBvAGwAaQBtAGkAdABzAF8AcQBcAFwAbABlAGYAdAAoAFEAXwB7AFQAcgBhAG4AcwAsAHQAcQB9AFwAXAB0AGkAbQBlAHMAIABFAEMAXwB7AFQAcgBhAG4AcwAsAHEAfQBcAFwAdABpAG0AZQBzACAARQBGAF8AewBUAHIAYQBuAHMALAAxACwAdABxAGcAfQBcAFwAcgBpAGcAaAB0ACkAXABcAHQAaQBtAGUAcwAgADEAMABeAHsALQAzAH0AXAAiACkAOwBcAG4AXABuAFYARQBFAFIARwBfADgAXwAxAF8AMQBfADEAXwBfADEAXwBGAHUAZQBsAEMAbwBtAGIAdQBzAHQAaQBvAG4AVAByAGEAbgBzAHAAbwByAHQAXwBBAHIAZwB1AG0AZQBuAHQAcwBcAG4AIAAgAD0ATABBAE0AQgBEAEEAKABcAG4AIAAgACAAIABNAEEASwBFAEEAUgBSAEEAWQAoADcALAAgADQALAAgAFwAbgAgACAAIAAgACAAIABMAEEATQBCAEQAQQAoAHIALABjACwAIABcAG4AIAAgACAAIAAgACAAIAAgAEkATgBEAEUAWAAoAHsAXABuACAAIAAgACAAIAAgACAAIAAgACAAXAAiAFEAXwBUAHIAYQBuAHMAdABxAFwAIgAsACAAXAAiAEEAbQBvAHUAbgB0ACAAbwBmACAAZgB1AGUAbAAgAHQAeQBwAGUAIABxACAAYwBvAG0AYgB1AHMAdABlAGQAIABmAG8AcgAgAHQAcgBhAG4AcwBwAG8AcgB0ACAAZQBuAGUAcgBnAHkAIABwAHUAcgBwAG8AcwBlAHMAXAAiACwAIABcACIAVgBhAHIAaQBlAHMAIABiAGEAcwBlAGQAIABvAG4AIABmAHUAZQBsACAAdAB5AHAAZQA6ACAAawBMACwAIABtADMALAAgAEcASgBcACIALAAgAFwAIgBJAG4AcAB1AHQAXAAiADsAXABuACAAIAAgACAAIAAgACAAIAAgACAAXAAiAEUAQwBfAFQAcgBhAG4AcwBxAFwAIgAsACAAXAAiAEUAbgBlAHIAZwB5ACAAYwBvAG4AdABlAG4AdAAgAGYAYQBjAHQAbwByACAAZgBvAHIAIAB0AHIAYQBuAHMAcABvAHIAdAAgAGUAbgBlAHIAZwB5ACAAcAB1AHIAcABvAHMAZQBzAFwAIgAsACAAXAAiAEcASgAgAC8AIAB1AG4AaQB0ACAAbwBmACAAZgB1AGUAbABcACIALAAgAFwAIgBDAG8AbgBzAHQAYQBuAHQAXAAiADsAXABuACAAIAAgACAAIAAgACAAIAAgACAAXAAiAEUARgBfAFQAcgBhAG4AcwAxAHQAcQBnAFwAIgAsACAAXAAiAFMAYwBvAHAAZQAgADEAIABlAG0AaQBzAHMAaQBvAG4AIABmAGEAYwB0AG8AcgAgAGYAbwByACAAdAByAGEAbgBzAHAAbwByAHQAIABlAG4AZQByAGcAeQAgAHAAdQByAHAAbwBzAGUAcw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UAHIAYQBuAHMAXAAiACwAIABcACIAVAByAGEAbgBzAHAAbwByAHQ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OABfADIAXwAxAF8AMQBfAF8AMQBfAEYAdQBlAGwAQwBvAG0AYgB1AHMAdABpAG8AbgBTAHQAYQB0AGkAbwBuAGEAcgB5AFwAbgBFAG0AaQBzAHMAaQBvAG4AcwAgAGYAbwByACAAZQBhAGMAaAAgAEcASABHACAAZgByAG8AbQAgAHQAaABlACAAcwB0AGEAdABpAG8AbgBhAHIAeQAgAGMAbwBtAGIAdQBzAHQAaQBvAG4AIABvAGYAIABmAHUAZQBsAHMAXABuAFEAIAA6ACAAQQBtAG8AdQBuAHQAIABvAGYAIABmAHUAZQBsACAAdAB5AHAAZQAgAHEAIAB1AHMAZQBkACAAZgBvAHIAIABzAHQAYQB0AGkAbwBuAGEAcgB5ACAAYwBvAG0AYgB1AHMAdABpAG8AbgAgAG8AcABlAHIAYQB0AGkAbwBuAHMAIAA6ACAAawBMAFwAbgBFAEMAIAA6ACAARQBuAGUAcgBnAHkAIABjAG8AbgB0AGUAbgB0ACAAZgBhAGMAdABvAHIAIABmAG8AcgAgAHMAdABhAHQAaQBvAG4AYQByAHkAIABjAG8AbQBiAHUAcwB0AGkAbwBuACAAbwBwAGUAcgBhAHQAaQBvAG4AcwAgADoAIABHAEoALwBrAEwAXABuAEUARgAgADoAIABTAGMAbwBwAGUAIAAxACAAZQBtAGkAcwBzAGkAbwBuACAAZgBhAGMAdABvAHIAIABmAG8AcgAgAHMAdABhAHQAaQBvAG4AYQByAHkAIABjAG8AbQBiAHUAcwB0AGkAbwBuACAAZgBvAHIAIABlAGEAYwBoACAAZwByAGUAZQBuAGgAbwB1AHMAZQAgAGcAYQBzACAAOgAgAGsAZwAgAEMATwAyAGUAIAAvACAARwBKAFwAbgAtAC0ALQAtAC0ALQAtAC0ALQAtAC0ALQAtAC0ALQAtAC0ALQAtAC0ALQAtAC0ALQAtAC0ALQAtAC0ALQAtAC0ALQAtAC0ALQAtAC0AXABuACoALwBcAG4AXABuAFwAbgBWAEUARQBSAEcAXwA4AF8AMgBfADEAXwAxAF8AXwAxAF8ARgB1AGUAbABDAG8AbQBiAHUAcwB0AGkAbwBuAFMAdABhAHQAaQBvAG4AYQByAHkAXABuACAAIAA9AEwAQQBNAEIARABBACgAXABuACAAIAAgACAAUQBfAFMAQwBxACwAIABFAEMAXwBTAEMAcQAsACAARQBGAF8AUwBDADEAcQBnACwAXABuACAAIAAgACAAVgBFAEUAUgBHAF8AOABfAEYAdQBlAGwAQwBvAG0AYgB1AHMAdABpAG8AbgAoAFEAXwBTAEMAcQAsACAARQBDAF8AUwBDAHEALAAgAEUARgBfAFMAQwAxAHEAZwApAFwAbgAgACAAKQBcAG4AOwBcAG4AXABuAFYARQBFAFIARwBfADgAXwAyAF8AMQBfADEAXwBfADEAXwBGAHUAZQBsAEMAbwBtAGIAdQBzAHQAaQBvAG4AUwB0AGEAdABpAG8AbgBhAHIAeQBfAFQAaQB0AGwAZQBcAG4AIAAgAD0ATABBAE0AQgBEAEEAKABcACIARQBtAGkAcwBzAGkAbwBuAHMAIABmAG8AcgAgAGUAYQBjAGgAIABHAEgARwAgAGYAcgBvAG0AIAB0AGgAZQAgAHMAdABhAHQAaQBvAG4AYQByAHkAIABjAG8AbQBiAHUAcwB0AGkAbwBuACAAbwBmACAAZgB1AGUAbABzAFwAIgApADsAXABuAFwAbgBWAEUARQBSAEcAXwA4AF8AMgBfADEAXwAxAF8AXwAxAF8ARgB1AGUAbABDAG8AbQBiAHUAcwB0AGkAbwBuAFMAdABhAHQAaQBvAG4AYQByAHkAXwBWAGEAcgBpAGEAYgBsAGUAXABuACAAIAA9AEwAQQBNAEIARABBACgAXAAiAEUAXwBnAFwAIgApADsAXABuAFwAbgBWAEUARQBSAEcAXwA4AF8AMgBfADEAXwAxAF8AXwAxAF8ARgB1AGUAbABDAG8AbQBiAHUAcwB0AGkAbwBuAFMAdABhAHQAaQBvAG4AYQByAHkAXwBVAG4AaQB0AFwAbgAgACAAPQBMAEEATQBCAEQAQQAoAFwAIgB0ACAAQwBPADIALQBlAFwAIgApADsAXABuAFwAbgBWAEUARQBSAEcAXwA4AF8AMgBfADEAXwAxAF8AXwAxAF8ARgB1AGUAbABDAG8AbQBiAHUAcwB0AGkAbwBuAFMAdABhAHQAaQBvAG4AYQByAHkAXwBTAG8AdQByAGMAZQBcAG4AIAAgAD0ATABBAE0AQgBEAEEAKABcACIAVgBFAEUAUgBHACAAMgAwADIANgA6ACAAOAAuADIALgAxAC4AMQAsACAARQBxAHUAYQB0AGkAbwBuACAAKAAxACkAXAAiACkAOwBcAG4AXABuAFYARQBFAFIARwBfADgAXwAyAF8AMQBfADEAXwBfADEAXwBGAHUAZQBsAEMAbwBtAGIAdQBzAHQAaQBvAG4AUwB0AGEAdABpAG8AbgBhAHIAeQBfAE4ASQBSAFIAZQBmAGUAcgBlAG4AYwBlAFwAbgAgACAAPQBMAEEATQBCAEQAQQAoAFwAIgBBAHUAcwB0AHIAYQBsAGkAYQBuACAATgBhAHQAaQBvAG4AYQBsACAARwByAGUAZQBuAGgAbwB1AHMAZQAgAEEAYwBjAG8AdQBuAHQAcwAgAEYAYQBjAHQAbwByAHMAIAAyADAAMgA1ACAALQAgADIALgAyACAARQBzAHQAaQBtAGEAdABpAG4AZwAgAGUAbQBpAHMAcwBpAG8AbgBzACAAZgByAG8AbQAgAHMAdABhAHQAaQBvAG4AYQByAHkAIABlAG4AZQByAGcAeQAgAHMAbwB1AHIAYwBlAHMAIAAtACAAQwBhAGwAYwB1AGwAYQB0AGkAbgBnACAAZQBtAGkAcwBzAGkAbwBuAHMAIABmAHIAbwBtACAAcwB0AGEAdABpAG8AbgBhAHIAeQAgAGMAbwBtAGIAdQBzAHQAaQBvAG4AIABvAGYAIABsAGkAcQB1AGkAZAAgAGYAdQBlAGwAcwBcACIAKQA7AFwAbgBcAG4AVgBFAEUAUgBHAF8AOABfADIAXwAxAF8AMQBfAF8AMQBfAEYAdQBlAGwAQwBvAG0AYgB1AHMAdABpAG8AbgBTAHQAYQB0AGkAbwBuAGEAcgB5AF8ATABhAHQAZQB4AEUAcQB1AGEAdABpAG8AbgBcAG4AIAAgAD0ATABBAE0AQgBEAEEAKABcACIARQBfAGcAPQBcAFwAcwB1AG0AXABcAG4AbwBsAGkAbQBpAHQAcwBfAHQAIABcAFwAcwB1AG0AXABcAG4AbwBsAGkAbQBpAHQAcwBfAHEAXABcAGwAZQBmAHQAKABRAF8AewBTAEMALABxAH0AXABcAHQAaQBtAGUAcwAgAEUAQwBfAHsAUwBDACwAcQB9AFwAXAB0AGkAbQBlAHMAIABFAEYAXwB7AFMAQwAsADEALABxAGcAfQBcAFwAcgBpAGcAaAB0ACkAXABcAHQAaQBtAGUAcwAgADEAMABeAHsALQAzAH0AXAAiACkAOwBcAG4AXABuAFYARQBFAFIARwBfADgAXwAyAF8AMQBfADEAXwBfADEAXwBGAHUAZQBsAEMAbwBtAGIAdQBzAHQAaQBvAG4AUwB0AGEAdABpAG8AbgBhAHIAeQBfAEEAcgBnAHUAbQBlAG4AdABzAFwAbgAgACAAPQBMAEEATQBCAEQAQQAoAFwAbgAgACAAIAAgAE0AQQBLAEUAQQBSAFIAQQBZACgANwAsACAANAAsACAAXABuACAAIAAgACAAIAAgAEwAQQBNAEIARABBACgAcgAsAGMALAAgAFwAbgAgACAAIAAgACAAIAAgACAASQBOAEQARQBYACgAewBcAG4AIAAgACAAIAAgACAAIAAgACAAIABcACIAUQBfAFMAQwBxAFwAIgAsACAAXAAiAEEAbQBvAHUAbgB0ACAAbwBmACAAZgB1AGUAbAAgAHQAeQBwAGUAIABxACAAdQBzAGUAZAAgAGYAbwByACAAcwB0AGEAdABpAG8AbgBhAHIAeQAgAGMAbwBtAGIAdQBzAHQAaQBvAG4AIABvAHAAZQByAGEAdABpAG8AbgBzAFwAIgAsACAAXAAiAFYAYQByAGkAZQBzACAAYgBhAHMAZQBkACAAbwBuACAAZgB1AGUAbAAgAHQAeQBwAGUAOgAgAGsATAAsACAAbQAzACwAIABHAEoAXAAiACwAIABcACIASQBuAHAAdQB0AFwAIgA7AFwAbgAgACAAIAAgACAAIAAgACAAIAAgAFwAIgBFAEMAXwBTAEMAcQBcACIALAAgAFwAIgBFAG4AZQByAGcAeQAgAGMAbwBuAHQAZQBuAHQAIABmAGEAYwB0AG8AcgAgAGYAbwByACAAcwB0AGEAdABpAG8AbgBhAHIAeQAgAGMAbwBtAGIAdQBzAHQAaQBvAG4AIABvAHAAZQByAGEAdABpAG8AbgBzAFwAIgAsACAAXAAiAEcASgAgAC8AIAB1AG4AaQB0ACAAbwBmACAAZgB1AGUAbABcACIALAAgAFwAIgBDAG8AbgBzAHQAYQBuAHQAXAAiADsAXABuACAAIAAgACAAIAAgACAAIAAgACAAXAAiAEUARgBfAFMAQwAxAHEAZwBcACIALAAgAFwAIgBTAGMAbwBwAGUAIAAxACAAZQBtAGkAcwBzAGkAbwBuACAAZgBhAGMAdABvAHIAIABmAG8AcgAgAHMAdABhAHQAaQBvAG4AYQByAHkAIABjAG8AbQBiAHUAcwB0AGkAbwBu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MAQwBcACIALAAgAFwAIgBTAHQAYQB0AGkAbwBuAGEAcgB5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IAfQAsAHsAIgBwAGEAdABoACIAOgAiAC8AcAByAG8AagBlAGMAdABzAC8ARgB1AGUAbABfAEkAbgBwAHUAdABGAHUAbgBjAHQAaQBvAG4AcwAiACwAIgB0AGUAeAB0ACIAOgAiAEYAdQBlAGwAXwBHAGUAdABUAHIAYQBuAHMAcABvAHIAdABGAHUAZQBsAFMAdAByAGkAbgBnAFwAbgA9AEwAQQBNAEIARABBACgAXABuACAAIAAgACAAQwBlAGwAbAAsAFwAbgAgACAAIAAgAEwARQBGAFQAKABDAGUAbABsACwAIABGAEkATgBEACgAXAAiACwAIABcACIALABDAGUAbABsACkAIAAtADEAKQBcAG4AKQA7AFwAbgBcAG4ARgB1AGUAbABfAEcAZQB0AFMAdABhAHQAaQBvAG4AYQByAHkARgB1AGUAbABTAHQAcgBpAG4AZwBcAG4APQBMAEEATQBCAEQAQQAoAFwAbgAgACAAIAAgAEMAZQBsAGwALABcAG4AIAAgACAAIABSAEkARwBIAFQAKABDAGUAbABsACwATABFAE4AKABDAGUAbABsACkALQBGAEkATgBEACgAXAAiACwAIABcACIALABDAGUAbABsACkAKQBcAG4AKQA7AFwAbgBcAG4ARgB1AGUAbABfAFQAbwB0AGEAbABDAG8AbgBzAHUAbQBwAHQAaQBvAG4AXABuAD0AIABMAEEATQBCAEQAQQAoAFwAbgAgACAAIAAgAEYAdQBlAGwAQwBvAG4AcwB1AG0AcAB0AGkAbwBuAEEAcgByAGEAeQAsACAARgB1AGUAbABVAHMAZQBBAHIAcgBhAHkALAAgAEYAdQBlAGwAVQBzAGUALAAgAEYAdQBlAGwAVAB5AHAAZQBBAHIAcgBhAHkALAAgAEYAdQBlAGwAVAB5AHAAZQAsAFwAbgAgACAAIAAgAEkARgBFAFIAUgBPAFIAKABcAG4AIAAgACAAIABTAFUATQAoAFwAbgAgACAAIAAgACAAIABGAEkATABUAEUAUgAoAFwAbgAgACAAIAAgACAAIAAgACAARgB1AGUAbABDAG8AbgBzAHUAbQBwAHQAaQBvAG4AQQByAHIAYQB5ACwAXABuACAAIAAgACAAIAAgACAAIAAoAEYAdQBlAGwAVAB5AHAAZQBBAHIAcgBhAHkAIAA9ACAARgB1AGUAbABUAHkAcABlACkAIAAqACAAXABuACAAIAAgACAAIAAgACAAIAAoAEYAdQBlAGwAVQBzAGUAQQByAHIAYQB5ACAAPQAgAEYAdQBlAGwAVQBzAGUAKQBcAG4AIAAgACAAIAAgACAAKQBcAG4AIAAgACAAIAApACwAXABuACAAIAAgACAAMABcAG4AIAAgACkAXABuACkAOw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XAB1ADAAMAAyADcATgBhAHQAdQByAGEAbAAgAGcAYQBzACAAZABpAHMAdAByAGkAYgB1AHQAZQBkACAAaQBuACAAYQAgAHAAaQBwAGUAbABpAG4AZQAgAC0AIABHAGkAZwBhAGoAbwB1AGwAZQBzAFwAdQAwADAAMgA3ACAAYQBuAGQAIABcAHUAMAAwADIANwBUAG8AdwBuACAAZwBhAHMAIAAtACAARwBpAGcAYQBqAG8AdQBsAGUAcwBcAHUAMAAwADIANwAgAHcAZQByAGUAIABhAGQAZABlAGQALAAgAGUAYQBjAGgAIAB3AGkAdABoACAAYQBuACAAZQBuAGUAcgBnAHkAIABjAG8AbgB0AGUAbgB0ACAAZgBhAGMAdABvAHIAIABvAGYAIAAxACAARwBKACAAcABlAHIAIAB1AG4AaQB0ACAAbwBmACAAZgB1AGUAbAAuACAAVABoAGkAcwAgAGkAcwAgAGYAbwByACAAdQBzAGUAcgBzACAAdwBoAG8AIABoAGEAdgBlACAAZgB1AGUAbAAgAGMAbwBuAHMAdQBtAHAAdABpAG8AbgAgAGQAYQB0AGEAIABpAG4AIABHAEoAIAByAGEAdABoAGUAcgAgAHQAaABhAG4AIABtADMALgBcACIAKQApADsAXABuAFwAbgBcAG4ALwAqAFwAbgA9AD0APQA9AD0APQA9AD0APQA9AD0APQA9AD0APQA9AD0APQA9AD0APQA9AD0APQA9AD0APQA9AD0APQA9AD0APQA9AD0APQA9AD0APQA9AD0APQA9AD0APQA9AD0APQA9AD0APQA9AD0APQA9AD0APQA9AD0APQA9AD0APQA9AD0APQA9AD0APQA9AD0APQA9AD0APQA9AFwAbgBGAHUAZQBsACAAcwBjAG8AcABlACAAMw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wBFAG0AaQBzAHMAaQBvAG4ARgBhAGMAdABvAHIAcwBTAHQAYQB0AGkAbwBuAGEAcgB5AEcAYQBzAGUAbwB1AHMAXwBUAGkAdABsAGUAXABuAD0ATABBAE0AQgBEAEEAKAAoAFwAIgBGAHUAZQBsACAAcwBjAG8AcABlACAAMwAgAGUAbQBpAHMAcwBpAG8AbgAgAGYAYQBjAHQAbwByAHMAIAAtACAAUwB0AGEAdABpAG8AbgBhAHIAeQAgAGcAYQBzAGUAbwB1AHMAIABmAHUAZQBsAHMAXAAiACkAKQA7AFwAbgBcAG4ARgB1AGUAbABfAFMAYwBvAHAAZQAzAEUAbQBpAHMAcwBpAG8AbgBGAGEAYwB0AG8AcgBzAFMAdABhAHQAaQBvAG4AYQByAHkARwBhAHMAZQBvAHUAcwBfAEQAZQBzAGMAcgBpAHAAdABpAG8AbgBcAG4APQBMAEEATQBCAEQAQQAoACgAXAAiAEkAbgBkAGkAcgBlAGMAdAAgACgAUwBjAG8AcABlACAAMwApACAAZQBtAGkAcwBzAGkAbwBuACAAZgBhAGMAdABvAHIAcwAgAGYAbwByACAAdABoAGUAIABjAG8AbgBzAHUAbQBwAHQAaQBvAG4AIABvAGYAIABuAGEAdAB1AHIAYQBsACAAZwBhAHMALgBcACIAKQApADsAXABuAFwAbgBGAHUAZQBsAF8AUwBjAG8AcABlADM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YAXAAiACkAKQA7AFwAbgBcAG4ARgB1AGUAbABfAFMAYwBvAHAAZQAzAEUAbQBpAHMAcwBpAG8AbgBGAGEAYwB0AG8AcgBzAFMAdABhAHQAaQBvAG4AYQByAHkARwBhAHMAZQBvAHUAcwBfAEQAYQB0AGEAXABuAD0ATABBAE0AQgBEAEEAKABcAG4AIAAgAE0AQQBLAEUAQQBSAFIAQQBZACgAOQAsACAAMwAsAFwAbgAgACAAIAAgAEwAQQBNAEIARABBACgAcgAsAGMALABcAG4AIAAgACAAIAAgACAASQBOAEQARQBYACgAewBcAG4AIAAgACAAIAAgACAAIAAgAFwAIgBTAHQAYQB0AGUAIABvAHIAIAB0AGUAcgByAGkAdABvAHIAeQBcACIALAAgAFwAIgBTAGMAbwBwAGUAIAAzACAARQBtAGkAcwBzAGkAbwBuACAARgBhAGMAdABvAHIAcwAgAGYAbwByACAATgBhAHQAdQByAGEAbAAgAEcAYQBzACAAKABrAGcAIABDAE8AMgAgAC0AIABlACAALwAgAEcASgApACAATQBlAHQAcgBvAFwAIgAsACAAXAAiAFMAYwBvAHAAZQAgADMAIABFAG0AaQBzAHMAaQBvAG4AIABGAGEAYwB0AG8AcgBzACAAZgBvAHIAIABOAGEAdAB1AHIAYQBsACAARwBhAHMAIAAoAGsAZwAgAEMATwAyACAALQAgAGUAIAAvACAARwBKACkAIABOAG8AbgAgAC0AIABNAGUAdAByAG8AXAAiADsAXABuACAAIAAgACAAIAAgACAAIABcACIATgBlAHcAIABTAG8AdQB0AGgAIABXAGEAbABlAHMAXAAiACwAIAAxADMALgAxACwAIAAxADQALgAwADsAXABuACAAIAAgACAAIAAgACAAIABcACIAQQBDAFQAXAAiACwAIAAxADMALgAxACwAIAAxADQALgAwADsAXABuACAAIAAgACAAIAAgACAAIABcACIAVgBpAGMAdABvAHIAaQBhAFwAIgAsACAANAAuADAALAAgADQALgAwADsAXABuACAAIAAgACAAIAAgACAAIABcACIAUQB1AGUAZQBuAHMAbABhAG4AZABcACIALAAgADgALgA4ACwAIAA3AC4AOQA7AFwAbgAgACAAIAAgACAAIAAgACAAXAAiAFMAbwB1AHQAaAAgAEEAdQBzAHQAcgBhAGwAaQBhAFwAIgAsACAAMQAwAC4ANwAsACAAMQAwAC4ANgA7AFwAbgAgACAAIAAgACAAIAAgACAAXAAiAFcAZQBzAHQAZQByAG4AIABBAHUAcwB0AHIAYQBsAGkAYQBcACIALAAgADQALgAxACwAIAA0AC4AMAA7AFwAbgAgACAAIAAgACAAIAAgACAAXAAiAFQAYQBzAG0AYQBuAGkAYQBcACIALAAgADQALgAwACwAIAA0AC4AMAA7AFwAbgAgACAAIAAgACAAIAAgACAAXAAiAE4AbwByAHQAaABlAHIAbgAgAFQAZQByAHIAaQB0AG8AcgB5AFwAIgAsACAANAAuADEALAAgADQALgAwAFwAbgAgACAAIAAgACAAIAB9ACwAIAByACwAIABjACkAXABuACkAKQApADsAXABuAFwAbgBGAHUAZQBsAF8AUwBjAG8AcABlADMARQBtAGkAcwBzAGkAbwBuAEYAYQBjAHQAbwByAHMAUwB0AGEAdABpAG8AbgBhAHIAeQBHAGEAcwBlAG8AdQBzAF8AVgBhAHIAaQBhAHQAaQBvAG4AXABuAD0ATABBAE0AQgBEAEEAKAAoAFwAIgBWAEEAUgBJAEEAVABJAE8ATgAgAE8ARgAgAFMATwBVAFIAQwBFACAARABBAFQAQQA6ACAATgBTAFcAIABhAG4AZAAgAEEAQwBUACAAcwBwAGwAaQB0ACAAaQBuAHQAbwAgAHMAZQBwAGEAcgBhAHQAZQAgAHIAbwB3AHMALgAgAFwAdQAwADAAMgA3AEMAXAB1ADAAMAAyAD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QAcgBhAG4AcwBwAG8AcgB0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XwBUAGkAdABsAGUAXABuAD0ATABBAE0AQgBEAEEAKAAoAFwAIgBGAHUAZQBsACAAcwBjAG8AcABlACAAMQAgAGEAbgBkACAAMwAgAGUAbQBpAHMAcwBpAG8AbgAgAGYAYQBjAHQAbwByAHMAIAAtACAAVAByAGEAbgBzAHAAbwByAHQAXAAiACkAKQA7AFwAbgBcAG4ARgB1AGUAbABfAFMAYwBvAHAAZQAxAFMAYwBvAHAAZQAzAEUAbQBpAHMAcwBpAG8AbgBGAGEAYwB0AG8AcgBzAFQAcgBhAG4AcwBwAG8AcgB0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HQAcgBhAG4AcwBwAG8AcgB0ACAAZgB1AGUAbABzACAAaQBuACAAZABpAGYAZgBlAHIAZQBuAHQAIAB0AHIAYQBuAHMAcABvAHIAdAAgAGUAcQB1AGkAcABtAGUAbgB0AFwAIgApACkAOwBcAG4AXABuAEYAdQBlAGwAXwBTAGMAbwBwAGUAMQBTAGMAbwBwAGUAMwBFAG0AaQBzAHMAaQBvAG4ARgBhAGMAdABvAHIAcwBUAHIAYQBuAHMAcABvAHIAdABfAFMAbwB1AHIAYwBlAFwAbgA9AEwAQQBNAEIARABBACgAKABcACIAQQB1AHMAdAByAGEAbABpAGEAbgAgAE4AYQB0AGkAbwBuAGEAbAAgAEcAcgBlAGUAbgBoAG8AdQBzAGUAIABBAGMAYwBvAHUAbgB0AHMAIABGAGEAYwB0AG8AcgBzACAAMgAwADIANQAgAC0AIABUAGEAYgBsAGUAIAA5AFwAIgApACkAOwBcAG4AXABuAEYAdQBlAGwAXwBTAGMAbwBwAGUAMQBTAGMAbwBwAGUAMwBFAG0AaQBzAHMAaQBvAG4ARgBhAGMAdABvAHIAcwBUAHIAYQBuAHMAcABvAHIAdABfAEQAYQB0AGEAXABuAD0ATABBAE0AQgBEAEEAKABcAG4AIAAgAE0AQQBLAEUAQQBSAFIAQQBZACgAMgA2ACwAIAAxADAALABcAG4AIAAgACAAIABMAEEATQBCAEQAQQAoAHIALABjACwAXABuACAAIAAgACAAIAAgAEkATgBEAEUAWAAoAHsAXABuACAAIAAgACAAIAAgACAAIABcACIAVAByAGEAbgBzAHAAbwByAHQAIAB0AHkAcABlAFwAIgAsACAAXAAiAEYAdQBlAGwAIABjAG8AbQBiAHUAcwB0AGUAZABcACIALAAgAFwAIgBFAG4AZQByAGcAeQAgAEMAbwBuAHQAZQBuAHQAIABGAGEAYwB0AG8Acg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sACAAXAAiAFMAbwB1AHIAYwBlAFwAIgA7AFwAbgAgACAAIAAgACAAIAAgACAAXAAiAEMAYQByAHMAIABhAG4AZAAgAGwAaQBnAGgAdAAgAGMAbwBtAG0AZQByAGMAaQBhAGwAIAB2AGUAaABpAGMAbABlAHMAXAAiACwAIABcACIARwBhAHMAbwBsAGkAbgBlAFwAIgAsACAAMwA0AC4AMgAsACAAXAAiAGsAbABcACIALAAgADYANwAuADQALAAgADAALgAwADIALAAgADAALgAyACwAIAA2ADcALgA2ADIALAAgADEANwAuADIALAAgAFwAIgBOAEcAQQBGACAAMgAwADIANQA6ACAAVABhAGIAbABlACAAOQBcACIAOwBcAG4AIAAgACAAIAAgACAAIAAgAFwAIgBDAGEAcgBzACAAYQBuAGQAIABsAGkAZwBoAHQAIABjAG8AbQBtAGUAcgBjAGkAYQBsACAAdgBlAGgAaQBjAGwAZQBzAFwAIgAsACAAXAAiAEQAaQBlAHMAZQBsACAAbwBpAGwAXAAiACwAIAAzADgALgA2ACwAIABcACIAawBsAFwAIgAsACAANgA5AC4AOQAsACAAMAAuADAAMQAsACAAMAAuADUALAAgADcAMAAuADQAMQAsACAAMQA3AC4AMwAsACAAXAAiAE4ARwBBAEYAIAAyADAAMgA1ADoAIABUAGEAYgBsAGUAIAA5AFwAIgA7AFwAbgAgACAAIAAgACAAIAAgACAAXAAiAEMAYQByAHMAIABhAG4AZAAgAGwAaQBnAGgAdAAgAGMAbwBtAG0AZQByAGMAaQBhAGwAIAB2AGUAaABpAGMAbABlAHMAXAAiACwAIABcACIATABpAHEAdQBlAGYAaQBlAGQAIABwAGUAdAByAG8AbABlAHUAbQAgAGcAYQBzACAAKABMAFAARwApAFwAIgAsACAAMgA2AC4AMgAsACAAXAAiAGsAbABcACIALAAgADYAMAAuADIALAAgADAALgA1ACwAIAAwAC4AMwAsACAANgAxAC4AMAAwACwAIAAyADAALgAyACwAIABcACIATgBHAEEARgAgADIAMAAyADUAOgAgAFQAYQBiAGwAZQAgADkAXAAiADsAXABuACAAIAAgACAAIAAgACAAIABcACIAQwBhAHIAcwAgAGEAbgBkACAAbABpAGcAaAB0ACAAYwBvAG0AbQBlAHIAYwBpAGEAbAAgAHYAZQBoAGkAYwBsAGUAcwBcACIALAAgAFwAIgBGAHUAZQBsACAAbwBpAGwAXAAiACwAIAAzADkALgA3ACwAIABcACIAawBsAFwAIgAsACAANwAzAC4ANgAsACAAMAAuADAAOAAsACAAMAAuADUALAAgADcANAAuADEAOAAsACAAMQA4AC4AMAAsACAAXAAiAE4ARwBBAEYAIAAyADAAMgA1ADoAIABUAGEAYgBsAGUAIAA5AFwAIgA7AFwAbgAgACAAIAAgACAAIAAgACAAXAAiAEMAYQByAHMAIABhAG4AZAAgAGwAaQBnAGgAdAAgAGMAbwBtAG0AZQByAGMAaQBhAGwAIAB2AGUAaABpAGMAbABlAHMAXAAiACwAIABcACIARQB0AGgAYQBuAG8AbABcACIALAAgADIAMwAuADQALAAgAFwAIgBrAGwAXAAiACwAIAAwAC4AMAAsACAAMAAuADIALAAgADAALgAyACwAIAAwAC4ANAAsACAAXAAiAE4ARQBcACIALAAgAFwAIgBOAEcAQQBGACAAMgAwADIANQA6ACAAVABhAGIAbABlACAAOQBcACIAOwBcAG4AIAAgACAAIAAgACAAIAAgAFwAIgBDAGEAcgBzACAAYQBuAGQAIABsAGkAZwBoAHQAIABjAG8AbQBtAGUAcgBjAGkAYQBsACAAdgBlAGgAaQBjAGwAZQBzAFwAIgAsACAAXAAiAEIAaQBvAGQAaQBlAHMAZQBsAFwAIgAsACAAMwA0AC4ANgAsACAAXAAiAGsAbABcACIALAAgADAALgAwACwAIAAwAC4AOAAsACAAMQAuADcALAAgADIALgA1ACwAIABcACIATgBFAFwAIgAsACAAXAAiAE4ARwBBAEYAIAAyADAAMgA1ADoAIABUAGEAYgBsAGUAIAA5AFwAIgA7AFwAbgAgACAAIAAgACAAIAAgACAAXAAiAEMAYQByAHMAIABhAG4AZAAgAGwAaQBnAGgAdAAgAGMAbwBtAG0AZQByAGMAaQBhAGwAIAB2AGUAaABpAGMAbABlAHMAXAAiACwAIABcACIAUgBlAG4AZQB3AGEAYgBsAGUAIABkAGkAZQBzAGUAbABcACIALAAgADMAOAAuADYALAAgAFwAIgBrAGwAXAAiACwAIAAwAC4AMAAsACAAMAAuADAAMQAsACAAMAAuADUALAAgADAALgA1ADEALAAgAFwAIgBOAEUAXAAiACwAIABcACIATgBHAEEARgAgADIAMAAyADUAOgAgAFQAYQBiAGwAZQAgADkAXAAiADsAXABuACAAIAAgACAAIAAgACAAIABcACIAQwBhAHIAcwAgAGEAbgBkACAAbABpAGcAaAB0ACAAYwBvAG0AbQBlAHIAYwBpAGEAbAAgAHYAZQBoAGkAYwBsAGUAcwBcACIALAAgAFwAIgBPAHQAaABlAHIAIABiAGkAbwBmAHUAZQBsAHMAXAAiACwAIAAyADMALgA0ACwAIABcACIAawBsAFwAIgAsACAAMAAuADAALAAgADAALgA4ACwAIAAxAC4ANwAsACAAMgAuADUALAAgAFwAIgBOAEUAXAAiACwAIABcACIATgBHAEEARgAgADIAMAAyADUAOgAgAFQAYQBiAGwAZQAgADkAXAAiADsAXABuACAAIAAgACAAIAAgACAAIABcACIATABpAGcAaAB0ACAAZAB1AHQAeQAgAHYAZQBoAGkAYwBsAGUAcwBcACIALAAgAFwAIgBDAG8AbQBwAHIAZQBzAHMAZQBkACAAbgBhAHQAdQByAGEAbAAgAGcAYQBzAFwAIgAsACAAMAAuADAAMwA5ADMALAAgAFwAIgBtADMAXAAiACwAIAA1ADEALgA0ACwAIAA3AC4AMwAsACAAMAAuADMALAAgADUAOQAuADAALAAgADEAOAAuADAALAAgAFwAIgBOAEcAQQBGACAAMgAwADIANQA6ACAAVABhAGIAbABlACAAOQBcACIAOwBcAG4AIAAgACAAIAAgACAAIAAgAFwAIgBMAGkAZwBoAHQAIABkAHUAdAB5ACAAdgBlAGgAaQBjAGwAZQBzAFwAIgAsACAAXAAiAEwAaQBxAHUAZQBmAGkAZQBkACAAbgBhAHQAdQByAGEAbAAgAGcAYQBzAFwAIgAsACAAMgA1AC4AMwAsACAAXAAiAGsAbABcACIALAAgADUAMQAuADQALAAgADcALgAzACwAIAAwAC4AMwAsACAANQA5AC4AMAAsACAAMQA4AC4AMAAsACAAXAAiAE4ARwBBAEYAIAAyADAAMgA1ADoAIABUAGEAYgBsAGUAIAA5AFwAIgA7AFwAbgAgACAAIAAgACAAIAAgACAAXAAiAEgAZQBhAHYAeQAgAGQAdQB0AHkAIAB2AGUAaABpAGMAbABlAHMAXAAiACwAIABcACIAQwBvAG0AcAByAGUAcwBzAGUAZAAgAG4AYQB0AHUAcgBhAGwAIABnAGEAcwBcACIALAAgADAALgAwADMAOQAzACwAIABcACIAbQAzAFwAIgAsACAANQAxAC4ANAAsACAAMgAuADgALAAgADAALgAzACwAIAA1ADQALgA1ACwAIAAxADgALgAwACwAIABcACIATgBHAEEARgAgADIAMAAyADUAOgAgAFQAYQBiAGwAZQAgADkAXAAiADsAXABuACAAIAAgACAAIAAgACAAIABcACIASABlAGEAdgB5ACAAZAB1AHQAeQAgAHYAZQBoAGkAYwBsAGUAcwBcACIALAAgAFwAIgBMAGkAcQB1AGUAZgBpAGUAZAAgAG4AYQB0AHUAcgBhAGwAIABnAGEAcwBcACIALAAgADIANQAuADMALAAgAFwAIgBrAGwAXAAiACwAIAA1ADEALgA0ACwAIAAyAC4AOAAsACAAMAAuADMALAAgADUANAAuADUALAAgADEAOAAuADAALAAgAFwAIgBOAEcAQQBGACAAMgAwADIANQA6ACAAVABhAGIAbABlACAAOQBcACIAOwBcAG4AIAAgACAAIAAgACAAIAAgAFwAIgBIAGUAYQB2AHkAIABkAHUAdAB5ACAAdgBlAGgAaQBjAGwAZQBzAFwAIgAsACAAXAAiAEQAaQBlAHMAZQBsACAAbwBpAGwAIAAtACAARQB1AHIAbwAgAGkAdgAgAG8AcgAgAGgAaQBnAGgAZQByAFwAIgAsACAAMwA4AC4ANgAsACAAXAAiAGsAbABcACIALAAgADYAOQAuADkALAAgADAALgAwADcALAAgADAALgA0ACwAIAA3ADAALgAzADcALAAgADEANwAuADMALAAgAFwAIgBOAEcAQQBGACAAMgAwADIANQA6ACAAVABhAGIAbABlACAAOQBcACIAOwBcAG4AIAAgACAAIAAgACAAIAAgAFwAIgBIAGUAYQB2AHkAIABkAHUAdAB5ACAAdgBlAGgAaQBjAGwAZQBzAFwAIgAsACAAXAAiAEQAaQBlAHMAZQBsACAAbwBpAGwAIAAtACAARQB1AHIAbwAgAGkAaQBpAFwAIgAsACAAMwA4AC4ANgAsACAAXAAiAGsAbABcACIALAAgADYAOQAuADkALAAgADAALgAxACwAIAAwAC4ANAAsACAANwAwAC4ANAAsACAAMQA3AC4AMwAsACAAXAAiAE4ARwBBAEYAIAAyADAAMgA1ADoAIABUAGEAYgBsAGUAIAA5AFwAIgA7AFwAbgAgACAAIAAgACAAIAAgACAAXAAiAEgAZQBhAHYAeQAgAGQAdQB0AHkAIAB2AGUAaABpAGMAbABlAHMAXAAiACwAIABcACIARABpAGUAcwBlAGwAIABvAGkAbAAgAC0AIABFAHUAcgBvACAAaQBcACIALAAgADMAOAAuADYALAAgAFwAIgBrAGwAXAAiACwAIAA2ADkALgA5ACwAIAAwAC4AMgAsACAAMAAuADQALAAgADcAMAAuADUALAAgADEANwAuADMALAAgAFwAIgBOAEcAQQBGACAAMgAwADIANQA6ACAAVABhAGIAbABlACAAOQBcACIAOwBcAG4AIAAgACAAIAAgACAAIAAgAFwAIgBIAGUAYQB2AHkAIABkAHUAdAB5ACAAdgBlAGgAaQBjAGwAZQBzAFwAIgAsACAAXAAiAFIAZQBuAGUAdwBhAGIAbABlACAAZABpAGUAcwBlAGwAIAATICAARQB1AHIAbwAgAGkAdgAgAG8AcgAgAGgAaQBnAGgAZQByAFwAIgAsACAAMwA4AC4ANgAsACAAXAAiAGsAbABcACIALAAgADAALgAwACwAIAAwAC4AMAA3ACwAIAAwAC4ANAAsACAAMAAuADQANwAsACAAXAAiAE4ARQBcACIALAAgAFwAIgBOAEcAQQBGACAAMgAwADIANQA6ACAAVABhAGIAbABlACAAOQBcACIAOwBcAG4AIAAgACAAIAAgACAAIAAgAFwAIgBIAGUAYQB2AHkAIABkAHUAdAB5ACAAdgBlAGgAaQBjAGwAZQBzAFwAIgAsACAAXAAiAFIAZQBuAGUAdwBhAGIAbABlACAAZABpAGUAcwBlAGwAIAATICAARQB1AHIAbwAgAGkAaQBpAFwAIgAsACAAMwA4AC4ANgAsACAAXAAiAGsAbABcACIALAAgADAALgAwACwAIAAwAC4AMQAsACAAMAAuADQALAAgADAALgA1ACwAIABcACIATgBFAFwAIgAsACAAXAAiAE4ARwBBAEYAIAAyADAAMgA1ADoAIABUAGEAYgBsAGUAIAA5AFwAIgA7AFwAbgAgACAAIAAgACAAIAAgACAAXAAiAEgAZQBhAHYAeQAgAGQAdQB0AHkAIAB2AGUAaABpAGMAbABlAHMAXAAiACwAIABcACIAUgBlAG4AZQB3AGEAYgBsAGUAIABkAGkAZQBzAGUAbAAgABMgIABFAHUAcgBvACAAaQBcACIALAAgADMAOAAuADYALAAgAFwAIgBrAGwAXAAiACwAIAAwAC4AMAAsACAAMAAuADIALAAgADAALgA0ACwAIAAwAC4ANgAsACAAXAAiAE4ARQBcACIALAAgAFwAIgBOAEcAQQBGACAAMgAwADIANQA6ACAAVABhAGIAbABlACAAOQBcACIAOwBcAG4AIAAgACAAIAAgACAAIAAgAFwAIgBBAHYAaQBhAHQAaQBvAG4AXAAiACwAIABcACIARwBhAHMAbwBsAGkAbgBlACAAZgBvAHIAIAB1AHMAZQAgAGEAcwAgAGYAdQBlAGwAIABpAG4AIABhAG4AIABhAGkAcgBjAHIAYQBmAHQAXAAiACwAIAAzADMALgAxACwAIABcACIAawBsAFwAIgAsACAANgA3AC4AMAAsACAAMAAuADAANgAsACAAMAAuADYALAAgADYANwAuADYANgAsACAAMQA4AC4AMAAsACAAXAAiAE4ARwBBAEYAIAAyADAAMgA1ADoAIABUAGEAYgBsAGUAIAA5AFwAIgA7AFwAbgAgACAAIAAgACAAIAAgACAAXAAiAEEAdgBpAGEAdABpAG8AbgBcACIALAAgAFwAIgBLAGUAcgBvAHMAZQBuAGUAIABmAG8AcgAgAHUAcwBlACAAYQBzACAAZgB1AGUAbAAgAGkAbgAgAGEAbgAgAGEAaQByAGMAcgBhAGYAdABcACIALAAgADMANgAuADgALAAgAFwAIgBrAGwAXAAiACwAIAA2ADkALgA2ACwAIAAwAC4AMAAxACwAIAAwAC4ANgAsACAANwAwAC4AMgAxACwAIAAxADgALgAwACwAIABcACIATgBHAEEARgAgADIAMAAyADUAOgAgAFQAYQBiAGwAZQAgADkAXAAiADsAXABuACAAIAAgACAAIAAgACAAIABcACIAQQB2AGkAYQB0AGkAbwBuAFwAIgAsACAAXAAiAFIAZQBuAGUAdwBhAGIAbABlACAAYQB2AGkAYQB0AGkAbwBuACAAawBlAHIAbwBzAGUAbgBlAFwAIgAsACAAMwA2AC4AOAAsACAAXAAiAGsAbABcACIALAAgADAALgAwACwAIAAwAC4AMAAxACwAIAAwAC4ANgAsACAAMAAuADYAMQAsACAAXAAiAE4ARQBcACIALAAgAFwAIgBOAEcAQQBGACAAMgAwADIANQA6ACAAVABhAGIAbABlACAAOQBcACIAOwBcAG4AIAAgACAAIAAgACAAIAAgAFwAIgBWAGUAcwBzAGUAbABzAFwAIgAsACAAXAAiAEcAYQBzAG8AbABpAG4AZQBcACIALAAgADMANAAuADIALAAgAFwAIgBrAEwAXAAiACwAIAA2ADcALgA0ACwAIAAxADAALgAxACwAIAAwAC4AMwAsACAAXAAiAFwAIgAsACAAMQA3AC4AMgAsACAAXAAiAFYARQBFAFIARwAgADIAMAAyADYAOgAgAFQAYQBiAGwAZQAgAEEALgA0AC4AMgAuADEAXAAiADsAXABuACAAIAAgACAAIAAgACAAIABcACIAVgBlAHMAcwBlAGwAcwBcACIALAAgAFwAIgBEAGkAZQBzAGUAbAAgAG8AaQBsAFwAIgAsACAAMwA4AC4ANgAsACAAXAAiAGsATABcACIALAAgADYAOQAuADkALAAgADAALgAyACwAIAAwAC4ANQAsACAAXAAiAFwAIgAsACAAMQA3AC4AMwAsACAAXAAiAFYARQBFAFIARwAgADIAMAAyADYAOgAgAFQAYQBiAGwAZQAgAEEALgA0AC4AMgAuADEAXAAiADsAXABuACAAIAAgACAAIAAgACAAIABcACIAVgBlAHMAcwBlAGwAcwBcACIALAAgAFwAIgBGAHUAZQBsACAATwBpAGwAXAAiACwAIAAzADkALgA3ACwAIABcACIAawBMAFwAIgAsACAANwAzAC4ANgAsACAAMAAuADIALAAgADAALgA1ACwAIABcACIAXAAiACwAIAAxADgALgAwACwAIABcACIAVgBFAEUAUgBHACAAMgAwADIANgA6ACAAVABhAGIAbABlACAAQQAuADQALgAyAC4AMQBcACIAOwBcAG4AIAAgACAAIAAgACAAIAAgAFwAIgBPAGYAZgAtAHIAbwBhAGQAIABBAGcAcgBpAGMAdQBsAHQAdQByAGUAIABhAG4AZAAgAGYAbwByAGUAcwB0AHIAeQAgAGUAcQB1AGkAcABtAGUAbgB0AFwAIgAsACAAXAAiAEQAaQBlAHMAZQBsACAAbwBpAGwAXAAiACwAIAAzADgALgA2ACwAIABcACIAawBMAFwAIgAsACAANgA5AC4AOQAsACAAMAAuADMALAAgADAALgA1ACwAIABcACIAXAAiACwAIAAxADcALgAzACwAIABcACIAVgBFAEUAUgBHACAAMgAwADIANgA6ACAAVABhAGIAbABlACAAQQAuADQALgAyAC4AMQBcACIAXABuACAAIAAgACAAIAAgAH0ALAAgAHIALAAgAGMAKQBcAG4AKQApACkAOwBcAG4AXABuAEYAdQBlAGwAXwBTAGMAbwBwAGUAMQBTAGMAbwBwAGUAMwBFAG0AaQBzAHMAaQBvAG4ARgBhAGMAdABvAHIAcwBUAHIAYQBuAHMAcABvAHIAd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PAGYAZgAtAHIAYQBkACAAZQBxAHUAaQBwAG0AZQBuAHQAIABhAG4AZAAgAHYAZQBzAHM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PAGYAZgBSAG8AYQBkAF8AVABpAHQAbABlAFwAbgA9AEwAQQBNAEIARABBACgAKABcACIARgB1AGUAbAAgAHMAYwBvAHAAZQAgADEAIABhAG4AZAAgADMAIABlAG0AaQBzAHMAaQBvAG4AIABmAGEAYwB0AG8AcgBzACAALQAgAE8AZgBmAC0AcgBvAGEAZAAgAGUAcQB1AGkAcABtAGUAbgB0ACAAYQBuAGQAIAB2AGUAcwBzAGUAbABzAFwAIgApACkAOwBcAG4AXABuAEYAdQBlAGwAXwBTAGMAbwBwAGUAMQBTAGMAbwBwAGUAMwBFAG0AaQBzAHMAaQBvAG4ARgBhAGMAdABvAHIAcwBUAHIAYQBuAHMAcABvAHIAdABPAGYAZgBSAG8AYQBk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GYAdQBlAGwAcwAgAGkAbgAgAG8AZgBmAC0AcgBvAGEAZAAgAGUAcQB1AGkAcABtAGUAbgB0ACAAYQBuAGQAIAB2AGUAcwBzAGUAbABzAFwAIgApACkAOwBcAG4AXABuAEYAdQBlAGwAXwBTAGMAbwBwAGUAMQBTAGMAbwBwAGUAMwBFAG0AaQBzAHMAaQBvAG4ARgBhAGMAdABvAHIAcwBUAHIAYQBuAHMAcABvAHIAdABPAGYAZgBSAG8AYQBkAF8AUwBvAHUAcgBjAGUAXABuAD0ATABBAE0AQgBEAEEAKAAoAFwAIgBWAEUARQBSAEcAIAAyADAAMgA2ADoAIABUAGEAYgBsAGUAIABBAC4ANAAuADIALgAxAFwAIgApACkAOwBcAG4AXABuAEYAdQBlAGwAXwBTAGMAbwBwAGUAMQBTAGMAbwBwAGUAMwBFAG0AaQBzAHMAaQBvAG4ARgBhAGMAdABvAHIAcwBUAHIAYQBuAHMAcABvAHIAdABPAGYAZgBSAG8AYQBkAF8ARABhAHQAYQBcAG4APQBMAEEATQBCAEQAQQAoAFwAbgAgACAATQBBAEsARQBBAFIAUgBBAFkAKAA1ACwAIAA3ACwAXABuACAAIAAgACAATABBAE0AQgBEAEEAKAByACwAYwAsAFwAbgAgACAAIAAgACAAIABJAE4ARABFAFgAKAB7AFwAbgAgACAAIAAgACAAIAAgACAAXAAiAFQAcgBhAG4AcwBwAG8AcgB0ACAAdAB5AHAAZQAgAHQAXAAiACwAIABcACIARgB1AGUAbAAgAHQAeQBwAGUAIABxAFwAIgAsACAAXAAiAEUAQwBUAHIAYQBuAHMALABxACAAKABHAEoALwBrAEwAKQBcACIALAAgAFwAIgBTAGMAbwBwAGUAIAAxACAAQwBPADIAIABFAEYAVAByAGEAbgAsADEALAB0AHEAZwAgACgAawBnACAAQwBPADIALQBlAC8ARwBKACkAXAAiACwAIABcACIAUwBjAG8AcABlACAAMQAgAEMASAA0ACAARQBGAFQAcgBhAG4ALAAxACwAdABnAGcAIAAoAGsAZwAgAEMATwAyAC0AZQAvAEcASgApAFwAIgAsACAAXAAiAFMAYwBvAHAAZQAgADEAIABOADIATwAgAEUARgBUAHIAYQBuACwAMQAsAHQAZwBnACAAKABrAGcAIABDAE8AMgAtAGUALwBHAEoAKQBcACIALAAgAFwAIgBTAGMAbwBwAGUAIAAzACAARQBGAFQAcgBhAG4AcwAsADMALABxACAAKABrAGcAIABDAE8AMgAtAGUALwBHAEoAKQBcACIAOwBcAG4AIAAgACAAIAAgACAAIAAgAFwAIgBWAGUAcwBzAGUAbABcACIALAAgAFwAIgBQAGUAdAByAG8AbABcACIALAAgADMANAAuADIALAAgADYANwAuADQALAAgADEAMAAuADEALAAgADAALgAzACwAIAAxADcALgAyADsAXABuACAAIAAgACAAIAAgACAAIABcACIAVgBlAHMAcwBlAGwAXAAiACwAIABcACIARABpAGUAcwBlAGwAXAAiACwAIAAzADgALgA2ACwAIAA2ADkALgA5ACwAIAAwAC4AMgAsACAAMAAuADUALAAgADEANwAuADMAOwBcAG4AIAAgACAAIAAgACAAIAAgAFwAIgBWAGUAcwBzAGUAbABcACIALAAgAFwAIgBGAHUAZQBsACAATwBpAGwAXAAiACwAIAAzADkALgA3ACwAIAA3ADMALgA2ACwAIAAwAC4AMgAsACAAMAAuADUALAAgADEAOAAuADAAOwBcAG4AIAAgACAAIAAgACAAIAAgAFwAIgBPAGYAZgAtAHIAbwBhAGQAIABBAGcAcgBpAGMAdQBsAHQAdQByAGUAIABhAG4AZAAgAGYAbwByAGUAcwB0AHIAeQAgAGUAcQB1AGkAcABtAGUAbgB0AFwAIgAsACAAXAAiAEQAaQBlAHMAZQBsAFwAIgAsACAAMwA4AC4ANgAsACAANgA5AC4AOQAsACAAMAAuADMALAAgADAALgA1ACwAIAAxADcALgAzAFwAbgAgACAAIAAgACAAIAB9ACwAIAByACwAIABjACkAXABuACkAKQApADsAXABuAFwAbgBcAG4AXABuACIAfQAsAHsAIgBwAGEAdABoACIAOgAiAC8AcAByAG8AagBlAGMAdABzAC8ARgBlAHIAdABpAGwAaQBzAGUAcgBfAEUAcQB1AGEAdABpAG8AbgBzAF8ASQBuAG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EAXwBfADEAXwBJAG4AbwByAGcAYQBuAGkAYwBGAGUAcgB0AGkAbABpAHMAZQByAEEAcABwAGwAaQBjAGEAdABpAG8AbgBOADIATwBFAG0AaQBzAHMAaQBvAG4AcwBcAG4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BuAEUAXwBOADIATwBcAG4AdAAgAE4AMgBPAFwAbgBcAFwAcwB1AG0AXwB7AGoAfQBcAFwAcwB1AG0AXwB7AGYAfQAoACgATQBOAF8AewBqAGYAfQBcAFwAdABpAG0AZQBzACAARQBGAF8AewBqACwATgAyAE8AfQBcAFwAdABpAG0AZQBzACAAQwBfAHsATgAyAE8AfQApAFwAXAB0AGkAbQBlAHMAIAAxADAAXgB7AC0AMwB9ACkAXABuAE0ATgBfAGoAZgBcAG4ARQBGAF8AagBOADIATwBcAG4AQwBfAE4AMgBPAFwAbgBqAFwAbgBmAFwAbgAtAC0ALQAtAC0ALQAtAC0ALQAtAC0ALQAtAC0ALQAtAC0ALQAtAC0ALQAtAC0ALQAtAC0ALQAtAC0ALQAtAC0ALQAtAC0ALQAtAC0AXABuACoALwBcAG4AXABuAFYARQBFAFIARwBfADUAXwAxAF8AMQBfADEAXwBfADEAXwBJAG4AbwByAGcAYQBuAGkAYwBGAGUAcgB0AGkAbABpAHMAZQByAEEAcABwAGwAaQBjAGEAdABpAG8AbgBOADIATwBFAG0AaQBzAHMAaQBvAG4AcwBcAG4AIAAgAD0ATABBAE0AQgBEAEEAKABcAG4AIAAgACAAIABNAE4AXwBqAGYALAAgAEUARgBfAGoATgAyAE8ALAAgAEMAXwBOADIATwAsAFwAbgAgACAAIAAgACgATQBOAF8AagBmACAAKgAgAEUARgBfAGoATgAyAE8AIAAqACAAQwBfAE4AMgBPACkAIAAqACAAMQAwACAAXgAgAC0AMwBcAG4AIAAgACkAOwBcAG4AXABuAFYARQBFAFIARwBfADUAXwAxAF8AMQBfADEAXwBfADEAXwBJAG4Ab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AiACkAOwBcAG4AXABuAFYARQBFAFIARwBfADUAXwAxAF8AMQBfADEAXwBfADEAXwBJAG4AbwByAGcAYQBuAGkAYwBGAGUAcgB0AGkAbABpAHMAZQByAEEAcABwAGwAaQBjAGEAdABpAG8AbgBOADIATwBFAG0AaQBzAHMAaQBvAG4AcwBfAFYAYQByAGkAYQBiAGwAZQBcAG4AIAAgAD0ATABBAE0AQgBEAEEAKABcACIARQBfAE4AMgBPAFwAIgApADsAXABuAFwAbgBWAEUARQBSAEcAXwA1AF8AMQBfADEAXwAxAF8AXwAxAF8ASQBuAG8AcgBnAGEAbgBpAGMARgBlAHIAdABpAGwAaQBzAGUAcgBBAHAAcABsAGkAYwBhAHQAaQBvAG4ATgAyAE8ARQBtAGkAcwBzAGkAbwBuAHMAXwBVAG4AaQB0AFwAbgAgACAAPQBMAEEATQBCAEQAQQAoAFwAIgB0ACAATgAyAE8AXAAiACkAOwBcAG4AXABuAFYARQBFAFIARwBfADUAXwAxAF8AMQBfADEAXwBfADEAXwBJAG4AbwByAGcAYQBuAGkAYwBGAGUAcgB0AGkAbABpAHMAZQByAEEAcABwAGwAaQBjAGEAdABpAG8AbgBOADIATwBFAG0AaQBzAHMAaQBvAG4AcwBfAFMAbwB1AHIAYwBlAFwAbgAgACAAPQBMAEEATQBCAEQAQQAoAFwAIgBWAEUARQBSAEcAIAAyADAAMgA2ADoAIAA1AC4AMQAuADEALgAxACwAIABFAHEAdQBhAHQAaQBvAG4AIAAoADEAKQBcACIAKQA7AFwAbgBcAG4AVgBFAEUAUgBHAF8ANQBfADEAXwAxAF8AMQBfAF8AMQBfAEkAbgBvAHIAZwBhAG4AaQBjAEYAZQByAHQAaQBsAGkAcwBlAHIAQQBwAHAAbABpAGMAYQB0AGkAbwBuAE4AMgBPAEUAbQBpAHMAcwBpAG8AbgBzAF8ATgBJAFIAUgBlAGYAZQByAGUAbgBjAGUAXABuACAAIAA9AEwAQQBNAEIARABBACgAXAAiAFwAIgApADsAXABuAFwAbgBWAEUARQBSAEcAXwA1AF8AMQBfADEAXwAxAF8AXwAxAF8ASQBuAG8AcgBnAGEAbgBpAGMARgBlAHIAdABpAGwAaQBzAGUAcgBBAHAAcABsAGkAYwBhAHQAaQBvAG4ATgAyAE8ARQBtAGkAcwBzAGkAbwBuAHMAXwBMAGEAdABlAHgARQBxAHUAYQB0AGkAbwBuAFwAbgAgACAAPQBMAEEATQBCAEQAQQAoAFwAIgBFAF8AewBOADIATwB9AD0AXABcAHMAdQBtAF8AewBqAH0AXABcAHMAdQBtAF8AewBmAH0AKAAoAE0ATgBfAHsAagBmAH0AXABcAHQAaQBtAGUAcwAgAEUARgBfAHsAagAsAE4AMgBPAH0AXABcAHQAaQBtAGUAcwAgAEMAXwB7AE4AMgBPAH0AKQBcAFwAdABpAG0AZQBzACAAMQAwAF4AewAtADMAfQApAFwAIgApADsAXABuAFwAbgBWAEUARQBSAEcAXwA1AF8AMQBfADEAXwAxAF8AXwAxAF8ASQBuAG8AcgBnAGEAbgBpAGMARgBlAHIAdABpAGwAaQBzAGUAcgBBAHAAcABsAGkAYwBhAHQAaQBvAG4ATgAyAE8ARQBtAGkAcwBzAGkAbwBuAHMAXwBBAHIAZwB1AG0AZQBuAHQAcwBcAG4AIAAgAD0ATABBAE0AQgBEAEEAKABcAG4AIAAgACAAIABNAEEASwBFAEEAUgBSAEEAWQAoADc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VgBFAEUAUgBHAF8ANQBfADEAXwAxAF8AMQBfAF8AMQBfAEkAbgBvAHIAZwBhAG4AaQBjAEYAZQByAHQAaQBsAGkAcwBlAHIAQQBwAHAAbABpAGMAYQB0AGkAbwBuAE4AMgBPAEUAbQBpAHMAcwBpAG8AbgBzAF8AQQByAGcAdQBtAGUAbgB0AHMAXwBNAGUAdABoAG8AZAAyAFwAbgAgACAAPQBMAEEATQBCAEQAQQAoAFwAbgAgACAAIAAgAE0AQQBLAEUAQQBSAFIAQQBZACgAOA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hAGwAYwB1AGwAYQB0AGUAZAAgAGYAcgBvAG0AIAA1AC4AMQAuADEALgAyACAAKAAxACkAKAAyACkAKAAzACk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MAXAAiACwAXAAiAEMAcgBvAHAAIAB0AHkAcABl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EAXwAxAF8AMQBfAF8AMgBfAE0AYQBzAHMATwBmAE4AaQB0AHIAbwBnAGUAbgBJAG4ASQBuAG8AcgBnAGEAbgBpAGMARgBlAHIAdABpAGwAaQBzAGUAcgBcAG4ATQBhAHMAcwAgAG8AZgAgAG4AaQB0AHIAbwBnAGUAbgAgAGkAbgAgAGkAbgBvAHIAZwBhAG4AaQBjACAAZgBlAHIAdABpAGwAaQBzAGUAcgAgAGEAcABwAGwAaQBlAGQAIAB0AG8AIABwAHIAbwBkAHUAYwB0AGkAbwBuACAAcwB5AHMAdABlAG0AXABuAE0ATgBfAGoAZgBcAG4AawBnACAATgBcAG4AewBNAE4AfQBfAHsAagBmAH0APQBUAE0AXwB7AGoAZgB9AFwAXAB0AGkAbQBlAHMAIABGAE4AXwB7AGkAbgBvAHIAZwBhAG4AaQBjACwAZgB9AFwAbgBUAE0AXwBqAGYAXABuAEYATgBfAGkAbgBvAHIAZwBhAG4AaQBjAGYAXABuAGoAXABuAGkAbgBvAHIAZwBhAG4AaQBjAFwAbgBmAFwAbgAtAC0ALQAtAC0ALQAtAC0ALQAtAC0ALQAtAC0ALQAtAC0ALQAtAC0ALQAtAC0ALQAtAC0ALQAtAC0ALQAtAC0ALQAtAC0ALQAtAC0AXABuACoALwBcAG4AXABuAFYARQBFAFIARwBfADUAXwAxAF8AMQBfADEAXwBfADIAXwBNAGEAcwBzAE8AZgBOAGkAdAByAG8AZwBlAG4ASQBuAEkAbgBvAHIAZwBhAG4AaQBjAEYAZQByAHQAaQBsAGkAcwBlAHIAXABuACAAIAA9AEwAQQBNAEIARABBACgAXABuACAAIAAgACAAVABNAF8AagBmACwAIABGAE4AXwBpAG4AbwByAGcAYQBuAGkAYwBmACwAXABuACAAIAAgACAAVABNAF8AagBmACAAKgAgAEYATgBfAGkAbgBvAHIAZwBhAG4AaQBjAGYAXABuACAAIAApADsAXABuAFwAbgBWAEUARQBSAEcAXwA1AF8AMQBfADEAXwAxAF8AXwAyAF8ATQBhAHMAcwBPAGYATgBpAHQAcgBvAGcAZQBuAEkAbgBJAG4AbwByAGcAYQBuAGkAYwBGAGUAcgB0AGkAbABpAHMAZQByAF8AVABpAHQAbABlAFwAbgAgACAAPQBMAEEATQBCAEQAQQAoAFwAIgBNAGEAcwBzACAAbwBmACAAbgBpAHQAcgBvAGcAZQBuACAAaQBuACAAaQBuAG8AcgBnAGEAbgBpAGMAIABmAGUAcgB0AGkAbABpAHMAZQByACAAYQBwAHAAbABpAGUAZAAgAHQAbwAgAHAAcgBvAGQAdQBjAHQAaQBvAG4AIABzAHkAcwB0AGUAbQBcACIAKQA7AFwAbgBcAG4AVgBFAEUAUgBHAF8ANQBfADEAXwAxAF8AMQBfAF8AMgBfAE0AYQBzAHMATwBmAE4AaQB0AHIAbwBnAGUAbgBJAG4ASQBuAG8AcgBnAGEAbgBpAGMARgBlAHIAdABpAGwAaQBzAGUAcgBfAFYAYQByAGkAYQBiAGwAZQBcAG4AIAAgAD0ATABBAE0AQgBEAEEAKABcACIATQBOAF8AagBmAFwAIgApADsAXABuAFwAbgBWAEUARQBSAEcAXwA1AF8AMQBfADEAXwAxAF8AXwAyAF8ATQBhAHMAcwBPAGYATgBpAHQAcgBvAGcAZQBuAEkAbgBJAG4AbwByAGcAYQBuAGkAYwBGAGUAcgB0AGkAbABpAHMAZQByAF8AVQBuAGkAdABcAG4AIAAgAD0ATABBAE0AQgBEAEEAKABcACIAawBnACAATgBcACIAKQA7AFwAbgBcAG4AVgBFAEUAUgBHAF8ANQBfADEAXwAxAF8AMQBfAF8AMgBfAE0AYQBzAHMATwBmAE4AaQB0AHIAbwBnAGUAbgBJAG4ASQBuAG8AcgBnAGEAbgBpAGMARgBlAHIAdABpAGwAaQBzAGUAcgBfAFMAbwB1AHIAYwBlAFwAbgAgACAAPQBMAEEATQBCAEQAQQAoAFwAIgBWAEUARQBSAEcAIAAyADAAMgA2ADoAIAA1AC4AMQAuADEALgAxACwAIABFAHEAdQBhAHQAaQBvAG4AIAAoADIAKQBcACIAKQA7AFwAbgBcAG4AVgBFAEUAUgBHAF8ANQBfADEAXwAxAF8AMQBfAF8AMgBfAE0AYQBzAHMATwBmAE4AaQB0AHIAbwBnAGUAbgBJAG4ASQBuAG8AcgBnAGEAbgBpAGMARgBlAHIAdABpAGwAaQBzAGUAcgBfAE4ASQBSAFIAZQBmAGUAcgBlAG4AYwBlAFwAbgAgACAAPQBMAEEATQBCAEQAQQAoAFwAIgBcACIAKQA7AFwAbgBcAG4AVgBFAEUAUgBHAF8ANQBfADEAXwAxAF8AMQBfAF8AMgBfAE0AYQBzAHMATwBmAE4AaQB0AHIAbwBnAGUAbgBJAG4ASQBuAG8AcgBnAGEAbgBpAGMARgBlAHIAdABpAGwAaQBzAGUAcgBfAEwAYQB0AGUAeABFAHEAdQBhAHQAaQBvAG4AXABuACAAIAA9AEwAQQBNAEIARABBACgAXAAiAHsATQBOAH0AXwB7AGoAZgB9AD0AVABNAF8AewBqAGYAfQBcAFwAdABpAG0AZQBzACAARgBOAF8AewBpAG4AbwByAGcAYQBuAGkAYwAsAGYAfQBcACIAKQA7AFwAbgBcAG4AVgBFAEUAUgBHAF8ANQBfADEAXwAxAF8AMQBfAF8AMgBfAE0AYQBzAHMATwBmAE4AaQB0AHIAbwBnAGUAbg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AgAFwAIgBrAGcAXAAiACwAIABcACIASQBuAHAAdQB0AFwAIgA7AFwAbgAgACAAIAAgACAAIAAgACAAIAAgAFwAIgBGAE4AXwBpAG4AbwByAGcAYQBuAGkAYwBmAFwAIgAsAFwAIgBmAHIAYQBjAHQAaQBvAG4AIABvAGYAIABuAGkAdAByAG8AZwBlAG4AIABpAG4AIABpAG4AbwByAGcAYQBuAGkAYwAgAGYAZQByAHQAaQBsAGkAcwBlAHIAIAB0AHkAcABlACAAZgAgAFwAIgAsACAAXAAiAGsAZwAgAE4ALwBrAGc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IAXwBfADEAXwBFAG0AaQBzAHMAaQBvAG4ARgBhAGMAdABvAHIASQByAHIAaQBnAGEAdABlAGQATQBhAGkAegBlAFwAbgBFAG0AaQBzAHMAaQBvAG4AIABmAGEAYwB0AG8AcgAgAGYAbwByACAAbgBpAHQAcgBvAHUAcwAgAG8AeABpAGQAZQAgAGYAbwByACAAaQByAHIAaQBnAGEAdABlAGQAIABtAGEAaQB6AGUAXABuAEUARgBfAGYAagBJAHIAcgBpAGcAYQB0AGUAZABNAGEAaQB6AGUATgAyAE8AXABuAGsAZwAgAE4AMgBPAC0ATgAvAGsAZwAgAE4AIABhAHAAcABsAGkAZQBkAFwAbgBFAEYAXwB7AGYAagA9AGkAcgByAGkAZwBhAHQAZQBkAG0AYQBpAHoAZQAsAE4AMgBPAH0APQAoAC0AMAAuADEANAA3ADQAKwAoADAALgAwADAANgAxAFwAXAB0AGkAbQBlAHMAIABOAF8AewBmAGoAPQBpAHIAcgBpAGcAYQB0AGUAZABtAGEAaQB6AGUAfQApACkAXABcAHQAaQBtAGUAcwAgADEAMABeAHsALQAyAH0AXABuAE4AXwBmAGoASQByAHIAaQBnAGEAdABlAGQATQBhAGkAegBlAFwAbgBmAFwAbgAtAC0ALQAtAC0ALQAtAC0ALQAtAC0ALQAtAC0ALQAtAC0ALQAtAC0ALQAtAC0ALQAtAC0ALQAtAC0ALQAtAC0ALQAtAC0ALQAtAC0AXABuACoALwBcAG4AXABuAFYARQBFAFIARwBfADUAXwAxAF8AMQBfADIAXwBfADEAXwBFAG0AaQBzAHMAaQBvAG4ARgBhAGMAdABvAHIASQByAHIAaQBnAGEAdABlAGQATQBhAGkAegBlAFwAbgAgACAAPQBMAEEATQBCAEQAQQAoAFwAbgAgACAAIAAgAE4AXwBmAGoASQByAHIAaQBnAGEAdABlAGQATQBhAGkAegBlACwAXABuACAAIAAgACAAKAAtADAALgAxADQANwA0ACAAKwAgACgAMAAuADAAMAA2ADEAIAAqACAATgBfAGYAagBJAHIAcgBpAGcAYQB0AGUAZABNAGEAaQB6AGUAKQApACAAKgAgADEAMAAgAF4AIAAtADIAXABuACAAIAApADsAXABuAFwAbgBWAEUARQBSAEcAXwA1AF8AMQBfADEAXwAyAF8AXwAxAF8ARQBtAGkAcwBzAGkAbwBuAEYAYQBjAHQAbwByAEkAcgByAGkAZwBhAHQAZQBkAE0AYQBpAHoAZQBfAFQAaQB0AGwAZQBcAG4AIAAgAD0ATABBAE0AQgBEAEEAKABcACIARQBtAGkAcwBzAGkAbwBuACAAZgBhAGMAdABvAHIAIABmAG8AcgAgAG4AaQB0AHIAbwB1AHMAIABvAHgAaQBkAGUAIABmAG8AcgAgAGkAcgByAGkAZwBhAHQAZQBkACAAbQBhAGkAegBlAFwAIgApADsAXABuAFwAbgBWAEUARQBSAEcAXwA1AF8AMQBfADEAXwAyAF8AXwAxAF8ARQBtAGkAcwBzAGkAbwBuAEYAYQBjAHQAbwByAEkAcgByAGkAZwBhAHQAZQBkAE0AYQBpAHoAZQBfAFYAYQByAGkAYQBiAGwAZQBcAG4AIAAgAD0ATABBAE0AQgBEAEEAKABcACIARQBGAF8AZgBqAEkAcgByAGkAZwBhAHQAZQBkAE0AYQBpAHoAZQBOADIATwBcACIAKQA7AFwAbgBcAG4AVgBFAEUAUgBHAF8ANQBfADEAXwAxAF8AMgBfAF8AMQBfAEUAbQBpAHMAcwBpAG8AbgBGAGEAYwB0AG8AcgBJAHIAcgBpAGcAYQB0AGUAZABNAGEAaQB6AGUAXwBVAG4AaQB0AFwAbgAgACAAPQBMAEEATQBCAEQAQQAoAFwAIgBrAGcAIABOADIATwAtAE4ALwBrAGcAIABOACAAYQBwAHAAbABpAGUAZABcACIAKQA7AFwAbgBcAG4AVgBFAEUAUgBHAF8ANQBfADEAXwAxAF8AMgBfAF8AMQBfAEUAbQBpAHMAcwBpAG8AbgBGAGEAYwB0AG8AcgBJAHIAcgBpAGcAYQB0AGUAZABNAGEAaQB6AGUAXwBTAG8AdQByAGMAZQBcAG4AIAAgAD0ATABBAE0AQgBEAEEAKABcACIAVgBFAEUAUgBHACAAMgAwADIANgA6ACAANQAuADEALgAxAC4AMgAsACAARQBxAHUAYQB0AGkAbwBuACAAKAAxACkAXAAiACkAOwBcAG4AXABuAFYARQBFAFIARwBfADUAXwAxAF8AMQBfADIAXwBfADEAXwBFAG0AaQBzAHMAaQBvAG4ARgBhAGMAdABvAHIASQByAHIAaQBnAGEAdABlAGQATQBhAGkAegBlAF8ATgBJAFIAUgBlAGYAZQByAGUAbgBjAGUAXABuACAAIAA9AEwAQQBNAEIARABBACgAXAAiAFwAIgApADsAXABuAFwAbgBWAEUARQBSAEcAXwA1AF8AMQBfADEAXwAyAF8AXwAxAF8ARQBtAGkAcwBzAGkAbwBuAEYAYQBjAHQAbwByAEkAcgByAGkAZwBhAHQAZQBkAE0AYQBpAHoAZQBfAEwAYQB0AGUAeABFAHEAdQBhAHQAaQBvAG4AXABuACAAIAA9AEwAQQBNAEIARABBACgAXAAiAEUARgBfAHsAZgBqAD0AaQByAHIAaQBnAGEAdABlAGQAbQBhAGkAegBlACwATgAyAE8AfQA9ACgALQAwAC4AMQA0ADcANAArACgAMAAuADAAMAA2ADEAXABcAHQAaQBtAGUAcwAgAE4AXwB7AGYAagA9AGkAcgByAGkAZwBhAHQAZQBkAG0AYQBpAHoAZQB9ACkAKQBcAFwAdABpAG0AZQBzACAAMQAwAF4AewAtADIAfQBcACIAKQA7AFwAbgBcAG4AVgBFAEUAUgBHAF8ANQBfADEAXwAxAF8AMgBfAF8AMQBfAEUAbQBpAHMAcwBpAG8AbgBGAGEAYwB0AG8AcgBJAHIAcgBpAGcAYQB0AGUAZABNAGEAaQB6AGUAXwBBAHIAZwB1AG0AZQBuAHQAcwBcAG4AIAAgAD0ATABBAE0AQgBEAEEAKABcAG4AIAAgACAAIABNAEEASwBFAEEAUgBSAEEAWQAoADIALAAgADQALAAgAFwAbgAgACAAIAAgACAAIABMAEEATQBCAEQAQQAoAHIALABjACwAIABcAG4AIAAgACAAIAAgACAAIAAgAEkATgBEAEUAWAAoAHsAXABuACAAIAAgACAAIAAgACAAIAAgACAAXAAiAE4AXwBmAGoASQByAHIAaQBnAGEAdABlAGQATQBhAGkAegBlAFwAIgAsAFwAIgBhAHAAcABsAGkAYwBhAHQAaQBvAG4AIAByAGEAdABlACAAbwBmACAAaQBuAG8AcgBnAGEAbgBpAGMAIABmAGUAcgB0AGkAbABpAHMAZQByACAAdAB5AHAAZQAgAGYAIABpAG4AIAB0AGgAZQAgAGkAcgByAGkAZwBhAHQAZQBkACAAbQBhAGkAegBl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yAF8ARQBtAGkAcwBzAGkAbwBuAEYAYQBjAHQAbwByAE4AbwBuAEkAcgByAGkAZwBhAHQAZQBkAEcAcgBhAGkAbgBzAEgAaQBnAGgAUgBhAGkAbgBmAGEAbABsAFwAbgBFAG0AaQBzAHMAaQBvAG4AIABmAGEAYwB0AG8AcgAgAGYAbwByACAAbgBpAHQAcgBvAHUAcwAgAG8AeABpAGQAZQAgAGYAbwByACAAbgBvAG4ALQBpAHIAcgBpAGcAYQB0AGUAZAAgAGcAcgBhAGkAbgBzACAAaQBuACAAaABpAGcAaAAgAHIAYQBpAG4AZgBhAGwAbAAgAHoAbwBuAGUAXABuAEUARgBfAGYAagBOAG8AbgBJAHIAcgBpAGcAYQB0AGUAZABHAHIAYQBpAG4AcwBOADIATwBcAG4AawBnACAATgAyAE8ALQBOAC8AawBnACAATgAgAGEAcABwAGwAaQBlAGQAXABuAEUARgBfAHsAZgBqAD0AbgBvAG4AaQByAHIAaQBnAGEAdABlAGQAZwByAGEAaQBuAHMALABOADIATwB9AD0AKAAwAC4AMAA3ADgAMQArACgAMAAuADAAMAA3ADUAXABcAHQAaQBtAGUAcwAgAE4AXwB7AGYAagA9AG4AbwBuAGkAcgByAGkAZwBhAHQAZQBkAGcAcgBhAGkAbgBzAH0AKQApAFwAXAB0AGkAbQBlAHMAIAAxADAAXgB7AC0AMgB9AFwAbgBOAF8AZgBqAE4AbwBuAEkAcgByAGkAZwBhAHQAZQBkAEcAcgBhAGkAbgBzAFwAbgBmAFwAbgAtAC0ALQAtAC0ALQAtAC0ALQAtAC0ALQAtAC0ALQAtAC0ALQAtAC0ALQAtAC0ALQAtAC0ALQAtAC0ALQAtAC0ALQAtAC0ALQAtAC0AXABuACoALwBcAG4AXABuAFYARQBFAFIARwBfADUAXwAxAF8AMQBfADIAXwBfADIAXwBFAG0AaQBzAHMAaQBvAG4ARgBhAGMAdABvAHIATgBvAG4ASQByAHIAaQBnAGEAdABlAGQARwByAGEAaQBuAHMASABpAGcAaABSAGEAaQBuAGYAYQBsAGwAXABuACAAIAA9AEwAQQBNAEIARABBACgAXABuACAAIAAgACAATgBfAGYAagBOAG8AbgBJAHIAcgBpAGcAYQB0AGUAZABHAHIAYQBpAG4AcwAsAFwAbgAgACAAIAAgACgAMAAuADAANwA4ADEAIAArACAAKAAwAC4AMAAwADcANQAgACoAIABOAF8AZgBqAE4AbwBuAEkAcgByAGkAZwBhAHQAZQBkAEcAcgBhAGkAbgBzACkAKQAgACoAIAAxADAAIABeACAALQAyAFwAbgAgACAAKQA7AFwAbgBcAG4AVgBFAEUAUgBHAF8ANQBfADEAXwAxAF8AMgBfAF8AMgBfAEUAbQBpAHMAcwBpAG8AbgBGAGEAYwB0AG8AcgBOAG8AbgBJAHIAcgBpAGcAYQB0AGUAZABHAHIAYQBpAG4AcwBIAGkAZwBoAFIAYQBpAG4AZgBhAGwAbABfAFQAaQB0AGwAZQBcAG4AIAAgAD0ATABBAE0AQgBEAEEAKABcACIARQBtAGkAcwBzAGkAbwBuACAAZgBhAGMAdABvAHIAIABmAG8AcgAgAG4AaQB0AHIAbwB1AHMAIABvAHgAaQBkAGUAIABmAG8AcgAgAG4AbwBuAC0AaQByAHIAaQBnAGEAdABlAGQAIABnAHIAYQBpAG4AcwAgAGkAbgAgAGgAaQBnAGgAIAByAGEAaQBuAGYAYQBsAGwAIAB6AG8AbgBlAFwAIgApADsAXABuAFwAbgBWAEUARQBSAEcAXwA1AF8AMQBfADEAXwAyAF8AXwAyAF8ARQBtAGkAcwBzAGkAbwBuAEYAYQBjAHQAbwByAE4AbwBuAEkAcgByAGkAZwBhAHQAZQBkAEcAcgBhAGkAbgBzAEgAaQBnAGgAUgBhAGkAbgBmAGEAbABsAF8AVgBhAHIAaQBhAGIAbABlAFwAbgAgACAAPQBMAEEATQBCAEQAQQAoAFwAIgBFAEYAXwBmAGoATgBvAG4ASQByAHIAaQBnAGEAdABlAGQARwByAGEAaQBuAHMATgAyAE8AXAAiACkAOwBcAG4AXABuAFYARQBFAFIARwBfADUAXwAxAF8AMQBfADIAXwBfADIAXwBFAG0AaQBzAHMAaQBvAG4ARgBhAGMAdABvAHIATgBvAG4ASQByAHIAaQBnAGEAdABlAGQARwByAGEAaQBuAHMASABpAGcAaABSAGEAaQBuAGYAYQBsAGwAXwBVAG4AaQB0AFwAbgAgACAAPQBMAEEATQBCAEQAQQAoAFwAIgBrAGcAIABOADIATwAtAE4ALwBrAGcAIABOACAAYQBwAHAAbABpAGUAZABcACIAKQA7AFwAbgBcAG4AVgBFAEUAUgBHAF8ANQBfADEAXwAxAF8AMgBfAF8AMgBfAEUAbQBpAHMAcwBpAG8AbgBGAGEAYwB0AG8AcgBOAG8AbgBJAHIAcgBpAGcAYQB0AGUAZABHAHIAYQBpAG4AcwBIAGkAZwBoAFIAYQBpAG4AZgBhAGwAbABfAFMAbwB1AHIAYwBlAFwAbgAgACAAPQBMAEEATQBCAEQAQQAoAFwAIgBWAEUARQBSAEcAIAAyADAAMgA2ADoAIAA1AC4AMQAuADEALgAyACwAIABFAHEAdQBhAHQAaQBvAG4AIAAoADIAKQBcACIAKQA7AFwAbgBcAG4AVgBFAEUAUgBHAF8ANQBfADEAXwAxAF8AMgBfAF8AMgBfAEUAbQBpAHMAcwBpAG8AbgBGAGEAYwB0AG8AcgBOAG8AbgBJAHIAcgBpAGcAYQB0AGUAZABHAHIAYQBpAG4AcwBIAGkAZwBoAFIAYQBpAG4AZgBhAGwAbABfAE4ASQBSAFIAZQBmAGUAcgBlAG4AYwBlAFwAbgAgACAAPQBMAEEATQBCAEQAQQAoAFwAIgBcACIAKQA7AFwAbgBcAG4AVgBFAEUAUgBHAF8ANQBfADEAXwAxAF8AMgBfAF8AMgBfAEUAbQBpAHMAcwBpAG8AbgBGAGEAYwB0AG8AcgBOAG8AbgBJAHIAcgBpAGcAYQB0AGUAZABHAHIAYQBpAG4AcwBIAGkAZwBoAFIAYQBpAG4AZgBhAGwAbABfAEwAYQB0AGUAeABFAHEAdQBhAHQAaQBvAG4AXABuACAAIAA9AEwAQQBNAEIARABBACgAXAAiAEUARgBfAHsAZgBqAD0AbgBvAG4AaQByAHIAaQBnAGEAdABlAGQAZwByAGEAaQBuAHMALABOADIATwB9AD0AKAAwAC4AMAA3ADgAMQArACgAMAAuADAAMAA3ADUAXABcAHQAaQBtAGUAcwAgAE4AXwB7AGYAagA9AG4AbwBuAGkAcgByAGkAZwBhAHQAZQBkAGcAcgBhAGkAbgBzAH0AKQApAFwAXAB0AGkAbQBlAHMAIAAxADAAXgB7AC0AMgB9AFwAIgApADsAXABuAFwAbgBWAEUARQBSAEcAXwA1AF8AMQBfADEAXwAyAF8AXwAyAF8ARQBtAGkAcwBzAGkAbwBuAEYAYQBjAHQAbwByAE4AbwBuAEkAcgByAGkAZwBhAHQAZQBkAEcAcgBhAGkAbgBzAEgAaQBnAGgAUgBhAGkAbgBmAGEAbABsAF8AQQByAGcAdQBtAGUAbgB0AHMAXABuACAAIAA9AEwAQQBNAEIARABBACgAXABuACAAIAAgACAATQBBAEsARQBBAFIAUgBBAFkAKAAyACwAIAA0ACwAIABcAG4AIAAgACAAIAAgACAATABBAE0AQgBEAEEAKAByACwAYwAsACAAXABuACAAIAAgACAAIAAgACAAIABJAE4ARABFAFgAKAB7AFwAbgAgACAAIAAgACAAIAAgACAAIAAgAFwAIgBOAF8AZgBqAE4AbwBuAEkAcgByAGkAZwBhAHQAZQBkAEcAcgBhAGkAbgBzAFwAIgAsAFwAIgBhAHAAcABsAGkAYwBhAHQAaQBvAG4AIAByAGEAdABlACAAbwBmACAAaQBuAG8AcgBnAGEAbgBpAGMAIABmAGUAcgB0AGkAbABpAHMAZQByACAAdAB5AHAAZQAgAGYAIABpAG4AIAB0AGgAZQAgAGcAcgBhAGkAbgBz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zAF8ARQBtAGkAcwBzAGkAbwBuAEYAYQBjAHQAbwByAEMAbwB0AHQAbwBuAFwAbgBFAG0AaQBzAHMAaQBvAG4AIABmAGEAYwB0AG8AcgAgAGYAbwByACAAbgBpAHQAcgBvAHUAcwAgAG8AeABpAGQAZQAgAGYAbwByACAAYwBvAHQAdABvAG4AXABuAEUARgBfAGYAagBDAG8AdAB0AG8AbgBOADIATwBcAG4AawBnACAATgAyAE8ALQBOAC8AawBnACAATgAgAGEAcABwAGwAaQBlAGQAXABuAEUARgBfAHsAZgBqAD0AYwBvAHQAdABvAG4ALABOADIATwB9AD0AXABcAG0AaQBuAFwAXABsAGUAZgB0ACgAKAAwAC4AMAAxAFwAXAB0AGkAbQBlAHMAKAAwAC4AMgA5ACsAMAAuADAAMAA3AFwAXAB0AGkAbQBlAHMAKAAoAGUAXgB7ACgAMAAuADAAMwA3AFwAXAB0AGkAbQBlAHMAIABOAF8AewBmAGoAPQBjAG8AdAB0AG8AbgB9ACkAfQAtADEAKQAvAE4AXwB7AGYAagA9AGMAbwB0AHQAbwBuAH0AKQApACkAXABcAHQAaQBtAGUAcwAgADEAMABeAHsALQAyAH0ALAAwAC4AMAAxADgAMwBcAFwAcgBpAGcAaAB0ACkAXABuAE4AXwBmAGoAQwBvAHQAdABvAG4AXABuAGYAXABuAC0ALQAtAC0ALQAtAC0ALQAtAC0ALQAtAC0ALQAtAC0ALQAtAC0ALQAtAC0ALQAtAC0ALQAtAC0ALQAtAC0ALQAtAC0ALQAtAC0ALQBcAG4AKgAvAFwAbgBcAG4AVgBFAEUAUgBHAF8ANQBfADEAXwAxAF8AMgBfAF8AMwBfAEUAbQBpAHMAcwBpAG8AbgBGAGEAYwB0AG8AcgBDAG8AdAB0AG8AbgBcAG4AIAAgAD0ATABBAE0AQgBEAEEAKABcAG4AIAAgACAAIABOAF8AZgBqAEMAbwB0AHQAbwBuACwAXABuACAAIAAgACAAKAAwAC4AMAAxACAAKgAgACgAMAAuADIAOQAgACsAIAAoACAAIAAoADAALgAwADAANwAgACoAIAAoAEUAWABQACgAMAAuADAAMwA3ACAAKgAgAE4AXwBmAGoAQwBvAHQAdABvAG4AKQAgAC0AIAAxACkAKQAgAC8AIABOAF8AZgBqAEMAbwB0AHQAbwBuACAAIAApACAAKQApACAAKgAgADEAMAAgAF4AIAAtADIAXABuACAAIAApADsAXABuAFwAbgBWAEUARQBSAEcAXwA1AF8AMQBfADEAXwAyAF8AXwAzAF8ARQBtAGkAcwBzAGkAbwBuAEYAYQBjAHQAbwByAEMAbwB0AHQAbwBuAF8AVABpAHQAbABlAFwAbgAgACAAPQBMAEEATQBCAEQAQQAoAFwAIgBFAG0AaQBzAHMAaQBvAG4AIABmAGEAYwB0AG8AcgAgAGYAbwByACAAbgBpAHQAcgBvAHUAcwAgAG8AeABpAGQAZQAgAGYAbwByACAAYwBvAHQAdABvAG4AXAAiACkAOwBcAG4AXABuAFYARQBFAFIARwBfADUAXwAxAF8AMQBfADIAXwBfADMAXwBFAG0AaQBzAHMAaQBvAG4ARgBhAGMAdABvAHIAQwBvAHQAdABvAG4AXwBWAGEAcgBpAGEAYgBsAGUAXABuACAAIAA9AEwAQQBNAEIARABBACgAXAAiAEUARgBfAGYAagBDAG8AdAB0AG8AbgBOADIATwBcACIAKQA7AFwAbgBcAG4AVgBFAEUAUgBHAF8ANQBfADEAXwAxAF8AMgBfAF8AMwBfAEUAbQBpAHMAcwBpAG8AbgBGAGEAYwB0AG8AcgBDAG8AdAB0AG8AbgBfAFUAbgBpAHQAXABuACAAIAA9AEwAQQBNAEIARABBACgAXAAiAGsAZwAgAE4AMgBPAC0ATgAvAGsAZwAgAE4AIABhAHAAcABsAGkAZQBkAFwAIgApADsAXABuAFwAbgBWAEUARQBSAEcAXwA1AF8AMQBfADEAXwAyAF8AXwAzAF8ARQBtAGkAcwBzAGkAbwBuAEYAYQBjAHQAbwByAEMAbwB0AHQAbwBuAF8AUwBvAHUAcgBjAGUAXABuACAAIAA9AEwAQQBNAEIARABBACgAXAAiAFYARQBFAFIARwAgADIAMAAyADYAOgAgADUALgAxAC4AMQAuADIALAAgAEUAcQB1AGEAdABpAG8AbgAgACgAMwApAFwAIgApADsAXABuAFwAbgBWAEUARQBSAEcAXwA1AF8AMQBfADEAXwAyAF8AXwAzAF8ARQBtAGkAcwBzAGkAbwBuAEYAYQBjAHQAbwByAEMAbwB0AHQAbwBuAF8ATgBJAFIAUgBlAGYAZQByAGUAbgBjAGUAXABuACAAIAA9AEwAQQBNAEIARABBACgAXAAiAFwAIgApADsAXABuAFwAbgBWAEUARQBSAEcAXwA1AF8AMQBfADEAXwAyAF8AXwAzAF8ARQBtAGkAcwBzAGkAbwBuAEYAYQBjAHQAbwByAEMAbwB0AHQAbwBuAF8ATABhAHQAZQB4AEUAcQB1AGEAdABpAG8AbgBcAG4AIAAgAD0ATABBAE0AQgBEAEEAKABcACIARQBGAF8AewBmAGoAPQBjAG8AdAB0AG8AbgAsAE4AMgBPAH0APQAoADAALgAwADEAIABcAFwAdABpAG0AZQBzACAAKAAwAC4AMgA5ACAAKwAgAFwAXABmAHIAYQBjAHsAMAAuADAAMAA3ACgAZQBeAHsAMAAuADAAMwA3ACAAXABcAHQAaQBtAGUAcwAgAE4AXwB7AGYAagA9AGMAbwB0AHQAbwBuAH0AfQAtADEAKQB9AHsATgBfAHsAZgBqAD0AYwBvAHQAdABvAG4AfQB9ACkAKQAgAFwAXAB0AGkAbQBlAHMAIAAxADAAXgB7AC0AMgB9AFwAbgBcACIAKQA7AFwAbgBcAG4AVgBFAEUAUgBHAF8ANQBfADEAXwAxAF8AMgBfAF8AMwBfAEUAbQBpAHMAcwBpAG8AbgBGAGEAYwB0AG8AcgBDAG8AdAB0AG8AbgBfAEEAcgBnAHUAbQBlAG4AdABzAFwAbgAgACAAPQBMAEEATQBCAEQAQQAoAFwAbgAgACAAIAAgAE0AQQBLAEUAQQBSAFIAQQBZACgAMgAsACAANAAsACAAXABuACAAIAAgACAAIAAgAEwAQQBNAEIARABBACgAcgAsAGMALAAgAFwAbgAgACAAIAAgACAAIAAgACAASQBOAEQARQBYACgAewBcAG4AIAAgACAAIAAgACAAIAAgACAAIABcACIATgBfAGYAagBDAG8AdAB0AG8AbgBcACIALABcACIAYQBwAHAAbABpAGMAYQB0AGkAbwBuACAAcgBhAHQAZQAgAG8AZgAgAGkAbgBvAHIAZwBhAG4AaQBjACAAZgBlAHIAdABpAGwAaQBzAGUAcgAgAHQAeQBwAGUAIABmACAAaQBuACAAdABoAGUAIABjAG8AdAB0AG8Abg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JAG4AbwByAGcAYQBuAGkAYwBDAE8AM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wBfAF8AMQBfAEkAbgBvAHIAZwBhAG4AaQBjAEYAZQByAHQAaQBsAGkAcwBlAHIAQQBwAHAAbABpAGMAYQB0AGkAbwBuAEMATwAyAEUAbQBpAHMAcwBpAG8AbgBzAFwAbgBDAGEAcgBiAG8AbgAgAGQAaQBvAHgAaQBkAGUAIABlAG0AaQBzAHMAaQBvAG4AcwAgAHIAZQBzAHUAbAB0AGkAbgBnACAAZgByAG8AbQAgAHQAaABlACAAdQBzAGUAIABvAGYAIABhAGwAbAAgAGkAbgBvAHIAZwBhAG4AaQBjACwAIAB1AHIAZQBhAC0AYgBhAHMAZQBkACAAZgBlAHIAdABpAGwAaQBzAGUAcgBzAFwAbgBFAF8AQwBPADIAXABuAHQAIABDAE8AMgBcAG4ARQBfAHsAQwBPADIAfQA9AFwAXABzAHUAbQBfAHsAagB9AFwAXABzAHUAbQBfAHsAZgB9ACgAKABNAFUAXwB7AGoAZgB9AFwAXAB0AGkAbQBlAHMAIABFAEYAXwB7AHUAcgBlAGEALABDAE8AMgB9AFwAXAB0AGkAbQBlAHMAIABDAF8AewBDAE8AMgB9ACkAXABcAHQAaQBtAGUAcwAgADEAMABeAHsALQAzAH0AKQBcAG4ATQBVAF8AagBmAFwAbgBFAEYAXwB1AHIAZQBhAEMATwAyAFwAbgBDAF8AQwBPADIAXABuAGoAXABuAGYAXABuAC0ALQAtAC0ALQAtAC0ALQAtAC0ALQAtAC0ALQAtAC0ALQAtAC0ALQAtAC0ALQAtAC0ALQAtAC0ALQAtAC0ALQAtAC0ALQAtAC0ALQBcAG4AKgAvAFwAbgBcAG4AVgBFAEUAUgBHAF8ANQBfADEAXwAxAF8AMwBfAF8AMQBfAEkAbgBvAHIAZwBhAG4AaQBjAEYAZQByAHQAaQBsAGkAcwBlAHIAQQBwAHAAbABpAGMAYQB0AGkAbwBuAEMATwAyAEUAbQBpAHMAcwBpAG8AbgBzAFwAbgAgACAAPQBMAEEATQBCAEQAQQAoAFwAbgAgACAAIAAgAE0AVQBfAGoAZgAsACAARQBGAF8AdQByAGUAYQBDAE8AMgAsACAAQwBfAEMATwAyACwAXABuACAAIAAgACAAKABNAFUAXwBqAGYAIAAqACAARQBGAF8AdQByAGUAYQBDAE8AMgAgACoAIABDAF8AQwBPADIAKQAgACoAIAAxADAAIABeACAALQAzAFwAbgAgACAAKQA7AFwAbgBcAG4AVgBFAEUAUgBHAF8ANQBfADEAXwAxAF8AMwBfAF8AMQBfAEkAbgBvAHIAZwBhAG4AaQBjAEYAZQByAHQAaQBsAGkAcwBlAHIAQQBwAHAAbABpAGMAYQB0AGkAbwBuAEMATwAyAEUAbQBpAHMAcwBpAG8AbgBzAF8AVABpAHQAbABlAFwAbgAgACAAPQBMAEEATQBCAEQAQQAoAFwAIgBDAGEAcgBiAG8AbgAgAGQAaQBvAHgAaQBkAGUAIABlAG0AaQBzAHMAaQBvAG4AcwAgAHIAZQBzAHUAbAB0AGkAbgBnACAAZgByAG8AbQAgAHQAaABlACAAdQBzAGUAIABvAGYAIABhAGwAbAAgAGkAbgBvAHIAZwBhAG4AaQBjACwAIAB1AHIAZQBhAC0AYgBhAHMAZQBkACAAZgBlAHIAdABpAGwAaQBzAGUAcgBzAFwAIgApADsAXABuAFwAbgBWAEUARQBSAEcAXwA1AF8AMQBfADEAXwAzAF8AXwAxAF8ASQBuAG8AcgBnAGEAbgBpAGMARgBlAHIAdABpAGwAaQBzAGUAcgBBAHAAcABsAGkAYwBhAHQAaQBvAG4AQwBPADIARQBtAGkAcwBzAGkAbwBuAHMAXwBWAGEAcgBpAGEAYgBsAGUAXABuACAAIAA9AEwAQQBNAEIARABBACgAXAAiAEUAXwBDAE8AMgBcACIAKQA7AFwAbgBcAG4AVgBFAEUAUgBHAF8ANQBfADEAXwAxAF8AMwBfAF8AMQBfAEkAbgBvAHIAZwBhAG4AaQBjAEYAZQByAHQAaQBsAGkAcwBlAHIAQQBwAHAAbABpAGMAYQB0AGkAbwBuAEMATwAyAEUAbQBpAHMAcwBpAG8AbgBzAF8AVQBuAGkAdABcAG4AIAAgAD0ATABBAE0AQgBEAEEAKABcACIAdAAgAEMATwAyAFwAIgApADsAXABuAFwAbgBWAEUARQBSAEcAXwA1AF8AMQBfADEAXwAzAF8AXwAxAF8ASQBuAG8AcgBnAGEAbgBpAGMARgBlAHIAdABpAGwAaQBzAGUAcgBBAHAAcABsAGkAYwBhAHQAaQBvAG4AQwBPADIARQBtAGkAcwBzAGkAbwBuAHMAXwBTAG8AdQByAGMAZQBcAG4AIAAgAD0ATABBAE0AQgBEAEEAKABcACIAVgBFAEUAUgBHACAAMgAwADIANgA6ACAANQAuADEALgAxAC4AMwAsACAARQBxAHUAYQB0AGkAbwBuACAAKAAxACkAXAAiACkAOwBcAG4AXABuAFYARQBFAFIARwBfADUAXwAxAF8AMQBfADMAXwBfADEAXwBJAG4AbwByAGcAYQBuAGkAYwBGAGUAcgB0AGkAbABpAHMAZQByAEEAcABwAGwAaQBjAGEAdABpAG8AbgBDAE8AMgBFAG0AaQBzAHMAaQBvAG4AcwBfAE4ASQBSAFIAZQBmAGUAcgBlAG4AYwBlAFwAbgAgACAAPQBMAEEATQBCAEQAQQAoAFwAIgBcACIAKQA7AFwAbgBcAG4AVgBFAEUAUgBHAF8ANQBfADEAXwAxAF8AMwBfAF8AMQBfAEkAbgBvAHIAZwBhAG4AaQBjAEYAZQByAHQAaQBsAGkAcwBlAHIAQQBwAHAAbABpAGMAYQB0AGkAbwBuAEMATwAyAEUAbQBpAHMAcwBpAG8AbgBzAF8ATABhAHQAZQB4AEUAcQB1AGEAdABpAG8AbgBcAG4AIAAgAD0ATABBAE0AQgBEAEEAKABcACIARQBfAHsAQwBPADIAfQA9AFwAXABzAHUAbQBfAHsAagB9AFwAXABzAHUAbQBfAHsAZgB9ACgAKABNAFUAXwB7AGoAZgB9AFwAXAB0AGkAbQBlAHMAIABFAEYAXwB7AHUAcgBlAGEALABDAE8AMgB9AFwAXAB0AGkAbQBlAHMAIABDAF8AewBDAE8AMgB9ACkAXABcAHQAaQBtAGUAcwAgADEAMABeAHsALQAzAH0AKQBcACIAKQA7AFwAbgBcAG4AVgBFAEUAUgBHAF8ANQBfADEAXwAxAF8AMwBfAF8AMQBfAEkAbgBvAHIAZwBhAG4AaQBjAEYAZQByAHQAaQBsAGkAcwBlAHIAQQBwAHAAbABpAGMAYQB0AGkAbwBuAEMATwAy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FUAXwBqAGYAXAAiACwAXAAiAG0AYQBzAHMAIABvAGYAIAB1AHIAZQBhACAAbwBmACAAaQBuAG8AcgBnAGEAbgBpAGMAIABmAGUAcgB0AGkAbABpAHMAZQByACAAdAB5AHAAZQAgAGYAIABhAHAAcABsAGkAZQBkACAAdABvACAAcAByAG8AZAB1AGMAdABpAG8AbgAgAHMAeQBzAHQAZQBtACAAagBcACIALAAgAFwAIgBrAGcAIAB1AHIAZQBhAFwAIgAsACAAXAAiAEMAYQBsAGMAdQBsAGEAdABlAGQAXAAiADsAXABuACAAIAAgACAAIAAgACAAIAAgACAAXAAiAEUARgBfAHUAcgBlAGEAQwBPADIAXAAiACwAXAAiAGUAbQBpAHMAcwBpAG8AbgAgAGYAYQBjAHQAbwByACAAZgBvAHIAIABjAGEAcgBiAG8AbgAgAGUAbQBpAHMAcwBpAG8AbgBzACAAZgByAG8AbQAgAHUAcgBlAGEALQBiAGEAcwBlAGQAIABmAGUAcgB0AGkAbABpAHMAZQByAHMAXAAiACwAIABcACIAawBnACAAQwAvAGsAZwAgAHUAcgBlAGEAXAAiACwAIABcACIAQwBvAG4AcwB0AGEAbgB0AFwAIgA7AFwAbgAgACAAIAAgACAAIAAgACAAIAAgAFwAIgBDAF8AQwBPADIAXAAiACwAXAAiAGYAYQBjAHQAbwByACAAdABvACAAYwBvAG4AdgBlAHIAdAAgAGUAbABlAG0AZQBuAHQAYQBsACAAbQBhAHMAcwAgAG8AZgAgAGMAYQByAGIAbwBuACAAdABvACAAbQBvAGwAZQBjAHUAbABhAHIAIABtAGEAcwBzACAAbwBmACAAYwBhAHIAYgBvAG4AIABkAGkAbwB4AGkAZABl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MAG8AbwBrAHUAcABcACIAXABuACAAIAAgACAAIAAgACAAIAB9ACwAIAByACwAIABjACkAXABuACAAIAAgACAAIAAgACkAXABuACAAIAAgACAAKQBcAG4AIAAgACkAOwBcAG4AXABuAC8AKgAgAFwAbgAtAC0ALQAtAC0ALQAtAC0ALQAtAC0ALQAtAC0ALQAtAC0ALQAtAC0ALQAtAC0ALQAtAC0ALQAtAC0ALQAtAC0ALQAtAC0ALQAtAC0AXABuAFYARQBFAFIARwBfADUAXwAxAF8AMQBfADMAXwBfADIAXwBNAGEAcwBzAE8AZgBVAHIAZQBhAEkAbgBJAG4AbwByAGcAYQBuAGkAYwBGAGUAcgB0AGkAbABpAHMAZQByAFwAbgBNAGEAcwBzACAAbwBmACAAdQByAGUAYQAgAGEAcABwAGwAaQBlAGQAIAB0AG8AIABwAHIAbwBkAHUAYwB0AGkAbwBuACAAcwB5AHMAdABlAG0AXABuAE0AVQBfAGoAZgBcAG4AawBnACAAdQByAGUAYQBcAG4AewBNAFUAfQBfAHsAagBmAH0APQBUAE0AXwB7AGoAZgB9AFwAXAB0AGkAbQBlAHMAIABGAFUAXwBmAFwAbgBUAE0AXwBqAGYAXABuAEYAVQBfAGYAXABuAGoAXABuAGYAXABuAC0ALQAtAC0ALQAtAC0ALQAtAC0ALQAtAC0ALQAtAC0ALQAtAC0ALQAtAC0ALQAtAC0ALQAtAC0ALQAtAC0ALQAtAC0ALQAtAC0ALQBcAG4AKgAvAFwAbgBcAG4AVgBFAEUAUgBHAF8ANQBfADEAXwAxAF8AMwBfAF8AMgBfAE0AYQBzAHMATwBmAFUAcgBlAGEASQBuAEkAbgBvAHIAZwBhAG4AaQBjAEYAZQByAHQAaQBsAGkAcwBlAHIAXABuACAAIAA9AEwAQQBNAEIARABBACgAXABuACAAIAAgACAAVABNAF8AagBmACwAIABGAFUAXwBmACwAXABuACAAIAAgACAAVABNAF8AagBmACAAKgAgAEYAVQBfAGYAXABuACAAIAApADsAXABuAFwAbgBWAEUARQBSAEcAXwA1AF8AMQBfADEAXwAzAF8AXwAyAF8ATQBhAHMAcwBPAGYAVQByAGUAYQBJAG4ASQBuAG8AcgBnAGEAbgBpAGMARgBlAHIAdABpAGwAaQBzAGUAcgBfAFQAaQB0AGwAZQBcAG4AIAAgAD0ATABBAE0AQgBEAEEAKABcACIATQBhAHMAcwAgAG8AZgAgAHUAcgBlAGEAIABhAHAAcABsAGkAZQBkACAAdABvACAAcAByAG8AZAB1AGMAdABpAG8AbgAgAHMAeQBzAHQAZQBtAFwAIgApADsAXABuAFwAbgBWAEUARQBSAEcAXwA1AF8AMQBfADEAXwAzAF8AXwAyAF8ATQBhAHMAcwBPAGYAVQByAGUAYQBJAG4ASQBuAG8AcgBnAGEAbgBpAGMARgBlAHIAdABpAGwAaQBzAGUAcgBfAFYAYQByAGkAYQBiAGwAZQBcAG4AIAAgAD0ATABBAE0AQgBEAEEAKABcACIATQBVAF8AagBmAFwAIgApADsAXABuAFwAbgBWAEUARQBSAEcAXwA1AF8AMQBfADEAXwAzAF8AXwAyAF8ATQBhAHMAcwBPAGYAVQByAGUAYQBJAG4ASQBuAG8AcgBnAGEAbgBpAGMARgBlAHIAdABpAGwAaQBzAGUAcgBfAFUAbgBpAHQAXABuACAAIAA9AEwAQQBNAEIARABBACgAXAAiAGsAZwAgAHUAcgBlAGEAXAAiACkAOwBcAG4AXABuAFYARQBFAFIARwBfADUAXwAxAF8AMQBfADMAXwBfADIAXwBNAGEAcwBzAE8AZgBVAHIAZQBhAEkAbgBJAG4AbwByAGcAYQBuAGkAYwBGAGUAcgB0AGkAbABpAHMAZQByAF8AUwBvAHUAcgBjAGUAXABuACAAIAA9AEwAQQBNAEIARABBACgAXAAiAFYARQBFAFIARwAgADIAMAAyADYAOgAgADUALgAxAC4AMQAuADMALAAgAEUAcQB1AGEAdABpAG8AbgAgACgAMgApAFwAIgApADsAXABuAFwAbgBWAEUARQBSAEcAXwA1AF8AMQBfADEAXwAzAF8AXwAyAF8ATQBhAHMAcwBPAGYAVQByAGUAYQBJAG4ASQBuAG8AcgBnAGEAbgBpAGMARgBlAHIAdABpAGwAaQBzAGUAcgBfAE4ASQBSAFIAZQBmAGUAcgBlAG4AYwBlAFwAbgAgACAAPQBMAEEATQBCAEQAQQAoAFwAIgBcACIAKQA7AFwAbgBcAG4AVgBFAEUAUgBHAF8ANQBfADEAXwAxAF8AMwBfAF8AMgBfAE0AYQBzAHMATwBmAFUAcgBlAGEASQBuAEkAbgBvAHIAZwBhAG4AaQBjAEYAZQByAHQAaQBsAGkAcwBlAHIAXwBMAGEAdABlAHgARQBxAHUAYQB0AGkAbwBuAFwAbgAgACAAPQBMAEEATQBCAEQAQQAoAFwAIgB7AE0AVQB9AF8AewBqAGYAfQA9AFQATQBfAHsAagBmAH0AXABcAHQAaQBtAGUAcwAgAEYAVQBfAGYAXAAiACkAOwBcAG4AXABuAFYARQBFAFIARwBfADUAXwAxAF8AMQBfADMAXwBfADIAXwBNAGEAcwBzAE8AZgBVAHIAZQBh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FwAIgBrAGcAXAAiACwAIABcACIASQBuAHAAdQB0AFwAIgA7AFwAbgAgACAAIAAgACAAIAAgACAAIAAgAFwAIgBGAFUAXwBmAFwAIgAsAFwAIgBmAHIAYQBjAHQAaQBvAG4AIABvAGYAIAB1AHIAZQBhACAAaQBuACAAZgBlAHIAdABpAGwAaQBzAGUAcgAgAHQAeQBwAGUAIABmAFwAIgAsAFwAIgBrAGcAIAB1AHIAZQBhAC8AawBnAFwAIgAsACAAXAAiAEwAbwBvAGsAdQBwAFwAIgBcAG4AIAAgACAAIAAgACAAIAAgAH0ALAAgAHIALAAgAGMAKQBcAG4AIAAgACAAIAAgACAAKQBcAG4AIAAgACAAIAApAFwAbgAgACAAKQA7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wAaQBtAGU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zACAATABpAG0AZQ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wBfADEAXwAxAF8AXwAxAF8ATABpAG0AZQBBAHAAcABsAGkAYwBhAHQAaQBvAG4AQwBPADIARQBtAGkAcwBzAGkAbwBuAHMAXABuAEUAbQBpAHMAcwBpAG8AbgBzACAAZgByAG8AbQAgAHQAaABlACAAYQBwAHAAbABpAGMAYQB0AGkAbwBuACAAbwBmACAAbABpAG0AZQAgAGEAbgBkACAAZABvAGwAbwBtAGkAdABlACAAdABvACAAcAByAG8AZAB1AGMAdABpAG8AbgAgAHMAeQBzAHQAZQBtAHMAXABuAEUAXwBsAGkAbQBlAFwAbgB0ACAAQwBPADIAXABu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BuAE0AXwBsAGkAbQBlAFwAbgBGAHIAYQBjAEwAaQBtAGUAXABuAFAAXwBsAGkAbQBlAFwAbgBFAEYAXwBsAGkAbQBlAFwAbgBGAHIAYQBjAEQAbwBsAFwAbgBQAF8AZABvAGwAXABuAEUARgBfAGQAbwBsAFwAbgBDAF8AQwBPADIAXABuAC0ALQAtAC0ALQAtAC0ALQAtAC0ALQAtAC0ALQAtAC0ALQAtAC0ALQAtAC0ALQAtAC0ALQAtAC0ALQAtAC0ALQAtAC0ALQAtAC0ALQBcAG4AKgAvAFwAbgBcAG4AVgBFAEUAUgBHAF8ANQBfADMAXwAxAF8AMQBfAF8AMQBfAEwAaQBtAGUAQQBwAHAAbABpAGMAYQB0AGkAbwBuAEMATwAyAEUAbQBpAHMAcwBpAG8AbgBzAFwAbgAgACAAPQBMAEEATQBCAEQAQQAoAFwAbgAgACAAIAAgAE0AXwBsAGkAbQBlACwAIABGAHIAYQBjAEwAaQBtAGUALAAgAFAAXwBsAGkAbQBlACwAIABFAEYAXwBsAGkAbQBlACwAIABGAHIAYQBjAEQAbwBsACwAIABQAF8AZABvAGwALAAgAEUARgBfAGQAbwBsACwAIABDAF8AQwBPADIALABcAG4AIAAgACAAIAAoACgATQBfAGwAaQBtAGUAIAAqACAARgByAGEAYwBMAGkAbQBlACAAKgAgAFAAXwBsAGkAbQBlACAAKgAgAEUARgBfAGwAaQBtAGUAKQAgACsAIAAoAE0AXwBsAGkAbQBlACAAKgAgAEYAcgBhAGMARABvAGwAIAAqACAAUABfAGQAbwBsACAAKgAgAEUARgBfAGQAbwBsACkAKQAgACoAIABDAF8AQwBPADIAIAAqACAAMQAwACAAXgAgAC0AMwBcAG4AIAAgACkAOwBcAG4AXABuAFYARQBFAFIARwBfADUAXwAzAF8AMQBfADEAXwBfADEAXwBMAGkAbQBlAEEAcABwAGwAaQBjAGEAdABpAG8AbgBDAE8AMgBFAG0AaQBzAHMAaQBvAG4AcwBfAFQAaQB0AGwAZQBcAG4AIAAgAD0ATABBAE0AQgBEAEEAKABcACIARQBtAGkAcwBzAGkAbwBuAHMAIABmAHIAbwBtACAAdABoAGUAIABhAHAAcABsAGkAYwBhAHQAaQBvAG4AIABvAGYAIABsAGkAbQBlACAAYQBuAGQAIABkAG8AbABvAG0AaQB0AGUAIAB0AG8AIABwAHIAbwBkAHUAYwB0AGkAbwBuACAAcwB5AHMAdABlAG0AcwBcACIAKQA7AFwAbgBcAG4AVgBFAEUAUgBHAF8ANQBfADMAXwAxAF8AMQBfAF8AMQBfAEwAaQBtAGUAQQBwAHAAbABpAGMAYQB0AGkAbwBuAEMATwAyAEUAbQBpAHMAcwBpAG8AbgBzAF8AVgBhAHIAaQBhAGIAbABlAFwAbgAgACAAPQBMAEEATQBCAEQAQQAoAFwAIgBFAF8AbABpAG0AZQBcACIAKQA7AFwAbgBcAG4AVgBFAEUAUgBHAF8ANQBfADMAXwAxAF8AMQBfAF8AMQBfAEwAaQBtAGUAQQBwAHAAbABpAGMAYQB0AGkAbwBuAEMATwAyAEUAbQBpAHMAcwBpAG8AbgBzAF8AVQBuAGkAdABcAG4AIAAgAD0ATABBAE0AQgBEAEEAKABcACIAdAAgAEMATwAyAFwAIgApADsAXABuAFwAbgBWAEUARQBSAEcAXwA1AF8AMwBfADEAXwAxAF8AXwAxAF8ATABpAG0AZQBBAHAAcABsAGkAYwBhAHQAaQBvAG4AQwBPADIARQBtAGkAcwBzAGkAbwBuAHMAXwBTAG8AdQByAGMAZQBcAG4AIAAgAD0ATABBAE0AQgBEAEEAKABcACIAVgBFAEUAUgBHACAAMgAwADIANgA6ACAANQAuADMALgAxAC4AMQAsACAARQBxAHUAYQB0AGkAbwBuACAAKAAxACkAXAAiACkAOwBcAG4AXABuAFYARQBFAFIARwBfADUAXwAzAF8AMQBfADEAXwBfADEAXwBMAGkAbQBlAEEAcABwAGwAaQBjAGEAdABpAG8AbgBDAE8AMgBFAG0AaQBzAHMAaQBvAG4AcwBfAE4ASQBSAFIAZQBmAGUAcgBlAG4AYwBlAFwAbgAgACAAPQBMAEEATQBCAEQAQQAoAFwAIgBcACIAKQA7AFwAbgBcAG4AVgBFAEUAUgBHAF8ANQBfADMAXwAxAF8AMQBfAF8AMQBfAEwAaQBtAGUAQQBwAHAAbABpAGMAYQB0AGkAbwBuAEMATwAyAEUAbQBpAHMAcwBpAG8AbgBzAF8ATABhAHQAZQB4AEUAcQB1AGEAdABpAG8AbgBcAG4AIAAgAD0ATABBAE0AQgBEAEEAKABcACI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CIAKQA7AFwAbgBcAG4AVgBFAEUAUgBHAF8ANQBfADMAXwAxAF8AMQBfAF8AMQBfAEwAaQBtAGUAQQBwAHAAbABpAGMAYQB0AGkAbwBuAEMATwAyAEUAbQBpAHMAcwBpAG8AbgBzAF8AQQByAGcAdQBtAGUAbgB0AHMAXABuACAAIAA9AEwAQQBNAEIARABBACgAXABuACAAIAAgACAATQBBAEsARQBBAFIAUgBBAFkAKAA4ACwAIAA0ACwAIABcAG4AIAAgACAAIAAgACAATABBAE0AQgBEAEEAKAByACwAYwAsACAAXABuACAAIAAgACAAIAAgACAAIABJAE4ARABFAFgAKAB7AFwAbgAgACAAIAAgACAAIAAgACAAIAAgAFwAIgBNAF8AbABpAG0AZQBcACIALABcACIAdABvAHQAYQBsACAAbQBhAHMAcwAgAG8AZgAgAGwAaQBtAGUAIABhAHAAcABsAGkAZQBkACAAdABvACAAcAByAG8AZAB1AGMAdABpAG8AbgAgAHMAeQBzAHQAZQBtAFwAIgAsACAAXAAiAGsAZwBcACIALAAgAFwAIgBJAG4AcAB1AHQAXAAiADsAXABuACAAIAAgACAAIAAgACAAIAAgACAAXAAiAEYAcgBhAGMATABpAG0AZQBcACIALABcACIAZgByAGEAYwB0AGkAbwBuACAAbwBmACAAbABpAG0AZQAgAGEAcwAgAGwAaQBtAGUAcwB0AG8AbgBlACAAKABDAGEAQwBPADMAKQBcACIALAAgAFwAIgBmAHIAYQBjAHQAaQBvAG4AXAAiACwAIABcACIASQBuAHAAdQB0AFwAIgA7AFwAbgAgACAAIAAgACAAIAAgACAAIAAgAFwAIgBQAF8AbABpAG0AZQBcACIALABcACIAZgByAGEAYwB0AGkAbwBuAGEAbAAgAHAAdQByAGkAdAB5ACAAbwBmACAAbABpAG0AZQBzAHQAbwBuAGUAXAAiACwAIABcACIAZgByAGEAYwB0AGkAbwBuAFwAIgAsACAAXAAiAEMAbwBuAHMAdABhAG4AdABcACIAOwBcAG4AIAAgACAAIAAgACAAIAAgACAAIABcACIARQBGAF8AbABpAG0AZQBcACIALABcACIAZQBtAGkAcwBzAGkAbwBuACAAZgBhAGMAdABvAHIAIABmAG8AcgAgAGwAaQBtAGUAcwB0AG8AbgBlACAAZgByAGEAYwB0AGkAbwBuACAAbwBmACAAbABpAG0AZQBcACIALAAgAFwAIgBrAGcAIABDAC8AawBnAFwAIgAsACAAXAAiAEMAbwBuAHMAdABhAG4AdABcACIAOwBcAG4AIAAgACAAIAAgACAAIAAgACAAIABcACIARgByAGEAYwBEAG8AbABcACIALABcACIAZgByAGEAYwB0AGkAbwBuACAAbwBmACAAbABpAG0AZQAgAGEAcwAgAGQAbwBsAG8AbQBpAHQAZQBcACIALAAgAFwAIgBmAHIAYQBjAHQAaQBvAG4AXAAiACwAIABcACIASQBuAHAAdQB0AFwAIgA7AFwAbgAgACAAIAAgACAAIAAgACAAIAAgAFwAIgBQAF8AZABvAGwAXAAiACwAXAAiAGYAcgBhAGMAdABpAG8AbgBhAGwAIABwAHUAcgBpAHQAeQAgAG8AZgAgAGQAbwBsAG8AbQBpAHQAZQBcACIALAAgAFwAIgBmAHIAYQBjAHQAaQBvAG4AXAAiACwAIABcACIAQwBvAG4AcwB0AGEAbgB0AFwAIgA7AFwAbgAgACAAIAAgACAAIAAgACAAIAAgAFwAIgBFAEYAXwBkAG8AbABcACIALABcACIAZQBtAGkAcwBzAGkAbwBuACAAZgBhAGMAdABvAHIAIABmAG8AcgAgAGQAbwBsAG8AbQBpAHQAZQAgAGYAcgBhAGMAdABpAG8AbgAgAG8AZgAgAGwAaQBtAGUAXAAiACwAIABcACIAawBnACAAQwAvAGsAZwBcACIALAAgAFwAIgBDAG8AbgBzAHQAYQBuAHQAXAAiADsAXABuACAAIAAgACAAIAAgACAAIAAgACAAXAAiAEMAXwBDAE8AMgBcACIALABcACIAZgBhAGMAdABvAHIAIAB0AG8AIABjAG8AbgB2AGUAcgB0ACAAZQBsAGUAbQBlAG4AdABhAGwAIABtAGEAcwBzACAAbwBmACAAYwBhAHIAYgBvAG4AIABkAGkAbwB4AGkAZABlACAAdABvACAAbQBvAGwAZQBjAHUAbABhAHIAIABtAGEAcwBzAFwAIgAsACAAXAAiAFwAIgAsACAAXAAiAEMAbwBuAHMAdABhAG4AdABcACIAXABuACAAIAAgACAAIAAgACAAIAB9ACwAIAByACwAIABjACkAXABuACAAIAAgACAAIAAgACkAXABuACAAIAAgACAAKQBcAG4AIAAgACkAOwBcAG4AXABu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DsAXABuACAAIABcACIAQwBhAGwAYwBpAHUAbQAgAG4AaQB0AHIAYQB0AGUAXAAiACwAIAAwAC4AMQA1ADUALAAgADAALAAgAFwAIgBOAGkAdAByAGEAdABlAC0AYgBhAHMAZQBkACAAZgBlAHIAdABpAGwAaQBzAGUAcgBzAFwAIgAsACAAXAAiAEMAYQBsAGMAaQB1AG0AIABuAGkAdAByAGEAdABlAFwAIgAsACAAXAAiAFYARQBFAFIARwBcACIAXABuACAAIAB9ACwAIAByACwAIABjACkAXABuACkAKQApADsAXABuAFwAbgBGAGUAcgB0AGkAbABpAHMAZQByAF8AQwBoAGUAbQBpAGMAYQBsAEMAbwBtAHAAbwB1AG4AZABFAGwAZQBtAGUAbgB0AHMAXwBWAGEAcgBpAGEAdABpAG8AbgBcAG4APQBMAEEATQBCAEQAQQAoAFwAbgAgAE0AQQBLAEUAQQBSAFIAQQBZACgAMQAyACwAIAAxACwAXABuACAATABBAE0AQgBEAEEAKAByACwAYwAsAFwAbgAgACAASQBOAEQARQBYACgAewBcAG4AIAAgAFwAIgBWAEEAUgBJAEEAVABJAE8ATgAgAE8ATgAgAFMATwBVAFIAQwBFAFwAIgA7AFwAbgAgACAAXAAiAEEAZABkAGUAZAAgAFwAdQAwADAAMgA3AEIAYQBzAGkAcwBcAHUAMAAwADIANwAgAGMAbwBsAHUAbQBuACAAdABvACAAYQBsAGwAbwB3ACAAYwByAG8AcwBzAC0AcgBlAGYAZQByAGUAbgBjAGkAbgBnACAAdwBpAHQAaAAgAHQAYQBiAGwAZQAg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OwBcAG4AIAAgAFwAIgBBAGQAZABlAGQAIABlAHgAdAByAGEAIABmAGUAcgB0AGkAbABpAHMAZQByACAAdAB5AHAAZQBzACAAYQBuAGQAIABnAGUAbgBlAHIAaQBjACAAYwBoAGUAbQBpAGMAYQBsACAAYwBvAG0AcABvAHUAbgBkAHMAIAB0AG8AIABhAGwAbABvAHcAIABmAG8AcgAgAGMAdQBzAHQAbwBtACAATgBQAEsAUwAgAGIAbABlAG4AZABzAFwAIgA7AFwAbgAgACAAXAAiAEEAZABkAGUAZAAgAGUAeAB0AHIAYQAgAFwAdQAwADAAMgA3AFMAYwBvAHAAZQAgADMAIABkAGUAZgBpAG4AaQB0AGkAbwBuAFwAdQAwADAAMgA3ACAAYwBvAGwAdQBtAG4AIAB0AG8AIABhAGwAbABvAHcAIABtAGEAcABwAGkAbgBnACAAdwBpAHQAaAAgAHMAYwBvAHAAZQAgADMAIABkAGEAdABhAFwAIgA7AFwAbgAgACAAXAAiAEEAZABkAGUAZAAgAFwAdQAwADAAMgA3AFMAbwB1AHIAYwBlAFwAdQAwADAAMgA3ACAAYwBvAGwAdQBtAG4AXAAiADsAXABuACAAIABcACIAQwBvAG0AYgBpAG4AZQBkACAAZABhAHQAYQAgAGYAcgBvAG0AIABUAGEAYgBsAGUAIABBAC4AMgAuADIALgAzACAAYQBuAGQAIABUAGEAYgBsAGUAIABBAC4AMgAuADIALgA0ACAAaQBuAHQAbwAgAG8AbgBlACAAdABhAGIAbABlACAAdABvACAAYQBpAGQAIABsAG8AbwBrAHUAcAAuAFwAIgA7AFwAbgAgACAAXAAiAEUAeABjAGwAdQBkAGUAZAAgAFwAdQAwADAAMgA3AFIAZQBmAGUAcgBlAG4AYwBlAHMAXAB1ADAAMAAyADcAIABjAG8AbAB1AG0AbgBcACIAOwBcAG4AIAAgAFwAIgBFAHgAYwBsAHUAZABlAGQAIABcAHUAMAAwADIANwBBAG0AbQBvAG4AaQB1AG0AIABzAHUAbABmAGEAdABlAFwAdQAwADAAMgA3ACAAYQBzACAAaQB0ACAAaQBzACAAYQAgAGQAdQBwAGwAaQBjAGEAdABlACAAbwBmACAAXAB1ADAAMAAyADcAUwB1AGwAcABoAGEAdABlACAAbwBmACAAYQBtAG0AbwBuAGkAYQAgACgAUwBPAEEAKQBcAHUAMAAwADIANwBcACIAOwBcAG4AIAAgAFwAIgBFAHgAYwBsAHUAZABlAGQAIABcAHUAMAAwADIANwBDAGEAbABjAGkAdQBtACAAbgBpAHQAcgBhAHQAZQBcAHUAMAAwADIANwAgAGEAcwAgAG4AbwAgAHMAYwBvAHAAZQAgADMAIAB2AGEAbAB1AGUAIABhAHYAYQBpAGwAYQBiAGwAZQAuAFwAIgA7AFwAbgAgACAAXAAiAFMAZQB0ACAAXAB1ADAAMAAyADcATgBpAHQAcgBvAGcAZQBuACAALQAgAEcAZQBuAGUAcgBpAGMAXAB1ADAAMAAyADcAIABiAGEAcwBpAHMAIABhAHMAIABcAHUAMAAwADIANwBVAHIAZQBhAC0AYgBhAHMAZQBkACAAZgBlAHIAdABpAGwAaQBzAGUAcgBzACwAIABhAHMAIAB1AHIAZQBhACAAaQBzACAAdABoAGUAIABtAG8AcwB0ACAAYwBvAG0AbQBvAG4AbAB5ACAAdQBzAGUAZAAgAGYAbwByAG0AIABvAGYAIABuAGkAdAByAG8AZwBlAG4AIABpAG4AIABBAHUAcwB0AHIAYQBsAGkAYQBuACAAZgBlAHIAdABpAGwAaQBzAGUAcgBzAFwAIgA7AFwAbgAgACAAXAAiAFMAZQB0ACAAXAB1ADAAMAAyADcAVQByAGUAYQAtAGEAbQBtAG8AbgBpAHUAbQAgAG4AaQB0AHIAYQB0AGUAXAB1ADAAMAAyADcAIABiAGEAcwBpAHMAIABhAHMAIABcAHUAMAAwADIANwBVAHIAZQBhAC0AYgBhAHMAZQBkACAAZgBlAHIAdABpAGwAaQBzAGUAcgBcAHUAMAAwADIANwBcACIAOwBcAG4AIAAgAFwAIgBBAG0AbQBvAG4AaQBhACAAaABhAHMAIABhAG4AIABGAE4AIAB2AGEAbAB1AGUAIABvAGYAIAAwAC4AOAAyADMANQAgAGIAYQBzAGUAZAAgAG8AbgAgACgAMQA0AC8AMQA3ACkAeAAxADAAMAAsACAAdwBoAGUAcgBlACAAMQA0ACAAaQBzACAAdABoAGUAIABtAGEAcwBzACAAbwBmACAAbgBpAHQAcgBvAGcAZQBuACAAaQBuACAAYQBtAG0AbwBuAGkAYQAgAGEAbgBkACAAMQA3ACAAaQBzACAAdABoAGUAIABtAG8AbABhAHIAIABtAGEAcwBzACAAbwBmACAAYQBtAG0AbwBuAGkAYQAuAFwAIgBcAG4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C8AKgBcAG4ARgBlAHIAdABpAGwAaQBzAGUAcgAgAHAAcgBvAGQAdQBjAHQAIABkAGEAdABhACAALQAgAEUAeABjAGUAbAAgAE0AQQBLAEUAQQBSAFIAQQBZACAAZQB4AHAAbwByAHQAXABuAC0ALQAtAC0ALQAtAC0ALQAtAC0ALQAtAC0ALQAtAC0ALQAtAC0ALQAtAC0ALQAtAC0ALQAtAC0ALQAtAC0ALQAtAC0ALQAtAC0ALQAtAC0ALQAtAC0ALQAtAC0ALQAtAC0ALQAtAC0ALQAtAC0ALQAtAC0ALQAtAFwAbgBQAHIAbwBkAHUAYwB0AHMAOgAgADEAMwA0ACAAKABJAG4AYwBsAHUAZABlACAAbwBuAGwAeQA7ACAAYwBvAG0AYgBpAG4AZQBkACAAZgByAG8AbQAgAG0AYQBpAG4AIAArACAAYgBhAHQAYwBoACAAMQAgACsAIABiAGEAdABjAGgAIAAyACAAdwBvAHIAawBiAG8AbwBrAHMAKQBcAG4AQQByAHIAYQB5AHMAOgAgADUAIAB8ACAAUgBvAHcAcwAgAHAAZQByACAAYQByAHIAYQB5ADoAIAAzADAAIAAoAGYAaQBuAGEAbAAgAGEAcgByAGEAeQA6ACAAMQA0ACkAIAB8ACAAQwBvAGwAdQBtAG4AcwA6ACAAMwAxAFwAbgBcAG4ARQB4AGMAbAB1AGQAZQBkACAAYwBvAGwAdQBtAG4AcwA6ACAASQBuAGMAbAB1AGQAZQAgAG8AcgAgAGUAeABjAGwAdQBkAGUALAAgAEEAbgBhAGwAeQBzAGkAcwAgAGIAYQBzAGUALAAgAEEAbgBhAGwAeQBzAGkAcwAgAHMAbwB1AHIAYwBlACwAIABBAG4AYQBsAHkAcwBpAHMAIABmAGwAYQBnACwAIABOAG8AdABlAHMALAAgAEwAaQBuAGsALAAgAEQAYQB0AGEAIABzAG8AdQByAGMAZQAsACAARQBOAEQAIABSAE8AVwAuAFwAbgBJAG4AZwByAGUAZABpAGUAbgB0ACAAcABlAHIAYwBlAG4AdAAgAHYAYQBsAHUAZQBzACAAYQByAGUAIABlAHYAYQBsAHUAYQB0AGUAZAAgAGQAZQBjAGkAbQBhAGwAIABmAHIAYQBjAHQAaQBvAG4AcwAgACgAPQA0ADYALwAxADAAMAAgAC0AXAB1ADAAMAAzAGUAIAAwAC4ANAA2ACkAOwAgAGUAbQBwAHQAeQAgAGMAZQBsAGwAcwAgAGEAcgBlACAAXAAiAFwAIgAuAFwAbgBcAG4AQwBvAGwAdQBtAG4AIABvAHIAZABlAHIAIAAoADMAMQApADoAXABuACAAIAAxAC4AIABDAG8AbQBwAGEAbgB5AFwAbgAgACAAMgAuACAAUAByAG8AZAB1AGMAdAAgAG4AYQBtAGUAXABuACAAIAAzAC4AIABVAG4AaQB0AFwAbgAgACAANAAuACAARABlAG4AcwBpAHQAeQBcAG4AIAAgADUALgAgAEMAbwBuAHQAYQBpAG4AcwAgAGkAbgBoAGkAYgBpAHQAbwByAFwAbgAgACAANgAuACAAVQByAGUAYQAgAHMAbwB1AHIAYwBlAFwAbgAgACAANwAuACAAQQBtAG0AbwBuAGkAYQAgAHMAbwB1AHIAYwBlAFwAbgAgACAAOAAuACAATgAgAGQAZQBjAGwAYQByAGUAZABcAG4AIAAgADkALgAgAFAAIABkAGUAYwBsAGEAcgBlAGQAXABuACAAIAAxADAALgAgAEsAIABkAGUAYwBsAGEAcgBlAGQAXABuACAAIAAxADEALgAgAFMAIABkAGUAYwBsAGEAcgBlAGQAXABuACAAIAAxADIALgAgAEkAbgBnAHIAZQBkAGkAZQBuAHQAIAAxAFwAbgAgACAAMQAzAC4AIABJAG4AZwByAGUAZABpAGUAbgB0ACAAMQAgAHAAZQByAGMAZQBuAHQAXABuACAAIAAxADQALgAgAEkAbgBnAHIAZQBkAGkAZQBuAHQAIAAyAFwAbgAgACAAMQA1AC4AIABJAG4AZwByAGUAZABpAGUAbgB0ACAAMgAgAHAAZQByAGMAZQBuAHQAXABuACAAIAAxADYALgAgAEkAbgBnAHIAZQBkAGkAZQBuAHQAIAAzAFwAbgAgACAAMQA3AC4AIABJAG4AZwByAGUAZABpAGUAbgB0ACAAMwAgAHAAZQByAGMAZQBuAHQAXABuACAAIAAxADgALgAgAEkAbgBnAHIAZQBkAGkAZQBuAHQAIAA0AFwAbgAgACAAMQA5AC4AIABJAG4AZwByAGUAZABpAGUAbgB0ACAANAAgAHAAZQByAGMAZQBuAHQAXABuACAAIAAyADAALgAgAEkAbgBnAHIAZQBkAGkAZQBuAHQAIAA1AFwAbgAgACAAMgAxAC4AIABJAG4AZwByAGUAZABpAGUAbgB0ACAANQAgAHAAZQByAGMAZQBuAHQAXABuACAAIAAyADIALgAgAEkAbgBnAHIAZQBkAGkAZQBuAHQAIAA2AFwAbgAgACAAMgAzAC4AIABJAG4AZwByAGUAZABpAGUAbgB0ACAANgAgAHAAZQByAGMAZQBuAHQAXABuACAAIAAyADQALgAgAEkAbgBnAHIAZQBkAGkAZQBuAHQAIAA3AFwAbgAgACAAMgA1AC4AIABJAG4AZwByAGUAZABpAGUAbgB0ACAANwAgAHAAZQByAGMAZQBuAHQAXABuACAAIAAyADYALgAgAEkAbgBnAHIAZQBkAGkAZQBuAHQAIAA4AFwAbgAgACAAMgA3AC4AIABJAG4AZwByAGUAZABpAGUAbgB0ACAAOAAgAHAAZQByAGMAZQBuAHQAXABuACAAIAAyADgALgAgAEkAbgBnAHIAZQBkAGkAZQBuAHQAIAA5AFwAbgAgACAAMgA5AC4AIABJAG4AZwByAGUAZABpAGUAbgB0ACAAOQAgAHAAZQByAGMAZQBuAHQAXABuACAAIAAzADAALgAgAEkAbgBnAHIAZQBkAGkAZQBuAHQAIAAxADAAXABuACAAIAAzADEALgAgAEkAbgBnAHIAZQBkAGkAZQBuAHQAIAAxADAAIABwAGUAcgBjAGUAbgB0AFwAbgAgACAAXABuAC0ALQAtAC0ALQAtAC0ALQAtAC0ALQAtAC0ALQAtAC0ALQAtAC0ALQAtAC0ALQAtAC0ALQAtAC0ALQAtAC0ALQAtAC0ALQAtAC0ALQAtAC0ALQAtAC0ALQAtAC0ALQAtAC0ALQAtAC0ALQAtAC0ALQAtAC0ALQAtAFwAbgAqAC8AXABuAFwAbgBGAGUAcgB0AGkAbABpAHMAZQByAF8AUAByAG8AZAB1AGMAdABzAF8ARABhAHQAYQAxAFwAbgA9AEwAQQBNAEIARABBACgAXABuACAATQBBAEsARQBBAFIAUgBBAFkAKAAzADAALAAgADMAMQAsAFwAbgAgAEwAQQBNAEIARABBACgAcgAsAGMALABcAG4AIAAgAEkATgBEAEUAWAAoAHsAXABuAFwAIgBDAGEAbQBwAGIAZQBsAGwAcwAgAGYAZQByAHQAaQBsAGkAcwBlAHIAcwAgAEEAdQBzAHQAcgBhAGwAaQBhAFwAIgAsAFwAIgBBAHEAdQBhACAARgBpAG4AaQBzAGgAXAAiACwAXAAiAEwAXAAiACwAMQAuADIANgAsAFwAIgBcACIALABcACIAXAAiACwAXAAiAFwAIgAsADIALgA2ACwANAAsADIAMgAuADU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RwByAG8AdwBcACIALABcACIATABcACIALAAxAC4AMgA2ACwAXAAiAFwAIgAsAFwAIgBcACIALABcACIAXAAiACwAOQAuADYALAA1ACwAMQAwAC4ANQ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IABBAE4AXAAiACwAXAAiAEwAXAAiACwAMQAuADIANAAsAFwAIgBcACIALABcACIAXAAiACwAXAAiAFwAIgAsADIAMgAuADMALABcACIAXAAiACwAXAAiAFwAIgAsAFwAIgBcACIALABcACIATgBpAHQAcgBvAGcAZQBuACAALQAgAEEAbQBtAG8AbgBpAGEAYwBhAGwAXAAiACwAMAAuADIAMgAz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EMAYQBsAFwAIgAsAFwAIgBMAFwAIgAsADEALgA1ACwAXAAiAFwAIgAsAFwAIgBcACIALABcACIAXAAiACwAMQAzAC4AMgAsAFwAIgBcACIALABcACIAXAAiACwAXAAiAFwAIgAsAFwAIgBDAGEAbABjAGkAdQBtAFwAIgAsADAALgAxADYAMg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EMAYQBsACAAKABWAEkAKQBcACIALABcACIATABcACIALAAxAC4ANQAsAFwAIgBcACIALABcACIAXAAiACwAXAAiAFwAIgAsADEAMwAuADIALABcACIAXAAiACwAXAAiAFwAIgAsAFwAIgBcACIALABcACIAQwBhAGwAYwBpAHUAbQBcACIALAAwAC4AMQA4ADc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AgAFUAbAB0AGkAbQBhAHQAZQBcACIALABcACIATABcACIALAAxAC4ANQAsAFwAIgBcACIALABcACIAXAAiACwAXAAiAFwAIgAsADEAMwAuADIALABcACIAXAAiACwAXAAiAFwAIgAsAFwAIgBcACIALABcACIAQwBhAGwAYwBpAHUAbQBcACIALAAwAC4AMQA4ADM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MAdABhAHIAdABcACIALABcACIATABcACIALAAxAC4AMgA1ACwAXAAiAFwAIgAsAFwAIgBcACIALABcACIAXAAiACwAMQAwAC4AMwAsADEAMAAsADMALgA0ACwAXAAiAFwAIgAsAFwAIgBOAGkAdAByAG8AZwBlAG4AIAAtACAARwBlAG4AZQByAGkAYwBcACIALAAwAC4AMQAwADMALABcACIAUABoAG8AcwBwAGgAbwByAHUAcwAgAC0AIABHAGUAbgBlAHIAaQBjAFwAIgAsADAALgAxACwAXAAiAFAAbwB0AGEAcwBzAGkAdQBtACAALQAgAEcAZQBuAGUAcgBpAGMAXAAiACwAMAAuADAAMwA0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QwBvAG0AcABsAGUAdABlAFwAIgAsAFwAIgBMAFwAIgAsADEALgA0ADMALABcACIAXAAiACwAXAAiAFwAIgAsAFwAIgBcACIALAAyAC4ANQAsADMALgA4ACwAMgAyAC4ANQAsAFwAIgBcACIALABcACIAUABvAHQAYQBzAHMAaQB1AG0AIAAtACAARwBlAG4AZQByAGkAYwBcACIALAAwAC4AMgAyADUALABcACIAUABoAG8AcwBwAGgAbwByAHUAcwAgAC0AIABHAGUAbgBlAHIAaQBjAFwAIgAsADAALgAwADMAOAAsAFwAIgBOAGkAdAByAG8AZwBlAG4AIAAtACAARwBlAG4AZQByAGkAYwBcACIALAAwAC4AMAAyADU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QAaABpAG8ALQBFAG0AZQByAGcAZQBcACIALABcACIATABcACIALAAxAC4AMgA5ACwAXAAiAFwAIgAsAFwAIgBcACIALABcACIAXAAiACwAMQAwAC4ANQAsADkALgA0ACwANAAsADM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QAaABpAG8ALQBGAGwAbwB1AHIAaQBzAGgAXAAiACwAXAAiAEwAXAAiACwAMQAuADMAMgAsAFwAIgBcACIALABcACIAXAAiACwAXAAiAFwAIgAsADkALgA1ACwANAAuADcALAAxADAALgA4ACwAOAAuADE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OwBcAG4AXAAiAEMAYQBtAHAAYgBlAGwAbABzACAAZgBlAHIAdABpAGwAaQBzAGUAcgBzACAAQQB1AHMAdAByAGEAbABpAGEAXAAiACwAXAAiAEIAbwBvAHMAdAAtAEkAdABcACIALABcACIAawBnAFwAIgAsADEALABcACIAXAAiACwAXAAiAFwAIgAsAFwAIgBcACIALAAyADQALAA1AC4AMgAsADgALAA1AC4AMwAsAFwAIgBVAHIAZQBhAFwAIgAsADAALgA1ADIAMQA3ADMAOQAsAFwAIgBQAG8AdABhAHMAcwBpAHUAbQAgAC0AIABHAGUAbgBlAHIAaQBjAFwAIgAsADAALgAwADgALABcACIAUwB1AGwAZgB1AHIAIAAtACAARwBlAG4AZQByAGkAYwBcACIALAAwAC4AMAA1ADMALABcACIAUABoAG8AcwBwAGgAbwByAHUAcwAgAC0AIABHAGUAbgBlAHIAaQBjAFwAIgAsADAALgAwADUAMgAsAFwAIgBNAGEAZwBuAGUAcwBpAHUAbQBcACIALAAwAC4AMAAxADMALABcACIAWgBpAG4AYwBcACIALAAwAC4AMAAwADIALABcACIATQBhAG4AZwBhAG4AZQBzAGUAXAAiACwAMAAuADAAMAAzADUALABcACIASQByAG8AbgBcACIALAAwAC4AMAAwADEAMwAsAFwAIgBDAG8AcABwAGUAcgBcACIALAAwAC4AMAAwADAANwAsAFwAIgBCAG8AcgBvAG4AXAAiACwAMAAuADAAMAAwADcAOwBcAG4AXAAiAEMAYQBtAHAAYgBlAGwAbABzACAAZgBlAHIAdABpAGwAaQBzAGUAcgBzACAAQQB1AHMAdAByAGEAbABpAGEAXAAiACwAXAAiAEIAcgBvAG4AegBlAFwAIgAsAFwAIgBrAGcAXAAiACwAMQAsAFwAIgBcACIALABcACIAXAAiACwAXAAiAFwAIgAsADEANwAsADAALgAwADQALAAxADEALgA2ACwAMAAuADUALABcACIATQB1AHIAaQBhAHQAZQAgAG8AZgAgAHAAbwB0AGEAcwBoACAAKABNAE8AUAApAFwAIgAsADAALgAyADMAMgAsAFwAIgBOAGkAdAByAG8AZwBlAG4AIAAtACAARwBlAG4AZQByAGkAYwBcACIALAAwAC4AMQA3ACwAXAAiAFMAdQBsAGYAdQByACAALQAgAEcAZQBuAGUAcgBpAGMAXAAiACwAMAAuADAAMAA1ACwAXAAiAE0AYQBnAG4AZQBzAGkAdQBtAFwAIgAsADAALgAwADAAMgA0ACwAXAAiAFAAaABvAHMAcABoAG8AcgB1AHMAIAAtACAARwBlAG4AZQByAGkAYwBcACIALAAwAC4AMAAwADAANAAsAFwAIgBcACIALABcACIAXAAiACwAXAAiAFwAIgAsAFwAIgBcACIALABcACIAXAAiACwAXAAiAFwAIgAsAFwAIgBcACIALABcACIAXAAiACwAXAAiAFwAIgAsAFwAIgBcACIAOwBcAG4AXAAiAEMAYQBtAHAAYgBlAGwAbABzACAAZgBlAHIAdABpAGwAaQBzAGUAcgBzACAAQQB1AHMAdAByAGEAbABpAGEAXAAiACwAXAAiAEMAYQBsAGIAaQB0ACAAQwBcACIALABcACIATABcACIALAAxAC4ANAA1ACwAXAAiAFwAIgAsAFwAIgBcACIALABcACIAXAAiACwAXAAiAFwAIgAsAFwAIgBcACIALABcACIAXAAiACwAXAAiAFwAIgAsAFwAIgBDAGEAbABjAGkAdQBtAFwAIgAsADAALgAxADAANw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wBvAG0AcABhAHMAcwBcACIALABcACIAawBnAFwAIgAsADEALABcACIAXAAiACwAXAAiAFwAIgAsAFwAIgBcACIALAAxADUALAA2AC4ANQAsADEAMgAuADUALAA2ACwAXAAiAE4AaQB0AHIAbwBnAGUAbgAgAC0AIABBAG0AbQBvAG4AaQBhAGMAYQBsAFwAIgAsADAALgAwADcANQAsAFwAIgBOAGkAdAByAG8AZwBlAG4AIAAtACAATgBpAHQAcgBhAHQAZQBcACIALAAwAC4AMAA3ADUALABcACIAUABvAHQAYQBzAHMAaQB1AG0AIAAtACAARwBlAG4AZQByAGkAYwBcACIALAAwAC4AMQAyADUALABcACIAUABoAG8AcwBwAGgAbwByAHUAcwAgAC0AIABHAGUAbgBlAHIAaQBjAFwAIgAsADAALgAwADYANQAsAFwAIgBTAHUAbABmAHUAcgAgAC0AIABHAGUAbgBlAHIAaQBjAFwAIgAsADAALgAwADYALABcACIAXAAiACwAXAAiAFwAIgAsAFwAIgBcACIALABcACIAXAAiACwAXAAiAFwAIgAsAFwAIgBcACIALABcACIAXAAiACwAXAAiAFwAIgAsAFwAIgBcACIALABcACIAXAAiADsAXABuAFwAIgBDAGEAbQBwAGIAZQBsAGwAcwAgAGYAZQByAHQAaQBsAGkAcwBlAHIAcwAgAEEAdQBzAHQAcgBhAGwAaQBhAFwAIgAsAFwAIgBDAG8AUgBvAE4AIAAxADIALQAwAC0AMQAwAFwAIgAsAFwAIgBMAFwAIgAsADEALgAyADEANQAsAFwAIgBcACIALABcACIAXAAiACwAXAAiAFwAIgAsADEAMgAsAFwAIgBcACIALAAxADAALABcACIAXAAiACwAXAAiAFUAcgBlAGEAXAAiACwAMAAuADEAOQA1ADYANQAy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CwAXAAiAFwAIgAsAFwAIgBcACIALABcACIAXAAiADsAXABuAFwAIgBDAGEAbQBwAGIAZQBsAGwAcwAgAGYAZQByAHQAaQBsAGkAcwBlAHIAcwAgAEEAdQBzAHQAcgBhAGwAaQBhAFwAIgAsAFwAIgBNAGEAeABpAG0AdQBtACAAUQB1AGkAYwBrAC0ATgBcACIALABcACIAawBnAFwAIgAsADEALABcACIAXAAiACwAXAAiAFwAIgAsAFwAIgBcACIALAAyADEALgA2ADYALABcACIAXAAiACwAXAAiAFwAIgAsADEAMwAuADIALABcACIAUwB1AGwAcABoAGEAdABlACAAbwBmACAAYQBtAG0AbwBuAGkAYQAgACgAUwBPAEEAKQBcACIALAAwAC4ANQA1ACwAXAAiAEEAbQBtAG8AbgBpAHUAbQAgAG4AaQB0AHIAYQB0AGUAIAAoAEEATgApAFwAIgAsADAALgAzACwAXAAiAFwAIgAsAFwAIgBcACIALABcACIAXAAiACwAXAAiAFwAIgAsAFwAIgBcACIALABcACIAXAAiACwAXAAiAFwAIgAsAFwAIgBcACIALABcACIAXAAiACwAXAAiAFwAIgAsAFwAIgBcACIALABcACIAXAAiACwAXAAiAFwAIgAsAFwAIgBcACIALABcACIAXAAiACwAXAAiAFwAIgA7AFwAbgBcACIAUwBMACAAVABlAGMAXAAiACwAXAAiAEMAcgBvAHAAIABCAG8AbwBzAHQAZQByACAAUABMAFUAUwBcACIALABcACIATABcACIALAAxAC4AMwAxADkALABcACIAXAAiACwAXAAiAFwAIgAsAFwAIgBcACIALAA1ACwAMQA1ACwAMgAuADEALABcACIAXAAiACwAXAAiAFAAaABvAHMAcABoAG8AcgB1AHMAIAAtACAARwBlAG4AZQByAGkAYwBcACIALAAwAC4AMQA1ACwAXAAiAEMAYQBsAGMAaQB1AG0AXAAiACwAMAAuADAANAAsAFwAIgBOAGkAdAByAG8AZwBlAG4AIAAtACAAQQBtAG0AbwBuAGkAYQBjAGEAbABcACIALAAwAC4AMAAyADkALABcACIATgBpAHQAcgBvAGcAZQBuACAALQAgAE4AaQB0AHIAYQB0AGUAXAAiACwAMAAuADAAMgAxACwAXAAiAFAAbwB0AGEAcwBzAGkAdQBtACAALQAgAEcAZQBuAGUAcgBpAGMAXAAiACwAMAAuADAAMgAxACwAXAAiAEMAbwBwAHAAZQByAFwAIgAsADAALgAwADAANQAsAFwAIgBaAGkAbgBjAFwAIgAsADAALgAwADAANAAsAFwAIgBNAGEAbgBnAGEAbgBlAHMAZQBcACIALAAwAC4AMAAwADQALABcACIATQBhAGcAbgBlAHMAaQB1AG0AXAAiACwAMAAuADAAMAAyACwAXAAiAFwAIgAsAFwAIgBcACIAOwBcAG4AXAAiAFIAaQBzAHMAbwAtAEMAaABlAG0AaQBjAGEAbABcACIALABcACIAQQBtAG0AbwBuAGkAdQBtACAAQgBpAGMAYQByAGIAbwBuAGEAdABlAFwAIgAsAFwAIgBrAGcAXAAiACwAMQAsAFwAIgBcACIALABcACIAXAAiACwAXAAiAEMAaABpAG4AYQBcACIALAAxADcALgA3ACwAXAAiAFwAIgAsAFwAIgBcACIALABcACIAXAAiACwAXAAiAE4AaQB0AHIAbwBnAGUAbgAgAC0AIABBAG0AbQBvAG4AaQBhAGMAYQBsAFwAIgAsADAALgAxADcANwAsAFwAIgBcACIALABcACIAXAAiACwAXAAiAFwAIgAsAFwAIgBcACIALABcACIAXAAiACwAXAAiAFwAIgAsAFwAIgBcACIALABcACIAXAAiACwAXAAiAFwAIgAsAFwAIgBcACIALABcACIAXAAiACwAXAAiAFwAIgAsAFwAIgBcACIALABcACIAXAAiACwAXAAiAFwAIgAsAFwAIgBcACIALABcACIAXAAiACwAXAAiAFwAIgA7AFwAbgBcACIAUgBpAHMAcwBvAC0AQwBoAGUAbQBpAGMAYQBsAFwAIgAsAFwAIgBBAG0AbQBvAG4AaQB1AG0AIABTAHUAbABmAGEAdABlAFwAIgAsAFwAIgBrAGcAXAAiACwAMQAsAFwAIgBcACIALABcACIAXAAiACwAXAAiAEMAaABpAG4AYQBcACIALAAyADEALABcACIAXAAiACwAXAAiAFwAIgAsADIANAAsAFwAIgBTAHUAbABmAHUAcgAgAC0AIABHAGUAbgBlAHIAaQBjAFwAIgAsADAALgAyADQALABcACIATgBpAHQAcgBvAGcAZQBuACAALQAgAEEAbQBtAG8AbgBpAGEAYwBhAGwAXAAiACwAMAAuADIAMQAsAFwAIgBcACIALABcACIAXAAiACwAXAAiAFwAIgAsAFwAIgBcACIALABcACIAXAAiACwAXAAiAFwAIgAsAFwAIgBcACIALABcACIAXAAiACwAXAAiAFwAIgAsAFwAIgBcACIALABcACIAXAAiACwAXAAiAFwAIgAsAFwAIgBcACIALABcACIAXAAiACwAXAAiAFwAIgAsAFwAIgBcACIAOwBcAG4AXAAiAFIAYQB2AGUAbgBzAGQAbwB3AG4AXAAiACwAXAAiAEEAbQBtAG8AbgBpAHUAbQAgAFMAdQBsAHAAaABhAHQAZQAgAC0AIABHAHIAYQBuAHUAbABhAHI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RABpAC0AQQBtAG0AbwBuAGkAdQBtACAAUABoAG8AcwBwAGgAYQB0AGUAIAAoAEQAQQBQACkAXAAiACwAXAAiAGsAZwBcACIALAAxACwAXAAiAFwAIgAsAFwAIgBcACIALABcACIAXAAiACwAMQA4ACwAMgAwACwAXAAiAFwAIgAsAFwAIgBcACIALABcACIARABpAGEAbQBtAG8AbgBpAHUAbQAgAHAAaABvAHMAcABoAGEAdABlACAAKABEAEEAUA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IAYQBzAGEAbAB0ACAAQgBvAG8AUwBTAHQAYQBcACIALABcACIAawBnAFwAIgAsADEALABcACIAXAAiACwAXAAiAFwAIgAsAFwAIgBcACIALAA4ACwAMQA0ACwAXAAiAFwAIgAsADIANwAuADYALABcACIAUwB1AGwAZgB1AHIAIAAtACAARwBlAG4AZQByAGkAYwBcACIALAAwAC4AMgA3ADYALABcACIAUABoAG8AcwBwAGgAbwByAHUAcwAgAC0AIABHAGUAbgBlAHIAaQBjAFwAIgAsADAALgAxADQALABcACIATgBpAHQAcgBvAGcAZQBuACAALQAgAEcAZQBuAGUAcgBpAGMAXAAiACwAMAAuADAAOAAsAFwAIgBGAGwAdQBvAHIAaQBkAGUAXAAiACwAMAAuADAAMgA0ACwAXAAiAFwAIgAsAFwAIgBcACIALABcACIAXAAiACwAXAAiAFwAIgAsAFwAIgBcACIALABcACIAXAAiACwAXAAiAFwAIgAsAFwAIgBcACIALABcACIAXAAiACwAXAAiAFwAIgAsAFwAIgBcACIALABcACIAXAAiADsAXABuAFwAIgBTAHUAbQBtAGkAdAAgAEYAZQByAHQAaQBsAGkAegBlAHIAcwBcACIALABcACIARABBAFAAUwBaAEMAXAAiACwAXAAiAGsAZwBcACIALAAxACwAXAAiAFwAIgAsAFwAIgBcACIALABcACIAXAAiACwAMQA2AC4AOQAsADEAOAAuADIALABcACIAXAAiACwAOAAsAFwAIgBQAGgAbwBzAHAAaABvAHIAdQBzACAALQAgAEcAZQBuAGUAcgBpAGMAXAAiACwAMAAuADEAOAAyACwAXAAiAE4AaQB0AHIAbwBnAGUAbgAgAC0AIABHAGUAbgBlAHIAaQBjAFwAIgAsADAALgAxADYAOQAsAFwAIgBTAHUAbABmAHUAcgAgAC0AIABHAGUAbgBlAHIAaQBjAFwAIgAsADAALgAwADgALABcACIAWgBpAG4AYwBcACIALAAwAC4AMAAwADIALABcACIAQwBvAHAAcABlAHIAXAAiACwAMAAuADAAMAAxACwAXAAiAFwAIgAsAFwAIgBcACIALABcACIAXAAiACwAXAAiAFwAIgAsAFwAIgBcACIALABcACIAXAAiACwAXAAiAFwAIgAsAFwAIgBcACIALABcACIAXAAiACwAXAAiAFwAIgA7AFwAbgBcACIASQBuAGMAaQB0AGUAYwAgAFAAaQB2AG8AdAAgAEYAZQByAHQAaQBsAGkAcwBlAHIAcwBcACIALABcACIARQBhAHMAeQAgAE4AXAAiACwAXAAiAEwAXAAiACwAMQAuADMAMgAsAFwAIgBcACIALABcACIAXAAiACwAXAAiAFwAIgAsADQAMgAuADUALABcACIAXAAiACwAXAAiAFwAIgAsAFwAIgBcACIALABcACIAVQByAGUAYQBcACIALAAwAC4ANAA2ADcAMwA5ADEALABcACIATgBpAHQAcgBvAGcAZQBuACAALQAgAE4AaQB0AHIAYQB0AGUAXAAiACwAMAAuADEAMAA1ACwAXAAiAE4AaQB0AHIAbwBnAGUAbgAgAC0AIABBAG0AbQBvAG4AaQBhAGMAYQBsAFwAIgAsADAALgAxADAANQAsAFwAIgBCAGkAdQByAGUAdABcACIALAAwAC4AMAAwADYALABcACIAXAAiACwAXAAiAFwAIgAsAFwAIgBcACIALABcACIAXAAiACwAXAAiAFwAIgAsAFwAIgBcACIALABcACIAXAAiACwAXAAiAFwAIgAsAFwAIgBcACIALABcACIAXAAiACwAXAAiAFwAIgAsAFwAIgBcACIAOwBcAG4AXAAiAFIAaQBzAHMAbwAtAEMAaABlAG0AaQBjAGEAbABcACIALABcACIAQwBhAGwAYwBpAHUAbQAgAEEAbQBtAG8AbgBpAHUAbQAgAG4AaQB0AHIAYQB0AGUAXAAiACwAXAAiAGsAZwBcACIALAAxACwAXAAiAFwAIgAsAFwAIgBcACIALABcACIAQwBoAGkAbgBhAFwAIgAsADQAMAAuADUALABcACIAXAAiACwAXAAiAFwAIgAsAFwAIgBcACIALABcACIATgBpAHQAcgBvAGcAZQBuACAALQAgAEEAbQBtAG8AbgBpAGEAYwBhAGwAXAAiACwAMAAuADIANwAsAFwAIgBOAGkAdAByAG8AZwBlAG4AIAAtACAATgBpAHQAcgBhAHQAZQBcACIALAAwAC4AMQAzADUALABcACIAQwBhAGwAYwBpAHUAbQBcACIALAAwAC4AMQAyACwAXAAiAFwAIgAsAFwAIgBcACIALABcACIAXAAiACwAXAAiAFwAIgAsAFwAIgBcACIALABcACIAXAAiACwAXAAiAFwAIgAsAFwAIgBcACIALABcACIAXAAiACwAXAAiAFwAIgAsAFwAIgBcACIALABcACIAXAAiACwAXAAiAFwAIgAsAFwAIgBcACIAOwBcAG4AXAAiAFMATAAgAFQAZQBjAFwAIgAsAFwAIgBDAGUAbABsAEMAQQBMACAAUABsAHUAcwBcACIALABcACIATABcACIALAAxAC4AMQAzADgALABcACIAXAAiACwAXAAiAFwAIgAsAFwAIgBcACIALABcACIAXAAiACwAXAAiAFwAIgAsAFwAIgBcACIALABcACIAXAAiACwAXAAiAEMAYQBsAGMAaQB1AG0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MASwA1ADUAXAAiACwAXAAiAGsAZwBcACIALAAxACwAXAAiAFwAIgAsAFwAIgBcACIALABcACIAXAAiACwAMQAzAC4ANQAsADEANQAsADYALgAyADUALAAxAC4AMgAsAFwAIgBQAGgAbwBzAHAAaABvAHIAdQBzACAALQAgAEcAZQBuAGUAcgBpAGMAXAAiACwAMAAuADEANQAsAFwAIgBOAGkAdAByAG8AZwBlAG4AIAAtACAAQQBtAG0AbwBuAGkAYQBjAGEAbABcACIALAAwAC4AMQAzADUALABcACIATQB1AHIAaQBhAHQAZQAgAG8AZgAgAHAAbwB0AGEAcwBoACAAKABNAE8AUAApAFwAIgAsADAALgAxADIANQAsAFwAIgBGAGwAdQBvAHIAaQBkAGUAXAAiACwAMAAuADAAMgAzACwAXAAiAFMAdQBsAGYAdQByACAALQAgAEcAZQBuAGUAcgBpAGMAXAAiACwAMAAuADAAMQAyACwAXAAiAFwAIgAsAFwAIgBcACIALABcACIAXAAiACwAXAAiAFwAIgAsAFwAIgBcACIALABcACIAXAAiACwAXAAiAFwAIgAsAFwAIgBcACIALABcACIAXAAiACwAXAAiAFwAIgA7AFwAbgBcACIAUwB3AGkAdABjAGgAIABBAGcAXAAiACwAXAAiAEMAcgBvAHAAIABLAFwAIgAsAFwAIgBMAFwAIgAsADEALgAyADUALABcACIAXAAiACwAXAAiAFwAIgAsAFwAIgBcACIALAAzACwAXAAiAFwAIgAsADIAMQAsAFwAIgBcACIALABcACIAUABvAHQAYQBzAHMAaQB1AG0AIAAtACAARwBlAG4AZQByAGkAYwBcACIALAAwAC4AMgAxACwAXAAiAE4AaQB0AHIAbwBnAGUAbgAgAC0AIABHAGUAbgBlAHIAaQBjAFwAIgAsADAALgAwADMALABcACIAXAAiACwAXAAiAFwAIgAsAFwAIgBcACIALABcACIAXAAiACwAXAAiAFwAIgAsAFwAIgBcACIALABcACIAXAAiACwAXAAiAFwAIgAsAFwAIgBcACIALABcACIAXAAiACwAXAAiAFwAIgAsAFwAIgBcACIALABcACIAXAAiACwAXAAiAFwAIgAsAFwAIgBcACIALABcACIAXAAiADsAXABuAFwAIgBTAHcAaQB0AGMAaAAgAEEAZwBcACIALABcACIAQwByAG8AcAAgAFMAdABhAHIAdABlAHIAXAAiACwAXAAiAEwAXAAiACwAMQAuADIALABcACIAXAAiACwAXAAiAFwAIgAsAFwAIgBcACIALAA1ACwAMwAsADgALABcACIAXAAiACwAXAAiAFAAbwB0AGEAcwBzAGkAdQBtACAALQAgAEcAZQBuAGUAcgBpAGMAXAAiACwAMAAuADAAOAAsAFwAIgBOAGkAdAByAG8AZwBlAG4AIAAtACAARwBlAG4AZQByAGkAYwBcACIALAAwAC4AMAA1ACwAXAAiAFAAaABvAHMAcABoAG8AcgB1AHMAIAAtACAARwBlAG4AZQByAGkAYwBcACIALAAwAC4AMAAz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cAcgBhAG4ALQBBAG0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FwAbgAgACAAfQAsACAAcgAsACAAYwApAFwAbgAgACkAKQApAFwAbgBcAG4AXABuAEYAZQByAHQAaQBsAGkAcwBlAHIAXwBQAHIAbwBkAHUAYwB0AHMAXwBEAGEAdABhADIAXABuAD0ATABBAE0AQgBEAEEAKABcAG4AIABNAEEASwBFAEEAUgBSAEEAWQAoADMAMAAsACAAMwAxACwAXABuACAATABBAE0AQgBEAEEAKAByACwAYwAsAFwAbgAgACAASQBOAEQARQBYACgAewBcAG4AXAAiAEMAYQBtAHAAYgBlAGwAbABzACAAZgBlAHIAdABpAGwAaQBzAGUAcgBzACAAQQB1AHMAdAByAGEAbABpAGEAXAAiACwAXAAiAEUAbgBjAGEAbABcACIALABcACIATABcACIALAAxAC4ANQAsAFwAIgBcACIALABcACIAXAAiACwAXAAiAFwAIgAsADkALABcACIAXAAiACwAXAAiAFwAIgAsADEAMwAuADkANAAsAFwAIgBTAHUAbABwAGgAYQB0AGUAIABvAGYAIABhAG0AbQBvAG4AaQBhACAAKABTAE8AQQApAFwAIgAsADAALgA1ADgAMAA2ADQANQAsAFwAIgBNAGEAZwBuAGUAcwBpAHUAbQBcACIALAAwAC4AMAAxAD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HAHIAYQBuAHUAbABvAGMAawAgAFMAUwBcACIALABcACIAawBnAFwAIgAsADEALABcACIAXAAiACwAXAAiAFwAIgAsAFwAIgBcACIALAAxADAALAAxADcALgA1ACwAXAAiAFwAIgAsADEAMgAsAFwAIgBQAGgAbwBzAHAAaABvAHIAdQBzACAALQAgAEcAZQBuAGUAcgBpAGMAXAAiACwAMAAuADEANwA1ACwAXAAiAFMAdQBsAGYAdQByACAALQAgAEcAZQBuAGUAcgBpAGMAXAAiACwAMAAuADEAMgAsAFwAIgBOAGkAdAByAG8AZwBlAG4AIAAtACAAQQBtAG0AbwBuAGkAYQBjAGEAbABcACIALAAwAC4AMQAsAFwAIgBGAGwAdQBvAHIAaQBkAGUAXAAiACwAMAAuADAAMwAsAFwAIgBcACIALABcACIAXAAiACwAXAAiAFwAIgAsAFwAIgBcACIALABcACIAXAAiACwAXAAiAFwAIgAsAFwAIgBcACIALABcACIAXAAiACwAXAAiAFwAIgAsAFwAIgBcACIALABcACIAXAAiACwAXAAiAFwAIgA7AFwAbgBcACIASQBuAGMAaQB0AGUAYwAgAFAAaQB2AG8AdAAgAEYAZQByAHQAaQBsAGkAcwBlAHIAcwBcACIALABcACIARwByAGEAbgB1AGwAbwBjAGsAIABaAFwAIgAsAFwAIgBrAGcAXAAiACwAMQAsAFwAIgBcACIALABcACIAXAAiACwAXAAiAFwAIgAsADEAMQAsADIAMQAuADgALABcACIAXAAiACwANAAsAFwAIgBQAGgAbwBzAHAAaABvAHIAdQBzACAALQAgAEcAZQBuAGUAcgBpAGMAXAAiACwAMAAuADIAMQA4ACwAXAAiAE4AaQB0AHIAbwBnAGUAbgAgAC0AIABHAGUAbgBlAHIAaQBjAFwAIgAsADAALgAxADEALABcACIAUwB1AGwAZgB1AHIAIAAtACAARwBlAG4AZQByAGkAYwBcACIALAAwAC4AMAA0ACwAXAAiAEYAbAB1AG8AcgBpAGQAZQBcACIALAAwAC4AMAAzACwAXAAiAFoAaQBuAGMAXAAiACwAMAAuADAAMQAsAFwAIgBcACIALABcACIAXAAiACwAXAAiAFwAIgAsAFwAIgBcACIALABcACIAXAAiACwAXAAiAFwAIgAsAFwAIgBcACIALABcACIAXAAiACwAXAAiAFwAIgAsAFwAIgBcACIAOwBcAG4AXAAiAEkAbgBjAGkAdABlAGMAIABQAGkAdgBvAHQAIABGAGUAcgB0AGkAbABpAHMAZQByAHMAXAAiACwAXAAiAEYAYQByAG0AIABBAGcAIABMAGUAaQBjAGgAaABhAHIAZAB0AFwAIgAsAFwAIgBrAGcAXAAiACwAMQAsAFwAIgBcACIALABcACIAXAAiACwAXAAiAFwAIgAsADMAMgAuADUALAA1AC4ANAAsADYALgAyADUALABcACIAXAAiACwAXAAiAFUAcgBlAGEAXAAiACwAMAAuADYALABcACIATgBpAHQAcgBvAGcAZQBuACAALQAgAEEAbQBtAG8AbgBpAGEAYwBhAGwAXAAiACwAMAAuADAANAA5ACwAXAAiAFAAaABvAHMAcABoAG8AcgB1AHMAIAAtACAARwBlAG4AZQByAGkAYwBcACIALAAwAC4AMAA1ADQALABcACIATQB1AHIAaQBhAHQAZQAgAG8AZgAgAHAAbwB0AGEAcwBoACAAKABNAE8AUAApAFwAIgAsADAALgAxADIANQAsAFwAIgBcACIALABcACIAXAAiACwAXAAiAFwAIgAsAFwAIgBcACIALABcACIAXAAiACwAXAAiAFwAIgAsAFwAIgBcACIALABcACIAXAAiACwAXAAiAFwAIgAsAFwAIgBcACIALABcACIAXAAiACwAXAAiAFwAIgA7AFwAbgBcACIAUgBhAHYAZQBuAHMAZABvAHcAbgBcACIALABcACIARgBsAGUAeABpAC0ATgAgAE4AQgBQAFQAXAAiACwAXAAiAGsAZwBcACIALAAxACwAXAAiAFkAZQBzAFwAIgAsAFwAIgBcACIALABcACIAXAAiACwANAA1AC4ANQA0ACwAXAAiAFwAIgAsAFwAIgBcACIALABcACIAXAAiACwAXAAiAFUAcgBlAGEAXAAiACwAMAAuADkAOQ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RwBvAGwAZAAgAFAAcgBlAG0AaQB1AG0AXAAiACwAXAAiAGsAZwBcACIALAAxACwAXAAiAFwAIgAsAFwAIgBcACIALABcACIAXAAiACwAMQA0AC4AOAA3ACwAMgAuADIALAAxADYALgA2ACwAOAAsAFwAIgBBAG0AbQBvAG4AaQB1AG0AIABuAGkAdAByAGEAdABlACAAKABBAE4AKQBcACIALAAwAC4ANAA0ADEAMQA3ADYALABcACIAUABvAHQAYQBzAHMAaQB1AG0AIAAtACAARwBlAG4AZQByAGkAYwBcACIALAAwAC4AMQA2ADYALABcACIAUwB1AGwAZgB1AHIAIAAtACAARwBlAG4AZQByAGkAYwBcACIALAAwAC4AMAA4ACwAXAAiAFAAaABvAHMAcABoAG8AcgB1AHMAIAAtACAARwBlAG4AZQByAGkAYwBcACIALAAwAC4AMAAyADIALABcACIATQBhAGcAbgBlAHMAaQB1AG0AXAAiACwAMAAuADAAMQAyACwAXAAiAEIAbwByAG8AbgBcACIALAAwAC4AMAAwADAAMgAsAFwAIgBaAGkAbgBjAFwAIgAsADAALgAwADAAMAAxACwAXAAiAFwAIgAsAFwAIgBcACIALABcACIAXAAiACwAXAAiAFwAIgAsAFwAIgBcACIALABcACIAXAAiADsAXABuAFwAIgBTAEwAIABUAGUAYwBcACIALABcACIASABpAGcAaAAgAE4AUwBcACIALABcACIATABcACIALAAxAC4AMgA5ADkALABcACIAXAAiACwAXAAiAFwAIgAsAFwAIgBcACIALAAzADgALABcACIAXAAiACwAXAAiAFwAIgAsADIALABcACIAVQByAGUAYQBcACIALAAwAC4ANAA2ADAAOAA3ACwAXAAiAE4AaQB0AHIAbwBnAGUAbgAgAC0AIABBAG0AbQBvAG4AaQBhAGMAYQBsAFwAIgAsADAALgAwADkAMgAsAFwAIgBOAGkAdAByAG8AZwBlAG4AIAAtACAATgBpAHQAcgBhAHQAZQBcACIALAAwAC4AMAA3ADYALABcACIAUwB1AGwAZgB1AHIAIAAtACAARwBlAG4AZQByAGkAYwBcACIALAAwAC4AMAAyACwAXAAiAFwAIgAsAFwAIgBcACIALABcACIAXAAiACwAXAAiAFwAIgAsAFwAIgBcACIALABcACIAXAAiACwAXAAiAFwAIgAsAFwAIgBcACIALABcACIAXAAiACwAXAAiAFwAIgAsAFwAIgBcACIALABcACIAXAAiADsAXABuAFwAIgBJAG0AcABhAGMAdAAgAEYAZQByAHQAaQBsAGkAcwBlAHIAcwBcACIALABcACIASQBtAHAAYQBjAHQAIABTAFMAUA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FMAdwBpAHQAYwBoACAAQQBnAFwAIgAsAFwAIgBJAG4AIABDAHIAbwBwAFwAIgAsAFwAIgBMAFwAIgAsADEALgAyACwAXAAiAFwAIgAsAFwAIgBcACIALABcACIAXAAiACwAMQAwACwAMQAsADEAMQAsAFwAIgBcACIALABcACIAUABvAHQAYQBzAHMAaQB1AG0AIAAtACAARwBlAG4AZQByAGkAYwBcACIALAAwAC4AMQAxACwAXAAiAE4AaQB0AHIAbwBnAGUAbgAgAC0AIABHAGUAbgBlAHIAaQBjAFwAIgAsADAALgAxACwAXAAiAFAAaABvAHMAcABoAG8AcgB1AHMAIAAtACAARwBlAG4AZQByAGkAYwBcACIALAAwAC4AMAAxACwAXAAiAFwAIgAsAFwAIgBcACIALABcACIAXAAiACwAXAAiAFwAIgAsAFwAIgBcACIALABcACIAXAAiACwAXAAiAFwAIgAsAFwAIgBcACIALABcACIAXAAiACwAXAAiAFwAIgAsAFwAIgBcACIALABcACIAXAAiACwAXAAiAFwAIgAsAFwAIgBcACIAOwBcAG4AXAAiAFMAdwBpAHQAYwBoACAAQQBnAFwAIgAsAFwAIgBLADIAMABcACIALABcACIATABcACIALAAxAC4AMwAsAFwAIgBcACIALABcACIAXAAiACwAXAAiAFwAIgAsADMALABcACIAXAAiACwAMgAyACwAXAAiAFwAIgAsAFwAIgBQAG8AdABhAHMAcwBpAHUAbQAgAC0AIABHAGUAbgBlAHIAaQBjAFwAIgAsADAALgAyADIALABcACIATgBpAHQAcgBvAGcAZQBuACAALQAgAEcAZQBuAGUAcgBpAGMAXAAiACwAMAAuADAAMwAsAFwAIgBcACIALABcACIAXAAiACwAXAAiAFwAIgAsAFwAIgBcACIALABcACIAXAAiACwAXAAiAFwAIgAsAFwAIgBcACIALABcACIAXAAiACwAXAAiAFwAIgAsAFwAIgBcACIALABcACIAXAAiACwAXAAiAFwAIgAsAFwAIgBcACIALABcACIAXAAiACwAXAAiAFwAIgAsAFwAIgBcACIAOwBcAG4AXAAiAEwAbwB2AGUAbABhAG4AZAAgAEEAZwByAGkAcAByAG8AZAB1AGMAdABzAFwAIgAsAFwAIgBNAGEAeABpAG0AdQBtACAATgAtAFAAYQBjAHQAXAAiACwAXAAiAEwAXAAiACwAMQAuADEAOAA1ACwAXAAiAFwAIgAsAFwAIgBcACIALABcACIAXAAiACwAMgAzAC4AOAAsAFwAIgBcACIALABcACIAXAAiACwAXAAiAFwAIgAsAFwAIgBVAHIAZQBhAFwAIgAsADAALgA1ADEANwAzADkAMQAsAFwAIgBcACIALABcACIAXAAiACwAXAAiAFwAIgAsAFwAIgBcACIALABcACIAXAAiACwAXAAiAFwAIgAsAFwAIgBcACIALABcACIAXAAiACwAXAAiAFwAIgAsAFwAIgBcACIALABcACIAXAAiACwAXAAiAFwAIgAsAFwAIgBcACIALABcACIAXAAiACwAXAAiAFwAIgAsAFwAIgBcACIALABcACIAXAAiACwAXAAiAFwAIgA7AFwAbgBcACIAUwBMACAAVABlAGMAXAAiACwAXAAiAE4AaQB0AHIAbwAgAEMAbwBtAGIAaQAgAFQARQBcACIALABcACIATABcACIALAAxAC4AMgA1ADUALABcACIAXAAiACwAXAAiAFwAIgAsAFwAIgBcACIALABcACIAXAAiACwAXAAiAFwAIgAsADAALgAxACwANAAuADQALABcACIAUwB1AGwAZgB1AHIAIAAtACAARwBlAG4AZQByAGkAYwBcACIALAAwAC4AMAA0ADQALABcACIAWgBpAG4AYwBcACIALAAwAC4AMAAyADIALABcACIASQByAG8AbgBcACIALAAwAC4AMAAyADIALABcACIATQBhAG4AZwBhAG4AZQBzAGUAXAAiACwAMAAuADAAMQA2ACwAXAAiAEIAbwByAG8AbgBcACIALAAwAC4AMAAwADgALABcACIATQBhAGcAbgBlAHMAaQB1AG0AXAAiACwAMAAuADAAMAA3ACwAXAAiAEYAdQBsAHYAaQBjACAAYQBjAGkAZAAgACgAbwByAGcAYQBuAGkAYwApAFwAIgAsADAALgAwADAANQAsAFwAIgBDAG8AcABwAGUAcgBcACIALAAwAC4AMAAwADMALABcACIAUABvAHQAYQBzAHMAaQB1AG0AIAAtACAARwBlAG4AZQByAGkAYwBcACIALAAwAC4AMAAwADEALABcACIATQBvAGwAeQBiAGQAZQBuAHUAbQBcACIALAAwAC4AMAAwADAAMwA7AFwAbgBcACIAUwB3AGkAdABjAGgAIABBAGcAXAAiACwAXAAiAFAAYQBzAHQAdQByAGUATQBBAFgAWABcACIALABcACIATABcACIALAAxAC4AMgAzACwAXAAiAFwAIgAsAFwAIgBcACIALABcACIAXAAiACwAOQAuADcAMQAsAFwAIgBcACIALAAzAC4AMgA1ACwAMgAuADEAMQAsAFwAIgBOAGkAdAByAG8AZwBlAG4AIAAtACAARwBlAG4AZQByAGkAYwBcACIALAAwAC4AMAA5ADcAMQAsAFwAIgBQAG8AdABhAHMAcwBpAHUAbQAgAC0AIABHAGUAbgBlAHIAaQBjAFwAIgAsADAALgAwADMAMgA1ACwAXAAiAFMAdQBsAGYAdQByACAALQAgAEcAZQBuAGUAcgBpAGMAXAAiACwAMAAuADAAMgAxADEALABcACIAWgBpAG4AYwBcACIALAAwAC4AMAAxADUALABcACIASQByAG8AbgBcACIALAAwAC4AMAAxADEAMQAsAFwAIgBNAGEAbgBnAGEAbgBlAHMAZQBcACIALAAwAC4AMAAxADEANQAsAFwAIgBNAGEAZwBuAGUAcwBpAHUAbQBcACIALAAwAC4AMAAwADQANQAsAFwAIgBCAG8AcgBvAG4AXAAiACwAMAAuADAAMAAyACwAXAAiAFwAIgAsAFwAIgBcACIALABcACIAXAAiACwAXAAiAFwAIgA7AFwAbgBcACIAQwBhAG0AcABiAGUAbABsAHMAIABmAGUAcgB0AGkAbABpAHMAZQByAHMAIABBAHUAcwB0AHIAYQBsAGkAYQBcACIALABcACIAUABsAGEAdABpAG4AdQBtACAATgBlAHIAZwBlAHQAaQBjAFwAIgAsAFwAIgBrAGcAXAAiACwAMQAsAFwAIgBcACIALABcACIAXAAiACwAXAAiAFwAIgAsADEAMAAsADEAMAAuADkALAAxADAALAA0AC4AMwA0ACwAXAAiAE0AbwBuAG8AYQBtAG0AbwBuAGkAdQBtACAAcABoAG8AcwBwAGgAYQB0AGUAIAAoAE0AQQBQACkAXAAiACwAMAAuADQAMQA3ADgALABcACIAQQBtAG0AbwBuAGkAdQBtACAAbgBpAHQAcgBhAHQAZQAgACgAQQBOACkAXAAiACwAMAAuADEANwAyADgALABcACIAUABvAHQAYQBzAHMAaQB1AG0AIABzAHUAbABwAGgAYQB0AGUAXAAiACwAMAAuADIANAAwADkANgA0ACwAXAAiAEQAbwB1AGIAbABlACAAcwB1AHAAZQByAHAAaABvAHMAcABoAGEAdABlAFwAIgAsADAALgAxACwAXAAiAE0AYQBnAG4AZQBzAGkAdQBtAFwAIgAsADAALgAwADEAMgAsAFwAIgBaAGkAbgBjAFwAIgAsADAALgAwADAAMwA2ACwAXAAiAEIAbwByAG8AbgBcACIALAAwAC4AMAAwADEALABcACIARwBsAGEAegBlACAARQB4AHQAZQBuAGQAIABHADMAIABGAGwAZQB4AGkAXAAiACwAMAAuADAANQAxADkALABcACIAXAAiACwAXAAiAFwAIgAsAFwAIgBcACIALABcACIAXAAiADsAXABuAFwAIgBJAG0AcABhAGMAdAAgAEYAZQByAHQAaQBsAGkAcwBlAHIAcwBcACIALABcACIAUwB1AGwAcABoAGEAdABlACAAbwBmACAAYQBtAG0AbwBuAGkAYQAgACgAUwBPAEEAKQ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NAG8AbgBvAC0AQQBtAG0AbwBuAGkAdQBtACAAUABoAG8AcwBwAGgAYQB0AGUAIAAoAE0AQQBQACkAXAAiACwAXAAiAGsAZwBcACIALAAxACwAXAAiAFwAIgAsAFwAIgBcACIALABcACIAXAAiACwAMQAwACwAMgAxAC4AOQAsAFwAIgBcACIALAAxAC4ANQ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VAHIAZQBhAFwAIgAsAFwAIgBrAGcAXAAiACwAMQAsAFwAIgBcACIALABcACIAXAAiACwAXAAiAFwAIgAsADQANgAsAFwAIgBcACIALABcACIAXAAiACwAXAAiAFwAIgAsAFwAIgBVAHIAZQBhAFwAIgAsADEALABcACIAXAAiACwAXAAiAFwAIgAsAFwAIgBcACIALABcACIAXAAiACwAXAAiAFwAIgAsAFwAIgBcACIALABcACIAXAAiACwAXAAiAFwAIgAsAFwAIgBcACIALABcACIAXAAiACwAXAAiAFwAIgAsAFwAIgBcACIALABcACIAXAAiACwAXAAiAFwAIgAsAFwAIgBcACIALABcACIAXAAiACwAXAAiAFwAIgAsAFwAIgBcACIAOwBcAG4AXAAiAEsAbwBjAGgAIABGAGUAcgB0AGkAbABpAHMAZQByACAAQQB1AHMAdAByAGEAbABpAGEAXAAiACwAXAAiAE0AdQByAGkAYQB0AGUAIABvAGYAIABwAG8AdABhAHMAaAAgACgATQBPAFAAKQBcACIALABcACIAawBnAFwAIgAsADEALABcACIAXAAiACwAXAAiAFwAIgAsAFwAIgBcACIALABcACIAXAAiACwAXAAiAFwAIgAsADUAMAAsAFwAIgBcACIALABcACIATQB1AHIAaQBhAHQAZQAgAG8AZgAgAHAAbwB0AGEAcwBoACAAKABNAE8AUAApAFwAIgAsADE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VQByAGUAYQAgAEEAbQBtAG8AbgBpAHUAbQAgAG4AaQB0AHIAYQB0AGUAIAAoAFUAQQBOACAAMwAyAC0AMAAtADAAKQBcACIALABcACIATABcACIALAAxAC4AMwAyACwAXAAiAFwAIgAsAFwAIgBDAGgAaQBuAGEAXAAiACwAXAAiAEMAaABpAG4AYQBcACIALAAzADIALABcACIAXAAiACwAXAAiAFwAIgAsAFwAIgBcACIALABcACIAVQByAGUAYQAtAGEAbQBtAG8AbgBpAHUAbQAgAG4AaQB0AHIAYQB0AGUAIAAoAFUAQQBOACkAXAAiACwAMQAsAFwAIgBcACIALABcACIAXAAiACwAXAAiAFwAIgAsAFwAIgBcACIALABcACIAXAAiACwAXAAiAFwAIgAsAFwAIgBcACIALABcACIAXAAiACwAXAAiAFwAIgAsAFwAIgBcACIALABcACIAXAAiACwAXAAiAFwAIgAsAFwAIgBcACIALABcACIAXAAiACwAXAAiAFwAIgAsAFwAIgBcACIALABcACIAXAAiACwAXAAiAFwAIgA7AFwAbgBcACIAUgBpAHMAcwBvAC0AQwBoAGUAbQBpAGMAYQBsAFwAIgAsAFwAIgBQAG8AbAB5AHAAZQBwAHQAaQBkAGUAIABVAHIAZQBhAFwAIgAsAFwAIgBrAGcAXAAiACwAMQAsAFwAIgBcACIALABcACIAQwBoAGkAbgBhAFwAIgAsAFwAIgBcACIALAA0ADYALABcACIAXAAiACwAXAAiAFwAIgAsAFwAIgBcACIALABcACIAVQByAGUAYQBcACIALAAxACwAXAAiAFAAbwBsAHkAcABlAHAAdABpAGQAZQAgACgAYQBtAGkAbgBvACAAYQBjAGkAZABzACkAXAAiACwAMA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QwBBAEwAQwBJAE4ASQBUAFwAIgAsAFwAIgBrAGcAXAAiACwAMQAsAFwAIgBcACIALABcACIAXAAiACwAXAAiAFwAIgAsADEANQAuADUALABcACIAXAAiACwAXAAiAFwAIgAsAFwAIgBcACIALABcACIAQwBhAGwAYwBpAHUAbQAgAG4AaQB0AHIAYQB0AGUAXAAiACwAMQAsAFwAIgBcACIALABcACIAXAAiACwAXAAiAFwAIgAsAFwAIgBcACIALABcACIAXAAiACwAXAAiAFwAIgAsAFwAIgBcACIALABcACIAXAAiACwAXAAiAFwAIgAsAFwAIgBcACIALABcACIAXAAiACwAXAAiAFwAIgAsAFwAIgBcACIALABcACIAXAAiACwAXAAiAFwAIgAsAFwAIgBcACIALABcACIAXAAiACwAXAAiAFwAIgA7AFwAbgBcACIAWQBhAHIAYQAgAEEAdQBzAHQAcgBhAGwAaQBhAFwAIgAsAFwAIgBZAGEAcgBhAEwAaQB2AGEAIABOAEkAVABSAEEAQgBPAFIAXAAiACwAXAAiAGsAZwBcACIALAAxACwAXAAiAFwAIgAsAFwAIgBcACIALABcACIAXAAiACwAMQA1AC4ANAAsAFwAIgBcACIALABcACIAXAAiACwAXAAiAFwAIgAsAFwAIgBDAGEAbABjAGkAdQBtACAAbgBpAHQAcgBhAHQAZQBcACIALAAwAC4AOQA5ADMANQA0ADgALABcACIAQgBvAHIAbwBuAFwAIgAsADAALgAwADAAMw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NAGkAbABhACAAQwBPAE0AUABMAEUAWABcACIALABcACIAawBnAFwAIgAsADEALABcACIAXAAiACwAXAAiAFwAIgAsAFwAIgBcACIALAAxADIALAA1ACwAMQA1ACwAOAAsAFwAIgBOAGkAdAByAG8AZwBlAG4AIAAtACAATgBpAHQAcgBhAHQAZQBcACIALAAwAC4AMAA1ACwAXAAiAE4AaQB0AHIAbwBnAGUAbgAgAC0AIABBAG0AbQBvAG4AaQBhAGMAYQBsAFwAIgAsADAALgAwADcALABcACIAUABoAG8AcwBwAGgAbwByAHUAcwAgAC0AIABHAGUAbgBlAHIAaQBjAFwAIgAsADAALgAwADUALABcACIAUABvAHQAYQBzAHMAaQB1AG0AIAAtACAARwBlAG4AZQByAGkAYwBcACIALAAwAC4AMQA1ACwAXAAiAFMAdQBsAGYAdQByACAALQAgAEcAZQBuAGUAcgBpAGMAXAAiACwAMAAuADAAOAAsAFwAIgBNAGEAZwBuAGUAcwBpAHUAbQBcACIALAAwAC4AMAAxADYALABcACIAWgBpAG4AYwBcACIALAAwAC4AMAAwADAAMgAsAFwAIgBCAG8AcgBvAG4AXAAiACwAMAAuADAAMAAwADEANQAsAFwAIgBcACIALABcACIAXAAiACwAXAAiAFwAIgAsAFwAIgBcACIAOwBcAG4AXAAiAFkAYQByAGEAIABBAHUAcwB0AHIAYQBsAGkAYQBcACIALABcACIAWQBhAHIAYQBSAGUAZwBhACAAOQAtADAALQAzADAAIAAoADEANAApAFwAIgAsAFwAIgBrAGcAXAAiACwAMQAsAFwAIgBcACIALABcACIAXAAiACwAXAAiAFwAIgAsADkALABcACIAXAAiACwAMwAwACwAMQA0ACwAXAAiAFAAbwB0AGEAcwBzAGkAdQBtACAALQAgAEcAZQBuAGUAcgBpAGMAXAAiACwAMAAuADMALABcACIAUwB1AGwAZgB1AHIAIAAtACAARwBlAG4AZQByAGkAYwBcACIALAAwAC4AMQA0ACwAXAAiAE4AaQB0AHIAbwBnAGUAbgAgAC0AIABOAGkAdAByAGEAdABlAFwAIgAsADAALgAwADQANQAsAFwAIgBOAGkAdAByAG8AZwBlAG4AIAAtACAAQQBtAG0AbwBuAGkAYQBjAGEAbABcACIALAAwAC4AMAA0ADUALABcACIAXAAiACwAXAAiAFwAIgAsAFwAIgBcACIALABcACIAXAAiACwAXAAiAFwAIgAsAFwAIgBcACIALABcACIAXAAiACwAXAAiAFwAIgAsAFwAIgBcACIALABcACIAXAAiACwAXAAiAFwAIgAsAFwAIgBcACIAOwBcAG4AXAAiAFkAYQByAGEAIABBAHUAcwB0AHIAYQBsAGkAYQBcACIALABcACIAWQBhAHIAYQBSAGUAZwBhACAAMQAzAC0AMgAtADIAMQBcACIALABcACIAawBnAFwAIgAsADEALABcACIAXAAiACwAXAAiAFwAIgAsAFwAIgBcACIALAAxADMALAAxAC4ANwA1ACwAMgAxACwAMQAwAC4AOAAsAFwAIgBQAG8AdABhAHMAcwBpAHUAbQAgAC0AIABHAGUAbgBlAHIAaQBjAFwAIgAsADAALgAyADEALABcACIAUwB1AGwAZgB1AHIAIAAtACAARwBlAG4AZQByAGkAYwBcACIALAAwAC4AMQAwADgALABcACIATgBpAHQAcgBvAGcAZQBuACAALQAgAEEAbQBtAG8AbgBpAGEAYwBhAGwAXAAiACwAMAAuADAANwA3ACwAXAAiAE4AaQB0AHIAbwBnAGUAbgAgAC0AIABOAGkAdAByAGEAdABlAFwAIgAsADAALgAwADUAMwAsAFwAIgBQAGgAbwBzAHAAaABvAHIAdQBzACAALQAgAEcAZQBuAGUAcgBpAGMAXAAiACwAMAAuADAAMQA3ADUALABcACIATQBhAGcAbgBlAHMAaQB1AG0AXAAiACwAMAAuADAAMAA0ACwAXAAiAFoAaQBuAGMAXAAiACwAMAAuADAAMAAwADgALABcACIAQgBvAHIAbwBuAFwAIgAsADAALgAwADAAMAA4ACwAXAAiAFwAIgAsAFwAIgBcACIALABcACIAXAAiACwAXAAiAFwAIgA7AFwAbgBcACIAWQBhAHIAYQAgAEEAdQBzAHQAcgBhAGwAaQBhAFwAIgAsAFwAIgBZAGEAcgBhAFIAZQBnAGEAIAAxADUALQA3AC0AMQAzACAAKAA3AFMAKQBcACIALABcACIAawBnAFwAIgAsADEALABcACIAXAAiACwAXAAiAFwAIgAsAFwAIgBcACIALAAxADUALAA2AC4ANQAsADEAMgAuADUALAA3AC4AMgAsAFwAIgBOAGkAdAByAG8AZwBlAG4AIAAtACAATgBpAHQAcgBhAHQAZQBcACIALAAwAC4AMAA5ADUALABcACIAUABvAHQAYQBzAHMAaQB1AG0AIAAtACAARwBlAG4AZQByAGkAYwBcACIALAAwAC4AMQAyADUALABcACIAUwB1AGwAZgB1AHIAIAAtACAARwBlAG4AZQByAGkAYwBcACIALAAwAC4AMAA3ADIALABcACIAUABoAG8AcwBwAGgAbwByAHUAcwAgAC0AIABHAGUAbgBlAHIAaQBjAFwAIgAsADAALgAwADYANQAsAFwAIgBOAGkAdAByAG8AZwBlAG4AIAAtACAAQQBtAG0AbwBuAGkAYQBjAGEAbABcACIALAAwAC4AMAA1ADUALABcACIATQBhAGcAbgBlAHMAaQB1AG0AXAAiACwAMAAuADAAMAA2ADYALABcACIAQgBvAHIAbwBuAFwAIgAsADAALgAwADAAMQAsAFwAIgBaAGkAbgBjAFwAIgAsADAALgAwADAAMAA2ACwAXAAiAFwAIgAsAFwAIgBcACIALABcACIAXAAiACwAXAAiAFwAIgA7AFwAbgBcACIAWQBhAHIAYQAgAEEAdQBzAHQAcgBhAGwAaQBhAFwAIgAsAFwAIgBZAGEAcgBhAFQAZQByAGEAIABDAEEATABDAEkATgBJAFQAIABCAFwAIgAsAFwAIgBrAGcAXAAiACwAMQAsAFwAIgBcACIALABcACIAXAAiACwAXAAiAFwAIgAsADEANQAuADUALABcACIAXAAiACwAXAAiAFwAIgAsAFwAIgBcACIALABcACIAQwBhAGwAYwBpAHUAbQAgAG4AaQB0AHIAYQB0AGUAXAAiACwAMQAsAFwAIgBCAG8AcgBvAG4AXAAiACwAMAAuADAAMAAxACwAXAAiAFwAIgAsAFwAIgBcACIALABcACIAXAAiACwAXAAiAFwAIgAsAFwAIgBcACIALABcACIAXAAiACwAXAAiAFwAIgAsAFwAIgBcACIALABcACIAXAAiACwAXAAiAFwAIgAsAFwAIgBcACIALABcACIAXAAiACwAXAAiAFwAIgAsAFwAIgBcACIALABcACIAXAAiACwAXAAiAFwAIgA7AFwAbgBcACIAWQBhAHIAYQAgAEEAdQBzAHQAcgBhAGwAaQBhAFwAIgAsAFwAIgBZAGEAcgBhAFQAZQByAGEAIABLAFIASQBTAFQAQQAgAE0AQQBQ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SwBSAEkAUwBUAEEATABPAE4AIABSAEUARABcACIALABcACIAawBnAFwAIgAsADEALABcACIAXAAiACwAXAAiAFwAIgAsAFwAIgBcACIALAAxADIALAA1AC4AMgAsADIAOQAuADkALAAxACwAXAAiAFAAbwB0AGEAcwBzAGkAdQBtACAALQAgAEcAZQBuAGUAcgBpAGMAXAAiACwAMAAuADIAOQA5ACwAXAAiAE4AaQB0AHIAbwBnAGUAbgAgAC0AIABOAGkAdAByAGEAdABlAFwAIgAsADAALgAxADAAMQAsAFwAIgBQAGgAbwBzAHAAaABvAHIAdQBzACAALQAgAEcAZQBuAGUAcgBpAGMAXAAiACwAMAAuADAANQAyACwAXAAiAE4AaQB0AHIAbwBnAGUAbgAgAC0AIABBAG0AbQBvAG4AaQBhAGMAYQBsAFwAIgAsADAALgAwADEAOQAsAFwAIgBTAHUAbABmAHUAcgAgAC0AIABHAGUAbgBlAHIAaQBjAFwAIgAsADAALgAwADEALABcACIATQBhAGcAbgBlAHMAaQB1AG0AXAAiACwAMAAuADAAMAA2ACwAXAAiAEkAcgBvAG4AXAAiACwAMAAuADAAMAAwADcALABcACIATQBhAG4AZwBhAG4AZQBzAGUAXAAiACwAMAAuADAAMAAwADQALABcACIAWgBpAG4AYwBcACIALAAwAC4AMAAwADAAMgA1ACwAXAAiAEIAbwByAG8AbgBcACIALAAwAC4AMAAwADAAMgA1ADsAXABuAFwAIgBZAGEAcgBhACAAQQB1AHMAdAByAGEAbABpAGEAXAAiACwAXAAiAFkAYQByAGEAVABlAHIAYQAgAEsAUgBJAFMAVABBAEwATwBOACAAUwBQAEUAQwBJAEEATABcACIALABcACIAawBnAFwAIgAsADEALABcACIAXAAiACwAXAAiAFwAIgAsAFwAIgBcACIALAAxADgALAA3AC4AOQAsADEANAAuADkALAAyACwAXAAiAFAAbwB0AGEAcwBzAGkAdQBtACAALQAgAEcAZQBuAGUAcgBpAGMAXAAiACwAMAAuADEANAA5ACwAXAAiAFUAcgBlAGEAXAAiACwAMAAuADIAMQAzADAANAAzACwAXAAiAFAAaABvAHMAcABoAG8AcgB1AHMAIAAtACAARwBlAG4AZQByAGkAYwBcACIALAAwAC4AMAA3ADkALABcACIATgBpAHQAcgBvAGcAZQBuACAALQAgAE4AaQB0AHIAYQB0AGUAXAAiACwAMAAuADAANAA5ACwAXAAiAE4AaQB0AHIAbwBnAGUAbgAgAC0AIABBAG0AbQBvAG4AaQBhAGMAYQBsAFwAIgAsADAALgAwADMAMwAsAFwAIgBTAHUAbABmAHUAcgAgAC0AIABHAGUAbgBlAHIAaQBjAFwAIgAsADAALgAwADIALABcACIATQBhAGcAbgBlAHMAaQB1AG0AXAAiACwAMAAuADAAMQA4ACwAXAAiAEkAcgBvAG4AXAAiACwAMAAuADAAMAAwADcALABcACIATQBhAG4AZwBhAG4AZQBzAGUAXAAiACwAMAAuADAAMAAwADQALABcACIAWgBpAG4AYwBcACIALAAwAC4AMAAwADAAMgA1AFwAbgAgACAAfQAsACAAcgAsACAAYwApAFwAbgAgACkAKQApAFwAbgBcAG4AXABuAEYAZQByAHQAaQBsAGkAcwBlAHIAXwBQAHIAbwBkAHUAYwB0AHMAXwBEAGEAdABhADMAXABuAD0ATABBAE0AQgBEAEEAKABcAG4AIABNAEEASwBFAEEAUgBSAEEAWQAoADMAMAAsACAAMwAxACwAXABuACAATABBAE0AQgBEAEEAKAByACwAYwAsAFwAbgAgACAASQBOAEQARQBYACgAewBcAG4AXAAiAFkAYQByAGEAIABBAHUAcwB0AHIAYQBsAGkAYQBcACIALABcACIAWQBhAHIAYQBNAGkAbABhACAAMgAxAC0ANwAtADMAKAA0ACkAXAAiACwAXAAiAGsAZwBcACIALAAxACwAXAAiAFwAIgAsAFwAIgBcACIALABcACIAXAAiACwAMgAxACwANwAuADQALAAyAC4ANQAsADQALABcACIATgBpAHQAcgBvAGcAZQBuACAALQAgAE4AaQB0AHIAYQB0AGUAXAAiACwAMAAuADEAMAA1ACwAXAAiAE4AaQB0AHIAbwBnAGUAbgAgAC0AIABBAG0AbQBvAG4AaQBhAGMAYQBsAFwAIgAsADAALgAxADAANQAsAFwAIgBQAGgAbwBzAHAAaABvAHIAdQBzACAALQAgAEcAZQBuAGUAcgBpAGMAXAAiACwAMAAuADAANwA0ACwAXAAiAFMAdQBsAGYAdQByACAALQAgAEcAZQBuAGUAcgBpAGMAXAAiACwAMAAuADAANAAsAFwAIgBQAG8AdABhAHMAcwBpAHUAbQAgAC0AIABHAGUAbgBlAHIAaQBjAFwAIgAsADAALgAwADIANQAsAFwAIgBNAGEAZwBuAGUAcwBpAHUAbQBcACIALAAwAC4AMAAwADQALABcACIAWgBpAG4AYwBcACIALAAwAC4AMAAwADEANQAsAFwAIgBcACIALABcACIAXAAiACwAXAAiAFwAIgAsAFwAIgBcACIALABcACIAXAAiACwAXAAiAFwAIgA7AFwAbgBcACIAWQBhAHIAYQAgAEEAdQBzAHQAcgBhAGwAaQBhAFwAIgAsAFwAIgBZAGEAcgBhAFQAZQByAGEAIABLAFIASQBTAFQAQQBMAE8ATgAgAFMAQwBBAFIATABFAFQAXAAiACwAXAAiAGsAZwBcACIALAAxACwAXAAiAFwAIgAsAFwAIgBcACIALABcACIAXAAiACwANwAuADUALABcACIAXAAiACwAMgA5AC4AOQAsADQALABcACIAUABvAHQAYQBzAHMAaQB1AG0AIAAtACAARwBlAG4AZQByAGkAYwBcACIALAAwAC4AMgA5ADkALABcACIATgBpAHQAcgBvAGcAZQBuACAALQAgAE4AaQB0AHIAYQB0AGUAXAAiACwAMAAuADAANQAyACwAXAAiAFMAdQBsAGYAdQByACAALQAgAEcAZQBuAGUAcgBpAGMAXAAiACwAMAAuADAANAAsAFwAIgBNAGEAZwBuAGUAcwBpAHUAbQBcACIALAAwAC4AMAAyADcALABcACIATgBpAHQAcgBvAGcAZQBuACAALQAgAEEAbQBtAG8AbgBpAGEAYwBhAGwAXAAiACwAMAAuADAAMgAzACwAXAAiAFwAIgAsAFwAIgBcACIALABcACIAXAAiACwAXAAiAFwAIgAsAFwAIgBcACIALABcACIAXAAiACwAXAAiAFwAIgAsAFwAIgBcACIALABcACIAXAAiACwAXAAiAFwAIgA7AFwAbgBcACIAQwBhAG0AcABiAGUAbABsAHMAIABmAGUAcgB0AGkAbABpAHMAZQByAHMAIABBAHUAcwB0AHIAYQBsAGkAYQBcACIALABcACIAUwBvAGwAdQAtAE0AQQBQ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MAbwBsAHUALQBTAGEAbQ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IAdQBzAHQAaQBjAGEAIABQAGwAdQBzAFwAIgAsAFwAIgBrAGcAXAAiACwAMQAsAFwAIgBcACIALABcACIAXAAiACwAXAAiAFwAIgAsADEAMgAsADUALAAxADQALAA5AC4ANwAsAFwAIgBQAG8AdABhAHMAcwBpAHUAbQAgAC0AIABHAGUAbgBlAHIAaQBjAFwAIgAsADAALgAxADQALABcACIAUwB1AGwAZgB1AHIAIAAtACAARwBlAG4AZQByAGkAYwBcACIALAAwAC4AMAA5ADcALABcACIATgBpAHQAcgBvAGcAZQBuACAALQAgAE4AaQB0AHIAYQB0AGUAXAAiACwAMAAuADAANgAsAFwAIgBOAGkAdAByAG8AZwBlAG4AIAAtACAAQQBtAG0AbwBuAGkAYQBjAGEAbABcACIALAAwAC4AMAA2ACwAXAAiAFAAaABvAHMAcABoAG8AcgB1AHMAIAAtACAARwBlAG4AZQByAGkAYwBcACIALAAwAC4AMAA1ACwAXAAiAEMAYQBsAGMAaQB1AG0AXAAiACwAMAAuADAAMwAxACwAXAAiAE0AYQBnAG4AZQBzAGkAdQBtAFwAIgAsADAALgAwADEAMgAsAFwAIgBaAGkAbgBjAFwAIgAsADAALgAwADAAMQAsAFwAIgBCAG8AcgBvAG4AXAAiACwAMAAuADAAMAAwADIALABcACIAXAAiACwAXAAiAFwAIgA7AFwAbgBcACIAQwBhAG0AcABiAGUAbABsAHMAIABmAGUAcgB0AGkAbABpAHMAZQByAHMAIABBAHUAcwB0AHIAYQBsAGkAYQBcACIALABcACIAUABsAGEAdABpAG4AdQBtACAAUABsAHUAcwBcACIALABcACIAawBnAFwAIgAsADEALABcACIAXAAiACwAXAAiAFwAIgAsAFwAIgBcACIALAAxADAALAAxADEALAAxADAALAA2ACwAXAAiAFAAaABvAHMAcABoAG8AcgB1AHMAIAAtACAARwBlAG4AZQByAGkAYwBcACIALAAwAC4AMQAxACwAXAAiAFAAbwB0AGEAcwBzAGkAdQBtACAALQAgAEcAZQBuAGUAcgBpAGMAXAAiACwAMAAuADEALABcACIAUwB1AGwAZgB1AHIAIAAtACAARwBlAG4AZQByAGkAYwBcACIALAAwAC4AMAA2ACwAXAAiAE4AaQB0AHIAbwBnAGUAbgAgAC0AIABOAGkAdAByAGEAdABlAFwAIgAsADAALgAwADUALABcACIATgBpAHQAcgBvAGcAZQBuACAALQAgAEEAbQBtAG8AbgBpAGEAYwBhAGwAXAAiACwAMAAuADAANQAsAFwAIgBDAGEAbABjAGkAdQBtAFwAIgAsADAALgAwADQAMwAsAFwAIgBNAGEAZwBuAGUAcwBpAHUAbQBcACIALAAwAC4AMAAxADIALABcACIAWgBpAG4AYwBcACIALAAwAC4AMAAwADMANgAsAFwAIgBCAG8AcgBvAG4AXAAiACwAMAAuADAAMAAxACwAXAAiAFwAIgAsAFwAIgBcACIAOwBcAG4AXAAiAEMAYQBtAHAAYgBlAGwAbABzACAAZgBlAHIAdABpAGwAaQBzAGUAcgBzACAAQQB1AHMAdAByAGEAbABpAGEAXAAiACwAXAAiAFQAcgBvAHAAaQBrAGEAXAAiACwAXAAiAGsAZwBcACIALAAxACwAXAAiAFwAIgAsAFwAIgBcACIALABcACIAXAAiACwAMQAxACwAMgAuADYALAAyADAALgA4ACwANAAsAFwAIgBOAGkAdAByAG8AZwBlAG4AIAAtACAATgBpAHQAcgBhAHQAZQBcACIALAAwAC4AMAA1ADUALABcACIATgBpAHQAcgBvAGcAZQBuACAALQAgAEEAbQBtAG8AbgBpAGEAYwBhAGwAXAAiACwAMAAuADAANQA1ACwAXAAiAFAAaABvAHMAcABoAG8AcgB1AHMAIAAtACAARwBlAG4AZQByAGkAYwBcACIALAAwAC4AMAAyADYALABcACIAUABvAHQAYQBzAHMAaQB1AG0AIAAtACAARwBlAG4AZQByAGkAYwBcACIALAAwAC4AMgAwADgALABcACIAUwB1AGwAZgB1AHIAIAAtACAARwBlAG4AZQByAGkAYwBcACIALAAwAC4AMAA0ACwAXAAiAE0AYQBnAG4AZQBzAGkAdQBtAFwAIgAsADAALgAwADIANAAsAFwAIgBcACIALABcACIAXAAiACwAXAAiAFwAIgAsAFwAIgBcACIALABcACIAXAAiACwAXAAiAFwAIgAsAFwAIgBcACIALABcACIAXAAiADsAXABuAFwAIgBDAGEAbQBwAGIAZQBsAGwAcwAgAGYAZQByAHQAaQBsAGkAcwBlAHIAcwAgAEEAdQBzAHQAcgBhAGwAaQBhAFwAIgAsAFwAIgBSAHUAcwB0AGkAYwBhACAATgBlAHIAZwBlAHQAaQBjAFwAIgAsAFwAIgBrAGcAXAAiACwAMQAsAFwAIgBcACIALABcACIAXAAiACwAXAAiAFwAIgAsADEAMgAsADUALgAyACwAMQA0AC4AMQAsADkALgA2ACwAXAAiAFAAbwB0AGEAcwBzAGkAdQBtACAALQAgAEcAZQBuAGUAcgBpAGMAXAAiACwAMAAuADEANAAxACwAXAAiAFMAdQBsAGYAdQByACAALQAgAEcAZQBuAGUAcgBpAGMAXAAiACwAMAAuADAAOQA2ACwAXAAiAE4AaQB0AHIAbwBnAGUAbgAgAC0AIABOAGkAdAByAGEAdABlAFwAIgAsADAALgAwADYALABcACIATgBpAHQAcgBvAGcAZQBuACAALQAgAEEAbQBtAG8AbgBpAGEAYwBhAGwAXAAiACwAMAAuADAANgAsAFwAIgBQAGgAbwBzAHAAaABvAHIAdQBzACAALQAgAEcAZQBuAGUAcgBpAGMAXAAiACwAMAAuADAANQAyACwAXAAiAE0AYQBnAG4AZQBzAGkAdQBtAFwAIgAsADAALgAwADEAMgAsAFwAIgBaAGkAbgBjAFwAIgAsADAALgAwADAAMAA4ACwAXAAiAEkAcgBvAG4AXAAiACwAMAAuADAAMAAwADcALABcACIATQBhAG4AZwBhAG4AZQBzAGUAXAAiACwAMAAuADAAMAAwADYALABcACIAQgBvAHIAbwBuAFwAIgAsADAALgAwADAAMAAyADsAXABuAFwAIgBDAGEAbQBwAGIAZQBsAGwAcwAgAGYAZQByAHQAaQBsAGkAcwBlAHIAcwAgAEEAdQBzAHQAcgBhAGwAaQBhAFwAIgAsAFwAIgBRAHUAaQBjAGsALQBOACAATgBlAHIAZwBlAHQAaQBjAFwAIgAsAFwAIgBrAGcAXAAiACwAMQAsAFwAIgBcACIALABcACIAXAAiACwAXAAiAFwAIgAsADIANQAsAFwAIgBcACIALABcACIAXAAiACwAMQAyAC4AOAAsAFwAIgBTAHUAbABwAGgAYQB0AGUAIABvAGYAIABhAG0AbQBvAG4AaQBhACAAKABTAE8AQQApAFwAIgAsADAALgA1ADMAMwAzADMAMwAsAFwAIgBBAG0AbQBvAG4AaQB1AG0AIABuAGkAdAByAGEAdABlACAAKABBAE4AKQBcACIALAAwAC4ANAAwADkANAA5ADYALABcACIAWgBpAG4AYwBcACIALAAwAC4AMAAwADEALABcACIATQBhAG4AZwBhAG4AZQBzAGUAXAAiACwAMAAuADAAMAAxACwAXAAiAEIAbwByAG8AbgBcACIALAAwAC4AMAAwADAAMQAsAFwAIgBNAG8AbAB5AGIAZABlAG4AdQBtAFwAIgAsADAALgAwADAAMAAwADEALABcACIAXAAiACwAXAAiAFwAIgAsAFwAIgBcACIALABcACIAXAAiACwAXAAiAFwAIgAsAFwAIgBcACIALABcACIAXAAiACwAXAAiAFwAIgA7AFwAbgBcACIARgBlAHIAdABQAHIAbwAgAE0AYQBuAHUAZgBhAGMAdAB1AHIAaQBuAGcAIABQAHQAeQAuACAATAB0AGQALgBcACIALABcACIAKABTAFMAUAApACAAUwBpAG4AZwBsAGUAIABTAHUAcABlAHIAIABGAGUAcgB0AGkAbABpAHMAZQByAFwAIgAsAFwAIgBrAGcAXAAiACwAMQAsAFwAIgBcACIALABcACIAXAAiACwAXAAiAFwAIgAsAFwAIgBcACIALAA4AC4AOAAsAFwAIgBcACIALAAxADEALABcACIAUwBpAG4AZwBsAGUAIABzAHUAcABlAHIAcABoAG8AcwBwAGgAYQB0AGUAIAAoAFMAUwBQ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FoAaQBuAGMAUwB0AGEAcgBcACIALABcACIAawBnAFwAIgAsADEALABcACIAXAAiACwAXAAiAFwAIgAsAFwAIgBcACIALAAxADAALAAyADEALgA5ACwAMAAsADIALABcACIATQBvAG4AbwBhAG0AbQBvAG4AaQB1AG0AIABwAGgAbwBzAHAAaABhAHQAZQAgACgATQBBAFAAKQBcACIALAAxACwAXAAiAFoAaQBuAGMAXAAiACwAMAAuADAAMQAsAFwAIgBcACIALABcACIAXAAiACwAXAAiAFwAIgAsAFwAIgBcACIALABcACIAXAAiACwAXAAiAFwAIgAsAFwAIgBcACIALABcACIAXAAiACwAXAAiAFwAIgAsAFwAIgBcACIALABcACIAXAAiACwAXAAiAFwAIgAsAFwAIgBcACIALABcACIAXAAiACwAXAAiAFwAIgAsAFwAIgBcACIAOwBcAG4AXAAiAEIAYQBpAGwAZQB5AHMAIAAoAFMAaQBtAHAAbABvAHQAKQAgAFsAbABpAHMAdABlAGQAIABhAHMAIABJAG0AcABhAGMAdABdAFwAIgAsAFwAIgBBAHAAZQB4ACAARwBhAEkAWABlACAATABvAHcAIABQACAAMgAxAC0AMQAtADYAXAAiACwAXAAiAGsAZwBcACIALAAxACwAXAAiAFwAIgAsAFwAIgBcACIALABcACIAXAAiACwAMgAxACwAMAAuADgANgAsADUALgA4ACwANAAuADIALABcACIATgBpAHQAcgBvAGcAZQBuACAALQAgAEcAZQBuAGUAcgBpAGMAXAAiACwAMAAuADIAMQAsAFwAIgBQAG8AdABhAHMAcwBpAHUAbQAgAC0AIABHAGUAbgBlAHIAaQBjAFwAIgAsADAALgAwADUAOAAsAFwAIgBTAHUAbABmAHUAcgAgAC0AIABHAGUAbgBlAHIAaQBjAFwAIgAsADAALgAwADQAMgAsAFwAIgBQAGgAbwBzAHAAaABvAHIAdQBzACAALQAgAEcAZQBuAGUAcgBpAGMAXAAiACwAMAAuADAAMAA4ADYALABcACIAXAAiACwAXAAiAFwAIgAsAFwAIgBcACIALABcACIAXAAiACwAXAAiAFwAIgAsAFwAIgBcACIALABcACIAXAAiACwAXAAiAFwAIgAsAFwAIgBcACIALABcACIAXAAiACwAXAAiAFwAIgAsAFwAIgBcACIAOwBcAG4AXAAiAEkAbgBjAGkAdABlAGMAIABQAGkAdgBvAHQAIABGAGUAcgB0AGkAbABpAHMAZQByAHMAXAAiACwAXAAiAFMAdQBQAGUAcgBmAGUAYwB0AFwAIgAsAFwAIgBrAGcAXAAiACwAMQAsAFwAIgBcACIALABcACIAXAAiACwAXAAiAFwAIgAsAFwAIgBcACIALAA4AC4AOAAsAFwAIgBcACIALAAxADEALABcACIAUwBpAG4AZwBsAGUAIABzAHUAcABlAHIAcABoAG8AcwBwAGgAYQB0AGUAIAAoAFMAUwBQACk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AgAFsAbABpAHMAdABlAGQAIABhAHMAIABTAHUAbQBtAGkAdABdAFwAIgAsAFwAIgBCAGkAZwAgAE4AXAAiACwAXAAiAGsAZwBcACIALAAxACwAXAAiAFwAIgAsAFwAIgBcACIALABcACIAXAAiACwAOAAyAC4AMwA1ACwAXAAiAFwAIgAsAFwAIgBcACIALABcACIAXAAiACwAXAAiAEEAbQBtAG8AbgBpAGE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QBuAHQAZQBjACAAVQByAGUAYQBcACIALABcACIAawBnAFwAIgAsADEALABcACIAWQBlAHMAXAAiACwAXAAiAFwAIgAsAFwAIgBcACIALAA0ADYALABcACIAXAAiACwAXAAiAFwAIgAsAFwAIgBcACIALABcACIAVQByAGUAY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CAAKABvAHIAIABSAGEAdgBlAG4AcwBkAG8AdwBuACAALQAgAHMAZQBlACAAbgBvAHQAZQApAFwAIgAsAFwAIgBGAGwAZQB4AGkALQBOACAATgBJACAAbwBuAGwAeQBcACIALABcACIAawBnAFwAIgAsADEALABcACIAWQBlAHMAXAAiACwAXAAiAFwAIgAsAFwAIgBcACIALAA0ADUALgA1ADQALABcACIAXAAiACwAXAAiAFwAIgAsAFwAIgBcACIALABcACIAVQByAGUAYQBcACIALAAwAC4AOQA5ACwAXAAiAFUAcgBlAGEAcwBlAC8AbgBpAHQAcgBpAGYAaQBjAGEAdABpAG8AbgAgAGkAbgBoAGkAYgBpAHQAbwByAFwAIgAsADAALgAwADEALABcACIAXAAiACwAXAAiAFwAIgAsAFwAIgBcACIALABcACIAXAAiACwAXAAiAFwAIgAsAFwAIgBcACIALABcACIAXAAiACwAXAAiAFwAIgAsAFwAIgBcACIALABcACIAXAAiACwAXAAiAFwAIgAsAFwAIgBcACIALABcACIAXAAiACwAXAAiAFwAIgAsAFwAIgBcACIALABcACIAXAAiADsAXABuAFwAIgBOAHUAdAByAGkALQBUAGUAYwBoACAAUwBvAGwAdQB0AGkAbwBuAHMAIAAoAE4AVABTACkAXAAiACwAXAAiAE0AdQByAGkAYQB0AGUAIABPAGYAIABQAG8AdABhAHMAaAAgAE0ATwBQAFwAIgAsAFwAIgBrAGcAXAAiACwAMQAsAFwAIgBcACIALABcACIAXAAiACwAXAAiAFwAIgAsAFwAIgBcACIALABcACIAXAAiACwANQAwACwAXAAiAFwAIgAsAFwAIgBNAHUAcgBpAGEAdABlACAAbwBmACAAcABvAHQAYQBzAGgAIAAoAE0ATwBQACkAXAAiACwAMQAsAFwAIgBcACIALABcACIAXAAiACwAXAAiAFwAIgAsAFwAIgBcACIALABcACIAXAAiACwAXAAiAFwAIgAsAFwAIgBcACIALABcACIAXAAiACwAXAAiAFwAIgAsAFwAIgBcACIALABcACIAXAAiACwAXAAiAFwAIgAsAFwAIgBcACIALABcACIAXAAiACwAXAAiAFwAIgAsAFwAIgBcACIALABcACIAXAAiACwAXAAiAFwAIgA7AFwAbgBcACIATgB1AHQAdQByAGYAXAAiACwAXAAiAE0AQQBQACAATgBVAFQAVQBSAEYAXAAiACwAXAAiAGsAZwBcACIALAAxACwAXAAiAFwAIgAsAFwAIgBcACIALABcACIAXAAiACwAMQAwACwAMgAxAC4AOQAsAFwAIgBcACIALABcACIAXAAiACwAXAAiAE0AbwBuAG8AYQBtAG0AbwBuAGkAdQBtACAAcABoAG8AcwBwAGgAYQB0AGUAIAAoAE0AQQBQACkAXAAiACwAMQ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UQB1AGkAYwBrAC0ATgBcACIALABcACIAawBnAFwAIgAsADEALABcACIAXAAiACwAXAAiAFwAIgAsAFwAIgBcACIALAAyADYALABcACIAXAAiACwAXAAiAFwAIgAsADEAMwAsAFwAIgBTAHUAbABwAGgAYQB0AGUAIABvAGYAIABhAG0AbQBvAG4AaQBhACAAKABTAE8AQQApAFwAIgAsADAALgA1ADQAMQA2ADYANwAsAFwAIgBBAG0AbQBvAG4AaQB1AG0AIABuAGkAdAByAGEAdABlACAAKABBAE4AKQBcACIALAAwAC4ANAAzADMAOQA3ADYALABcACIAXAAiACwAXAAiAFwAIgAsAFwAIgBcACIALABcACIAXAAiACwAXAAiAFwAIgAsAFwAIgBcACIALABcACIAXAAiACwAXAAiAFwAIgAsAFwAIgBcACIALABcACIAXAAiACwAXAAiAFwAIgAsAFwAIgBcACIALABcACIAXAAiACwAXAAiAFwAIgAsAFwAIgBcACIALABcACIAXAAiADsAXABuAFwAIgBTAEwAVABFAEMAIABGAGUAcgB0AGkAbABpAHoAZQByAHMAXAAiACwAXAAiAFUAQQBTAFwAIgAsAFwAIgBMAFwAIgAsADEALgAyADMANQAsAFwAIgBcACIALABcACIAXAAiACwAXAAiAFwAIgAsADIANgAuADYALABcACIAXAAiACwAXAAiAFwAIgAsADYALgA3ACwAXAAiAFUAcgBlAGEAXAAiACwAMAAuADQANQAwADgAMQA1ACwAXAAiAFMAdQBsAHAAaABhAHQAZQAgAG8AZgAgAGEAbQBtAG8AbgBpAGEAIAAoAFMATwBBACkAXAAiACwAMAAuADIANwA5ADEANgA3ACwAXAAiAFwAIgAsAFwAIgBcACIALABcACIAXAAiACwAXAAiAFwAIgAsAFwAIgBcACIALABcACIAXAAiACwAXAAiAFwAIgAsAFwAIgBcACIALABcACIAXAAiACwAXAAiAFwAIgAsAFwAIgBcACIALABcACIAXAAiACwAXAAiAFwAIgAsAFwAIgBcACIALABcACIAXAAiACwAXAAiAFwAIgA7AFwAbgBcACIAUwBMAFQARQBDACAARgBlAHIAdABpAGwAaQB6AGUAcgBzAFwAIgAsAFwAIgBUAHIAaQBhAHoAbwBuAGUAIABVAHIAZQBhAFwAIgAsAFwAIgBMAFwAIgAsADEALgAyADgALABcACIAXAAiACwAXAAiAFwAIgAsAFwAIgBcACIALAAwACwAXAAiAFwAIgAsAFwAIgBcACIALABcACIAXAAiACwAXAAiAFUAcgBlAGEAXAAiACwAMAAuADYANQAyADEANwA0ACwAXAAiAFwAIgAsAFwAIgBcACIALABcACIAXAAiACwAXAAiAFwAIgAsAFwAIgBcACIALABcACIAXAAiACwAXAAiAFwAIgAsAFwAIgBcACIALABcACIAXAAiACwAXAAiAFwAIgAsAFwAIgBcACIALABcACIAXAAiACwAXAAiAFwAIgAsAFwAIgBcACIALABcACIAXAAiACwAXAAiAFwAIgAsAFwAIgBcACIALABcACIAXAAiADsAXABuAFwAIgBNAGEAcgBuAGMAbwAgAFsAbABpAHMAdABlAGQAIABhAHMAIABTAEwAVABFAEMAXQBcACIALABcACIAQQBtAG0AbwAgADMANgBOAFwAIgAsAFwAIgBrAGcAXAAiACwAMQAsAFwAIgBcACIALABcACIAXAAiACwAXAAiAFwAIgAsADMANgAsAFwAIgBcACIALABcACIAXAAiACwAOQAuADYALABcACIATgBpAHQAcgBvAGcAZQBuACAALQAgAEcAZQBuAGUAcgBpAGMAXAAiACwAMAAuADMANgAsAFwAIgBTAHUAbABmAHUAcgAgAC0AIABHAGUAbgBlAHIAaQBjAFwAIgAsADAALgAwADkANgAsAFwAIgBcACIALABcACIAXAAiACwAXAAiAFwAIgAsAFwAIgBcACIALABcACIAXAAiACwAXAAiAFwAIgAsAFwAIgBcACIALABcACIAXAAiACwAXAAiAFwAIgAsAFwAIgBcACIALABcACIAXAAiACwAXAAiAFwAIgAsAFwAIgBcACIALABcACIAXAAiACwAXAAiAFwAIgAsAFwAIgBcACIAOwBcAG4AXAAiAFIAaQBzAHMAbwAtAEMAaABlAG0AaQBjAGEAbABcACIALABcACIAUgBpAHMAcwBvACAATABpAHEAdQBpAGQAIABOAFAASwAgACgAMgAwADAALQAyADAAMAAtADIAMAAwACkAXAAiACwAXAAiAEwAXAAiACwAMQAuADMALABcACIAXAAiACwAXAAiAFwAIgAsAFwAIgBcACIALAAyADAALAA4AC4ANwAzACwAMQA2AC4ANgAsAFwAIgBcACIALABcACIATgBpAHQAcgBvAGcAZQBuACAALQAgAEcAZQBuAGUAcgBpAGMAXAAiACwAMAAuADIALABcACIAUABoAG8AcwBwAGgAbwByAHUAcwAgAC0AIABHAGUAbgBlAHIAaQBjAFwAIgAsADAALgAwADgANwAyADgALABcACIAUABvAHQAYQBzAHMAaQB1AG0AIAAtACAARwBlAG4AZQByAGkAYwBcACIALAAwAC4AMQA2ADYAMAAyACwAXAAiAFwAIgAsAFwAIgBcACIALABcACIAXAAiACwAXAAiAFwAIgAsAFwAIgBcACIALABcACIAXAAiACwAXAAiAFwAIgAsAFwAIgBcACIALABcACIAXAAiACwAXAAiAFwAIgAsAFwAIgBcACIALABcACIAXAAiACwAXAAiAFwAIgAsAFwAIgBcACIAOwBcAG4AXAAiAFQAdQByAGYAIABHAHIAbwB1AHAAIABBAHUAcwB0AHIAYQBsAGkAYQAgACgAUwBpAG0AcABsAG8AdAApAFwAIgAsAFwAIgBTAHUAcABlAHIAIABDAGEAbAAgADEANQAtADAALQAxADIAXAAiACwAXAAiAGsAZwBcACIALAAxACwAXAAiAFwAIgAsAFwAIgBcACIALABcACIAXAAiACwAMQA1ACwAXAAiAFwAIgAsADkALgA5ADYALABcACIAXAAiACwAXAAiAE4AaQB0AHIAbwBnAGUAbgAgAC0AIABOAGkAdAByAGEAdABlAFwAIgAsADAALgAwADgANAA3ADMANwAsAFwAIgBQAG8AdABhAHMAcwBpAHUAbQAgAC0AIABHAGUAbgBlAHIAaQBjAFwAIgAsADAALgAwADkAOQA2ADEAMgAsAFwAIgBDAGEAbABjAGkAdQBtACAAbgBpAHQAcgBhAHQAZQBcACIALAAwAC4ANAAyADEAMAA1ADMALABcACIATQBhAGcAbgBlAHMAaQB1AG0AXAAiACwAMAAuADAAMAA1ACwAXAAiAEIAbwByAG8AbgBcACIALAAwAC4AMAAwADAAMgAsAFwAIgBcACIALABcACIAXAAiACwAXAAiAFwAIgAsAFwAIgBcACIALABcACIAXAAiACwAXAAiAFwAIgAsAFwAIgBcACIALABcACIAXAAiACwAXAAiAFwAIgAsAFwAIgBcACIAOwBcAG4AXAAiAEkAbgBjAGkAdABlAGMAIABQAGkAdgBvAHQAIABGAGUAcgB0AGkAbABpAHMAZQByAHMAXAAiACwAXAAiAEMASwAgADgAOABcACIALABcACIAawBnAFwAIgAsADEALABcACIAXAAiACwAXAAiAFwAIgAsAFwAIgBcACIALAAxADUALgAxACwANAAuADQALAAxADEALgA1ACwAMQAzAC4ANgAsAFwAIgBOAGkAdAByAG8AZwBlAG4AIAAtACAARwBlAG4AZQByAGkAYwBcACIALAAwAC4AMQA1ADEALABcACIAUABoAG8AcwBwAGgAbwByAHUAcwAgAC0AIABHAGUAbgBlAHIAaQBjAFwAIgAsADAALgAwADQANAAsAFwAIgBQAG8AdABhAHMAcwBpAHUAbQAgAC0AIABHAGUAbgBlAHIAaQBjAFwAIgAsADAALgAxADEANQAsAFwAIgBTAHUAbABmAHUAcgAgAC0AIABHAGUAbgBlAHIAaQBjAFwAIgAsADAALgAxADMANgAsAFwAIgBcACIALABcACIAXAAiACwAXAAiAFwAIgAsAFwAIgBcACIALABcACIAXAAiACwAXAAiAFwAIgAsAFwAIgBcACIALABcACIAXAAiACwAXAAiAFwAIgAsAFwAIgBcACIALABcACIAXAAiACwAXAAiAFwAIgA7AFwAbgBcACIASQBuAGMAaQB0AGUAYwAgAFAAaQB2AG8AdAAgAEYAZQByAHQAaQBsAGkAcwBlAHIAcwBcACIALABcACIAQwByAG8AcABMAGkAZgB0ACAAMQA1AFwAIgAsAFwAIgBrAGcAXAAiACwAMQAsAFwAIgBcACIALABcACIAXAAiACwAXAAiAFwAIgAsADEANAAuADYALAAxADIALgAxACwAXAAiAFwAIgAsADEAMQAuADYALABcACIATgBpAHQAcgBvAGcAZQBuACAALQAgAEcAZQBuAGUAcgBpAGMAXAAiACwAMAAuADEANAA2ACwAXAAiAFAAaABvAHMAcABoAG8AcgB1AHMAIAAtACAARwBlAG4AZQByAGkAYwBcACIALAAwAC4AMQAyADEALABcACIAUwB1AGwAZgB1AHIAIAAtACAARwBlAG4AZQByAGkAYwBcACIALAAwAC4AMQAxADY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TgBQAEsAUwAgADEAOQAtADEAMwAtADAALQA5AFwAIgAsAFwAIgBrAGcAXAAiACwAMQAsAFwAIgBcACIALABcACIAXAAiACwAXAAiAFwAIgAsADEAOQAsADEAMwAsADAALAA5ACwAXAAiAE4AaQB0AHIAbwBnAGUAbgAgAC0AIABHAGUAbgBlAHIAaQBjAFwAIgAsADAALgAxADkALABcACIAUABoAG8AcwBwAGgAbwByAHUAcwAgAC0AIABHAGUAbgBlAHIAaQBjAFwAIgAsADAALgAxADMALABcACIAUwB1AGwAZgB1AHIAIAAtACAARwBlAG4AZQByAGkAYwBcACIALAAwAC4AMAA5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FAAYQBzAHQAdQByAGUAQgBvAG8AcwB0AGEAXAAiACwAXAAiAGsAZwBcACIALAAxACwAXAAiAFwAIgAsAFwAIgBcACIALABcACIAXAAiACwAMgAzAC4AOAAsADMALgA3ACwAMQAzACwANAAuADEALABcACIATgBpAHQAcgBvAGcAZQBuACAALQAgAEcAZQBuAGUAcgBpAGMAXAAiACwAMAAuADIAMwA4ACwAXAAiAFAAaABvAHMAcABoAG8AcgB1AHMAIAAtACAARwBlAG4AZQByAGkAYwBcACIALAAwAC4AMAAzADcALABcACIAUABvAHQAYQBzAHMAaQB1AG0AIAAtACAARwBlAG4AZQByAGkAYwBcACIALAAwAC4AMQAzACwAXAAiAFMAdQBsAGYAdQByACAALQAgAEcAZQBuAGUAcgBpAGMAXAAiACwAMAAuADAANAAxACwAXAAiAFwAIgAsAFwAIgBcACIALABcACIAXAAiACwAXAAiAFwAIgAsAFwAIgBcACIALABcACIAXAAiACwAXAAiAFwAIgAsAFwAIgBcACIALABcACIAXAAiACwAXAAiAFwAIgAsAFwAIgBcACIALABcACIAXAAiADsAXABuAFwAIgBJAG4AYwBpAHQAZQBjACAAUABpAHYAbwB0ACAARgBlAHIAdABpAGwAaQBzAGUAcgBzAFwAIgAsAFwAIgBHAHIAZQBlAG4AdABvAHAAIABLAFwAIgAsAFwAIgBrAGcAXAAiACwAMQAsAFwAIgBcACIALABcACIAXAAiACwAXAAiAFwAIgAsADMAMgAuADgALABcACIAXAAiACwAMQAxACwAMgAuADkALABcACIAVQByAGUAYQBcACIALAAwAC4ANgA2ADAAOAA3ACwAXAAiAE4AaQB0AHIAbwBnAGUAbgAgAC0AIABBAG0AbQBvAG4AaQBhAGMAYQBsAFwAIgAsADAALgAwADIANAAsAFwAIgBQAG8AdABhAHMAcwBpAHUAbQAgAC0AIABHAGUAbgBlAHIAaQBjAFwAIgAsADAALgAxADEALABcACIAUwB1AGwAZgB1AHIAIAAtACAARwBlAG4AZQByAGkAYwBcACIALAAwAC4AMAAyADkALABcACIAXAAiACwAXAAiAFwAIgAsAFwAIgBcACIALABcACIAXAAiACwAXAAiAFwAIgAsAFwAIgBcACIALABcACIAXAAiACwAXAAiAFwAIgAsAFwAIgBcACIALABcACIAXAAiACwAXAAiAFwAIgAsAFwAIgBcACIAOwBcAG4AXAAiAEkAbgBjAGkAdABlAGMAIABQAGkAdgBvAHQAIABGAGUAcgB0AGkAbABpAHMAZQByAHMAXAAiACwAXAAiAEgAYQB5AEIAbwBvAHMAdABhAFwAIgAsAFwAIgBrAGcAXAAiACwAMQAsAFwAIgBcACIALABcACIAXAAiACwAXAAiAFwAIgAsADEAMQAuADcALAA0AC4ANwAsADIAMwAuADkALAA0AC4ANgAsAFwAIgBOAGkAdAByAG8AZwBlAG4AIAAtACAARwBlAG4AZQByAGkAYwBcACIALAAwAC4AMQAxADcALABcACIAUABoAG8AcwBwAGgAbwByAHUAcwAgAC0AIABHAGUAbgBlAHIAaQBjAFwAIgAsADAALgAwADQANwAsAFwAIgBQAG8AdABhAHMAcwBpAHUAbQAgAC0AIABHAGUAbgBlAHIAaQBjAFwAIgAsADAALgAyADMAOQAsAFwAIgBTAHUAbABmAHUAcgAgAC0AIABHAGUAbgBlAHIAaQBjAFwAIgAsADAALgAwADQAN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0AFwAbgA9AEwAQQBNAEIARABBACgAXABuACAATQBBAEsARQBBAFIAUgBBAFkAKAAzADAALAAgADMAMQAsAFwAbgAgAEwAQQBNAEIARABBACgAcgAsAGMALABcAG4AIAAgAEkATgBEAEUAWAAoAHsAXABuAFwAIgBJAG0AcABhAGMAdAAgAEYAZQByAHQAaQBsAGkAcwBlAHIAcwBcACIALABcACIASQBtAHAAYQBjAHQAIABTAHUAcABlAHIAIABQAG8AdABhAHMAaAAgADEAXAB1ADAAMAAyADYAMQBcACIALABcACIAawBnAFwAIgAsADEALABcACIAXAAiACwAXAAiAFwAIgAsAFwAIgBcACIALABcACIAXAAiACwANAAuADQALAAyADUALAA1AC4ANQAsAFwAIgBTAGkAbgBnAGwAZQAgAHMAdQBwAGUAcgBwAGgAbwBzAHAAaABhAHQAZQAgACgAUwBTAFAAKQBcACIALAAwAC4ANQAsAFwAIgBNAHUAcgBpAGEAdABlACAAbwBmACAAcABvAHQAYQBzAGgAIAAoAE0ATwBQACkAXAAiACwAMAAuADU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IAXAB1ADAAMAAyADYAMQBcACIALABcACIAawBnAFwAIgAsADEALABcACIAXAAiACwAXAAiAFwAIgAsAFwAIgBcACIALABcACIAXAAiACwANQAuADgANAAsADEANgAuADgALAA3AC4AMgA5ACwAXAAiAFMAaQBuAGcAbABlACAAcwB1AHAAZQByAHAAaABvAHMAcABoAGEAdABlACAAKABTAFMAUAApAFwAIgAsADAALgA2ADYAMwAxADUAOAAsAFwAIgBNAHUAcgBpAGEAdABlACAAbwBmACAAcABvAHQAYQBzAGgAIAAoAE0ATwBQACkAXAAiACwAMAAuADMAMwA2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zAFwAdQAwADAAMgA2ADEAXAAiACwAXAAiAGsAZwBcACIALAAxACwAXAAiAFwAIgAsAFwAIgBcACIALABcACIAXAAiACwAXAAiAFwAIgAsADYALgA1ADgALAAxADIALgA1ACwAOAAuADIAMgAsAFwAIgBTAGkAbgBnAGwAZQAgAHMAdQBwAGUAcgBwAGgAbwBzAHAAaABhAHQAZQAgACgAUwBTAFAAKQBcACIALAAwAC4ANwA0ADcAMwA2ADgALABcACIATQB1AHIAaQBhAHQAZQAgAG8AZgAgAHAAbwB0AGEAcwBoACAAKABNAE8AUAApAFwAIgAsADAALgAyADU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QAXAB1ADAAMAAyADYAMQBcACIALABcACIAawBnAFwAIgAsADEALABcACIAXAAiACwAXAAiAFwAIgAsAFwAIgBcACIALABcACIAXAAiACwANwAuADAANAAsADEAMAAsADgALgA4ACwAXAAiAFMAaQBuAGcAbABlACAAcwB1AHAAZQByAHAAaABvAHMAcABoAGEAdABlACAAKABTAFMAUAApAFwAIgAsADAALgA4ACwAXAAiAE0AdQByAGkAYQB0AGUAIABvAGYAIABwAG8AdABhAHMAaAAgACgATQBPAFAAKQBcACIALAAwAC4AM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NQBcAHUAMAAwADIANgAxAFwAIgAsAFwAIgBrAGcAXAAiACwAMQAsAFwAIgBcACIALABcACIAXAAiACwAXAAiAFwAIgAsAFwAIgBcACIALAA3AC4AMwAyACwAOAAuADQALAA5AC4AMQA1ACwAXAAiAFMAaQBuAGcAbABlACAAcwB1AHAAZQByAHAAaABvAHMAcABoAGEAdABlACAAKABTAFMAUAApAFwAIgAsADAALgA4ADMAMQA1ADcAOQAsAFwAIgBNAHUAcgBpAGEAdABlACAAbwBmACAAcABvAHQAYQBzAGgAIAAoAE0ATwBQACkAXAAiACwAMAAuADEANgA4ACwAXAAiAFwAIgAsAFwAIgBcACIALABcACIAXAAiACwAXAAiAFwAIgAsAFwAIgBcACIALABcACIAXAAi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FwAIgAsAFwAIgBrAGcAXAAiACwAMQAsAFwAIgBcACIALABcACIAXAAiACwAXAAiAFwAIgAsADIAMwAuADkALABcACIAXAAiACwAXAAiAFwAIgAsADEAMAAuADgALABcACIATgBpAHQAcgBvAGcAZQBuACAALQAgAE4AaQB0AHIAYQB0AGUAXAAiACwAMAAuADAANwA0ACwAXAAiAE4AaQB0AHIAbwBnAGUAbgAgAC0AIABBAG0AbQBvAG4AaQBhAGMAYQBsAFwAIgAsADAALgAxADYANQAsAFwAIgBTAHUAbABmAHUAcgAgAC0AIABHAGUAbgBlAHIAaQBjAFwAIgAsADAALgAxADAAOAAsAFwAIgBDAGEAbABjAGkAdQBtAFwAIgAsADAALgAwADQANAAsAFwAIgBcACIALABcACIAXAAi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NQAwAC8ANQAwAFwAIgAsAFwAIgBrAGcAXAAiACwAMQAsAFwAIgBcACIALABcACIAXAAiACwAXAAiAFwAIgAsADEANwAuADkALABcACIAXAAiACwAMQA1ACwAMwAuADYALABcACIATgBpAHQAcgBvAGcAZQBuACAALQAgAE4AaQB0AHIAYQB0AGUAXAAiACwAMAAuADAANQA1ACwAXAAiAE4AaQB0AHIAbwBnAGUAbgAgAC0AIABBAG0AbQBvAG4AaQBhAGMAYQBsAFwAIgAsADAALgAxADIANAAsAFwAIgBQAG8AdABhAHMAcwBpAHUAbQAgAC0AIABHAGUAbgBlAHIAaQBjAFwAIgAsADAALgAxADUALABcACIAUwB1AGwAZgB1AHIAIAAtACAARwBlAG4AZQByAGkAYwBcACIALAAwAC4AMAAzADYALABcACIAQwBhAGwAYwBpAHUAbQBcACIALAAwAC4AMAA0ADQALABcACIAXAAiACwAXAAiAFwAIgAsAFwAIgBcACIALABcACIAXAAiACwAXAAiAFwAIgAsAFwAIgBcACIALABcACIAXAAiACwAXAAiAFwAIgAsAFwAIgBcACIALABcACIAXAAiADsAXABuAFwAIgBQAGEAYwBpAGYAaQBjACAARgBlAHIAdABpAGwAaQBzAGUAcgAgAC8AIABJAG4AYwBpAHQAZQBjACAAUABpAHYAbwB0ACAARgBlAHIAdABpAGwAaQBzAGUAcgBzAFwAIgAsAFwAIgBDAGEAbAAtAEcAcgBhAG4AIAA1ADAALwA1ADAAIAAoAFMAKQBcACIALABcACIAawBnAFwAIgAsADEALABcACIAXAAiACwAXAAiAFwAIgAsAFwAIgBcACIALAAxADYALgA5ACwAXAAiAFwAIgAsADEANAAuADQALAA4AC4ANwAsAFwAIgBOAGkAdAByAG8AZwBlAG4AIAAtACAATgBpAHQAcgBhAHQAZQBcACIALAAwAC4AMAA1ADIALABcACIATgBpAHQAcgBvAGcAZQBuACAALQAgAEEAbQBtAG8AbgBpAGEAYwBhAGwAXAAiACwAMAAuADEAMQA3ACwAXAAiAFAAbwB0AGEAcwBzAGkAdQBtACAALQAgAEcAZQBuAGUAcgBpAGMAXAAiACwAMAAuADEANAA0ACwAXAAiAFMAdQBsAGYAdQByACAALQAgAEcAZQBuAGUAcgBpAGMAXAAiACwAMAAuADAAOAA3ACwAXAAiAEMAYQBsAGMAaQB1AG0AXAAiACwAMAAuADAANAA0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MQAzADAAXAAiACwAXAAiAGsAZwBcACIALAAxACwAXAAiAFwAIgAsAFwAIgBcACIALABcACIAXAAiACwAMQA4AC4AOAAsADEALAAxADIALgA1ACwAMwAuADcALABcACIATgBpAHQAcgBvAGcAZQBuACAALQAgAE4AaQB0AHIAYQB0AGUAXAAiACwAMAAuADAANQA4ACwAXAAiAE4AaQB0AHIAbwBnAGUAbgAgAC0AIABBAG0AbQBvAG4AaQBhAGMAYQBsAFwAIgAsADAALgAxADMALABcACIAUABoAG8AcwBwAGgAbwByAHUAcwAgAC0AIABHAGUAbgBlAHIAaQBjAFwAIgAsADAALgAwADEALABcACIAUABvAHQAYQBzAHMAaQB1AG0AIAAtACAARwBlAG4AZQByAGkAYwBcACIALAAwAC4AMQAyADUALABcACIAUwB1AGwAZgB1AHIAIAAtACAARwBlAG4AZQByAGkAYwBcACIALAAwAC4AMAAzADcALABcACIAQwBhAGwAYwBpAHUAbQBcACIALAAwAC4AMAA0ADQ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MQA1ADAAXAAiACwAXAAiAGsAZwBcACIALAAxACwAXAAiAFwAIgAsAFwAIgBcACIALABcACIAXAAiACwAMQA4AC4ANgAsADMALAAxADIALgA1ACwAMQAuADQALABcACIATgBpAHQAcgBvAGcAZQBuACAALQAgAE4AaQB0AHIAYQB0AGUAXAAiACwAMAAuADAANQA4ACwAXAAiAE4AaQB0AHIAbwBnAGUAbgAgAC0AIABBAG0AbQBvAG4AaQBhAGMAYQBsAFwAIgAsADAALgAxADIAOAAsAFwAIgBQAGgAbwBzAHAAaABvAHIAdQBzACAALQAgAEcAZQBuAGUAcgBpAGMAXAAiACwAMAAuADAAMwAsAFwAIgBQAG8AdABhAHMAcwBpAHUAbQAgAC0AIABHAGUAbgBlAHIAaQBjAFwAIgAsADAALgAxADIANQAsAFwAIgBTAHUAbABmAHUAcgAgAC0AIABHAGUAbgBlAHIAaQBjAFwAIgAsADAALgAwADEANAAsAFwAIgBDAGEAbABjAGkAdQBtAFwAIgAsADAALgAwADQANAAsAFwAIgBcACIALABcACIAXAAiACwAXAAiAFwAIgAsAFwAIgBcACIALABcACIAXAAiACwAXAAiAFwAIgAsAFwAIgBcACIALABcACIAXAAiADsAXABuAFwAIgBQAGEAYwBpAGYAaQBjACAARgBlAHIAdABpAGwAaQBzAGUAcgAgAC8AIABJAG4AYwBpAHQAZQBjACAAUABpAHYAbwB0ACAARgBlAHIAdABpAGwAaQBzAGUAcgBzAFwAIgAsAFwAIgBDAGEAbAAtAEcAcgBhAG4AIABFAHgAdAByAGEAIABLAFwAIgAsAFwAIgBrAGcAXAAiACwAMQAsAFwAIgBcACIALABcACIAXAAiACwAXAAiAFwAIgAsADEANQAuADgALABcACIAXAAiACwAMQA5ACwAMwAuADIALABcACIATgBpAHQAcgBvAGcAZQBuACAALQAgAE4AaQB0AHIAYQB0AGUAXAAiACwAMAAuADAANAA5ACwAXAAiAE4AaQB0AHIAbwBnAGUAbgAgAC0AIABBAG0AbQBvAG4AaQBhAGMAYQBsAFwAIgAsADAALgAxADAAOQAsAFwAIgBQAG8AdABhAHMAcwBpAHUAbQAgAC0AIABHAGUAbgBlAHIAaQBjAFwAIgAsADAALgAxADkALABcACIAUwB1AGwAZgB1AHIAIAAtACAARwBlAG4AZQByAGkAYwBcACIALAAwAC4AMAAzADIALABcACIAQwBhAGwAYwBpAHUAbQBcACIALAAwAC4AMAAzADkALABcACIAXAAiACwAXAAiAFwAIgAsAFwAIgBcACIALABcACIAXAAiACwAXAAiAFwAIgAsAFwAIgBcACIALABcACIAXAAiACwAXAAiAFwAIgAsAFwAIgBcACIALABcACIAXAAiADsAXABuAFwAIgBJAG4AYwBpAHQAZQBjACAAUABpAHYAbwB0ACAARgBlAHIAdABpAGwAaQBzAGUAcgBzAFwAIgAsAFwAIgBEAGEAaQByAHkAIABQAHIAbwBcACIALABcACIAawBnAFwAIgAsADEALABcACIAXAAiACwAXAAiAFwAIgAsAFwAIgBcACIALAAyADUALgA5ACwAMwAuADkALAAxADUALgA5ACwAMAAuADMALABcACIATgBpAHQAcgBvAGcAZQBuACAALQAgAEcAZQBuAGUAcgBpAGMAXAAiACwAMAAuADIANQA5ACwAXAAiAFAAaABvAHMAcABoAG8AcgB1AHMAIAAtACAARwBlAG4AZQByAGkAYwBcACIALAAwAC4AMAAzADkALABcACIAUABvAHQAYQBzAHMAaQB1AG0AIAAtACAARwBlAG4AZQByAGkAYwBcACIALAAwAC4AMQA1ADkALABcACIAUwB1AGwAZgB1AHIAIAAtACAARwBlAG4AZQByAGkAYwBcACIALAAwAC4AMAAwADMALABcACIAXAAiACwAXAAiAFwAIgAsAFwAIgBcACIALABcACIAXAAiACwAXAAiAFwAIgAsAFwAIgBcACIALABcACIAXAAiACwAXAAiAFwAIgAsAFwAIgBcACIALABcACIAXAAiACwAXAAiAFwAIgAsAFwAIgBcACIAOwBcAG4AXAAiAFkAYQByAGEAIABBAHUAcwB0AHIAYQBsAGkAYQBcACIALABcACIAWQBhAHIAYQBNAGkAbABhACAAQQBDAFQAWQBWAEEAIABTAFwAIgAsAFwAIgBrAGcAXAAiACwAMQAsAFwAIgBcACIALABcACIAXAAiACwAXAAiAFwAIgAsADEANQAuADYALAA2AC4AMwA3ACwAMQAyAC4ANAA1ACwAMgAuADYALABcACIATgBpAHQAcgBvAGcAZQBuACAALQAgAE4AaQB0AHIAYQB0AGUAXAAiACwAMAAuADAANQA4ACwAXAAiAE4AaQB0AHIAbwBnAGUAbgAgAC0AIABBAG0AbQBvAG4AaQBhAGMAYQBsAFwAIgAsADAALgAwADkAOAAsAFwAIgBQAGgAbwBzAHAAaABvAHIAdQBzACAALQAgAEcAZQBuAGUAcgBpAGMAXAAiACwAMAAuADAANgAzADcAMQA0ACwAXAAiAFAAbwB0AGEAcwBzAGkAdQBtACAALQAgAEcAZQBuAGUAcgBpAGMAXAAiACwAMAAuADEAMgA0ADUAMQA1ACwAXAAiAFMAdQBsAGYAdQByACAALQAgAEcAZQBuAGUAcgBpAGMAXAAiACwAMAAuADAAMgA2ACwAXAAiAFwAIgAsAFwAIgBcACIALABcACIAXAAiACwAXAAiAFwAIgAsAFwAIgBcACIALABcACIAXAAiACwAXAAiAFwAIgAsAFwAIgBcACIALABcACIAXAAiACwAXAAiAFwAIgA7AFwAbgBcACIAQwBTAEIAUABcACIALABcACIAQQBnAGYAbABvAHcAIABFAHgAdAByAGEAXAAiACwAXAAiAGsAZwBcACIALAAxACwAXAAiAFwAIgAsAFwAIgBcACIALABcACIAXAAiACwAMQAxAC4AMQA1ACwAMQA3AC4ANQAyACwAXAAiAFwAIgAsADMALgA2ACwAXAAiAE0AbwBuAG8AYQBtAG0AbwBuAGkAdQBtACAAcABoAG8AcwBwAGgAYQB0AGUAIAAoAE0AQQBQACkAXAAiACwAMAAuADgALABcACIAUwB1AGwAcABoAGEAdABlACAAbwBmACAAYQBtAG0AbwBuAGkAYQAgACgAUwBPAEEAKQBcACIALAAwAC4AMQA1ACwAXAAiAEMAbwBwAHAAZQByAFwAIgAsAFwAIgBOAG8AIABkAGEAdABhAFwAIgAsAFwAIgBNAG8AbAB5AGIAZABlAG4AdQBtAFwAIgAsAFwAIgBOAG8AIABkAGEAdABhAFwAIgAsAFwAIgBaAGkAbgBjAFwAIgAsAFwAIgBOAG8AIABkAGEAdABhAFwAIgAsAFwAIgBcACIALABcACIAXAAiACwAXAAiAFwAIgAsAFwAIgBcACIALABcACIAXAAiACwAXAAiAFwAIgAsAFwAIgBcACIALABcACIAXAAiACwAXAAiAFwAIgAsAFwAIgBcACIAOwBcAG4AXAAiAEMAUwBCAFAAXAAiACwAXAAiAFMAdQBwAGUAcgAgAFwAdQAwADAAMgA2ACAAUABvAHQAYQBzAGgAIAAzADoAMQBcACIALABcACIAawBnAFwAIgAsADEALABcACIAXAAiACwAXAAiAFwAIgAsAFwAIgBcACIALABcACIAXAAiACwANQAuADUALAAxADUALAA2AC4AOAA4ACwAXAAiAFMAaQBuAGcAbABlACAAcwB1AHAAZQByAHAAaABvAHMAcABoAGEAdABlACAAKABTAFMAUAApAFwAIgAsADAALgA2ADIANQAsAFwAIgBNAHUAcgBpAGEAdABlACAAbwBmACAAcABvAHQAYQBzAGgAIAAoAE0ATwBQACkAXAAiACwAMAAuADMALABcACIAXAAiACwAXAAiAFwAIgAsAFwAIgBcACIALABcACIAXAAiACwAXAAiAFwAIgAsAFwAIgBcACIALABcACIAXAAiACwAXAAiAFwAIgAsAFwAIgBcACIALABcACIAXAAiACwAXAAiAFwAIgAsAFwAIgBcACIALABcACIAXAAiACwAXAAiAFwAIgAsAFwAIgBcACIALABcACIAXAAiADsAXABuAFwAIgBZAGEAcgBhAFwAIgAsAFwAIgBZAGEAcgBhAEIAZQBsAGEAIABDAEEATgAtADIANwBcACIALABcACIAawBnAFwAIgAsADEALABcACIAXAAiACwAXAAiAFwAIgAsAFwAIgBcACIALAAyADcALABcACIAXAAiACwAXAAiAFwAIgAsAFwAIgBcACIALABcACIAQwBhAGwAYwBpAHUAbQAgAGEAbQBtAG8AbgBpAHUAbQAgAG4AaQB0AHIAYQB0AGUAIAAoAEMAQQBOACk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QwBhAGwALQBHAHIAYQBuACAAQQBmAHQAZQByAGcAcgBhAHoAZQBcACIALABcACIAawBnAFwAIgAsADEALABcACIAXAAiACwAXAAiAFwAIgAsAFwAIgBcACIALAAyADAALgA2ACwAMwAsADcALgA1ACwAMwAuADgALABcACIATgBpAHQAcgBvAGcAZQBuACAALQAgAE4AaQB0AHIAYQB0AGUAXAAiACwAMAAuADAANgA0ACwAXAAiAE4AaQB0AHIAbwBnAGUAbgAgAC0AIABBAG0AbQBvAG4AaQBhAGMAYQBsAFwAIgAsADAALgAxADQAMgAsAFwAIgBQAGgAbwBzAHAAaABvAHIAdQBzACAALQAgAEcAZQBuAGUAcgBpAGMAXAAiACwAMAAuADAAMwAsAFwAIgBQAG8AdABhAHMAcwBpAHUAbQAgAC0AIABHAGUAbgBlAHIAaQBjAFwAIgAsADAALgAwADcANQAsAFwAIgBTAHUAbABmAHUAcgAgAC0AIABHAGUAbgBlAHIAaQBjAFwAIgAsADAALgAwADMAOAAsAFwAIgBDAGEAbABjAGkAdQBtAFwAIgAsADAALgAwADQANAAsAFwAIgBcACIALABcACIAXAAiACwAXAAiAFwAIgAsAFwAIgBcACIALABcACIAXAAiACwAXAAiAFwAIgAsAFwAIgBcACIALABcACIAXAAiADsAXABuAFwAIgBJAG4AYwBpAHQAZQBjACAAUABpAHYAbwB0ACAARgBlAHIAdABpAGwAaQBzAGUAcgBzAFwAIgAsAFwAIgBDAGEAbAAtAEcAcgBhAG4AIABQAHIAbwBkAHIAZQBzAHMAXAAiACwAXAAiAGsAZwBcACIALAAxACwAXAAiAFwAIgAsAFwAIgBcACIALABcACIAXAAiACwAMQA3AC4AOAAsADEALAAxADUALAAyAC4ANQAsAFwAIgBOAGkAdAByAG8AZwBlAG4AIAAtACAATgBpAHQAcgBhAHQAZQBcACIALAAwAC4AMAA1ADUALABcACIATgBpAHQAcgBvAGcAZQBuACAALQAgAEEAbQBtAG8AbgBpAGEAYwBhAGwAXAAiACwAMAAuADEAMgAzACwAXAAiAFAAaABvAHMAcABoAG8AcgB1AHMAIAAtACAARwBlAG4AZQByAGkAYwBcACIALAAwAC4AMAAxACwAXAAiAFAAbwB0AGEAcwBzAGkAdQBtACAALQAgAEcAZQBuAGUAcgBpAGMAXAAiACwAMAAuADEANQAsAFwAIgBTAHUAbABmAHUAcgAgAC0AIABHAGUAbgBlAHIAaQBjAFwAIgAsADAALgAwADIANQAsAFwAIgBDAGEAbABjAGkAdQBtAFwAIgAsADAALgAwADQANAAsAFwAIgBcACIALABcACIAXAAiACwAXAAiAFwAIgAsAFwAIgBcACIALABcACIAXAAiACwAXAAiAFwAIgAsAFwAIgBcACIALABcACIAXAAiADsAXABuAFwAIgBXAGUAbgBnAGYAdQAgAEEAdQBzAHQAcgBhAGwAaQBhAFwAIgAsAFwAIgBXAGUAbgBnAGYAdQAgAFAAcgBpAG0AZQBaAGkAbgBjACAAMQAwAFwAIgAsAFwAIgBrAGcAXAAiACwAMQAsAFwAIgBcACIALABcACIAXAAiACwAXAAiAFwAIgAsADEAMAAsADIAMgAsAFwAIgBcACIALAAxAC4ANQAsAFwAIgBOAGkAdAByAG8AZwBlAG4AIAAtACAARwBlAG4AZQByAGkAYwBcACIALAAwAC4AMQAsAFwAIgBQAGgAbwBzAHAAaABvAHIAdQBzACAALQAgAEcAZQBuAGUAcgBpAGMAXAAiACwAMAAuADIAMgAsAFwAIgBTAHUAbABmAHUAcgAgAC0AIABHAGUAbgBlAHIAaQBjAFwAIgAsADAALgAwADEANQAsAFwAIgBaAGkAbgBjAFwAIgAsADAALgAwADEALABcACIAXAAiACwAXAAiAFwAIgAsAFwAIgBcACIALABcACIAXAAiACwAXAAiAFwAIgAsAFwAIgBcACIALABcACIAXAAiACwAXAAiAFwAIgAsAFwAIgBcACIALABcACIAXAAiACwAXAAiAFwAIgAsAFwAIgBcACIAOwBcAG4AXAAiAFcAZQBuAGcAZgB1ACAAQQB1AHMAdAByAGEAbABpAGEAXAAiACwAXAAiAFcAZQBuAGcAZgB1ACAAUABhAHMAdAB1AHIAZQAgAEsAaQBuAGcAXAAiACwAXAAiAGsAZwBcACIALAAxACwAXAAiAFwAIgAsAFwAIgBcACIALABcACIAXAAiACwAXAAiAFwAIgAsADEANQAuADcALABcACIAXAAiACwANAAuADYALABcACIAUABoAG8AcwBwAGgAbwByAHUAcwAgAC0AIABHAGUAbgBlAHIAaQBjAFwAIgAsADAALgAxADUANwAsAFwAIgBTAHUAbABmAHUAcgAgAC0AIABHAGUAbgBlAHIAaQBjAFwAIgAsADAALgAwADQANgAsAFwAIgBDAGEAbABjAGkAdQBtAFwAIgAsADAALgAxADQALABcACIAXAAiACwAXAAiAFwAIgAsAFwAIgBcACIALABcACIAXAAiACwAXAAiAFwAIgAsAFwAIgBcACIALABcACIAXAAiACwAXAAiAFwAIgAsAFwAIgBcACIALABcACIAXAAiACwAXAAiAFwAIgAsAFwAIgBcACIALABcACIAXAAiACwAXAAiAFwAIgA7AFwAbgBcACIAVwBlAG4AZwBmAHUAIABBAHUAcwB0AHIAYQBsAGkAYQBcACIALABcACIAVwBlAG4AZwBmAHUAIABTAHUAUwB0AGEAaQBuAFwAIgAsAFwAIgBrAGcAXAAiACwAMQAsAFwAIgBcACIALABcACIAXAAiACwAXAAiAFwAIgAsAFwAIgBcACIALABcACIAXAAiACwAXAAiAFwAIgAsADkAMAAsAFwAIgBTAHUAbABmAHUAcgAgAC0AIABHAGUAbgBlAHIAaQBjAFwAIgAsADAALgA5ACwAXAAiAFwAIgAsAFwAIgBcACIALABcACIAXAAiACwAXAAiAFwAIgAsAFwAIgBcACIALABcACIAXAAiACwAXAAiAFwAIgAsAFwAIgBcACIALABcACIAXAAiACwAXAAiAFwAIgAsAFwAIgBcACIALABcACIAXAAiACwAXAAiAFwAIgAsAFwAIgBcACIALABcACIAXAAiACwAXAAiAFwAIgAsAFwAIgBcACIALABcACIAXAAiADsAXABuAFwAIgBXAGUAbgBnAGYAdQAgAEEAdQBzAHQAcgBhAGwAaQBhAFwAIgAsAFwAIgBXAGUAbgBnAGYAdQAgAFMAbABhAG0AXAAiACwAXAAiAGsAZwBcACIALAAxACwAXAAiAFwAIgAsAFwAIgBcACIALABcACIAXAAiACwAMQA5AC4ANQAsADAALgA3ACwAXAAiAFwAIgAsADIAMwAsAFwAIgBOAGkAdAByAG8AZwBlAG4AIAAtACAARwBlAG4AZQByAGkAYwBcACIALAAwAC4AMQA5ADUALABcACIAUABoAG8AcwBwAGgAbwByAHUAcwAgAC0AIABHAGUAbgBlAHIAaQBjAFwAIgAsADAALgAwADAANwAsAFwAIgBTAHUAbABmAHUAcgAgAC0AIABHAGUAbgBlAHIAaQBjAFwAIgAsADAALgAyADMALABcACIAXAAiACwAXAAiAFwAIgAsAFwAIgBcACIALABcACIAXAAiACwAXAAiAFwAIgAsAFwAIgBcACIALABcACIAXAAiACwAXAAiAFwAIgAsAFwAIgBcACIALABcACIAXAAiACwAXAAiAFwAIgAsAFwAIgBcACIALABcACIAXAAiACwAXAAiAFwAIgA7AFwAbgBcACIAVwBlAG4AZwBmAHUAIABBAHUAcwB0AHIAYQBsAGkAYQBcACIALABcACIAVwBlAG4AZwBmAHUAIABQAHIAaQBtAGUAIABNAFMAWgBcACIALABcACIAawBnAFwAIgAsADEALABcACIAXAAiACwAXAAiAFwAIgAsAFwAIgBcACIALAAxADAALAAxADgALABcACIAXAAiACwAOAAsAFwAIgBOAGkAdAByAG8AZwBlAG4AIAAtACAARwBlAG4AZQByAGkAYwBcACIALAAwAC4AMQAsAFwAIgBQAGgAbwBzAHAAaABvAHIAdQBzACAALQAgAEcAZQBuAGUAcgBpAGMAXAAiACwAMAAuADEAOAAsAFwAIgBTAHUAbABmAHUAcgAgAC0AIABHAGUAbgBlAHIAaQBjAFwAIgAsADAALgAwADgALABcACIAWgBpAG4AYwBcACIALAAwAC4AMAAwADUALABcACIAXAAiACwAXAAiAFwAIgAsAFwAIgBcACIALABcACIAXAAiACwAXAAiAFwAIgAsAFwAIgBcACIALABcACIAXAAiACwAXAAiAFwAIgAsAFwAIgBcACIALABcACIAXAAiACwAXAAiAFwAIgAsAFwAIgBcACIAOwBcAG4AXAAiAFcAZQBuAGcAZgB1ACAAQQB1AHMAdAByAGEAbABpAGEAXAAiACwAXAAiAFcAZQBuAGcAZgB1ACAAOQAtADIAMAAtADAALQAxADAAIABNAEEAUAAgAFMAdQBTAHQAYQBpAG4AXAAiACwAXAAiAGsAZwBcACIALAAxACwAXAAiAFwAIgAsAFwAIgBcACIALABcACIAXAAiACwAOQAsADEAOQAuADgALAAwACwAMQAwAC4ANAAsAFwAIgBOAGkAdAByAG8AZwBlAG4AIAAtACAARwBlAG4AZQByAGkAYwBcACIALAAwAC4AMAA5ACwAXAAiAFAAaABvAHMAcABoAG8AcgB1AHMAIAAtACAARwBlAG4AZQByAGkAYwBcACIALAAwAC4AMQA5ADgALABcACIAUwB1AGwAZgB1AHIAIAAtACAARwBlAG4AZQByAGkAYwBcACIALAAwAC4AMQAwADQALABcACIAXAAiACwAXAAiAFwAIgAsAFwAIgBcACIALABcACIAXAAiACwAXAAiAFwAIgAsAFwAIgBcACIALABcACIAXAAiACwAXAAiAFwAIgAsAFwAIgBcACIALABcACIAXAAiACwAXAAiAFwAIgAsAFwAIgBcACIALABcACIAXAAiACwAXAAiAFwAIgA7AFwAbgBcACIAVwBlAG4AZwBmAHUAIABBAHUAcwB0AHIAYQBsAGkAYQBcACIALABcACIAVwBlAG4AZwBmAHUAIAAxADUALQAxADcALQAwAC0AMQA1ACAARABBAFAAIABTAHUAUwB0AGEAaQBuAFwAIgAsAFwAIgBrAGcAXAAiACwAMQAsAFwAIgBcACIALABcACIAXAAiACwAXAAiAFwAIgAsADEANQAuADIALAAxADYALgA5ACwAMAAsADEANQAuADIALABcACIATgBpAHQAcgBvAGcAZQBuACAALQAgAEcAZQBuAGUAcgBpAGMAXAAiACwAMAAuADEANQAyACwAXAAiAFAAaABvAHMAcABoAG8AcgB1AHMAIAAtACAARwBlAG4AZQByAGkAYwBcACIALAAwAC4AMQA2ADkALABcACIAUwB1AGwAZgB1AHIAIAAtACAARwBlAG4AZQByAGkAYwBcACIALAAwAC4AMQA1ADIALABcACIAXAAiACwAXAAiAFwAIgAsAFwAIgBcACIALABcACIAXAAiACwAXAAiAFwAIgAsAFwAIgBcACIALABcACIAXAAiACwAXAAiAFwAIgAsAFwAIgBcACIALABcACIAXAAiACwAXAAiAFwAIgAsAFwAIgBcACIALABcACIAXAAiACwAXAAiAFwAIgA7AFwAbgBcACIAVwBlAG4AZwBmAHUAIABBAHUAcwB0AHIAYQBsAGkAYQBcACIALABcACIAVwBlAG4AZwBmAHUAIAAxADYALQAxADgALQAwAC0AMQAwACAARABBAFAAIABTAHUAUwB0AGEAaQBuAFwAIgAsAFwAIgBrAGcAXAAiACwAMQAsAFwAIgBcACIALABcACIAXAAiACwAXAAiAFwAIgAsADEANgAuADIALAAxADgALAAwACwAMQAwAC4ANAAsAFwAIgBOAGkAdAByAG8AZwBlAG4AIAAtACAARwBlAG4AZQByAGkAYwBcACIALAAwAC4AMQA2ADIALABcACIAUABoAG8AcwBwAGgAbwByAHUAcwAgAC0AIABHAGUAbgBlAHIAaQBjAFwAIgAsADAALgAxADgALABcACIAUwB1AGwAZgB1AHIAIAAtACAARwBlAG4AZQByAGkAYwBcACIALAAwAC4AMQAwADQALABcACIAXAAiACwAXAAiAFwAIgAsAFwAIgBcACIALABcACIAXAAiACwAXAAiAFwAIgAsAFwAIgBcACIALABcACIAXAAiACwAXAAiAFwAIgAsAFwAIgBcACIALABcACIAXAAiACwAXAAiAFwAIgAsAFwAIgBcACIALABcACIAXAAiACwAXAAiAFwAIgA7AFwAbgBcACIAVwBlAG4AZwBmAHUAIABBAHUAcwB0AHIAYQBsAGkAYQBcACIALABcACIAVwBlAG4AZwBmAHUAIAA1AC0AMQA1AC0AMAAtADYAIABGAGEAcwB0ACAAUwB0AGEAcgB0ACAATABlAGcAdQBtAGUAXAAiACwAXAAiAGsAZwBcACIALAAxACwAXAAiAFwAIgAsAFwAIgBcACIALABcACIAXAAiACwANQAsADEANQAuADQALAAwACwANgAuADMALABcACIATgBpAHQAcgBvAGcAZQBuACAALQAgAEcAZQBuAGUAcgBpAGMAXAAiACwAMAAuADAANQAsAFwAIgBQAGgAbwBzAHAAaABvAHIAdQBzACAALQAgAEcAZQBuAGUAcgBpAGMAXAAiACwAMAAuADEANQA0ACwAXAAiAFMAdQBsAGYAdQByACAALQAgAEcAZQBuAGUAcgBpAGMAXAAiACwAMAAuADAANgAzACwAXAAiAFwAIgAsAFwAIgBcACIALABcACIAXAAiACwAXAAiAFwAIgAsAFwAIgBcACIALABcACIAXAAiACwAXAAiAFwAIgAsAFwAIgBcACIALABcACIAXAAiACwAXAAiAFwAIgAsAFwAIgBcACIALABcACIAXAAiACwAXAAiAFwAIgAsAFwAIgBcACIAOwBcAG4AXAAiAFcAZQBuAGcAZgB1ACAAQQB1AHMAdAByAGEAbABpAGEAXAAiACwAXAAiAFcAZQBuAGcAZgB1ACAAOQAtADIAMAAtADAALQAxADAAIABQAHIAaQBtAGUAWgBpAG4AYwBcACIALABcACIAawBnAFwAIgAsADEALABcACIAXAAiACwAXAAiAFwAIgAsAFwAIgBcACIALAA5ACwAMQA5AC4AOAAsADAALAAxADAALgA0ACwAXAAiAE4AaQB0AHIAbwBnAGUAbgAgAC0AIABHAGUAbgBlAHIAaQBjAFwAIgAsADAALgAwADkALABcACIAUABoAG8AcwBwAGgAbwByAHUAcwAgAC0AIABHAGUAbgBlAHIAaQBjAFwAIgAsADAALgAxADkAOAAsAFwAIgBTAHUAbABmAHUAcgAgAC0AIABHAGUAbgBlAHIAaQBjAFwAIgAsADAALgAxADAANAAsAFwAIgBaAGkAbgBjAFwAIgAsADAALgAwADAAOQAsAFwAIgBcACIALABcACIAXAAiACwAXAAiAFwAIgAsAFwAIgBcACIALABcACIAXAAiACwAXAAiAFwAIgAsAFwAIgBcACIALABcACIAXAAiACwAXAAiAFwAIgAsAFwAIgBcACIALABcACIAXAAiACwAXAAiAFwAIgA7AFwAbgBcACIAVwBlAG4AZwBmAHUAIABBAHUAcwB0AHIAYQBsAGkAYQBcACIALABcACIAVwBlAG4AZwBmAHUAIAAxADIALQAxADgALQAwAC0ANgAgAFAAcgBpAG0AZQBaAGkAbgBjAFwAIgAsAFwAIgBrAGcAXAAiACwAMQAsAFwAIgBcACIALABcACIAXAAiACwAXAAiAFwAIgAsADEAMQAuADkALAAxADcALgA2ACwAMAAsADUALgA5ACwAXAAiAE4AaQB0AHIAbwBnAGUAbgAgAC0AIABHAGUAbgBlAHIAaQBjAFwAIgAsADAALgAxADEAOQAsAFwAIgBQAGgAbwBzAHAAaABvAHIAdQBzACAALQAgAEcAZQBuAGUAcgBpAGMAXAAiACwAMAAuADEANwA2ACwAXAAiAFMAdQBsAGYAdQByACAALQAgAEcAZQBuAGUAcgBpAGMAXAAiACwAMAAuADAANQA5ACwAXAAiAFoAaQBuAGMAXAAiACwAMAAuADAAMAA4ACwAXAAiAFwAIgAsAFwAIgBcACIALABcACIAXAAiACwAXAAiAFwAIgAsAFwAIgBcACIALABcACIAXAAiACwAXAAiAFwAIgAsAFwAIgBcACIALABcACIAXAAiACwAXAAiAFwAIgAsAFwAIgBcACIALABcACIAXAAiADsAXABuAFwAIgBXAGUAbgBnAGYAdQAgAEEAdQBzAHQAcgBhAGwAaQBhAFwAIgAsAFwAIgBXAGUAbgBnAGYAdQAgADEANAAtADEAMwAtADAALQAxADEAIABQAHIAaQBtAGUAWgBpAG4AYwBcACIALABcACIAawBnAFwAIgAsADEALABcACIAXAAiACwAXAAiAFwAIgAsAFwAIgBcACIALAAxADQALgAxACwAMQAyAC4AOAAsADAALAAxADAALgA3ACwAXAAiAE4AaQB0AHIAbwBnAGUAbgAgAC0AIABHAGUAbgBlAHIAaQBjAFwAIgAsADAALgAxADQAMQAsAFwAIgBQAGgAbwBzAHAAaABvAHIAdQBzACAALQAgAEcAZQBuAGUAcgBpAGMAXAAiACwAMAAuADEAMgA4ACwAXAAiAFMAdQBsAGYAdQByACAALQAgAEcAZQBuAGUAcgBpAGMAXAAiACwAMAAuADEAMAA3ACwAXAAiAFoAaQBuAGMAXAAiACwAMAAuADAAMAA2ACwAXAAiAFwAIgAsAFwAIgBcACIALABcACIAXAAiACwAXAAiAFwAIgAsAFwAIgBcACIALABcACIAXAAiACwAXAAiAFwAIgAsAFwAIgBcACIALABcACIAXAAiACwAXAAiAFwAIgAsAFwAIgBcACIALABcACIAXAAiAFwAbgAgACAAfQAsACAAcgAsACAAYwApAFwAbgAgACkAKQApAFwAbgBcAG4AXABuAEYAZQByAHQAaQBsAGkAcwBlAHIAXwBQAHIAbwBkAHUAYwB0AHMAXwBEAGEAdABhADUAXABuAD0ATABBAE0AQgBEAEEAKABcAG4AIABNAEEASwBFAEEAUgBSAEEAWQAoADEANAAsACAAMwAxACwAXABuACAATABBAE0AQgBEAEEAKAByACwAYwAsAFwAbgAgACAASQBOAEQARQBYACgAewBcAG4AXAAiAFcAZQBuAGcAZgB1ACAAQQB1AHMAdAByAGEAbABpAGEAXAAiACwAXAAiAFcAZQBuAGcAZgB1ACAAMQA5AC0AMQAzAC0AMAAtADcAIABQAHIAaQBtAGUAWgBpAG4AYwBcACIALABcACIAawBnAFwAIgAsADEALABcACIAXAAiACwAXAAiAFwAIgAsAFwAIgBcACIALAAxADgALgA2ACwAMQAyAC4ANwAsADAALAA2AC4AOAAsAFwAIgBOAGkAdAByAG8AZwBlAG4AIAAtACAARwBlAG4AZQByAGkAYwBcACIALAAwAC4AMQA4ADYALABcACIAUABoAG8AcwBwAGgAbwByAHUAcwAgAC0AIABHAGUAbgBlAHIAaQBjAFwAIgAsADAALgAxADIANwAsAFwAIgBTAHUAbABmAHUAcgAgAC0AIABHAGUAbgBlAHIAaQBjAFwAIgAsADAALgAwADYAOAAsAFwAIgBaAGkAbgBjAFwAIgAsADAALgAwADAANgAsAFwAIgBcACIALABcACIAXAAiACwAXAAiAFwAIgAsAFwAIgBcACIALABcACIAXAAiACwAXAAiAFwAIgAsAFwAIgBcACIALABcACIAXAAiACwAXAAiAFwAIgAsAFwAIgBcACIALABcACIAXAAiACwAXAAiAFwAIgA7AFwAbgBcACIAVwBlAG4AZwBmAHUAIABBAHUAcwB0AHIAYQBsAGkAYQBcACIALABcACIAVwBlAG4AZwBmAHUAIABCAG8AbwBzAHQAZQByACAASwBcACIALABcACIAawBnAFwAIgAsADEALABcACIAXAAiACwAXAAiAFwAIgAsAFwAIgBcACIALAAzADIALAAwACwAMQAxACwAMwAsAFwAIgBOAGkAdAByAG8AZwBlAG4AIAAtACAARwBlAG4AZQByAGkAYwBcACIALAAwAC4AMwAyACwAXAAiAFAAbwB0AGEAcwBzAGkAdQBtACAALQAgAEcAZQBuAGUAcgBpAGMAXAAiACwAMAAuADEAMQAsAFwAIgBTAHUAbABmAHUAcgAgAC0AIABHAGUAbgBlAHIAaQBjAFwAIgAsADAALgAwADMALABcACIAXAAiACwAXAAiAFwAIgAsAFwAIgBcACIALABcACIAXAAiACwAXAAiAFwAIgAsAFwAIgBcACIALABcACIAXAAiACwAXAAiAFwAIgAsAFwAIgBcACIALABcACIAXAAiACwAXAAiAFwAIgAsAFwAIgBcACIALABcACIAXAAiACwAXAAiAFwAIgA7AFwAbgBcACIAVwBlAG4AZwBmAHUAIABBAHUAcwB0AHIAYQBsAGkAYQBcACIALABcACIAVwBlAG4AZwBmAHUAIABCAG8AbwBzAHQAZQByACAAUgBpAGMAaAAgADEAXAAiACwAXAAiAGsAZwBcACIALAAxACwAXAAiAFwAIgAsAFwAIgBcACIALABcACIAXAAiACwAMwAxACwANgAsADAALAA2ACwAXAAiAE4AaQB0AHIAbwBnAGUAbgAgAC0AIABHAGUAbgBlAHIAaQBjAFwAIgAsADAALgAzADEALABcACIAUABoAG8AcwBwAGgAbwByAHUAcwAgAC0AIABHAGUAbgBlAHIAaQBjAFwAIgAsADAALgAwADYALABcACIAUwB1AGwAZgB1AHIAIAAtACAARwBlAG4AZQByAGkAYwBcACIALAAwAC4AMAA2ACwAXAAiAFwAIgAsAFwAIgBcACIALABcACIAXAAiACwAXAAiAFwAIgAsAFwAIgBcACIALABcACIAXAAiACwAXAAiAFwAIgAsAFwAIgBcACIALABcACIAXAAiACwAXAAiAFwAIgAsAFwAIgBcACIALABcACIAXAAiACwAXAAiAFwAIgAsAFwAIgBcACIAOwBcAG4AXAAiAFcAZQBuAGcAZgB1ACAAQQB1AHMAdAByAGEAbABpAGEAXAAiACwAXAAiAFcAZQBuAGcAZgB1ACAAQgBvAG8AcwB0AGUAcgAgAEcAcgBhAHMAcwAgAEQAQQBQAFwAIgAsAFwAIgBrAGcAXAAiACwAMQAsAFwAIgBcACIALABcACIAXAAiACwAXAAiAFwAIgAsADIAMQAsADQALAA4ACwANwAsAFwAIgBOAGkAdAByAG8AZwBlAG4AIAAtACAARwBlAG4AZQByAGkAYwBcACIALAAwAC4AMgAxACwAXAAiAFAAaABvAHMAcABoAG8AcgB1AHMAIAAtACAARwBlAG4AZQByAGkAYwBcACIALAAwAC4AMAA0ACwAXAAiAFAAbwB0AGEAcwBzAGkAdQBtACAALQAgAEcAZQBuAGUAcgBpAGMAXAAiACwAMAAuADAAOAAsAFwAIgBTAHUAbABmAHUAcgAgAC0AIABHAGUAbgBlAHIAaQBjAFwAIgAsADAALgAwADcALABcACIAXAAiACwAXAAiAFwAIgAsAFwAIgBcACIALABcACIAXAAiACwAXAAiAFwAIgAsAFwAIgBcACIALABcACIAXAAiACwAXAAiAFwAIgAsAFwAIgBcACIALABcACIAXAAiACwAXAAiAFwAIgAsAFwAIgBcACIAOwBcAG4AXAAiAFcAZQBuAGcAZgB1ACAAQQB1AHMAdAByAGEAbABpAGEAXAAiACwAXAAiAFcAZQBuAGcAZgB1ACAAQQBmAHQAZQByAGcAcgBhAHoAZQBcACIALABcACIAawBnAFwAIgAsADEALABcACIAXAAiACwAXAAiAFwAIgAsAFwAIgBcACIALAAyADMALAAwACwAMgA1ACwAMAAsAFwAIgBOAGkAdAByAG8AZwBlAG4AIAAtACAARwBlAG4AZQByAGkAYwBcACIALAAwAC4AMgAzACwAXAAiAFAAbwB0AGEAcwBzAGkAdQBtACAALQAgAEcAZQBuAGUAcgBpAGMAXAAiACwAMAAuADIANQAsAFwAIgBcACIALABcACIAXAAiACwAXAAiAFwAIgAsAFwAIgBcACIALABcACIAXAAiACwAXAAiAFwAIgAsAFwAIgBcACIALABcACIAXAAiACwAXAAiAFwAIgAsAFwAIgBcACIALABcACIAXAAiACwAXAAiAFwAIgAsAFwAIgBcACIALABcACIAXAAiACwAXAAiAFwAIgAsAFwAIgBcACIAOwBcAG4AXAAiAFcAZQBuAGcAZgB1ACAAQQB1AHMAdAByAGEAbABpAGEAXAAiACwAXAAiAFcAZQBuAGcAZgB1ACAAUwBpAGQAZQBkAHIAZQBzAHMAXAAiACwAXAAiAGsAZwBcACIALAAxACwAXAAiAFwAIgAsAFwAIgBcACIALABcACIAXAAiACwAMgA1ACwANAAsADEAMwAsADQALABcACIATgBpAHQAcgBvAGcAZQBuACAALQAgAEcAZQBuAGUAcgBpAGMAXAAiACwAMAAuADIANQAsAFwAIgBQAGgAbwBzAHAAaABvAHIAdQBzACAALQAgAEcAZQBuAGUAcgBpAGMAXAAiACwAMAAuADAANAAsAFwAIgBQAG8AdABhAHMAcwBpAHUAbQAgAC0AIABHAGUAbgBlAHIAaQBjAFwAIgAsADAALgAxADMALABcACIAUwB1AGwAZgB1AHIAIAAtACAARwBlAG4AZQByAGkAYwBcACIALAAwAC4AMAA0ACwAXAAiAFwAIgAsAFwAIgBcACIALABcACIAXAAiACwAXAAiAFwAIgAsAFwAIgBcACIALABcACIAXAAiACwAXAAiAFwAIgAsAFwAIgBcACIALABcACIAXAAiACwAXAAiAFwAIgAsAFwAIgBcACIALABcACIAXAAiADsAXABuAFwAIgBXAGUAbgBnAGYAdQAgAEEAdQBzAHQAcgBhAGwAaQBhAFwAIgAsAFwAIgBXAGUAbgBnAGYAdQAgAFAAYQBzAHQAdQByAGUAIABCAG8AbwBzAHQAZQByAFwAIgAsAFwAIgBrAGcAXAAiACwAMQAsAFwAIgBcACIALABcACIAXAAiACwAXAAiAFwAIgAsADEAMwAsADUALAAyADQALAA1ACwAXAAiAE4AaQB0AHIAbwBnAGUAbgAgAC0AIABHAGUAbgBlAHIAaQBjAFwAIgAsADAALgAxADMALABcACIAUABoAG8AcwBwAGgAbwByAHUAcwAgAC0AIABHAGUAbgBlAHIAaQBjAFwAIgAsADAALgAwADUALABcACIAUABvAHQAYQBzAHMAaQB1AG0AIAAtACAARwBlAG4AZQByAGkAYwBcACIALAAwAC4AMgA0ACwAXAAiAFMAdQBsAGYAdQByACAALQAgAEcAZQBuAGUAcgBpAGMAXAAiACwAMAAuADAANQAsAFwAIgBcACIALABcACIAXAAiACwAXAAiAFwAIgAsAFwAIgBcACIALABcACIAXAAiACwAXAAiAFwAIgAsAFwAIgBcACIALABcACIAXAAiACwAXAAiAFwAIgAsAFwAIgBcACIALABcACIAXAAiACwAXAAiAFwAIgA7AFwAbgBcACIAVwBlAG4AZwBmAHUAIABBAHUAcwB0AHIAYQBsAGkAYQBcACIALABcACIAVwBlAG4AZwBmAHUAIABEAEEAUAAgAEgAYQB5ACAAQgBvAG8AcwB0AGUAcgBcACIALABcACIAawBnAFwAIgAsADEALABcACIAXAAiACwAXAAiAFwAIgAsAFwAIgBcACIALAAxADEALAA1ACwAMgA0ACwANAAsAFwAIgBOAGkAdAByAG8AZwBlAG4AIAAtACAARwBlAG4AZQByAGkAYwBcACIALAAwAC4AMQAxACwAXAAiAFAAaABvAHMAcABoAG8AcgB1AHMAIAAtACAARwBlAG4AZQByAGkAYwBcACIALAAwAC4AMAA1ACwAXAAiAFAAbwB0AGEAcwBzAGkAdQBtACAALQAgAEcAZQBuAGUAcgBpAGMAXAAiACwAMAAuADIANAAsAFwAIgBTAHUAbABmAHUAcgAgAC0AIABHAGUAbgBlAHIAaQBjAFwAIgAsADAALgAwADQALABcACIAXAAiACwAXAAiAFwAIgAsAFwAIgBcACIALABcACIAXAAiACwAXAAiAFwAIgAsAFwAIgBcACIALABcACIAXAAiACwAXAAiAFwAIgAsAFwAIgBcACIALABcACIAXAAiACwAXAAiAFwAIgAsAFwAIgBcACIAOwBcAG4AXAAiAFcAZQBuAGcAZgB1ACAAQQB1AHMAdAByAGEAbABpAGEAXAAiACwAXAAiAFcAZQBuAGcAZgB1ACAATQBBAFAAIABIAGEAeQAgAEIAbwBvAHMAdABlAHIAXAAiACwAXAAiAGsAZwBcACIALAAxACwAXAAiAFwAIgAsAFwAIgBcACIALABcACIAXAAiACwAMQAxACwAOAAsADIAMAAsADYALABcACIATgBpAHQAcgBvAGcAZQBuACAALQAgAEcAZQBuAGUAcgBpAGMAXAAiACwAMAAuADEAMQAsAFwAIgBQAGgAbwBzAHAAaABvAHIAdQBzACAALQAgAEcAZQBuAGUAcgBpAGMAXAAiACwAMAAuADAAOAAsAFwAIgBQAG8AdABhAHMAcwBpAHUAbQAgAC0AIABHAGUAbgBlAHIAaQBjAFwAIgAsADAALgAyACwAXAAiAFMAdQBsAGYAdQByACAALQAgAEcAZQBuAGUAcgBpAGMAXAAiACwAMAAuADAANgAsAFwAIgBcACIALABcACIAXAAiACwAXAAiAFwAIgAsAFwAIgBcACIALABcACIAXAAiACwAXAAiAFwAIgAsAFwAIgBcACIALABcACIAXAAiACwAXAAiAFwAIgAsAFwAIgBcACIALABcACIAXAAiACwAXAAiAFwAIgA7AFwAbgBcACIAVwBlAG4AZwBmAHUAIABBAHUAcwB0AHIAYQBsAGkAYQBcACIALABcACIAVwBlAG4AZwBmAHUAIABGAG8AZABkAGUAcgAgAEIAbwBvAHMAdABlAHIAXAAiACwAXAAiAGsAZwBcACIALAAxACwAXAAiAFwAIgAsAFwAIgBcACIALABcACIAXAAiACwAOQAsADQALAA1ACwAMQA1ACwAXAAiAE4AaQB0AHIAbwBnAGUAbgAgAC0AIABHAGUAbgBlAHIAaQBjAFwAIgAsADAALgAwADkALABcACIAUABoAG8AcwBwAGgAbwByAHUAcwAgAC0AIABHAGUAbgBlAHIAaQBjAFwAIgAsADAALgAwADQALABcACIAUABvAHQAYQBzAHMAaQB1AG0AIAAtACAARwBlAG4AZQByAGkAYwBcACIALAAwAC4AMAA1ACwAXAAiAFMAdQBsAGYAdQByACAALQAgAEcAZQBuAGUAcgBpAGMAXAAiACwAMAAuADEANQAsAFwAIgBcACIALABcACIAXAAiACwAXAAiAFwAIgAsAFwAIgBcACIALABcACIAXAAiACwAXAAiAFwAIgAsAFwAIgBcACIALABcACIAXAAiACwAXAAiAFwAIgAsAFwAIgBcACIALABcACIAXAAiACwAXAAiAFwAIgA7AFwAbgBcACIAQwBTAEIAUABcACIALABcACIASwAtAFQAaQBsAGwAIABFAHgAdAByAGEAXAAiACwAXAAiAGsAZwBcACIALAAxACwAXAAiAFwAIgAsAFwAIgBcACIALABcACIAXAAiACwAMQAwAC4ANwAzACwAMQAwAC4AOQA1ACwAMQAxAC4AMwA1ACwANgAuADUANQAsAFwAIgBNAG8AbgBvAGEAbQBtAG8AbgBpAHUAbQAgAHAAaABvAHMAcABoAGEAdABlACAAKABNAEEAUAApAFwAIgAsADAALgA1ACwAXAAiAFMAdQBsAHAAaABhAHQAZQAgAG8AZgAgAGEAbQBtAG8AbgBpAGEAIAAoAFMATwBBACkAXAAiACwAMAAuADIANwAzACwAXAAiAE0AdQByAGkAYQB0AGUAIABvAGYAIABwAG8AdABhAHMAaAAgACgATQBPAFAAKQBcACIALAAwAC4AMgAyADcALABcACIAQwBvAHAAcABlAHIAXAAiACwAXAAiAE4AbwAgAGQAYQB0AGEAXAAiACwAXAAiAFoAaQBuAGMAXAAiACwAXAAiAE4AbwAgAGQAYQB0AGEAXAAiACwAXAAiAFwAIgAsAFwAIgBcACIALABcACIAXAAiACwAXAAiAFwAIgAsAFwAIgBcACIALABcACIAXAAiACwAXAAiAFwAIgAsAFwAIgBcACIALABcACIAXAAiACwAXAAiAFwAIgA7AFwAbgBcACIAQwBTAEIAUABcACIALABcACIAQQBnAHIAYQBzACAARQB4AHQAcgBhAFwAIgAsAFwAIgBrAGcAXAAiACwAMQAsAFwAIgBcACIALABcACIAXAAiACwAXAAiAFwAIgAsADEANgAuADkANQAsADgALgAwADYALABcACIAXAAiACwAMQA1AC4AMQA3ACwAXAAiAFMAdQBsAHAAaABhAHQAZQAgAG8AZgAgAGEAbQBtAG8AbgBpAGEAIAAoAFMATwBBACkAXAAiACwAMAAuADYAMwAyACwAXAAiAE0AbwBuAG8AYQBtAG0AbwBuAGkAdQBtACAAcABoAG8AcwBwAGgAYQB0AGUAIAAoAE0AQQBQACkAXAAiACwAMAAuADMANgA4ACwAXAAiAFoAaQBuAGMAXAAiACwAXAAiAE4AbwAgAGQAYQB0AGEAXAAiACwAXAAiAEMAbwBwAHAAZQByAFwAIgAsAFwAIgBOAG8AIABkAGEAdABhAFwAIgAsAFwAIgBNAG8AbAB5AGIAZABlAG4AdQBtAFwAIgAsAFwAIgBOAG8AIABkAGEAdABhAFwAIgAsAFwAIgBDAG8AYgBhAGwAdABcACIALABcACIATgBvACAAZABhAHQAYQBcACIALABcACIAXAAiACwAXAAiAFwAIgAsAFwAIgBcACIALABcACIAXAAiACwAXAAiAFwAIgAsAFwAIgBcACIALABcACIAXAAiACwAXAAiAFwAIgA7AFwAbgBcACIAQwBTAEIAUABcACIALABcACIAUwB1AHAAZQByACAAQwBvAHAAcABlAHIAIABaAGkAbgBjACAATQBvAGwAeQBcACIALABcACIAawBnAFwAIgAsADEALABcACIAXAAiACwAXAAiAFwAIgAsAFwAIgBcACIALABcACIAXAAiACwAOAAuADgALABcACIAXAAiACwAMQAxACwAXAAiAFMAaQBuAGcAbABlACAAcwB1AHAAZQByAHAAaABvAHMAcABoAGEAdABlACAAKABTAFMAUAApAFwAIgAsADEALABcACIAQwBvAHAAcABlAHIAXAAiACwAMAAuADAAMAA2ACwAXAAiAFoAaQBuAGMAXAAiACwAMAAuADAAMAAzACwAXAAiAE0AbwBsAHkAYgBkAGUAbgB1AG0AXAAiACwAMAAuADAAMAAwADYALABcACIAXAAiACwAXAAiAFwAIgAsAFwAIgBcACIALABcACIAXAAiACwAXAAiAFwAIgAsAFwAIgBcACIALABcACIAXAAiACwAXAAiAFwAIgAsAFwAIgBcACIALABcACIAXAAiACwAXAAiAFwAIgAsAFwAIgBcACIAOwBcAG4AXAAiAEMAUwBCAFAAXAAiACwAXAAiAEYAbABlAHgAaQAtAE4AXAAiACwAXAAiAEwAXAAiACwAMQAuADMAMgAsAFwAIgBcACIALABcACIAXAAiACwAXAAiAFwAIgAsADMAMgAsAFwAIgBcACIALABcACIAXAAiACwAXAAiAFwAIgAsAFwAIgBVAHIAZQBhAC0AYQBtAG0AbwBuAGkAdQBtACAAbgBpAHQAcgBhAHQAZQAgACgAVQBBAE4AKQBcACIALAAxACwAXAAiAFwAIgAsAFwAIgBcACIALABcACIAXAAiACwAXAAiAFwAIgAsAFwAIgBcACIALABcACIAXAAiACwAXAAiAFwAIgAsAFwAIgBcACIALABcACIAXAAiACwAXAAiAFwAIgAsAFwAIgBcACIALABcACIAXAAiACwAXAAiAFwAIgAsAFwAIgBcACIALABcACIAXAAiACwAXAAiAFwAIgAsAFwAIgBcACIALABcACIAXAAiAFwAbgAgACAAfQAsACAAcgAsACAAYwApAFwAbgAgACkAKQApAFwAbgBcAG4AXABuAFwAbgAiAH0ALAB7ACIAcABhAHQAaAAiADoAIgAvAHAAcgBvAGoAZQBjAHQAcwAvAFcAYQBzAHQAZQBTAG8AbABpAGQAXwBFAHEAdQBhAHQAaQBvAG4AcwAiACwAIgB0AGUAeAB0ACIAOgAiAC8AKgBcAG4APQA9AD0APQA9AD0APQA9AD0APQA9AD0APQA9AD0APQA9AD0APQA9AD0APQA9AD0APQA9AD0APQA9AD0APQA9AD0APQA9AD0APQA9AD0APQA9AD0APQA9AD0APQA9AD0APQA9AD0APQA9AD0APQA9AD0APQA9AD0APQA9AD0APQA9AD0APQA9AD0APQA9AD0APQA9AD0APQBcAG4AMQAwAC4AMQA6ACAAVwBhAHMAdABlAFwAbgA9AD0APQA9AD0APQA9AD0APQA9AD0APQA9AD0APQA9AD0APQA9AD0APQA9AD0APQA9AD0APQA9AD0APQA9AD0APQA9AD0APQA9AD0APQA9AD0APQA9AD0APQA9AD0APQA9AD0APQA9AD0APQA9AD0APQA9AD0APQA9AD0APQA9AD0APQA9AD0APQA9AD0APQA9AD0APQA9AFwAbgAxADAALgAxAC4AMQAuADEAIABNAGUAdABoAG8AZAAgADEAIAAtACAAUwBvAGwAaQBkACAAVwBhAHMAdABlACAAVAByAGUAYQB0AG0AZQBu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AAXwAxAF8AMQBfADEAXwBfADEAXwBFAG0AaQBzAHMAaQBvAG4AcwBGAHIAbwBtAFcAYQBzAHQAZQBNAGEAbgBhAGcAZQBtAGUAbgB0AFwAbgBFAG0AaQBzAHMAaQBvAG4AcwAgAGYAcgBvAG0AIAB3AGEAcwB0AGUAIABtAGEAbgBhAGcAZQBtAGUAbgB0ACAAYgB5ACAAZwByAGUAZQBuAGgAbwB1AHMAZQAgAGcAYQBzAFwAbgBFAF8AZwBcAG4AdAAgAEMATwAyAGUAXABuAEUAXwBnAD0AXABcAHMAdQBtAF8AdABcAFwAcwB1AG0AXwB3ACgAUQBfAHcAdABcAFwAdABpAG0AZQBzACAARQBGAF8AdwB0AGcAKQBcAG4AUQBfAHcAdAAgAD0AIABxAHUAYQBuAHQAaQB0AHkAIABvAGYAIABzAG8AbABpAGQAIAB3AGEAcwB0AGUAIABvAGYAIAB0AHkAcABlACAAdwAgAGIAZQBpAG4AZwAgAHMAZQBuAHQAIAB0AG8AIAB0AHIAZQBhAHQAbQBlAG4AdAAgAGYAYQBjAGkAbABpAHQAeQAgAHQALAAgAG8AbgAgAGEAIAB3AGUAdAAgAHcAZQBpAGcAaAB0ACAAYgBhAHMAaQBzACAAKAB0ACkAXABuAEUARgBfAHcAdABnACAAPQAgAGUAbQBpAHMAcwBpAG8AbgAgAGYAYQBjAHQAbwByACAAZgBvAHIAIABnAHIAZQBlAG4AaABvAHUAcwBlACAAZwBhAHMAIABnACAAZgBvAHIAIAB0AGgAZQAgAG0AYQBuAGEAZwBlAG0AZQBuAHQAIABvAGYAIAB3AGEAcwB0AGUAIABhAHQAIAB0AHIAZQBhAHQAbQBlAG4AdAAgAGYAYQBjAGkAbABpAHQAeQAgAHQAIAAoAHQAIABDAE8AMgBlAC8AdAApAFwAbgAtAC0ALQAtAC0ALQAtAC0ALQAtAC0ALQAtAC0ALQAtAC0ALQAtAC0ALQAtAC0ALQAtAC0ALQAtAC0ALQAtAC0ALQAtAC0ALQAtAC0AXABuACoALwBcAG4AXABuAFYARQBFAFIARwBfADEAMABfADEAXwAxAF8AMQBfAF8AMQBfAEUAbQBpAHMAcwBpAG8AbgBzAEYAcgBvAG0AVwBhAHMAdABlAE0AYQBuAGEAZwBlAG0AZQBuAHQAXABuACAAIAA9AEwAQQBNAEIARABBACgAXABuACAAIAAgACAAUQBfAHcAdAAsACAARQBGAF8AdwB0AGcALABcAG4AIAAgACAAIABRAF8AdwB0ACAAKgAgAEUARgBfAHcAdABnAFwAbgAgACAAKQA7AFwAbgBcAG4AVgBFAEUAUgBHAF8AMQAwAF8AMQBfADEAXwAxAF8AXwAxAF8ARQBtAGkAcwBzAGkAbwBuAHMARgByAG8AbQBXAGEAcwB0AGUATQBhAG4AYQBnAGUAbQBlAG4AdABfAFQAaQB0AGwAZQBcAG4AIAAgAD0ATABBAE0AQgBEAEEAKABcACIARQBtAGkAcwBzAGkAbwBuAHMAIABmAHIAbwBtACAAdwBhAHMAdABlACAAbQBhAG4AYQBnAGUAbQBlAG4AdAAgAGIAeQAgAGcAcgBlAGUAbgBoAG8AdQBzAGUAIABnAGEAcwBcACIAKQA7AFwAbgBcAG4AVgBFAEUAUgBHAF8AMQAwAF8AMQBfADEAXwAxAF8AXwAxAF8ARQBtAGkAcwBzAGkAbwBuAHMARgByAG8AbQBXAGEAcwB0AGUATQBhAG4AYQBnAGUAbQBlAG4AdABfAFYAYQByAGkAYQBiAGwAZQBcAG4AIAAgAD0ATABBAE0AQgBEAEEAKABcACIARQBfAGcAXAAiACkAOwBcAG4AXABuAFYARQBFAFIARwBfADEAMABfADEAXwAxAF8AMQBfAF8AMQBfAEUAbQBpAHMAcwBpAG8AbgBzAEYAcgBvAG0AVwBhAHMAdABlAE0AYQBuAGEAZwBlAG0AZQBuAHQAXwBVAG4AaQB0AFwAbgAgACAAPQBMAEEATQBCAEQAQQAoAFwAIgB0ACAAQwBPADIAZQBcACIAKQA7AFwAbgBcAG4AVgBFAEUAUgBHAF8AMQAwAF8AMQBfADEAXwAxAF8AXwAxAF8ARQBtAGkAcwBzAGkAbwBuAHMARgByAG8AbQBXAGEAcwB0AGUATQBhAG4AYQBnAGUAbQBlAG4AdABfAFMAbwB1AHIAYwBlAFwAbgAgACAAPQBMAEEATQBCAEQAQQAoAFwAIgBWAEUARQBSAEcAIAAyADAAMgA2ADoAIAAxADAALgAxAC4AMQAuADEALAAgAEUAcQB1AGEAdABpAG8AbgAgACgAMQApAFwAIgApADsAXABuAFwAbgBWAEUARQBSAEcAXwAxADAAXwAxAF8AMQBfADEAXwBfADEAXwBFAG0AaQBzAHMAaQBvAG4AcwBGAHIAbwBtAFcAYQBzAHQAZQBNAGEAbgBhAGcAZQBtAGUAbgB0AF8ATgBJAFIAUgBlAGYAZQByAGUAbgBjAGUAXABuACAAIAA9AEwAQQBNAEIARABBACgAXAAiAFwAIgApADsAXABuAFwAbgBWAEUARQBSAEcAXwAxADAAXwAxAF8AMQBfADEAXwBfADEAXwBFAG0AaQBzAHMAaQBvAG4AcwBGAHIAbwBtAFcAYQBzAHQAZQBNAGEAbgBhAGcAZQBtAGUAbgB0AF8ATABhAHQAZQB4AEUAcQB1AGEAdABpAG8AbgBcAG4AIAAgAD0ATABBAE0AQgBEAEEAKABcACIARQBfAGcAPQBcAFwAcwB1AG0AXABcAG4AbwBsAGkAbQBpAHQAcwBfAHQAXABcAHMAdQBtAFwAXABuAG8AbABpAG0AaQB0AHMAXwB3ACgAUQBfAHsAdwB0AH0AXABcAHQAaQBtAGUAcwAgAEUARgBfAHsAdwB0AGcAfQApAFwAIgApADsAXABuAFwAbgBWAEUARQBSAEcAXwAxADAAXwAxAF8AMQBfADEAXwBfADEAXwBFAG0AaQBzAHMAaQBvAG4AcwBGAHIAbwBtAFcAYQBzAHQAZQBNAGEAbgBhAGcAZQBtAGUAbgB0AF8AQQByAGcAdQBtAGUAbgB0AHMAXABuACAAIAA9AEwAQQBNAEIARABBACgAXABuACAAIAAgACAATQBBAEsARQBBAFIAUgBBAFkAKAA3ACwAIAA0ACwAXABuACAAIAAgACAAIAAgAEwAQQBNAEIARABBACgAcgAsAGMALABcAG4AIAAgACAAIAAgACAAIAAgAEkATgBEAEUAWAAoAHsAXABuACAAIAAgACAAIAAgACAAIAAgACAAXAAiAFEAXwB3AHQAXAAiACwAIABcACIAcQB1AGEAbgB0AGkAdAB5ACAAbwBmACAAcwBvAGwAaQBkACAAdwBhAHMAdABlACAAbwBmACAAdAB5AHAAZQAgAHcAIABiAGUAaQBuAGcAIABzAGUAbgB0ACAAdABvACAAdAByAGUAYQB0AG0AZQBuAHQAIABmAGEAYwBpAGwAaQB0AHkAIAB0ACwAIABvAG4AIABhACAAdwBlAHQAIAB3AGUAaQBnAGgAdAAgAGIAYQBzAGkAcwBcACIALAAgAFwAIgB0AFwAIgAsACAAXAAiAFMAdQBtACAAbwBmACAAUQBfAHYAbwBsAHcAdAAgAGEAbgBkACAAUQBfAG0AYQBzAHMAdwB0AFwAIgA7AFwAbgAgACAAIAAgACAAIAAgACAAIAAgAFwAIgBFAEYAXwB3AHQAZwBcACIALAAgAFwAIgBlAG0AaQBzAHMAaQBvAG4AIABmAGEAYwB0AG8AcgAgAGYAbwByACAAZwByAGUAZQBuAGgAbwB1AHMAZQAgAGcAYQBzACAAZwAgAGYAbwByACAAdABoAGUAIABtAGEAbgBhAGcAZQBtAGUAbgB0ACAAbwBmACAAdwBhAHMAdABlACAAYQB0ACAAdAByAGUAYQB0AG0AZQBuAHQAIABmAGEAYwBpAGwAaQB0AHkAIAB0AFwAIgAsACAAXAAiAHQAIABDAE8AMgBlAC8AdA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A7AFwAbgAgACAAIAAgACAAIAAgACAAIAAgAFwAIgBnAFwAIgAsACAAXAAiAGcAcgBlAGUAbgBoAG8AdQBzAGUAIABnAGEAcwBcACIALAAgAFwAIgBcACIALAAgAFwAIgBJAG4AcAB1AHQAXAAiADsAXABuACAAIAAgACAAIAAgACAAIAAgACAAXAAiAFEAXwB2AG8AbAB3AHQAXAAiACwAIABcACIAcQB1AGEAbgB0AGkAdAB5ACAAbwBmACAAcwBvAGwAZAAgAHcAYQBzAHQAZQAgAGkAbgBwAHUAdAAgAGEAcwAgAHYAbwBsAHUAbQBlACAAYQBuAGQAIABjAG8AbgB2AGUAcgB0AGUAZAAgAHQAbwAgAHQAbwBuAG4AZQBzAFwAIgAsACAAXAAiAHQAbwBuAG4AZQBzAFwAIgAsACAAXAAiAEMAYQBsAGMAdQBsAGEAdABlAGQAIABmAHIAbwBtACAAMQAwAC4AMQAuADEALgAxACAAKAAyACkAXAAiADsAXABuACAAIAAgACAAIAAgACAAIAAgACAAXAAiAFEAXwBtAGEAcwBzAHcAdABcACIALAAgAFwAIgBxAHUAYQBuAHQAaQB0AHkAIABvAGYAIABzAG8AbABpAGQAIAB3AGEAcwB0AGUAIABpAG4AcAB1AHQAIABhAHMAIABtAGEAcwBzAFwAIgAsACAAXAAiAHQAbwBuAG4AZQBzAFwAIgAsACAAXAAiAEkAbgBwAHUAdABcACIAXABuACAAIAAgACAAIAAgACAAIAB9ACwAIAByACwAIABjACkAXABuACAAIAAgACAAIAAgACkAXABuACAAIAAgACAAKQBcAG4AIAAgACkAOwBcAG4AXABuAFYARQBFAFIARwBfADEAMABfADEAXwAxAF8AMQBfAF8AMQBfAEUAbQBpAHMAcwBpAG8AbgBzAEYAcgBvAG0AVwBhAHMAdABlAE0AYQBuAGEAZwBlAG0AZQBuAHQAXwBWAGEAcgBpAGEAdABpAG8AbgBcAG4AIAAgAD0ATABBAE0AQgBEAEEAKABcACIAVgBBAFIASQBBAFQASQBPAE4AIABPAE4AIABTAE8AVQBSAEMARQA6ACAAQQBkAGQAZQBkACAAUQBfAHYAbwBsAHcAdAAgAGEAbgBkACAAUQBfAG0AYQBzAHMAdwB0ACAAdgBhAHIAaQBhAGIAbABlAHMAIAB0AG8AIABjAGwAZQBhAHIAbAB5ACAAdAByAGEAYwBrACAAaQBuAHAAdQB0ACAAbwByACAAYwBhAGwAYwB1AGwAYQB0AGUAZAAgAFEAIAB2AGEAbAB1AGUAcwBcACIAKQA7AFwAbgBcAG4ALwAqAFwAbgAtAC0ALQAtAC0ALQAtAC0ALQAtAC0ALQAtAC0ALQAtAC0ALQAtAC0ALQAtAC0ALQAtAC0ALQAtAC0ALQAtAC0ALQAtAC0ALQAtAC0AXABuAFYARQBFAFIARwBfADEAMABfADEAXwAxAF8AMQBfAF8AMgBfAE0AYQBzAHMATwBmAFcAYQBzAHQAZQBGAHIAbwBtAFYAbwBsAHUAbQBlAFwAbgBNAGEAcwBzACAAbwBmACAAdwBhAHMAdABlACAAZgByAG8AbQAgAHcAYQBzAHQAZQAgAHYAbwBsAHUAbQBlAFwAbgBRAF8AdwB0AFwAbgB0AFwAbgBRAF8AdwB0AD0AVgBfAHcAdABcAFwAdABpAG0AZQBzACAAVgBUAE0AXwB3AFwAbgBWAF8AdwB0ACAAPQAgAHYAbwBsAHUAbQBlACAAbwBmACAAcwBvAGwAaQBkACAAdwBhAHMAdABlACAAdAB5AHAAZQAgAHcAIABiAGUAaQBuAGcAIABzAGUAbgB0ACAAdABvACAAdAByAGUAYQB0AG0AZQBuAHQAIABmAGEAYwBpAGwAaQB0AHkAIAB0ACAAKABtADMAKQBcAG4AVgBUAE0AXwB3ACAAPQAgAGMAbwBuAHYAZQByAHMAaQBvAG4AIABmAGEAYwB0AG8AcgAgAG8AZgAgAHYAbwBsAHUAbQBlACAAdABvACAAbQBhAHMAcwAgAGYAbwByACAAdwBhAHMAdABlACAAdAB5AHAAZQAgAHcAIAAoAHQALwBtADMAKQBcAG4ALQAtAC0ALQAtAC0ALQAtAC0ALQAtAC0ALQAtAC0ALQAtAC0ALQAtAC0ALQAtAC0ALQAtAC0ALQAtAC0ALQAtAC0ALQAtAC0ALQAtAFwAbgAqAC8AXABuAFwAbgBWAEUARQBSAEcAXwAxADAAXwAxAF8AMQBfADEAXwBfADIAXwBNAGEAcwBzAE8AZgBXAGEAcwB0AGUARgByAG8AbQBWAG8AbAB1AG0AZQBcAG4AIAAgAD0ATABBAE0AQgBEAEEAKABcAG4AIAAgACAAIABWAF8AdwB0ACwAIABWAFQATQBfAHcALABcAG4AIAAgACAAIABWAF8AdwB0ACAAKgAgAFYAVABNAF8AdwBcAG4AIAAgACkAOwBcAG4AXABuAFYARQBFAFIARwBfADEAMABfADEAXwAxAF8AMQBfAF8AMgBfAE0AYQBzAHMATwBmAFcAYQBzAHQAZQBGAHIAbwBtAFYAbwBsAHUAbQBlAF8AVABpAHQAbABlAFwAbgAgACAAPQBMAEEATQBCAEQAQQAoAFwAIgBNAGEAcwBzACAAbwBmACAAdwBhAHMAdABlACAAZgByAG8AbQAgAHcAYQBzAHQAZQAgAHYAbwBsAHUAbQBlAFwAIgApADsAXABuAFwAbgBWAEUARQBSAEcAXwAxADAAXwAxAF8AMQBfADEAXwBfADIAXwBNAGEAcwBzAE8AZgBXAGEAcwB0AGUARgByAG8AbQBWAG8AbAB1AG0AZQBfAFYAYQByAGkAYQBiAGwAZQBcAG4AIAAgAD0ATABBAE0AQgBEAEEAKABcACIAUQBfAHcAdABcACIAKQA7AFwAbgBcAG4AVgBFAEUAUgBHAF8AMQAwAF8AMQBfADEAXwAxAF8AXwAyAF8ATQBhAHMAcwBPAGYAVwBhAHMAdABlAEYAcgBvAG0AVgBvAGwAdQBtAGUAXwBVAG4AaQB0AFwAbgAgACAAPQBMAEEATQBCAEQAQQAoAFwAIgB0AFwAIgApADsAXABuAFwAbgBWAEUARQBSAEcAXwAxADAAXwAxAF8AMQBfADEAXwBfADIAXwBNAGEAcwBzAE8AZgBXAGEAcwB0AGUARgByAG8AbQBWAG8AbAB1AG0AZQBfAFMAbwB1AHIAYwBlAFwAbgAgACAAPQBMAEEATQBCAEQAQQAoAFwAIgBWAEUARQBSAEcAIAAyADAAMgA2ADoAIAAxADAALgAxAC4AMQAuADEALAAgAEUAcQB1AGEAdABpAG8AbgAgACgAMgApAFwAIgApADsAXABuAFwAbgBWAEUARQBSAEcAXwAxADAAXwAxAF8AMQBfADEAXwBfADIAXwBNAGEAcwBzAE8AZgBXAGEAcwB0AGUARgByAG8AbQBWAG8AbAB1AG0AZQBfAE4ASQBSAFIAZQBmAGUAcgBlAG4AYwBlAFwAbgAgACAAPQBMAEEATQBCAEQAQQAoAFwAIgBcACIAKQA7AFwAbgBcAG4AVgBFAEUAUgBHAF8AMQAwAF8AMQBfADEAXwAxAF8AXwAyAF8ATQBhAHMAcwBPAGYAVwBhAHMAdABlAEYAcgBvAG0AVgBvAGwAdQBtAGUAXwBMAGEAdABlAHgARQBxAHUAYQB0AGkAbwBuAFwAbgAgACAAPQBMAEEATQBCAEQAQQAoAFwAIgBRAF8AewB3AHQAfQA9AFYAXwB7AHcAdAB9AFwAXAB0AGkAbQBlAHMAIABWAFQATQBfAHcAXAAiACkAOwBcAG4AXABuAFYARQBFAFIARwBfADEAMABfADEAXwAxAF8AMQBfAF8AMgBfAE0AYQBzAHMATwBmAFcAYQBzAHQAZQBGAHIAbwBtAFYAbwBsAHUAbQBlAF8AQQByAGcAdQBtAGUAbgB0AHMAXABuACAAIAA9AEwAQQBNAEIARABBACgAXABuACAAIAAgACAATQBBAEsARQBBAFIAUgBBAFkAKAA0ACwAIAA0ACwAXABuACAAIAAgACAAIAAgAEwAQQBNAEIARABBACgAcgAsAGMALABcAG4AIAAgACAAIAAgACAAIAAgAEkATgBEAEUAWAAoAHsAXABuACAAIAAgACAAIAAgACAAIAAgACAAXAAiAFYAXwB3AHQAXAAiACwAIABcACIAdgBvAGwAdQBtAGUAIABvAGYAIABzAG8AbABpAGQAIAB3AGEAcwB0AGUAIAB0AHkAcABlACAAdwAgAGIAZQBpAG4AZwAgAHMAZQBuAHQAIAB0AG8AIAB0AHIAZQBhAHQAbQBlAG4AdAAgAGYAYQBjAGkAbABpAHQAeQAgAHQAXAAiACwAIABcACIAbQAzAFwAIgAsACAAXAAiAEkAbgBwAHUAdABcACIAOwBcAG4AIAAgACAAIAAgACAAIAAgACAAIABcACIAVgBUAE0AXwB3AFwAIgAsACAAXAAiAGMAbwBuAHYAZQByAHMAaQBvAG4AIABmAGEAYwB0AG8AcgAgAG8AZgAgAHYAbwBsAHUAbQBlACAAdABvACAAbQBhAHMAcwAgAGYAbwByACAAdwBhAHMAdABlACAAdAB5AHAAZQAgAHcAXAAiACwAIABcACIAdAAvAG0AMw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BcAG4AIAAgACAAIAAgACAAIAAgAH0ALAAgAHIALAAgAGMAKQBcAG4AIAAgACAAIAAgACAAKQBcAG4AIAAgACAAIAApAFwAbgAgACAAKQA7AFwAbgAiAH0ALAB7ACIAcABhAHQAaAAiADoAIgAvAHAAcgBvAGoAZQBjAHQAcwAvAFcAYQBzAHQAZQBTAG8AbABpAGQAXwBJAG4AcAB1AHQARgB1AG4AYwB0AGkAbwBuAHMAIgAsACIAdABlAHgAdAAiADoAIgBcAG4AVwBhAHMAdABlAFMAbwBsAGkAZABfAEkAbgBwAHUAdABGAHUAbgBjAHQAaQBvAG4AcwBfAFMAdQBtAFcAYQBzAHQAZQBUAHIAZQBhAHQAbQBlAG4AdABcAG4APQBMAEEATQBCAEQAQQAoAFwAbgAgACAAVAByAGUAYQB0AG0AZQBuAHQAQQByAHIAYQB5ACwAIABXAGEAcwB0AGUAQQByAHIAYQB5ACwAIABUAHIAZQBhAHQAbQBlAG4AdABMAG8AYwBhAHQAaQBvAG4AQQByAHIAYQB5ACwAIABVAG4AaQB0AEEAcgByAGEAeQAsACAAQQBtAG8AdQBuAHQAQQByAHIAYQB5ACwAXABuACAAIABUAHIAZQBhAHQAbQBlAG4AdABUAHkAcABlACwAIABXAGEAcwB0AGUAVAB5AHAAZQAsACAAVAByAGUAYQB0AG0AZQBuAHQATABvAGMAYQB0AGkAbwBuAFQAeQBwAGUALAAgAFUAbgBpAHQAVAB5AHAAZQAsAFwAbgAgACAAUwBVAE0ASQBGAFMAKABcAG4AIAAgACAAIABBAG0AbwB1AG4AdABBAHIAcgBhAHkALABcAG4AIAAgACAAVAByAGUAYQB0AG0AZQBuAHQAQQByAHIAYQB5ACwAIABUAHIAZQBhAHQAbQBlAG4AdABUAHkAcABlACwAXABuACAAIAAgACAAVwBhAHMAdABlAEEAcgByAGEAeQAsACAAVwBhAHMAdABlAFQAeQBwAGUALABcAG4AIAAgACAAIABUAHIAZQBhAHQAbQBlAG4AdABMAG8AYwBhAHQAaQBvAG4AQQByAHIAYQB5ACwAIABUAHIAZQBhAHQAbQBlAG4AdABMAG8AYwBhAHQAaQBvAG4AVAB5AHAAZQAsACAAXABuACAAIAAgACAAVQBuAGkAdABBAHIAcgBhAHkALAAgAFUAbgBpAHQAVAB5AHAAZQBcAG4AIAAgACkAXABuACkAOwAiAH0ALAB7ACIAcABhAHQAaAAiADoAIgAvAHAAcgBvAGoAZQBjAHQAcwAvAFcAYQBzAHQAZQBTAG8AbABpAGQAXwBTAG8AdQByAGMAZQBEAGEAdABhACIALAAiAHQAZQB4AHQAIgA6ACIALwAqAFwAbgA9AD0APQA9AD0APQA9AD0APQA9AD0APQA9AD0APQA9AD0APQA9AD0APQA9AD0APQA9AD0APQA9AD0APQA9AD0APQA9AD0APQA9AD0APQA9AD0APQA9AD0APQA9AD0APQA9AD0APQA9AD0APQA9AD0APQA9AD0APQA9AD0APQA9AD0APQA9AD0APQA9AD0APQA9AD0APQA9AFwAbgBFAG0AaQBzAHMAaQBvAG4AIABmAGEAYwB0AG8AcgBzACAAZgBvAHIAIAB3AGEAcwB0AGUAcwAgAGQAaQBzAHAAbwBzAGUAZAAgAG8AZgAgAGEAdAAgAGQAaQBmAGYAZQByAGUAbgB0ACAAdAByAGUAYQB0AG0AZQBuAHQAIABmAGEAYwBpAGwAaQB0AGkAZQBzAFwAbgA9AD0APQA9AD0APQA9AD0APQA9AD0APQA9AD0APQA9AD0APQA9AD0APQA9AD0APQA9AD0APQA9AD0APQA9AD0APQA9AD0APQA9AD0APQA9AD0APQA9AD0APQA9AD0APQA9AD0APQA9AD0APQA9AD0APQA9AD0APQA9AD0APQA9AD0APQA9AD0APQA9AD0APQA9AD0APQA9AFwAbgAqAC8AXABuAFwAbgBXAGEAcwB0AGUAXwBFAG0AaQBzAHMAaQBvAG4ARgBhAGMAdABvAHIAcwBGAG8AcgBXAGEAcwB0AGUAVAByAGUAYQB0AG0AZQBuAHQAXwBUAGkAdABsAGUAXABuAD0ATABBAE0AQgBEAEEAKAAoAFwAIgBFAG0AaQBzAHMAaQBvAG4AIABmAGEAYwB0AG8AcgBzACAAZgBvAHIAIAB3AGEAcwB0AGUAcwAgAGQAaQBzAHAAbwBzAGUAZAAgAG8AZgAgAGEAdAAgAGQAaQBmAGYAZQByAGUAbgB0ACAAdAByAGUAYQB0AG0AZQBuAHQAIABmAGEAYwBpAGwAaQB0AGkAZQBzAFwAIgApACkAOwBcAG4AXABuAFcAYQBzAHQAZQBfAEUAbQBpAHMAcwBpAG8AbgBGAGEAYwB0AG8AcgBzAEYAbwByAFcAYQBzAHQAZQBUAHIAZQBhAHQAbQBlAG4AdABfAFYAYQByAGkAYQBiAGwAZQBcAG4APQBMAEEATQBCAEQAQQAoACgAXAAiAEUARgB3AHQAXAAiACkAKQA7AFwAbgBcAG4AVwBhAHMAdABlAF8ARQBtAGkAcwBzAGkAbwBuAEYAYQBjAHQAbwByAHMARgBvAHIAVwBhAHMAdABlAFQAcgBlAGEAdABtAGUAbgB0AF8AVQBuAGkAdABcAG4APQBMAEEATQBCAEQAQQAoACgAXAAiAHQAIABDAE8AMgBlACAALwAgAHQAXAAiACkAKQA7AFwAbgBcAG4AVwBhAHMAdABlAF8ARQBtAGkAcwBzAGkAbwBuAEYAYQBjAHQAbwByAHMARgBvAHIAVwBhAHMAdABlAFQAcgBlAGEAdABtAGUAbgB0AF8AUwBvAHUAcgBjAGUAXABuAD0ATABBAE0AQgBEAEEAKAAoAFwAIgBWAEUARQBSAEcAIAAyADAAMgA2ADoAIABUAGEAYgBsAGUAIABBAC4ANAAuADEALgAxAFwAIgApACkAOwBcAG4AXABuAFcAYQBzAHQAZQBfAEUAbQBpAHMAcwBpAG8AbgBGAGEAYwB0AG8AcgBzAEYAbwByAFcAYQBzAHQAZQBUAHIAZQBhAHQAbQBlAG4AdABfAEQAYQB0AGEAXABuAD0ATABBAE0AQgBEAEEAKABcAG4AIAAgAE0AQQBLAEUAQQBSAFIAQQBZACgAMwA1ACwAIAA0ACwAXABuACAAIAAgACAATABBAE0AQgBEAEEAKAByACwAYwAsAFwAbgAgACAAIAAgACAAIABJAE4ARABFAFgAKAB7AFwAbgAgACAAIAAgACAAIAAgACAAXAAiAFQAcgBlAGEAdABtAGUAbgB0ACAAdAB5AHAAZQAgAHQAXAAiACwAIABcACIAVwBhAHMAdABlACAAdAB5AHAAZQAgAHcAXAAiACwAIABcACIARQBGAHcAdABcACIALAAgAFwAIgBFAEYAIABzAG8AdQByAGMAZQBcACIAOwBcAG4AIAAgACAAIAAgACAAIAAgAFwAIgBMAGEAbgBkAGYAaQBsAGwAXAAiACwAIABcACIARgBvAG8AZAAgAHcAYQBzAHQAZQAgACgAaQBuAGMAbAB1AGQAaQBuAGcAIABhAG4AaQBtAGEAbAAgAGMAYQByAGMAYQBzAHMAZQBzACwAIABzAHAAbwBpAGwAZQBkACAAYQBuAGkAbQBhAGwAIABmAGUAZQBkACAAbwByACAAYwByAG8AcAApAFwAIgAsACAAMgAuADEALAAgAFwAIgBOAEcAQQBGACAAMgAwADIANQAgAHQAYQBiAGwAZQAgADEANQBcACIAOwBcAG4AIAAgACAAIAAgACAAIAAgAFwAIgBMAGEAbgBkAGYAaQBsAGwAXAAiACwAIABcACIAUABhAHAAZQByACAAYQBuAGQAIABjAGEAcgBkAGIAbwBhAHIAZABcACIALAAgADMALgAzACwAIABcACIATgBHAEEARgAgADIAMAAyADUAIAB0AGEAYgBsAGUAIAAxADUAXAAiADsAXABuACAAIAAgACAAIAAgACAAIABcACIATABhAG4AZABmAGkAbABsAFwAIgAsACAAXAAiAEcAcgBlAGUAbgAgAHcAYQBzAHQAZQAgACgAaQBuAGMAbAB1AGQAaQBuAGcAIABjAHIAbwBwACAAcgBlAHMAaQBkAHUAZQBzACAAbwByACAAcAByAHUAbgBpAG4AZwBzACkAXAAiACwAIAAxAC4ANgAsACAAXAAiAE4ARwBBAEYAIAAyADAAMgA1ACAAdABhAGIAbABlACAAMQA1AFwAIgA7AFwAbgAgACAAIAAgACAAIAAgACAAXAAiAEwAYQBuAGQAZgBpAGwAbABcACIALAAgAFwAIgBXAG8AbwBkAFwAIgAsACAAMAAuADcALAAgAFwAIgBOAEcAQQBGACAAMgAwADIANQAgAHQAYQBiAGwAZQAgADEANQBcACIAOwBcAG4AIAAgACAAIAAgACAAIAAgAFwAIgBMAGEAbgBkAGYAaQBsAGwAXAAiACwAIABcACIAVABlAHgAdABpAGwAZQBzAFwAIgAsACAAMgAuADAALAAgAFwAIgBOAEcAQQBGACAAMgAwADIANQAgAHQAYQBiAGwAZQAgADEANQBcACIAOwBcAG4AIAAgACAAIAAgACAAIAAgAFwAIgBMAGEAbgBkAGYAaQBsAGwAXAAiACwAIABcACIAUwBsAHUAZABnAGUAXAAiACwAIAAwAC4ANAAsACAAXAAiAE4ARwBBAEYAIAAyADAAMgA1ACAAdABhAGIAbABlACAAMQA1AFwAIgA7AFwAbgAgACAAIAAgACAAIAAgACAAXAAiAEwAYQBuAGQAZgBpAGwAbABcACIALAAgAFwAIgBSAHUAYgBiAGUAcgAgAGEAbgBkACAAbABlAGEAdABoAGUAcgBcACIALAAgADMALgAzACwAIABcACIATgBHAEEARgAgADIAMAAyADUAIAB0AGEAYgBsAGUAIAAxADUAXAAiADsAXABuACAAIAAgACAAIAAgACAAIABcACIATABhAG4AZABmAGkAbABsAFwAIgAsACAAXAAiAEkAbgBlAHIAdAAgAHcAYQBzAHQAZQAgACgAaQBuAGMAbAB1AGQAaQBuAGcAIABjAG8AbgBjAHIAZQB0AGUALAAgAG0AZQB0AGEAbAAsACAAcABsAGEAcwB0AGkAYwAgAG8AcgAgAGcAbABhAHMAcwApAFwAIgAsACAAMAAsACAAXAAiAE4ARwBBAEYAIAAyADAAMgA1ACAAdABhAGIAbABlACAAMQA1AFwAIgA7AFwAbgAgACAAIAAgACAAIAAgACAAXAAiAEwAYQBuAGQAZgBpAGwAbABcACIALAAgAFwAIgBNAHUAbgBpAGMAaQBwAGEAbAAgAHMAbwBsAGkAZAAgAHcAYQBzAHQAZQBcACIALAAgADEALgA2ACwAIABcACIATgBHAEEARgAgADIAMAAyADUAIAB0AGEAYgBsAGUAIAAxADUAXAAiADsAXABuACAAIAAgACAAIAAgACAAIABcACIATABhAG4AZABmAGkAbABsAFwAIgAsACAAXAAiAEMAbwBtAG0AZQByAGMAaQBhAGwAIABhAG4AZAAgAGkAbgBkAHUAcwB0AHIAaQBhAGwAIAB3AGEAcwB0AGUAXAAiACwAIAAxAC4AMwAsACAAXAAiAE4ARwBBAEYAIAAyADAAMgA1ACAAdABhAGIAbABlACAAMQA1AFwAIgA7AFwAbgAgACAAIAAgACAAIAAgACAAXAAiAEwAYQBuAGQAZgBpAGwAbABcACIALAAgAFwAIgBDAG8AbgBzAHQAcgB1AGMAdABpAG8AbgAgAGEAbgBkACAAZABlAG0AbwBsAGkAdABpAG8AbgAgAHcAYQBzAHQAZQBcACIALAAgADAALgAyACwAIABcACIATgBHAEEARgAgADIAMAAyADUAIAB0AGEAYgBsAGUAIAAxADUAXAAiADsAXABuACAAIAAgACAAIAAgACAAIABcAG4AIAAgACAAIAAgACAAIAAgAFwAIgBJAG4AYwBpAG4AZQByAGEAdABpAG8AbgBcACIALAAgAFwAIgBGAG8AbwBkACAAdwBhAHMAdABlACwAIABnAHIAZQBlAG4AIAB3AGEAcwB0AGUALAAgAHcAbwBvAGQALAAgAHMAbAB1AGQAZwBlAFwAIgAsACAAMAAsACAAXAAiAFwAIgA7AFwAbgAgACAAIAAgACAAIAAgACAAXAAiAEkAbgBjAGkAbgBlAHIAYQB0AGkAbwBuAFwAIgAsACAAXAAiAEYAbwBvAGQAIAB3AGEAcwB0AGUAIAAoAGkAbgBjAGwAdQBkAGkAbgBnACAAYQBuAGkAbQBhAGwAIABjAGEAcgBjAGEAcwBzAGUAcwAsACAAcwBwAG8AaQBsAGUAZAAgAGEAbgBpAG0AYQBsACAAZgBlAGUAZAAgAG8AcgAgAGMAcgBvAHAAKQBcACIALAAgADAALAAgAFwAIgBcACIAOwBcAG4AIAAgACAAIAAgACAAIAAgAFwAIgBJAG4AYwBpAG4AZQByAGEAdABpAG8AbgBcACIALAAgAFwAIgBHAHIAZQBlAG4AIAB3AGEAcwB0AGUAIAAoAGkAbgBjAGwAdQBkAGkAbgBnACAAYwByAG8AcAAgAHIAZQBzAGkAZAB1AGUAcwAgAG8AcgAgAHAAcgB1AG4AaQBuAGcAcwApAFwAIgAsACAAMAAsACAAXAAiAFwAIgA7AFwAbgAgACAAIAAgACAAIAAgACAAXAAiAEkAbgBjAGkAbgBlAHIAYQB0AGkAbwBuAFwAIgAsACAAXAAiAFcAbwBvAGQAXAAiACwAIAAwACwAIABcACIAXAAiADsAXABuACAAIAAgACAAIAAgACAAIABcACIASQBuAGMAaQBuAGUAcgBhAHQAaQBvAG4AXAAiACwAIABcACIAUwBsAHUAZABnAGUAXAAiACwAIAAwACwAIABcACIAXAAiADsAXABuACAAIAAgACAAIAAgACAAIABcACIASQBuAGMAaQBuAGUAcgBhAHQAaQBvAG4AXAAiACwAIABcACIAUABhAHAAZQByACAAYQBuAGQAIABjAGEAcgBkAGIAbwBhAHIAZABcACIALAAgADAALgAwADEANgA5ACwAIABcACIAXAAiADsAXABuACAAIAAgACAAIAAgACAAIABcACIASQBuAGMAaQBuAGUAcgBhAHQAaQBvAG4AXAAiACwAIABcACIAVABlAHgAdABpAGwAZQBzAFwAIgAsACAAMAAuADMANgA2ADcALAAgAFwAIgBcACIAOwBcAG4AIAAgACAAIAAgACAAIAAgAFwAIgBJAG4AYwBpAG4AZQByAGEAdABpAG8AbgBcACIALAAgAFwAIgBSAHUAYgBiAGUAcgAgAGEAbgBkACAAbABlAGEAdABoAGUAcgBcACIALAAgADAALgA0ADkAMQA5ACwAIABcACIAXAAiADsAXABuACAAIAAgACAAIAAgACAAIABcACIASQBuAGMAaQBuAGUAcgBhAHQAaQBvAG4AXAAiACwAIABcACIASQBuAGUAcgB0ACAAdwBhAHMAdABlACAAKABpAG4AYwBsAHUAZABpAG4AZwAgAGMAbwBuAGMAcgBlAHQAZQAsACAAbQBlAHQAYQBsACwAIABwAGwAYQBzAHQAaQBjACAAbwByACAAZwBsAGEAcwBzACkAXAAiACwAIAAwAC4AMQAxADAAMAAsACAAXAAiAFwAIgA7AFwAbgAgACAAIAAgACAAIAAgACAAXAAiAEkAbgBjAGkAbgBlAHIAYQB0AGkAbwBuAFwAIgAsACAAXAAiAE0AdQBuAGkAYwBpAHAAYQBsACAAcwBvAGwAaQBkACAAdwBhAHMAdABlAFwAIgAsACAAMAAuADAANQAzADcALAAgAFwAIgBOAEcAQQBGACAAMgAwADIANQAgAFQAYQBiAGwAZQAgADEAOABcACIAOwBcAG4AIAAgACAAIAAgACAAIAAgAFwAIgBJAG4AYwBpAG4AZQByAGEAdABpAG8AbgBcACIALAAgAFwAIgBDAG8AbQBtAGUAcgBjAGkAYQBsACAAYQBuAGQAIABpAG4AZAB1AHMAdAByAGkAYQBsACAAdwBhAHMAdABlAFwAIgAsACAAMQAuADYANAA5ACwAIABcACIATgBHAEEARgAgADIAMAAyADUAIABUAGEAYgBsAGUAIAAxADgAXAAiADsAXABuAFwAbgAgACAAIAAgACAAIAAgACAAXAAiAEMAbwBtAHAAbwBzAHQAaQBuAGcAXAAiACwAIABcACIAQQBsAGwAIABvAHIAZwBhAG4AaQBjACAAdwBhAHMAdABlAFwAIgAsACAAMAAuADAANAA2ACwAIABcACIATgBHAEEARgAgADIAMAAyADUAIABUAGEAYgBsAGUAIAAxADkAXAAiADsAXABuACAAIAAgACAAIAAgACAAIABcACIAQwBvAG0AcABvAHMAdABpAG4AZwBcACIALAAgAFwAIgBGAG8AbwBkACAAdwBhAHMAdABlACAAKABpAG4AYwBsAHUAZABpAG4AZwAgAGEAbgBpAG0AYQBsACAAYwBhAHIAYwBhAHMAcwBlAHMALAAgAHMAcABvAGkAbABlAGQAIABhAG4AaQBtAGEAbAAgAGYAZQBlAGQAIABvAHIAIABjAHIAbwBwACkAXAAiACwAIAAwAC4AMAA0ADYALAAgAFwAIgBcACIAOwBcAG4AIAAgACAAIAAgACAAIAAgAFwAIgBDAG8AbQBwAG8AcwB0AGkAbgBnAFwAIgAsACAAXAAiAEcAcgBlAGUAbgAgAHcAYQBzAHQAZQAgACgAaQBuAGMAbAB1AGQAaQBuAGcAIABjAHIAbwBwACAAcgBlAHMAaQBkAHUAZQBzACAAbwByACAAcAByAHUAbgBpAG4AZwBzACkAXAAiACwAIAAwAC4AMAA0ADYALAAgAFwAIgBcACIAOwBcAG4AIAAgACAAIAAgACAAIAAgAFwAIgBDAG8AbQBwAG8AcwB0AGkAbgBnAFwAIgAsACAAXAAiAFcAbwBvAGQAXAAiACwAIAAwAC4AMAA0ADYALAAgAFwAIgBcACIAOwBcAG4AIAAgACAAIAAgACAAIAAgAFwAIgBDAG8AbQBwAG8AcwB0AGkAbgBnAFwAIgAsACAAXAAiAFMAbAB1AGQAZwBlAFwAIgAsACAAMAAuADAANAA2ACwAIABcACIAXAAiADsAXABuACAAIAAgACAAIAAgACAAIABcACIAQwBvAG0AcABvAHMAdABpAG4AZwBcACIALAAgAFwAIgBQAGEAcABlAHIAIABhAG4AZAAgAGMAYQByAGQAYgBvAGEAcgBkAFwAIgAsACAAMAAuADAANAA2ACwAIABcACIAXAAiADsAXABuAFwAbgAgACAAIAAgACAAIAAgACAAXAAiAEEAbgBhAGUAcgBvAGIAaQBjACAAZABpAGcAZQBzAHQAaQBvAG4AXAAiACwAIABcACIAQQBsAGwAIABvAHIAZwBhAG4AaQBjACAAdwBhAHMAdABlAFwAIgAsACAAMAAuADAAMgA4ACwAIABcACIATgBHAEEARgAgADIAMAAyADUAIABUAGEAYgBsAGUAIAAxADkAXAAiADsAXABuACAAIAAgACAAIAAgACAAIABcACIAQQBuAGEAZQByAG8AYgBpAGMAIABkAGkAZwBlAHMAdABpAG8AbgBcACIALAAgAFwAIgBGAG8AbwBkACAAdwBhAHMAdABlACAAKABpAG4AYwBsAHUAZABpAG4AZwAgAGEAbgBpAG0AYQBsACAAYwBhAHIAYwBhAHMAcwBlAHMALAAgAHMAcABvAGkAbABlAGQAIABhAG4AaQBtAGEAbAAgAGYAZQBlAGQAIABvAHIAIABjAHIAbwBwACkAXAAiACwAIAAwAC4AMAAyADgALAAgAFwAIgBcACIAOwBcAG4AIAAgACAAIAAgACAAIAAgAFwAIgBBAG4AYQBlAHIAbwBiAGkAYwAgAGQAaQBnAGUAcwB0AGkAbwBuAFwAIgAsACAAXAAiAEcAcgBlAGUAbgAgAHcAYQBzAHQAZQAgACgAaQBuAGMAbAB1AGQAaQBuAGcAIABjAHIAbwBwACAAcgBlAHMAaQBkAHUAZQBzACAAbwByACAAcAByAHUAbgBpAG4AZwBzACkAXAAiACwAIAAwAC4AMAAyADgALAAgAFwAIgBcACIAOwBcAG4AIAAgACAAIAAgACAAIAAgAFwAIgBBAG4AYQBlAHIAbwBiAGkAYwAgAGQAaQBnAGUAcwB0AGkAbwBuAFwAIgAsACAAXAAiAFcAbwBvAGQAXAAiACwAIAAwAC4AMAAyADgALAAgAFwAIgBcACIAOwBcAG4AIAAgACAAIAAgACAAIAAgAFwAIgBBAG4AYQBlAHIAbwBiAGkAYwAgAGQAaQBnAGUAcwB0AGkAbwBuAFwAIgAsACAAXAAiAFMAbAB1AGQAZwBlAFwAIgAsACAAMAAuADAAMgA4ACwAIABcACIAXAAiADsAXABuACAAIAAgACAAIAAgACAAIABcACIAQQBuAGEAZQByAG8AYgBpAGMAIABkAGkAZwBlAHMAdABpAG8AbgBcACIALAAgAFwAIgBQAGEAcABlAHIAIABhAG4AZAAgAGMAYQByAGQAYgBvAGEAcgBkAFwAIgAsACAAMAAuADAAMgA4ACwAIABcACIAXAAiAFwAbgAgACAAIAAgACAAIAB9ACwAIAByACwAIABjACkAXABuACkAKQApADsAXABuAFwAbgBXAGEAcwB0AGUAXwBFAG0AaQBzAHMAaQBvAG4ARgBhAGMAdABvAHIAcwBGAG8AcgBXAGEAcwB0AGUAVAByAGUAYQB0AG0AZQBuAHQAXwBWAGEAcgBpAGEAdABpAG8AbgBcAG4APQBMAEEATQBCAEQAQQAoAFwAbgAgACAATQBBAEsARQBBAFIAUgBBAFkAKAA3ACwAIAAxACwAXABuACAAIAAgACAATABBAE0AQgBEAEEAKAByACwAYwAsAFwAbgAgACAAIAAgACAAIABJAE4ARABFAFgAKAB7AFwAbgAgACAAIAAgACAAIAAgACAAXAAiAFYAQQBSAEkAQQBUAEkATwBOACAATwBOACAAUwBPAFUAUgBDAEUAOgBcACIAOwBcAG4AIAAgACAAIAAgACAAIAAgAFwAIgBGAGkAeABlAGQAIAB0AHkAcABvACAAXAB1ADAAMAAyADcAcABhAHAAZQByACAAYQBuAGQAIABjAGEAcgBiAG8AYQByAGQAXAB1ADAAMAAyADcAIAB0AG8AIABcAHUAMAAwADIANwBwAGEAcABlAHIAIABhAG4AZAAgAGMAYQByAGQAYgBvAGEAcgBkAFwAdQAwADAAMgA3AFwAIgA7AFwAbgAgACAAIAAgACAAIAAgACAAXAAiAEYAaQB4AGUAZAAgAHQAeQBwAG8AIABcAHUAMAAwADIANwBwAHIAdQBuAG4AaQBuAGcAcwBcAHUAMAAwADIANwAgAHQAbwAgAFwAdQAwADAAMgA3AHAAcgB1AG4AaQBuAGcAcwBcAHUAMAAwADIANwBcACIAOwBcAG4AIAAgACAAIAAgACAAIAAgAFwAIgBBAGQAZABlAGQAIABFAEYAIABzAG8AdQByAGMAZQAgAGMAbwBsAHUAbQBuACAAdwBpAHQAaAAgAHMAcABlAGMAaQBmAGkAYwAgAHIAZQBmAGUAcgBlAG4AYwBlAHMAXAAiADsAXABuACAAIAAgACAAIAAgACAAIABcACIAQQBkAGQAZQBkACAAcwB1AGIALQBjAGEAdABlAGcAbwByAGkAZQBzACAAZgBvAHIAIABcAHUAMAAwADIANwBJAG4AYwBpAG4AZQByAGEAdABpAG8AbgA6ACAARgBvAG8AZAAgAHcAYQBzAHQAZQAsACAAZwByAGUAZQBuACAAdwBhAHMAdABlACwAIAB3AG8AbwBkACwAIABzAGwAdQBkAGcAZQBcAHUAMAAwADIANwAgAGkAbgAgAG8AcgBkAGUAcgAgAHQAbwAgAHUAcwBlACAAdgBvAGwAdQBtAGUAIAB0AG8AIABtAGEAcwBzACAAYwBvAG4AdgBlAHIAcwBpAG8AbgAgAGYAYQBjAHQAbwByACAAdgBhAGwAdQBlAHMAXAAiADsAXABuACAAIAAgACAAIAAgACAAIABcACIAQQBkAGQAZQBkACAAcwB1AGIALQBjAGEAdABlAGcAbwByAGkAZQBzACAAZgBvAHIAIABcAHUAMAAwADIANwBDAG8AbQBwAG8AcwB0AGkAbgBnADoAIABBAGwAbAAgAG8AcgBnAGEAbgBpAGMAIAB3AGEAcwB0AGUAXAB1ADAAMAAyADcAIABpAG4AIABvAHIAZABlAHIAIAB0AG8AIAB1AHMAZQAgAHYAbwBsAHUAbQBlACAAdABvACAAbQBhAHMAcwAgAGMAbwBuAHYAZQByAHMAaQBvAG4AIABmAGEAYwB0AG8AcgAgAHYAYQBsAHUAZQBzAFwAIgA7AFwAbgAgACAAIAAgACAAIAAgACAAXAAiAEEAZABkAGUAZAAgAHMAdQBiAC0AYwBhAHQAZQBnAG8AcgBpAGUAcwAgAGYAbwByACAAXAB1ADAAMAAyADcAQQBuAGEAZQByAG8AYgBpAGMAIABkAGkAZwBlAHMAdABpAG8AbgA6ACAAQQBsAGwAIABvAHIAZwBhAG4AaQBjACAAdwBhAHMAdABlAFwAdQAwADAAMgA3ACAAaQBuACAAbwByAGQAZQByACAAdABvACAAdQBzAGUAIAB2AG8AbAB1AG0AZQAgAHQAbwAgAG0AYQBzAHMAIABjAG8AbgB2AGUAcgBzAGkAbwBuACAAZgBhAGMAdABvAHIAIAB2AGEAbAB1AGUAcw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QAYQBiAGwAZQAgAEEALgA0AC4AMQAuADIAOgAgAFYAbwBsAHUAbQBlACAAdABvACAAbQBhAHMAcwAgAGMAbwBuAHYAZQByAHMAaQBvAG4AIABmAGEAYwB0AG8AcgAgAGYAbwByACAAdgBhAHIAaQBvAHUAcwAgAHcAYQBzAHQAZQAgAHQAeQBwAGUAcwAgACgAdAAvAG0AMwApACAAKABWAFQATQB3ACkAXABuAD0APQA9AD0APQA9AD0APQA9AD0APQA9AD0APQA9AD0APQA9AD0APQA9AD0APQA9AD0APQA9AD0APQA9AD0APQA9AD0APQA9AD0APQA9AD0APQA9AD0APQA9AD0APQA9AD0APQA9AD0APQA9AD0APQA9AD0APQA9AD0APQA9AD0APQA9AD0APQA9AD0APQA9AD0APQA9AD0AXABuACoALwBcAG4AXABuAFcAYQBzAHQAZQBfAFcAYQBzAHQAZQBWAG8AbAB1AG0AZQBUAG8ATQBhAHMAcwBDAG8AbgB2AGUAcgBzAGkAbwBuAF8AVABpAHQAbABlAFwAbgA9AEwAQQBNAEIARABBACgAKABcACIAVgBvAGwAdQBtAGUAIAB0AG8AIABtAGEAcwBzACAAYwBvAG4AdgBlAHIAcwBpAG8AbgAgAGYAYQBjAHQAbwByACAAZgBvAHIAIAB2AGEAcgBpAG8AdQBzACAAdwBhAHMAdABlACAAdAB5AHAAZQBzAFwAIgApACkAOwBcAG4AXABuAFcAYQBzAHQAZQBfAFcAYQBzAHQAZQBWAG8AbAB1AG0AZQBUAG8ATQBhAHMAcwBDAG8AbgB2AGUAcgBzAGkAbwBuAF8AVgBhAHIAaQBhAGIAbABlAFwAbgA9AEwAQQBNAEIARABBACgAKABcACIAVgBUAE0AdwBcACIAKQApADsAXABuAFwAbgBXAGEAcwB0AGUAXwBXAGEAcwB0AGUAVgBvAGwAdQBtAGUAVABvAE0AYQBzAHMAQwBvAG4AdgBlAHIAcwBpAG8AbgBfAFUAbgBpAHQAXABuAD0ATABBAE0AQgBEAEEAKAAoAFwAIgB0AC8AbQAzAFwAIgApACkAOwBcAG4AXABuAFcAYQBzAHQAZQBfAFcAYQBzAHQAZQBWAG8AbAB1AG0AZQBUAG8ATQBhAHMAcwBDAG8AbgB2AGUAcgBzAGkAbwBuAF8AUwBvAHUAcgBjAGUAXABuAD0ATABBAE0AQgBEAEEAKAAoAFwAIgBWAEUARQBSAEcAIAAyADAAMgA2ADoAIABUAGEAYgBsAGUAIABBAC4ANAAuADEALgAyAFwAIgApACkAOwBcAG4AXABuAFcAYQBzAHQAZQBfAFcAYQBzAHQAZQBWAG8AbAB1AG0AZQBUAG8ATQBhAHMAcwBDAG8AbgB2AGUAcgBzAGkAbwBuAF8ARABhAHQAYQBcAG4APQBMAEEATQBCAEQAQQAoAFwAbgAgACAATQBBAEsARQBBAFIAUgBBAFkAKAAxADIALAAgADIALABcAG4AIAAgACAAIABMAEEATQBCAEQAQQAoAHIALABjACwAXABuACAAIAAgACAAIAAgAEkATgBEAEUAWAAoAHsAXABuACAAIAAgACAAIAAgACAAIABcACIAVwBhAHMAdABlACAAdAB5AHAAZQAgAHcAXAAiACwAIABcACIAVgBUAE0AdwBcACIAOwBcAG4AIAAgACAAIAAgACAAIAAgAFwAIgBGAG8AbwBkACAAdwBhAHMAdABlACAAKABpAG4AYwBsAHUAZABpAG4AZwAgAGEAbgBpAG0AYQBsACAAYwBhAHIAYwBhAHMAcwBlAHMALAAgAHMAcABvAGkAbABlAGQAIABhAG4AaQBtAGEAbAAgAGYAZQBlAGQAIABvAHIAIABjAHIAbwBwACkAXAAiACwAIAAwAC4ANQAwADsAXABuACAAIAAgACAAIAAgACAAIABcACIAUABhAHAAZQByACAAYQBuAGQAIABjAGEAcgBkAGIAbwBhAHIAZABcACIALAAgADAALgAwADkAOwBcAG4AIAAgACAAIAAgACAAIAAgAFwAIgBHAHIAZQBlAG4AIAB3AGEAcwB0AGUAIAAoAGkAbgBjAGwAdQBkAGkAbgBnACAAYwByAG8AcAAgAHIAZQBzAGkAZAB1AGUAcwAgAG8AcgAgAHAAcgB1AG4AaQBuAGcAcwApAFwAIgAsACAAMAAuADIANAA7AFwAbgAgACAAIAAgACAAIAAgACAAXAAiAFcAbwBvAGQAXAAiACwAIAAwAC4AMQA1ADsAXABuACAAIAAgACAAIAAgACAAIABcACIAVABlAHgAdABpAGwAZQBzAFwAIgAsACAAMAAuADEANAA7AFwAbgAgACAAIAAgACAAIAAgACAAXAAiAFMAbAB1AGQAZwBlAFwAIgAsACAAMAAuADcAMgA7AFwAbgAgACAAIAAgACAAIAAgACAAXAAiAFIAdQBiAGIAZQByACAAYQBuAGQAIABsAGUAYQB0AGgAZQByAFwAIgAsACAAMAAuADEANAA7AFwAbgAgACAAIAAgACAAIAAgACAAXAAiAEkAbgBlAHIAdAAgAHcAYQBzAHQAZQAgACgAaQBuAGMAbAB1AGQAaQBuAGcAIABjAG8AbgBjAHIAZQB0AGUALAAgAG0AZQB0AGEAbAAsACAAcABsAGEAcwB0AGkAYwAgAG8AcgAgAGcAbABhAHMAcwApAFwAIgAsACAAMAAuADQAMgA7AFwAbgAgACAAIAAgACAAIAAgACAAXAAiAE0AdQBuAGkAYwBpAHAAYQBsACAAcwBvAGwAaQBkACAAdwBhAHMAdABlAFwAIgAsACAAMAAuADMANgA7AFwAbgAgACAAIAAgACAAIAAgACAAXAAiAEMAbwBtAG0AZQByAGMAaQBhAGwAIABhAG4AZAAgAGkAbgBkAHUAcwB0AHIAaQBhAGwAIAB3AGEAcwB0AGUAXAAiACwAIAAwAC4AMwAzADsAXABuACAAIAAgACAAIAAgACAAIABcACIAQwBvAG4AcwB0AHIAdQBjAHQAaQBvAG4AIABhAG4AZAAgAGQAZQBtAG8AbABpAHQAaQBvAG4AIAB3AGEAcwB0AGUAXAAiACwAIAAwAC4AMwA5AFwAbgAgACAAIAAgACAAIAB9ACwAIAByACwAIABjACkAXABuACkAKQApADsAXABuAFwAbgBXAGEAcwB0AGUAXwBXAGEAcwB0AGUAVgBvAGwAdQBtAGUAVABvAE0AYQBzAHMAQwBvAG4AdgBlAHIAcwBpAG8AbgBfAFYAYQByAGkAYQB0AGkAbwBuAFwAbgA9AEwAQQBNAEIARABBACgAKABcACIAVgBBAFIASQBBAFQASQBPAE4AIABPAEYAIABTAE8AVQBSAEMARQA6ACAAQwBoAGEAbgBnAGUAZAAgAGMAbwBsAHUAbQBuACAAaABlAGEAZABlAHIAIABDAEYAdwAgAHQAbwAgAFYAVABNAHcAIAB0AG8AIABtAGEAdABjAGgAIAB0AGkAdABsAGUAIAB2AGEAcgBpAGEAYgBsAGUALgBcACIAKQApADsAXABuAFwAbgBcAG4AIgB9ACwAewAiAHAAYQB0AGgAIgA6ACIALwBwAHIAbwBqAGUAYwB0AHMALwBTAGMAbwBwAGUAMwBfAEUAcQB1AGEAdABpAG8AbgBzACIALAAiAHQAZQB4AHQAIgA6ACIALwAqAFwAbgA9AD0APQA9AD0APQA9AD0APQA9AD0APQA9AD0APQA9AD0APQA9AD0APQA9AD0APQA9AD0APQA9AD0APQA9AD0APQA9AD0APQA9AD0APQA9AD0APQA9AD0APQA9AD0APQA9AD0APQA9AD0APQA9AD0APQA9AD0APQA9AD0APQA9AD0APQA9AD0APQA9AD0APQA9AD0APQA9AFwAbgAxADUAOgAgAFMAYwBvAHAAZQAgADMAIABFAG0AaQBzAHMAaQBvAG4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QBfADEAXwAxAF8AMQBfAF8AMQBfAEUAbQBpAHMAcwBpAG8AbgBzAEYAcgBvAG0AUAB1AHIAYwBoAGEAcwBlAGQATABpAHYAZQBzAHQAbwBjAGsAXABuAFQAbwB0AGEAbAAgAGUAbQBpAHMAcwBpAG8AbgBzACAAZgByAG8AbQAgAHAAdQByAGMAaABhAHMAZQBkACAAbABpAHYAZQBzAHQAbwBjAGsAXABuAEUAXABuAHQAIABDAE8AMgBlAFwAbgBFAD0AXABcAHMAdQBtAFwAXABuAG8AbABpAG0AaQB0AHMAXwBjAFwAXABzAHUAbQBcAFwAbgBvAGwAaQBtAGkAdABzAF8AbwBcAFwAbABlAGYAdAAoAE4AXwB7AGMAbwB9AFwAXAB0AGkAbQBlAHMAIABXAF8AewBjAG8AfQBcAFwAdABpAG0AZQBzACAARQBGAF8AewBjAG8AfQBcAFwAcgBpAGcAaAB0ACkAXABcAHQAaQBtAGUAcwAgADEAMABeAHsALQAzAH0AXABuAE4AXwBjAG8AIAA9ACAAbgB1AG0AYgBlAHIAIABvAGYAIABhAG4AaQBtAGEAbABzACAAcAB1AHIAYwBoAGEAcwBlAGQAIABpAG4AIABsAGkAdgBlAHMAdABvAGMAawAgAHQAeQBwAGUAIABjACAAZgByAG8AbQAgAG8AcgBpAGcAaQBuACAAbwBcAG4AVwBfAGMAbwAgAD0AIABhAHYAZQByAGEAZwBlACAAbABpAHYAZQB3AGUAaQBnAGgAdAAgAG8AZgAgAHAAdQByAGMAaABhAHMAZQBkACAAbABpAHYAZQBzAHQAbwBjAGsAIABhAHQAIABwAG8AaQBuAHQAIABvAGYAIABwAHUAcgBjAGgAYQBzAGUAXABuAEUARgBfAGMAbwAgAD0AIABlAG0AaQBzAHMAaQBvAG4AIABmAGEAYwB0AG8AcgAgAHAAZQByACAAbABpAHYAZQBzAHQAbwBjAGsAIAB0AHkAcABlACAAYQBuAGQAIABvAHIAaQBnAGkAbgBcAG4ALQAtAC0ALQAtAC0ALQAtAC0ALQAtAC0ALQAtAC0ALQAtAC0ALQAtAC0ALQAtAC0ALQAtAC0ALQAtAC0ALQAtAC0ALQAtAC0ALQAtAFwAbgAqAC8AXABuAFwAbgBWAEUARQBSAEcAXwAxADUAXwAxAF8AMQBfADEAXwBfADEAXwBFAG0AaQBzAHMAaQBvAG4AcwBGAHIAbwBtAFAAdQByAGMAaABhAHMAZQBkAEwAaQB2AGUAcwB0AG8AYwBrAFwAbgAgACAAPQBMAEEATQBCAEQAQQAoAFwAbgAgACAAIAAgAE4AXwBjAG8ALAAgAFcAXwBjAG8ALAAgAEUARgBfAGMAbwAsAFwAbgAgACAAIAAgACgATgBfAGMAbwAgACoAIABXAF8AYwBvACAAKgAgAEUARgBfAGMAbwApACAAKgAgADEAMAAgAF4AIAAtADMAXABuACAAIAApADsAXABuAFwAbgBWAEUARQBSAEcAXwAxADUAXwAxAF8AMQBfADEAXwBfADEAXwBFAG0AaQBzAHMAaQBvAG4AcwBGAHIAbwBtAFAAdQByAGMAaABhAHMAZQBkAEwAaQB2AGUAcwB0AG8AYwBrAF8AVABpAHQAbABlAFwAbgAgACAAPQBMAEEATQBCAEQAQQAoAFwAIgBUAG8AdABhAGwAIABlAG0AaQBzAHMAaQBvAG4AcwAgAGYAcgBvAG0AIABwAHUAcgBjAGgAYQBzAGUAZAAgAGwAaQB2AGUAcwB0AG8AYwBrAFwAIgApADsAXABuAFwAbgBWAEUARQBSAEcAXwAxADUAXwAxAF8AMQBfADEAXwBfADEAXwBFAG0AaQBzAHMAaQBvAG4AcwBGAHIAbwBtAFAAdQByAGMAaABhAHMAZQBkAEwAaQB2AGUAcwB0AG8AYwBrAF8AVgBhAHIAaQBhAGIAbABlAFwAbgAgACAAPQBMAEEATQBCAEQAQQAoAFwAIgBFAFwAIgApADsAXABuAFwAbgBWAEUARQBSAEcAXwAxADUAXwAxAF8AMQBfADEAXwBfADEAXwBFAG0AaQBzAHMAaQBvAG4AcwBGAHIAbwBtAFAAdQByAGMAaABhAHMAZQBkAEwAaQB2AGUAcwB0AG8AYwBrAF8AVQBuAGkAdABcAG4AIAAgAD0ATABBAE0AQgBEAEEAKABcACIAdAAgAEMATwAyAGUAXAAiACkAOwBcAG4AXABuAFYARQBFAFIARwBfADEANQBfADEAXwAxAF8AMQBfAF8AMQBfAEUAbQBpAHMAcwBpAG8AbgBzAEYAcgBvAG0AUAB1AHIAYwBoAGEAcwBlAGQATABpAHYAZQBzAHQAbwBjAGsAXwBTAG8AdQByAGMAZQBcAG4AIAAgAD0ATABBAE0AQgBEAEEAKABcACIAVgBFAEUAUgBHACAAMgAwADIANgA6ACAAMQA1AC4AMQAuADEALgAxACwAIABFAHEAdQBhAHQAaQBvAG4AIAAoADEAKQBcACIAKQA7AFwAbgBcAG4AVgBFAEUAUgBHAF8AMQA1AF8AMQBfADEAXwAxAF8AXwAxAF8ARQBtAGkAcwBzAGkAbwBuAHMARgByAG8AbQBQAHUAcgBjAGgAYQBzAGUAZABMAGkAdgBlAHMAdABvAGMAawBfAE4ASQBSAFIAZQBmAGUAcgBlAG4AYwBlAFwAbgAgACAAPQBMAEEATQBCAEQAQQAoAFwAIgBcACIAKQA7AFwAbgBcAG4AVgBFAEUAUgBHAF8AMQA1AF8AMQBfADEAXwAxAF8AXwAxAF8ARQBtAGkAcwBzAGkAbwBuAHMARgByAG8AbQBQAHUAcgBjAGgAYQBzAGUAZABMAGkAdgBlAHMAdABvAGMAawBfAEwAYQB0AGUAeABFAHEAdQBhAHQAaQBvAG4AXABuACAAIAA9AEwAQQBNAEIARABBACgAXAAiAEUAPQBcAFwAcwB1AG0AXABcAG4AbwBsAGkAbQBpAHQAcwBfAGMAXABcAHMAdQBtAFwAXABuAG8AbABpAG0AaQB0AHMAXwBvAFwAXABsAGUAZgB0ACgATgBfAHsAYwBvAH0AXABcAHQAaQBtAGUAcwAgAFcAXwB7AGMAbwB9AFwAXAB0AGkAbQBlAHMAIABFAEYAXwB7AGMAbwB9AFwAXAByAGkAZwBoAHQAKQBcAFwAdABpAG0AZQBzACAAMQAwAF4AewAtADMAfQBcACIAKQA7AFwAbgBcAG4AVgBFAEUAUgBHAF8AMQA1AF8AMQBfADEAXwAxAF8AXwAxAF8ARQBtAGkAcwBzAGkAbwBuAHMARgByAG8AbQBQAHUAcgBjAGgAYQBzAGUAZABMAGkAdgBlAHMAdABvAGMAawBfAEEAcgBnAHUAbQBlAG4AdABzAFwAbgAgACAAPQBMAEEATQBCAEQAQQAoAFwAbgAgACAAIAAgAE0AQQBLAEUAQQBSAFIAQQBZACgANQAsACAANAAsAFwAbgAgACAAIAAgACAAIABMAEEATQBCAEQAQQAoAHIALABjACwAXABuACAAIAAgACAAIAAgACAAIABJAE4ARABFAFgAKAB7AFwAbgAgACAAIAAgACAAIAAgACAAIAAgAFwAIgBOAF8AYwBvAFwAIgAsACAAXAAiAG4AdQBtAGIAZQByACAAbwBmACAAYQBuAGkAbQBhAGwAcwAgAHAAdQByAGMAaABhAHMAZQBkACAAaQBuACAAbABpAHYAZQBzAHQAbwBjAGsAIAB0AHkAcABlACAAYwAgAGYAcgBvAG0AIABvAHIAaQBnAGkAbgAgAG8AXAAiACwAIABcACIAaABlAGEAZABcACIALAAgAFwAIgBJAG4AcAB1AHQAXAAiADsAXABuACAAIAAgACAAIAAgACAAIAAgACAAXAAiAFcAXwBjAG8AXAAiACwAIABcACIAYQB2AGUAcgBhAGcAZQAgAGwAaQB2AGUAdwBlAGkAZwBoAHQAIABvAGYAIABwAHUAcgBjAGgAYQBzAGUAZAAgAGwAaQB2AGUAcwB0AG8AYwBrACAAYQB0ACAAcABvAGkAbgB0ACAAbwBmACAAcAB1AHIAYwBoAGEAcwBlAFwAIgAsACAAXAAiAGsAZwAvAGgAZQBhAGQAXAAiACwAIABcACIASQBuAHAAdQB0AFwAIgA7AFwAbgAgACAAIAAgACAAIAAgACAAIAAgAFwAIgBFAEYAXwBjAG8AXAAiACwAIABcACIAZQBtAGkAcwBzAGkAbwBuACAAZgBhAGMAdABvAHIAIABwAGUAcgAgAGwAaQB2AGUAcwB0AG8AYwBrACAAdAB5AHAAZQAgAGEAbgBkACAAbwByAGkAZwBpAG4AXAAiACwAIABcACIAawBnACAAQwBPADIAZQAvAGsAZwBcACIALAAgAFwAIgBDAG8AbgBzAHQAYQBuAHQAXAAiADsAXABuACAAIAAgACAAIAAgACAAIAAgACAAXAAiAGMAXAAiACwAIABcACIAbABpAHYAZQBzAHQAbwBjAGsAIAB0AHkAcABlAFwAIgAsACAAXAAiAFwAIgAsACAAXAAiAEkAbgBwAHUAdABcACIAOwBcAG4AIAAgACAAIAAgACAAIAAgACAAIABcACIAbwBcACIALAAgAFwAIgBvAHIAaQBnAGk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gBfADEAXwAxAF8AXwAxAF8ARQBtAGkAcwBzAGkAbwBuAHMARgByAG8AbQBQAHUAcgBjAGgAYQBzAGUAZABGAGUAZQBkAFwAbgBFAG0AaQBzAHMAaQBvAG4AcwAgAGYAcgBvAG0AIABwAHUAcgBjAGgAYQBzAGUAZAAgAGYAZQBlAGQAXABuAEUAXABuAHQAIABDAE8AMgBlAFwAbgBFAD0AXABcAHMAdQBtAFwAXABuAG8AbABpAG0AaQB0AHMAXwBqAFwAXABsAGUAZgB0ACgAUQBfAGoAXABcAHQAaQBtAGUAcwAgAEUARgBfAGoAXABcAHIAaQBnAGgAdAApAFwAbgBRAF8AagAgAD0AIABxAHUAYQBuAHQAaQB0AHkAIABvAGYAIABmAGUAZQBkACAAdAB5AHAAZQAgAGoAIABwAHUAcgBjAGgAYQBzAGUAZABcAG4ARQBGAF8AagAgAD0AIABlAG0AaQBzAHMAaQBvAG4AIABmAGEAYwB0AG8AcgAgAG8AZgAgAHAAdQByAGMAaABhAHMAZQBkACAAZgBlAGUAZABcAG4ALQAtAC0ALQAtAC0ALQAtAC0ALQAtAC0ALQAtAC0ALQAtAC0ALQAtAC0ALQAtAC0ALQAtAC0ALQAtAC0ALQAtAC0ALQAtAC0ALQAtAFwAbgAqAC8AXABuAFwAbgBWAEUARQBSAEcAXwAxADUAXwAyAF8AMQBfADEAXwBfADEAXwBFAG0AaQBzAHMAaQBvAG4AcwBGAHIAbwBtAFAAdQByAGMAaABhAHMAZQBkAEYAZQBlAGQAXABuACAAIAA9AEwAQQBNAEIARABBACgAXABuACAAIAAgACAAUQBfAGoALAAgAEUARgBfAGoALABcAG4AIAAgACAAIABRAF8AagAgACoAIABFAEYAXwBqAFwAbgAgACAAKQA7AFwAbgBcAG4AVgBFAEUAUgBHAF8AMQA1AF8AMgBfADEAXwAxAF8AXwAxAF8ARQBtAGkAcwBzAGkAbwBuAHMARgByAG8AbQBQAHUAcgBjAGgAYQBzAGUAZABGAGUAZQBkAF8AVABpAHQAbABlAFwAbgAgACAAPQBMAEEATQBCAEQAQQAoAFwAIgBFAG0AaQBzAHMAaQBvAG4AcwAgAGYAcgBvAG0AIABwAHUAcgBjAGgAYQBzAGUAZAAgAGYAZQBlAGQAXAAiACkAOwBcAG4AXABuAFYARQBFAFIARwBfADEANQBfADIAXwAxAF8AMQBfAF8AMQBfAEUAbQBpAHMAcwBpAG8AbgBzAEYAcgBvAG0AUAB1AHIAYwBoAGEAcwBlAGQARgBlAGUAZABfAFYAYQByAGkAYQBiAGwAZQBcAG4AIAAgAD0ATABBAE0AQgBEAEEAKABcACIARQBcACIAKQA7AFwAbgBcAG4AVgBFAEUAUgBHAF8AMQA1AF8AMgBfADEAXwAxAF8AXwAxAF8ARQBtAGkAcwBzAGkAbwBuAHMARgByAG8AbQBQAHUAcgBjAGgAYQBzAGUAZABGAGUAZQBkAF8AVQBuAGkAdABcAG4AIAAgAD0ATABBAE0AQgBEAEEAKABcACIAdAAgAEMATwAyAGUAXAAiACkAOwBcAG4AXABuAFYARQBFAFIARwBfADEANQBfADIAXwAxAF8AMQBfAF8AMQBfAEUAbQBpAHMAcwBpAG8AbgBzAEYAcgBvAG0AUAB1AHIAYwBoAGEAcwBlAGQARgBlAGUAZABfAFMAbwB1AHIAYwBlAFwAbgAgACAAPQBMAEEATQBCAEQAQQAoAFwAIgBWAEUARQBSAEcAIAAyADAAMgA2ADoAIAAxADUALgAyAC4AMQAuADEALAAgAEUAcQB1AGEAdABpAG8AbgAgACgAMQApAFwAIgApADsAXABuAFwAbgBWAEUARQBSAEcAXwAxADUAXwAyAF8AMQBfADEAXwBfADEAXwBFAG0AaQBzAHMAaQBvAG4AcwBGAHIAbwBtAFAAdQByAGMAaABhAHMAZQBkAEYAZQBlAGQAXwBOAEkAUgBSAGUAZgBlAHIAZQBuAGMAZQBcAG4AIAAgAD0ATABBAE0AQgBEAEEAKABcACIAXAAiACkAOwBcAG4AXABuAFYARQBFAFIARwBfADEANQBfADIAXwAxAF8AMQBfAF8AMQBfAEUAbQBpAHMAcwBpAG8AbgBzAEYAcgBvAG0AUAB1AHIAYwBoAGEAcwBlAGQARgBlAGUAZABfAEwAYQB0AGUAeABFAHEAdQBhAHQAaQBvAG4AXABuACAAIAA9AEwAQQBNAEIARABBACgAXAAiAEUAPQBcAFwAcwB1AG0AXABcAG4AbwBsAGkAbQBpAHQAcwBfAGoAXABcAGwAZQBmAHQAKABRAF8AagBcAFwAdABpAG0AZQBzACAARQBGAF8AagBcAFwAcgBpAGcAaAB0ACkAXAAiACkAOwBcAG4AXABuAFYARQBFAFIARwBfADEANQBfADIAXwAxAF8AMQBfAF8AMQBfAEUAbQBpAHMAcwBpAG8AbgBzAEYAcgBvAG0AUAB1AHIAYwBoAGEAcwBlAGQARgBlAGUAZABfAEEAcgBnAHUAbQBlAG4AdABzAFwAbgAgACAAPQBMAEEATQBCAEQAQQAoAFwAbgAgACAAIAAgAE0AQQBLAEUAQQBSAFIAQQBZACgAMwAsACAANAAsAFwAbgAgACAAIAAgACAAIABMAEEATQBCAEQAQQAoAHIALABjACwAXABuACAAIAAgACAAIAAgACAAIABJAE4ARABFAFgAKAB7AFwAbgAgACAAIAAgACAAIAAgACAAIAAgAFwAIgBRAF8AagBcACIALAAgAFwAIgBxAHUAYQBuAHQAaQB0AHkAIABvAGYAIABmAGUAZQBkACAAdAB5AHAAZQAgAGoAIABwAHUAcgBjAGgAYQBzAGUAZABcACIALAAgAFwAIgB0AFwAIgAsACAAXAAiAEkAbgBwAHUAdABcACIAOwBcAG4AIAAgACAAIAAgACAAIAAgACAAIABcACIARQBGAF8AagBcACIALAAgAFwAIgBlAG0AaQBzAHMAaQBvAG4AIABmAGEAYwB0AG8AcgAgAG8AZgAgAHAAdQByAGMAaABhAHMAZQBkACAAZgBlAGUAZABcACIALAAgAFwAIgBrAGcAIABDAE8AMgBlAC8AawBnAFwAIgAsACAAXAAiAEMAbwBuAHMAdABhAG4AdABcACIAOwBcAG4AIAAgACAAIAAgACAAIAAgACAAIABcACIAagBcACIALAAgAFwAIgBmAGUAZQBk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wBfADEAXwAxAF8AXwAxAF8ARQBtAGkAcwBzAGkAbwBuAHMARgByAG8AbQBQAHUAcgBjAGgAYQBzAGUAZABNAGkAbgBlAHIAYQBsAFMAdQBwAHAAbABlAG0AZQBuAHQAcwBcAG4AVABvAHQAYQBsACAAZQBtAGkAcwBzAGkAbwBuAHMAIABmAHIAbwBtACAAcAB1AHIAYwBoAGEAcwBlAGQAIABtAGkAbgBlAHIAYQBsACAAcwB1AHAAcABsAGUAbQBlAG4AdABzAFwAbgBFAFwAbgB0ACAAQwBPADIAZQBcAG4ARQA9AFwAXABzAHUAbQBcAFwAbgBvAGwAaQBtAGkAdABzAF8AbQBcAFwAbABlAGYAdAAoAFEAXwBtAFwAXAB0AGkAbQBlAHMAIABFAEYAXwBtAFwAXAByAGkAZwBoAHQAKQBcAG4AUQBfAG0AIAA9ACAAdABvAHQAYQBsACAAcQB1AGEAbgB0AGkAdAB5ACAAbwBmACAAbQBpAG4AZQByAGEAbAAgAHMAdQBwAHAAbABlAG0AZQBuAHQAIAB0AHkAcABlACAAbQAgAHUAcwBlAGQAXABuAEUARgBfAG0AIAA9ACAAZQBtAGkAcwBzAGkAbwBuACAAZgBhAGMAdABvAHIAIABvAGYAIABwAHUAcgBjAGgAYQBzAGUAZAAgAG0AaQBuAGUAcgBhAGwAIABzAHUAcABwAGwAZQBtAGUAbgB0AFwAbgAtAC0ALQAtAC0ALQAtAC0ALQAtAC0ALQAtAC0ALQAtAC0ALQAtAC0ALQAtAC0ALQAtAC0ALQAtAC0ALQAtAC0ALQAtAC0ALQAtAC0AXABuACoALwBcAG4AXABuAFYARQBFAFIARwBfADEANQBfADMAXwAxAF8AMQBfAF8AMQBfAEUAbQBpAHMAcwBpAG8AbgBzAEYAcgBvAG0AUAB1AHIAYwBoAGEAcwBlAGQATQBpAG4AZQByAGEAbABTAHUAcABwAGwAZQBtAGUAbgB0AHMAXABuACAAIAA9AEwAQQBNAEIARABBACgAXABuACAAIAAgACAAUQBfAG0ALAAgAEUARgBfAG0ALABcAG4AIAAgACAAIABRAF8AbQAgACoAIABFAEYAXwBtAFwAbgAgACAAKQA7AFwAbgBcAG4AVgBFAEUAUgBHAF8AMQA1AF8AMwBfADEAXwAxAF8AXwAxAF8ARQBtAGkAcwBzAGkAbwBuAHMARgByAG8AbQBQAHUAcgBjAGgAYQBzAGUAZABNAGkAbgBlAHIAYQBsAFMAdQBwAHAAbABlAG0AZQBuAHQAcwBfAFQAaQB0AGwAZQBcAG4AIAAgAD0ATABBAE0AQgBEAEEAKABcACIAVABvAHQAYQBsACAAZQBtAGkAcwBzAGkAbwBuAHMAIABmAHIAbwBtACAAcAB1AHIAYwBoAGEAcwBlAGQAIABtAGkAbgBlAHIAYQBsACAAcwB1AHAAcABsAGUAbQBlAG4AdABzAFwAIgApADsAXABuAFwAbgBWAEUARQBSAEcAXwAxADUAXwAzAF8AMQBfADEAXwBfADEAXwBFAG0AaQBzAHMAaQBvAG4AcwBGAHIAbwBtAFAAdQByAGMAaABhAHMAZQBkAE0AaQBuAGUAcgBhAGwAUwB1AHAAcABsAGUAbQBlAG4AdABzAF8AVgBhAHIAaQBhAGIAbABlAFwAbgAgACAAPQBMAEEATQBCAEQAQQAoAFwAIgBFAFwAIgApADsAXABuAFwAbgBWAEUARQBSAEcAXwAxADUAXwAzAF8AMQBfADEAXwBfADEAXwBFAG0AaQBzAHMAaQBvAG4AcwBGAHIAbwBtAFAAdQByAGMAaABhAHMAZQBkAE0AaQBuAGUAcgBhAGwAUwB1AHAAcABsAGUAbQBlAG4AdABzAF8AVQBuAGkAdABcAG4AIAAgAD0ATABBAE0AQgBEAEEAKABcACIAdAAgAEMATwAyAGUAXAAiACkAOwBcAG4AXABuAFYARQBFAFIARwBfADEANQBfADMAXwAxAF8AMQBfAF8AMQBfAEUAbQBpAHMAcwBpAG8AbgBzAEYAcgBvAG0AUAB1AHIAYwBoAGEAcwBlAGQATQBpAG4AZQByAGEAbABTAHUAcABwAGwAZQBtAGUAbgB0AHMAXwBTAG8AdQByAGMAZQBcAG4AIAAgAD0ATABBAE0AQgBEAEEAKABcACIAVgBFAEUAUgBHACAAMgAwADIANgA6ACAAMQA1AC4AMwAuADEALgAxACwAIABFAHEAdQBhAHQAaQBvAG4AIAAoADEAKQBcACIAKQA7AFwAbgBcAG4AVgBFAEUAUgBHAF8AMQA1AF8AMwBfADEAXwAxAF8AXwAxAF8ARQBtAGkAcwBzAGkAbwBuAHMARgByAG8AbQBQAHUAcgBjAGgAYQBzAGUAZABNAGkAbgBlAHIAYQBsAFMAdQBwAHAAbABlAG0AZQBuAHQAcwBfAE4ASQBSAFIAZQBmAGUAcgBlAG4AYwBlAFwAbgAgACAAPQBMAEEATQBCAEQAQQAoAFwAIgBcACIAKQA7AFwAbgBcAG4AVgBFAEUAUgBHAF8AMQA1AF8AMwBfADEAXwAxAF8AXwAxAF8ARQBtAGkAcwBzAGkAbwBuAHMARgByAG8AbQBQAHUAcgBjAGgAYQBzAGUAZABNAGkAbgBlAHIAYQBsAFMAdQBwAHAAbABlAG0AZQBuAHQAcwBfAEwAYQB0AGUAeABFAHEAdQBhAHQAaQBvAG4AXABuACAAIAA9AEwAQQBNAEIARABBACgAXAAiAEUAPQBcAFwAcwB1AG0AXABcAG4AbwBsAGkAbQBpAHQAcwBfAG0AXABcAGwAZQBmAHQAKABRAF8AbQBcAFwAdABpAG0AZQBzACAARQBGAF8AbQBcAFwAcgBpAGcAaAB0ACkAXAAiACkAOwBcAG4AXABuAFYARQBFAFIARwBfADEANQBfADMAXwAxAF8AMQBfAF8AMQBfAEUAbQBpAHMAcwBpAG8AbgBzAEYAcgBvAG0AUAB1AHIAYwBoAGEAcwBlAGQATQBpAG4AZQByAGEAbABTAHUAcABwAGwAZQBtAGUAbgB0AHMAXwBBAHIAZwB1AG0AZQBuAHQAcwBcAG4AIAAgAD0ATABBAE0AQgBEAEEAKABcAG4AIAAgACAAIABNAEEASwBFAEEAUgBSAEEAWQAoADMALAAgADQALABcAG4AIAAgACAAIAAgACAATABBAE0AQgBEAEEAKAByACwAYwAsAFwAbgAgACAAIAAgACAAIAAgACAASQBOAEQARQBYACgAewBcAG4AIAAgACAAIAAgACAAIAAgACAAIABcACIAUQBfAG0AXAAiACwAIABcACIAdABvAHQAYQBsACAAcQB1AGEAbgB0AGkAdAB5ACAAbwBmACAAbQBpAG4AZQByAGEAbAAgAHMAdQBwAHAAbABlAG0AZQBuAHQAIAB0AHkAcABlACAAbQAgAHUAcwBlAGQAXAAiACwAIABcACIAdABcACIALAAgAFwAIgBJAG4AcAB1AHQAXAAiADsAXABuACAAIAAgACAAIAAgACAAIAAgACAAXAAiAEUARgBfAG0AXAAiACwAIABcACIAZQBtAGkAcwBzAGkAbwBuACAAZgBhAGMAdABvAHIAIABvAGYAIABwAHUAcgBjAGgAYQBzAGUAZAAgAG0AaQBuAGUAcgBhAGwAIABzAHUAcABwAGwAZQBtAGUAbgB0AFwAIgAsACAAXAAiAGsAZwAgAEMATwAyAGUALwBrAGcAXAAiACwAIABcACIAQwBvAG4AcwB0AGEAbgB0AFwAIgA7AFwAbgAgACAAIAAgACAAIAAgACAAIAAgAFwAIgBtAFwAIgAsACAAXAAiAG0AaQBuAGUAcgBhAGwAIABzAHUAcABwAGwAZQBtAGUAbgB0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xAF8ARQBtAGkAcwBzAGkAbwBuAHMARgByAG8AbQBQAHUAcgBjAGgAYQBzAGUAZABGAGUAcgB0AGkAbABpAHMAZQByAFwAbgBFAG0AaQBzAHMAaQBvAG4AcwAgAGYAcgBvAG0AIABwAHUAcgBjAGgAYQBzAGUAZAAgAGYAZQByAHQAaQBsAGkAcwBlAHIAXABuAEUAXABuAHQAIABDAE8AMgBlAFwAbgBFAD0AXABcAHMAdQBtAFwAXABuAG8AbABpAG0AaQB0AHMAXwBmAFwAXABzAHUAbQBcAFwAbgBvAGwAaQBtAGkAdABzAF8AagBcAFwAbABlAGYAdAAoAFQATQBfAHsAagBmAH0AXABcAHQAaQBtAGUAcwAgAEUARgBfAGYAXABcAHIAaQBnAGgAdAApAFwAXAB0AGkAbQBlAHMAIAAxADAAXgB7AC0AMwB9AFwAbgBUAE0AXwBqAGYAIAA9ACAAcQB1AGEAbgB0AGkAdAB5ACAAbwBmACAAaQBuAG8AcgBnAGEAbgBpAGMAIABmAGUAcgB0AGkAbABpAHMAZQByACAAdAB5AHAAZQAgAGYAIABwAHUAcgBjAGgAYQBzAGUAZAAgAGEAbgBkACAAYQBwAHAAbABpAGUAZAAgAHQAbwAgAHAAcgBvAGQAdQBjAHQAaQBvAG4AIABzAHkAcwB0AGUAbQAgAGoAXABuAEUARgBfAGYAIAA9ACAAZQBtAGkAcwBzAGkAbwBuACAAZgBhAGMAdABvAHIAIABvAGYAIABwAHUAcgBjAGgAYQBzAGUAZAAgAGkAbgBvAHIAZwBhAG4AaQBjACAAZgBlAHIAdABpAGwAaQBzAGUAcgBcAG4ALQAtAC0ALQAtAC0ALQAtAC0ALQAtAC0ALQAtAC0ALQAtAC0ALQAtAC0ALQAtAC0ALQAtAC0ALQAtAC0ALQAtAC0ALQAtAC0ALQAtAFwAbgAqAC8AXABuAFwAbgBWAEUARQBSAEcAXwAxADUAXwA0AF8AMQBfADEAXwBfADEAXwBFAG0AaQBzAHMAaQBvAG4AcwBGAHIAbwBtAFAAdQByAGMAaABhAHMAZQBkAEYAZQByAHQAaQBsAGkAcwBlAHIAXABuACAAIAA9AEwAQQBNAEIARABBACgAXABuACAAIAAgACAAVABNAF8AagBmACwAIABFAEYAXwBmACwAXABuACAAIAAgACAAKABUAE0AXwBqAGYAIAAqACAARQBGAF8AZgApACAAKgAgADEAMAAgAF4AIAAtADMAXABuACAAIAApADsAXABuAFwAbgBWAEUARQBSAEcAXwAxADUAXwA0AF8AMQBfADEAXwBfADEAXwBFAG0AaQBzAHMAaQBvAG4AcwBGAHIAbwBtAFAAdQByAGMAaABhAHMAZQBkAEYAZQByAHQAaQBsAGkAcwBlAHIAXwBUAGkAdABsAGUAXABuACAAIAA9AEwAQQBNAEIARABBACgAXAAiAEUAbQBpAHMAcwBpAG8AbgBzACAAZgByAG8AbQAgAHAAdQByAGMAaABhAHMAZQBkACAAZgBlAHIAdABpAGwAaQBzAGUAcgBcACIAKQA7AFwAbgBcAG4AVgBFAEUAUgBHAF8AMQA1AF8ANABfADEAXwAxAF8AXwAxAF8ARQBtAGkAcwBzAGkAbwBuAHMARgByAG8AbQBQAHUAcgBjAGgAYQBzAGUAZABGAGUAcgB0AGkAbABpAHMAZQByAF8AVgBhAHIAaQBhAGIAbABlAFwAbgAgACAAPQBMAEEATQBCAEQAQQAoAFwAIgBFAFwAIgApADsAXABuAFwAbgBWAEUARQBSAEcAXwAxADUAXwA0AF8AMQBfADEAXwBfADEAXwBFAG0AaQBzAHMAaQBvAG4AcwBGAHIAbwBtAFAAdQByAGMAaABhAHMAZQBkAEYAZQByAHQAaQBsAGkAcwBlAHIAXwBVAG4AaQB0AFwAbgAgACAAPQBMAEEATQBCAEQAQQAoAFwAIgB0ACAAQwBPADIAZQBcACIAKQA7AFwAbgBcAG4AVgBFAEUAUgBHAF8AMQA1AF8ANABfADEAXwAxAF8AXwAxAF8ARQBtAGkAcwBzAGkAbwBuAHMARgByAG8AbQBQAHUAcgBjAGgAYQBzAGUAZABGAGUAcgB0AGkAbABpAHMAZQByAF8AUwBvAHUAcgBjAGUAXABuACAAIAA9AEwAQQBNAEIARABBACgAXAAiAFYARQBFAFIARwAgADIAMAAyADYAOgAgADEANQAuADQALgAxAC4AMQAsACAARQBxAHUAYQB0AGkAbwBuACAAKAAxACkAXAAiACkAOwBcAG4AXABuAFYARQBFAFIARwBfADEANQBfADQAXwAxAF8AMQBfAF8AMQBfAEUAbQBpAHMAcwBpAG8AbgBzAEYAcgBvAG0AUAB1AHIAYwBoAGEAcwBlAGQARgBlAHIAdABpAGwAaQBzAGUAcgBfAE4ASQBSAFIAZQBmAGUAcgBlAG4AYwBlAFwAbgAgACAAPQBMAEEATQBCAEQAQQAoAFwAIgBcACIAKQA7AFwAbgBcAG4AVgBFAEUAUgBHAF8AMQA1AF8ANABfADEAXwAxAF8AXwAxAF8ARQBtAGkAcwBzAGkAbwBuAHMARgByAG8AbQBQAHUAcgBjAGgAYQBzAGUAZABGAGUAcgB0AGkAbABpAHMAZQByAF8ATABhAHQAZQB4AEUAcQB1AGEAdABpAG8AbgBcAG4AIAAgAD0ATABBAE0AQgBEAEEAKABcACIARQA9AFwAXABzAHUAbQBcAFwAbgBvAGwAaQBtAGkAdABzAF8AZgBcAFwAcwB1AG0AXABcAG4AbwBsAGkAbQBpAHQAcwBfAGoAXABcAGwAZQBmAHQAKABUAE0AXwB7AGoAZgB9AFwAXAB0AGkAbQBlAHMAIABFAEYAXwBmAFwAXAByAGkAZwBoAHQAKQBcAFwAdABpAG0AZQBzACAAMQAwAF4AewAtADMAfQBcACIAKQA7AFwAbgBcAG4AVgBFAEUAUgBHAF8AMQA1AF8ANABfADEAXwAxAF8AXwAxAF8ARQBtAGkAcwBzAGkAbwBuAHMARgByAG8AbQBQAHUAcgBjAGgAYQBzAGUAZABGAGUAcgB0AGkAbABpAHMAZQByAF8AQQByAGcAdQBtAGUAbgB0AHMAXABuACAAIAA9AEwAQQBNAEIARABBACgAXABuACAAIAAgACAATQBBAEsARQBBAFIAUgBBAFkAKAA0ACwAIAA0ACwAXABuACAAIAAgACAAIAAgAEwAQQBNAEIARABBACgAcgAsAGMALABcAG4AIAAgACAAIAAgACAAIAAgAEkATgBEAEUAWAAoAH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mAFwAIgAsACAAXAAiAGUAbQBpAHMAcwBpAG8AbgAgAGYAYQBjAHQAbwByACAAbwBmACAAcAB1AHIAYwBoAGEAcwBlAGQAIABpAG4AbwByAGcAYQBuAGkAYwAgAGYAZQByAHQAaQBsAGkAcwBlAHIAXAAiACwAIABcACIAawBnACAAQwBPADIAZQAvAGsAZwBcACIALAAgAFwAIgBDAG8AbgBzAHQAYQBuAHQAXAAiADsAXABuACAAIAAgACAAIAAgACAAIAAgACAAXAAiAGoAXAAiACwAIABcACIAcAByAG8AZAB1AGMAdABpAG8AbgAgAHMAeQBzAHQAZQBt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IAXwBFAG0AaQBzAHMAaQBvAG4AcwBGAHIAbwBtAFAAdQByAGMAaABhAHMAZQBkAEYAZQByAHQAaQBsAGkAcwBlAHIAQwBvAG0AcABvAG4AZQBuAHQAcwBcAG4ARQBtAGkAcwBzAGkAbwBuAHMAIABmAHIAbwBtACAAcAB1AHIAYwBoAGEAcwBlAGQAIABmAGUAcgB0AGkAbABpAHMAZQByACAAYwBvAG0AcABvAG4AZQBuAHQAcwBcAG4ARQBcAG4AdAAgAEMATwAyAGUAXABuAEUAPQBcAFwAcwB1AG0AXABcAG4AbwBsAGkAbQBpAHQAcwBfAGYAXABcAHMAdQBtAFwAXABuAG8AbABpAG0AaQB0AHMAXwBjAFwAXABzAHUAbQBcAFwAbgBvAGwAaQBtAGkAdABzAF8AagBcAFwAbABlAGYAdAAoACgARgBfAHsAYwBmAH0AXABcAHQAaQBtAGUAcwAgAFQATQBfAHsAagBmAH0AKQAvADEAMAAwAFwAXAB0AGkAbQBlAHMAIABFAEYAXwBjAFwAXAByAGkAZwBoAHQAKQBcAG4ARgBfAGMAZgAgAD0AIABmAHIAYQBjAHQAaQBvAG4AIABvAGYAIABjAG8AbQBwAG8AbgBlAG4AdAAgAGMAIABjAG8AbgB0AGEAaQBuAGUAZAAgAHcAaQB0AGgAaQBuACAAdABoAGUAIABpAG4AbwByAGcAYQBuAGkAYwAgAGYAZQByAHQAaQBsAGkAcwBlAHIAIABmAFwAbgBUAE0AXwBqAGYAIAA9ACAAcQB1AGEAbgB0AGkAdAB5ACAAbwBmACAAaQBuAG8AcgBnAGEAbgBpAGMAIABmAGUAcgB0AGkAbABpAHMAZQByACAAdAB5AHAAZQAgAGYAIABwAHUAcgBjAGgAYQBzAGUAZAAgAGEAbgBkACAAYQBwAHAAbABpAGUAZAAgAHQAbwAgAHAAcgBvAGQAdQBjAHQAaQBvAG4AIABzAHkAcwB0AGUAbQAgAGoAXABuAEUARgBfAGMAIAA9ACAAZQBtAGkAcwBzAGkAbwBuACAAZgBhAGMAdABvAHIAIABmAG8AcgAgAHQAaABlACAAcAByAG8AZAB1AGMAdABpAG8AbgAgAG8AZgAgAGMAbwBtAHAAbwBuAGUAbgB0ACAAYwBcAG4ALQAtAC0ALQAtAC0ALQAtAC0ALQAtAC0ALQAtAC0ALQAtAC0ALQAtAC0ALQAtAC0ALQAtAC0ALQAtAC0ALQAtAC0ALQAtAC0ALQAtAFwAbgAqAC8AXABuAFwAbgBWAEUARQBSAEcAXwAxADUAXwA0AF8AMQBfADEAXwBfADIAXwBFAG0AaQBzAHMAaQBvAG4AcwBGAHIAbwBtAFAAdQByAGMAaABhAHMAZQBkAEYAZQByAHQAaQBsAGkAcwBlAHIAQwBvAG0AcABvAG4AZQBuAHQAcwBcAG4AIAAgAD0ATABBAE0AQgBEAEEAKABcAG4AIAAgACAAIABGAF8AYwBmACwAIABUAE0AXwBqAGYALAAgAEUARgBfAGMALABcAG4AIAAgACAAIAAoACgARgBfAGMAZgAgACoAIABUAE0AXwBqAGYAKQAgAC8AIAAxADAAMAApACAAKgAgAEUARgBfAGMAXABuACAAIAApADsAXABuAFwAbgBWAEUARQBSAEcAXwAxADUAXwA0AF8AMQBfADEAXwBfADIAXwBFAG0AaQBzAHMAaQBvAG4AcwBGAHIAbwBtAFAAdQByAGMAaABhAHMAZQBkAEYAZQByAHQAaQBsAGkAcwBlAHIAQwBvAG0AcABvAG4AZQBuAHQAcwBWAGEAcgBpAGEAdABpAG8AbgBcAG4AIAAgAD0ATABBAE0AQgBEAEEAKABcAG4AIAAgACAAIABGAF8AYwBmACwAIABUAE0AXwBqAGYALAAgAEUARgBfAGMALABcAG4AIAAgACAAIAAoAEYAXwBjAGYAIAAqACAAVABNAF8AagBmACkAIAAqACAARQBGAF8AYwAgACoAIAAxADAAXgAtADMAXABuACAAIAApADsAXABuAFwAbgBWAEUARQBSAEcAXwAxADUAXwA0AF8AMQBfADEAXwBfADIAXwBFAG0AaQBzAHMAaQBvAG4AcwBGAHIAbwBtAFAAdQByAGMAaABhAHMAZQBkAEYAZQByAHQAaQBsAGkAcwBlAHIAQwBvAG0AcABvAG4AZQBuAHQAcwBfAFQAaQB0AGwAZQBcAG4AIAAgAD0ATABBAE0AQgBEAEEAKABcACIARQBtAGkAcwBzAGkAbwBuAHMAIABmAHIAbwBtACAAcAB1AHIAYwBoAGEAcwBlAGQAIABmAGUAcgB0AGkAbABpAHMAZQByACAAYwBvAG0AcABvAG4AZQBuAHQAcwBcACIAKQA7AFwAbgBcAG4AVgBFAEUAUgBHAF8AMQA1AF8ANABfADEAXwAxAF8AXwAyAF8ARQBtAGkAcwBzAGkAbwBuAHMARgByAG8AbQBQAHUAcgBjAGgAYQBzAGUAZABGAGUAcgB0AGkAbABpAHMAZQByAEMAbwBtAHAAbwBuAGUAbgB0AHMAXwBWAGEAcgBpAGEAYgBsAGUAXABuACAAIAA9AEwAQQBNAEIARABBACgAXAAiAEUAXAAiACkAOwBcAG4AXABuAFYARQBFAFIARwBfADEANQBfADQAXwAxAF8AMQBfAF8AMgBfAEUAbQBpAHMAcwBpAG8AbgBzAEYAcgBvAG0AUAB1AHIAYwBoAGEAcwBlAGQARgBlAHIAdABpAGwAaQBzAGUAcgBDAG8AbQBwAG8AbgBlAG4AdABzAF8AVQBuAGkAdABcAG4AIAAgAD0ATABBAE0AQgBEAEEAKABcACIAdAAgAEMATwAyAGUAXAAiACkAOwBcAG4AXABuAFYARQBFAFIARwBfADEANQBfADQAXwAxAF8AMQBfAF8AMgBfAEUAbQBpAHMAcwBpAG8AbgBzAEYAcgBvAG0AUAB1AHIAYwBoAGEAcwBlAGQARgBlAHIAdABpAGwAaQBzAGUAcgBDAG8AbQBwAG8AbgBlAG4AdABzAF8AUwBvAHUAcgBjAGUAXABuACAAIAA9AEwAQQBNAEIARABBACgAXAAiAFYARQBFAFIARwAgADIAMAAyADYAOgAgADEANQAuADQALgAxAC4AMQAsACAARQBxAHUAYQB0AGkAbwBuACAAKAAyACkAXAAiACkAOwBcAG4AXABuAFYARQBFAFIARwBfADEANQBfADQAXwAxAF8AMQBfAF8AMgBfAEUAbQBpAHMAcwBpAG8AbgBzAEYAcgBvAG0AUAB1AHIAYwBoAGEAcwBlAGQARgBlAHIAdABpAGwAaQBzAGUAcgBDAG8AbQBwAG8AbgBlAG4AdABzAF8ATgBJAFIAUgBlAGYAZQByAGUAbgBjAGUAXABuACAAIAA9AEwAQQBNAEIARABBACgAXAAiAFwAIgApADsAXABuAFwAbgBWAEUARQBSAEcAXwAxADUAXwA0AF8AMQBfADEAXwBfADIAXwBFAG0AaQBzAHMAaQBvAG4AcwBGAHIAbwBtAFAAdQByAGMAaABhAHMAZQBkAEYAZQByAHQAaQBsAGkAcwBlAHIAQwBvAG0AcABvAG4AZQBuAHQAcwBfAEwAYQB0AGUAeABFAHEAdQBhAHQAaQBvAG4AXABuACAAIAA9AEwAQQBNAEIARABBACgAXAAiAEUAPQBcAFwAcwB1AG0AXABcAG4AbwBsAGkAbQBpAHQAcwBfAGYAXABcAHMAdQBtAFwAXABuAG8AbABpAG0AaQB0AHMAXwBjAFwAXABzAHUAbQBcAFwAbgBvAGwAaQBtAGkAdABzAF8AagBcAFwAbABlAGYAdAAoAFwAXABmAHIAYQBjAHsARgBfAHsAYwBmAH0AXABcAHQAaQBtAGUAcwAgAFQATQBfAHsAagBmAH0AfQB7ADEAMAAwAH0AXABcAHQAaQBtAGUAcwAgAEUARgBfAGMAXABcAHIAaQBnAGgAdAApAFwAIgApADsAXABuAFwAbgBWAEUARQBSAEcAXwAxADUAXwA0AF8AMQBfADEAXwBfADIAXwBFAG0AaQBzAHMAaQBvAG4AcwBGAHIAbwBtAFAAdQByAGMAaABhAHMAZQBkAEYAZQByAHQAaQBsAGkAcwBlAHIAQwBvAG0AcABvAG4AZQBuAHQAcwBfAEwAYQB0AGUAeABFAHEAdQBhAHQAaQBvAG4AVgBhAHIAaQBhAHQAaQBvAG4AXABuACAAIAA9AEwAQQBNAEIARABBACgAXAAiAEUAPQBcAFwAcwB1AG0AXABcAG4AbwBsAGkAbQBpAHQAcwBfAGYAXABcAHMAdQBtAFwAXABuAG8AbABpAG0AaQB0AHMAXwBjAFwAXABzAHUAbQBcAFwAbgBvAGwAaQBtAGkAdABzAF8AagBcAFwAbABlAGYAdAAoAEYAXwB7AGMAZgB9AFwAXAB0AGkAbQBlAHMAIABUAE0AXwB7AGoAZgB9AFwAXAB0AGkAbQBlAHMAIABFAEYAXwBjAFwAXAByAGkAZwBoAHQAKQBcAFwAdABpAG0AZQBzACAAMQAwAF4AewAtADMAfQBcACIAKQA7AFwAbgBcAG4AVgBFAEUAUgBHAF8AMQA1AF8ANABfADEAXwAxAF8AXwAyAF8ARQBtAGkAcwBzAGkAbwBuAHMARgByAG8AbQBQAHUAcgBjAGgAYQBzAGUAZABGAGUAcgB0AGkAbABpAHMAZQByAEMAbwBtAHAAbwBuAGUAbgB0AHMAXwBBAHIAZwB1AG0AZQBuAHQAcwBcAG4AIAAgAD0ATABBAE0AQgBEAEEAKABcAG4AIAAgACAAIABNAEEASwBFAEEAUgBSAEEAWQAoADY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DsAXABuACAAIAAgACAAIAAgACAAIAAgACAAXAAiAGoAXAAiACwAIABcACIAcAByAG8AZAB1AGMAdABpAG8AbgAgAHMAeQBzAHQAZQBtAFwAIgAsACAAXAAiAFwAIgAsACAAXAAiAEkAbgBwAHUAdABcACIAXABuACAAIAAgACAAIAAgACAAIAB9ACwAIAByACwAIABjACkAXABuACAAIAAgACAAIAAgACkAXABuACAAIAAgACAAKQBcAG4AIAAgACkAOwBcAG4AXABuAFYARQBFAFIARwBfADEANQBfADQAXwAxAF8AMQBfAF8AMgBfAEUAbQBpAHMAcwBpAG8AbgBzAEYAcgBvAG0AUAB1AHIAYwBoAGEAcwBlAGQARgBlAHIAdABpAGwAaQBzAGUAcgBDAG8AbQBwAG8AbgBlAG4AdABzAF8AVgBhAHIAaQBhAHQAaQBvAG4AXABuACAAIAA9AEwAQQBNAEIARABBACgAXAAiAFYAQQBSAEkAQQBUAEkATwBOACAATwBOACAAUwBPAFUAUgBDAEUAOgAgAHIAZQBtAG8AdgBlAHMAIABkAGkAdgBpAHMAaQBvAG4AIABiAHkAIAAxADAAMAAgAGYAbwByACAARgBfAGMAZgAsACAAdAByAGUAYQB0AGkAbgBnACAARgBfAGMAZgAgAGEAcwAgAGYAcgBhAGMAdABpAG8AbgAgAGkAbgBzAHQAZQBhAGQAIABvAGYAIABwAGUAcgBjAGUAbgB0ACAAYgBlAGMAYQB1AHMAZQAgAGkAdAAgAGkAcwAgAGEAIABmAHIAYQBjAHQAaQBvAG4AIABpAG4AIABzAGMAbwBwAGUAIAAxACAAZQBxAHUAYQB0AGkAbwBuAHMALgAgAEMAbwBuAHYAZQByAHQAIABrAGcAIAB0AG8AIAB0AG8AbgBuAGUAcwAgAGIAeQAgAG0AdQB0AGkAcABsAHkAaQBuAGcAIABiAHkAIAAxADAAXgAtADMALgBcACIAKQA7AFwAbgBcAG4AXABuAFwAbgBcAG4ALwAqAFwAbgAtAC0ALQAtAC0ALQAtAC0ALQAtAC0ALQAtAC0ALQAtAC0ALQAtAC0ALQAtAC0ALQAtAC0ALQAtAC0ALQAtAC0ALQAtAC0ALQAtAC0AXABuAFYARQBFAFIARwBfADEANQBfADQAXwAxAF8AMQBfAF8AWABfAEUAbQBpAHMAcwBpAG8AbgBGAGEAYwB0AG8AcgBGAHIAbwBtAFAAdQByAGMAaABhAHMAZQBkAEYAZQByAHQAaQBsAGkAcwBlAHIAQwBvAG0AcABvAG4AZQBuAHQAcwBcAG4ARQBtAGkAcwBzAGkAbwBuACAAZgBhAGMAdABvAHIAIABmAG8AcgAgAGYAZQByAHQAaQBsAGkAcwBlAHIAIABwAHIAbwBkAHUAYwB0ACAAZABlAHIAaQB2AGUAZAAgAGYAcgBvAG0AIABjAG8AbQBwAG8AbgBlAG4AdABzAFwAbgAtAC0ALQAtAC0ALQAtAC0ALQAtAC0ALQAtAC0ALQAtAC0ALQAtAC0ALQAtAC0ALQAtAC0ALQAtAC0ALQAtAC0ALQAtAC0ALQAtAC0AXABuACoALwBcAG4AXABuAFYARQBFAFIARwBfADEANQBfADQAXwAxAF8AMQBfAF8AWABfAEUAbQBpAHMAcwBpAG8AbgBGAGEAYwB0AG8AcgBGAHIAbwBtAFAAdQByAGMAaABhAHMAZQBkAEYAZQByAHQAaQBsAGkAcwBlAHIAQwBvAG0AcABvAG4AZQBuAHQAcwBcAG4AIAAgAD0ATABBAE0AQgBEAEEAKABcAG4AIAAgACAAIABGAF8AYwBmACwAIABFAEYAXwBjACwAXABuACAAIAAgACAARgBfAGMAZgAgACoAIABFAEYAXwBjAFwAbgAgACAAKQA7AFwAbgBcAG4AVgBFAEUAUgBHAF8AMQA1AF8ANABfADEAXwAxAF8AXwBYAF8ARQBtAGkAcwBzAGkAbwBuAEYAYQBjAHQAbwByAEYAcgBvAG0AUAB1AHIAYwBoAGEAcwBlAGQARgBlAHIAdABpAGwAaQBzAGUAcgBDAG8AbQBwAG8AbgBlAG4AdABzAF8AVABpAHQAbABlAFwAbgAgACAAPQBMAEEATQBCAEQAQQAoAFwAIgBFAG0AaQBzAHMAaQBvAG4AIABmAGEAYwB0AG8AcgAgAGYAbwByACAAZgBlAHIAdABpAGwAaQBzAGUAcgAgAHAAcgBvAGQAdQBjAHQAIABkAGUAcgBpAHYAZQBkACAAZgByAG8AbQAgAGMAbwBtAHAAbwBuAGUAbgB0AHMAXAAiACkAOwBcAG4AXABuAFYARQBFAFIARwBfADEANQBfADQAXwAxAF8AMQBfAF8AWABfAEUAbQBpAHMAcwBpAG8AbgBGAGEAYwB0AG8AcgBGAHIAbwBtAFAAdQByAGMAaABhAHMAZQBkAEYAZQByAHQAaQBsAGkAcwBlAHIAQwBvAG0AcABvAG4AZQBuAHQAcwBfAFYAYQByAGkAYQBiAGwAZQBcAG4AIAAgAD0ATABBAE0AQgBEAEEAKABcACIARQBGAF8AZgBcACIAKQA7AFwAbgBcAG4AVgBFAEUAUgBHAF8AMQA1AF8ANABfADEAXwAxAF8AXwBYAF8ARQBtAGkAcwBzAGkAbwBuAEYAYQBjAHQAbwByAEYAcgBvAG0AUAB1AHIAYwBoAGEAcwBlAGQARgBlAHIAdABpAGwAaQBzAGUAcgBDAG8AbQBwAG8AbgBlAG4AdABzAF8AVQBuAGkAdABcAG4AIAAgAD0ATABBAE0AQgBEAEEAKABcACIAawBnACAAQwBPADIAZQAvAGsAZwAgAGYAZQByAHQAaQBsAGkAcwBlAHIAXAAiACkAOwBcAG4AXABuAFYARQBFAFIARwBfADEANQBfADQAXwAxAF8AMQBfAF8AWABfAEUAbQBpAHMAcwBpAG8AbgBGAGEAYwB0AG8AcgBGAHIAbwBtAFAAdQByAGMAaABhAHMAZQBkAEYAZQByAHQAaQBsAGkAcwBlAHIAQwBvAG0AcABvAG4AZQBuAHQAcwBfAFMAbwB1AHIAYwBlAFwAbgAgACAAPQBMAEEATQBCAEQAQQAoAFwAIgBHAEEARgBcACIAKQA7AFwAbgBcAG4AVgBFAEUAUgBHAF8AMQA1AF8ANABfADEAXwAxAF8AXwBYAF8ARQBtAGkAcwBzAGkAbwBuAEYAYQBjAHQAbwByAEYAcgBvAG0AUAB1AHIAYwBoAGEAcwBlAGQARgBlAHIAdABpAGwAaQBzAGUAcgBDAG8AbQBwAG8AbgBlAG4AdABzAF8ATgBJAFIAUgBlAGYAZQByAGUAbgBjAGUAXABuACAAIAA9AEwAQQBNAEIARABBACgAXAAiAFwAIgApADsAXABuAFwAbgBWAEUARQBSAEcAXwAxADUAXwA0AF8AMQBfADEAXwBfAFgAXwBFAG0AaQBzAHMAaQBvAG4ARgBhAGMAdABvAHIARgByAG8AbQBQAHUAcgBjAGgAYQBzAGUAZABGAGUAcgB0AGkAbABpAHMAZQByAEMAbwBtAHAAbwBuAGUAbgB0AHMAXwBMAGEAdABlAHgARQBxAHUAYQB0AGkAbwBuAFwAbgAgACAAPQBMAEEATQBCAEQAQQAoAFwAIgBFAEYAXwBmAD0AXABcAHMAdQBtAFwAXABuAG8AbABpAG0AaQB0AHMAXwBjAFwAXABsAGUAZgB0ACgARgBfAHsAYwBmAH0AXABcAHQAaQBtAGUAcwAgAEUARgBfAGMAXABcAHIAaQBnAGgAdAApAFwAIgApADsAXABuAFwAbgBWAEUARQBSAEcAXwAxADUAXwA0AF8AMQBfADEAXwBfAFgAXwBFAG0AaQBzAHMAaQBvAG4ARgBhAGMAdABvAHIARgByAG8AbQBQAHUAcgBjAGgAYQBzAGUAZABGAGUAcgB0AGkAbABpAHMAZQByAEMAbwBtAHAAbwBuAGUAbgB0AHMAXwBBAHIAZwB1AG0AZQBuAHQAcwBcAG4AIAAgAD0ATABBAE0AQgBEAEEAKABcAG4AIAAgACAAIABNAEEASwBFAEEAUgBSAEEAWQAoADQ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FYARQBFAFIARwBfADEANQBfADQAXwAxAF8AMQBfAF8AWABfAEUAbQBpAHMAcwBpAG8AbgBGAGEAYwB0AG8AcgBGAHIAbwBtAFAAdQByAGMAaABhAHMAZQBkAEYAZQByAHQAaQBsAGkAcwBlAHIAQwBvAG0AcABvAG4AZQBuAHQAcwBfAFYAYQByAGkAYQB0AGkAbwBuAFwAbgAgACAAPQBMAEEATQBCAEQAQQAoAFwAIgBWAEEAUgBJAEEAVABJAE8ATgAgAE8ATgAgAFMATwBVAFIAQwBFADoAIABUAGgAaQBzACAAZQBxAHUAYQB0AGkAbwBuACAAaQBzACAAYQBkAGQAZQBkACAAdABvACAAYwBhAGwAYwB1AGwAYQB0AGUAIABhAG4AIABFAEYAIAB2AGEAbAB1AGUAIABmAHIAbwBtACAAZgBlAHIAdABpAGwAaQBzAGUAcgAgAGMAbwBtAHAAbwBuAGUAbgB0AHMAIAB0AGgAYQB0ACAAYwBhAG4AIABiAGUAIAB1AHMAZQBkACAAaQBuACAAMQA1AC4ANAAuADEALgAxACAAKAAxACkAXAAiACkAOwBcAG4AXABuAC8AKgBcAG4ALQAtAC0ALQAtAC0ALQAtAC0ALQAtAC0ALQAtAC0ALQAtAC0ALQAtAC0ALQAtAC0ALQAtAC0ALQAtAC0ALQAtAC0ALQAtAC0ALQAtAFwAbgBWAEUARQBSAEcAXwAxADUAXwA1AF8AMQBfADEAXwBfADEAXwBFAG0AaQBzAHMAaQBvAG4AcwBGAHIAbwBtAFAAdQByAGMAaABhAHMAZQBkAEEAZwByAGkAYwBoAGUAbQBpAGMAYQBsAHMAXABuAFQAbwB0AGEAbAAgAGUAbQBpAHMAcwBpAG8AbgBzACAAZgByAG8AbQAgAHAAdQByAGMAaABhAHMAZQBkACAAYQBnAHIAaQBjAGgAZQBtAGkAYwBhAGwAcwBcAG4ARQBcAG4AdAAgAEMATwAyAGUAXABuAEUAPQBcAFwAcwB1AG0AXABcAG4AbwBsAGkAbQBpAHQAcwBfAGgAXABcAGwAZQBmAHQAKABRAF8AaABcAFwAdABpAG0AZQBzACAARQBGAF8AaABcAFwAcgBpAGcAaAB0ACkAXABcAHQAaQBtAGUAcwAgADEAMABeAHsALQAzAH0AXABuAFEAXwBoACAAPQAgAHEAdQBhAG4AdABpAHQAeQAgAG8AZgAgAGEAYwB0AGkAdgBlACAAaQBuAGcAcgBlAGQAaQBlAG4AdABzACAAaQBuACAAYQBnAHIAaQBjAGgAZQBtAGkAYwBhAGwAIAB0AHkAcABlACAAaAAgAHAAdQByAGMAaABhAHMAZQBkACAAYQBuAGQAIABhAHAAcABsAGkAZQBkACAAdABvACAAcwBvAGkAbABzAFwAbgBFAEYAXwBoACAAPQAgAGUAbQBpAHMAcwBpAG8AbgAgAGYAYQBjAHQAbwByACAAZgBvAHIAIABwAHUAcgBjAGgAYQBzAGUAZAAgAGEAZwByAGkAYwBoAGUAbQBpAGMAYQBsACAAYQBjAHQAaQB2AGUAIABpAG4AZwByAGUAZABpAGUAbgB0AFwAbgAtAC0ALQAtAC0ALQAtAC0ALQAtAC0ALQAtAC0ALQAtAC0ALQAtAC0ALQAtAC0ALQAtAC0ALQAtAC0ALQAtAC0ALQAtAC0ALQAtAC0AXABuACoALwBcAG4AXABuAFYARQBFAFIARwBfADEANQBfADUAXwAxAF8AMQBfAF8AMQBfAEUAbQBpAHMAcwBpAG8AbgBzAEYAcgBvAG0AUAB1AHIAYwBoAGEAcwBlAGQAQQBnAHIAaQBjAGgAZQBtAGkAYwBhAGwAcwBcAG4AIAAgAD0ATABBAE0AQgBEAEEAKABcAG4AIAAgACAAIABRAF8AaAAsACAARQBGAF8AaAAsAFwAbgAgACAAIAAgACgAUQBfAGgAIAAqACAARQBGAF8AaAApACAAKgAgADEAMAAgAF4AIAAtADMAXABuACAAIAApADsAXABuAFwAbgBWAEUARQBSAEcAXwAxADUAXwA1AF8AMQBfADEAXwBfADEAXwBFAG0AaQBzAHMAaQBvAG4AcwBGAHIAbwBtAFAAdQByAGMAaABhAHMAZQBkAEEAZwByAGkAYwBoAGUAbQBpAGMAYQBsAHMAXwBUAGkAdABsAGUAXABuACAAIAA9AEwAQQBNAEIARABBACgAXAAiAFQAbwB0AGEAbAAgAGUAbQBpAHMAcwBpAG8AbgBzACAAZgByAG8AbQAgAHAAdQByAGMAaABhAHMAZQBkACAAYQBnAHIAaQBjAGgAZQBtAGkAYwBhAGwAcwBcACIAKQA7AFwAbgBcAG4AVgBFAEUAUgBHAF8AMQA1AF8ANQBfADEAXwAxAF8AXwAxAF8ARQBtAGkAcwBzAGkAbwBuAHMARgByAG8AbQBQAHUAcgBjAGgAYQBzAGUAZABBAGcAcgBpAGMAaABlAG0AaQBjAGEAbABzAF8AVgBhAHIAaQBhAGIAbABlAFwAbgAgACAAPQBMAEEATQBCAEQAQQAoAFwAIgBFAFwAIgApADsAXABuAFwAbgBWAEUARQBSAEcAXwAxADUAXwA1AF8AMQBfADEAXwBfADEAXwBFAG0AaQBzAHMAaQBvAG4AcwBGAHIAbwBtAFAAdQByAGMAaABhAHMAZQBkAEEAZwByAGkAYwBoAGUAbQBpAGMAYQBsAHMAXwBVAG4AaQB0AFwAbgAgACAAPQBMAEEATQBCAEQAQQAoAFwAIgB0ACAAQwBPADIAZQBcACIAKQA7AFwAbgBcAG4AVgBFAEUAUgBHAF8AMQA1AF8ANQBfADEAXwAxAF8AXwAxAF8ARQBtAGkAcwBzAGkAbwBuAHMARgByAG8AbQBQAHUAcgBjAGgAYQBzAGUAZABBAGcAcgBpAGMAaABlAG0AaQBjAGEAbABzAF8AUwBvAHUAcgBjAGUAXABuACAAIAA9AEwAQQBNAEIARABBACgAXAAiAFYARQBFAFIARwAgADIAMAAyADYAOgAgADEANQAuADUALgAxAC4AMQAsACAARQBxAHUAYQB0AGkAbwBuACAAKAAxACkAXAAiACkAOwBcAG4AXABuAFYARQBFAFIARwBfADEANQBfADUAXwAxAF8AMQBfAF8AMQBfAEUAbQBpAHMAcwBpAG8AbgBzAEYAcgBvAG0AUAB1AHIAYwBoAGEAcwBlAGQAQQBnAHIAaQBjAGgAZQBtAGkAYwBhAGwAcwBfAE4ASQBSAFIAZQBmAGUAcgBlAG4AYwBlAFwAbgAgACAAPQBMAEEATQBCAEQAQQAoAFwAIgBcACIAKQA7AFwAbgBcAG4AVgBFAEUAUgBHAF8AMQA1AF8ANQBfADEAXwAxAF8AXwAxAF8ARQBtAGkAcwBzAGkAbwBuAHMARgByAG8AbQBQAHUAcgBjAGgAYQBzAGUAZABBAGcAcgBpAGMAaABlAG0AaQBjAGEAbABzAF8ATABhAHQAZQB4AEUAcQB1AGEAdABpAG8AbgBcAG4AIAAgAD0ATABBAE0AQgBEAEEAKABcACIARQA9AFwAXABzAHUAbQBcAFwAbgBvAGwAaQBtAGkAdABzAF8AaABcAFwAbABlAGYAdAAoAFEAXwBoAFwAXAB0AGkAbQBlAHMAIABFAEYAXwBoAFwAXAByAGkAZwBoAHQAKQBcAFwAdABpAG0AZQBzACAAMQAwAF4AewAtADMAfQBcACIAKQA7AFwAbgBcAG4AVgBFAEUAUgBHAF8AMQA1AF8ANQBfADEAXwAxAF8AXwAxAF8ARQBtAGkAcwBzAGkAbwBuAHMARgByAG8AbQBQAHUAcgBjAGgAYQBzAGUAZABBAGcAcgBpAGMAaABlAG0AaQBjAGEAbABzAF8AQQByAGcAdQBtAGUAbgB0AHMAXABuACAAIAA9AEwAQQBNAEIARABBACgAXABuACAAIAAgACAATQBBAEsARQBBAFIAUgBBAFkAKAAzACwAIAA0ACwAXABuACAAIAAgACAAIAAgAEwAQQBNAEIARABBACgAcgAsAGMALABcAG4AIAAgACAAIAAgACAAIAAgAEkATgBEAEUAWAAoAHsAXABuACAAIAAgACAAIAAgACAAIAAgACAAXAAiAFEAXwBoAFwAIgAsACAAXAAiAHEAdQBhAG4AdABpAHQAeQAgAG8AZgAgAGEAYwB0AGkAdgBlACAAaQBuAGcAcgBlAGQAaQBlAG4AdABzACAAaQBuACAAYQBnAHIAaQBjAGgAZQBtAGkAYwBhAGwAIAB0AHkAcABlACAAaAAgAHAAdQByAGMAaABhAHMAZQBkACAAYQBuAGQAIABhAHAAcABsAGkAZQBkACAAdABvACAAcwBvAGkAbABzAFwAIgAsACAAXAAiAGsAZwAgAGEAaQBcACIALAAgAFwAIgBJAG4AcAB1AHQAXAAiADsAXABuACAAIAAgACAAIAAgACAAIAAgACAAXAAiAEUARgBfAGgAXAAiACwAIABcACIAZQBtAGkAcwBzAGkAbwBuACAAZgBhAGMAdABvAHIAIABmAG8AcgAgAHAAdQByAGMAaABhAHMAZQBkACAAYQBnAHIAaQBjAGgAZQBtAGkAYwBhAGwAIABhAGMAdABpAHYAZQAgAGkAbgBnAHIAZQBkAGkAZQBuAHQAXAAiACwAIABcACIAawBnACAAQwBPADIAZQAvAGsAZwAgAGEAaQBcACIALAAgAFwAIgBDAG8AbgBzAHQAYQBuAHQAXAAiADsAXABuACAAIAAgACAAIAAgACAAIAAgACAAXAAiAGgAXAAiACwAIABcACIAYQBnAHIAaQBjAGgAZQBtAGkAYwBhAGw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2AF8AMQBfADEAXwBfADEAXwBFAG0AaQBzAHMAaQBvAG4AcwBGAHIAbwBtAFAAdQByAGMAaABhAHMAZQBkAEwAaQBtAGUAXABuAEUAbQBiAGUAZABkAGUAZAAgAGUAbQBpAHMAcwBpAG8AbgBzACAAZgBvAHIAIABwAHUAcgBjAGgAYQBzAGUAZAAgAGwAaQBtAGUAXABuAEUAXABuAHQAIABDAE8AMgBlAFwAbgBFAD0ATQBfAGwAaQBtAGUAXABcAHQAaQBtAGUAcwAgAEUARgBfAGwAXABuAE0AXwBsAGkAbQBlACAAPQAgAHQAbwB0AGEAbAAgAHEAdQBhAG4AdABpAHQAeQAgAG8AZgAgAGwAaQBtAGUAIABhAHAAcABsAGkAZQBkACAAdABvACAAcwBvAGkAbABzAFwAbgBFAEYAXwBsACAAPQAgAGUAbQBpAHMAcwBpAG8AbgAgAGYAYQBjAHQAbwByACAAZgBvAHIAIABwAHUAcgBjAGgAYQBzAGUAZAAgAGwAaQBtAGUAXABuAC0ALQAtAC0ALQAtAC0ALQAtAC0ALQAtAC0ALQAtAC0ALQAtAC0ALQAtAC0ALQAtAC0ALQAtAC0ALQAtAC0ALQAtAC0ALQAtAC0ALQBcAG4AKgAvAFwAbgBcAG4AVgBFAEUAUgBHAF8AMQA1AF8ANgBfADEAXwAxAF8AXwAxAF8ARQBtAGkAcwBzAGkAbwBuAHMARgByAG8AbQBQAHUAcgBjAGgAYQBzAGUAZABMAGkAbQBlAFwAbgAgACAAPQBMAEEATQBCAEQAQQAoAFwAbgAgACAAIAAgAE0AXwBsAGkAbQBlACwAIABFAEYAXwBsACwAXABuACAAIAAgACAATQBfAGwAaQBtAGUAIAAqACAARQBGAF8AbABcAG4AIAAgACkAOwBcAG4AXABuAFYARQBFAFIARwBfADEANQBfADYAXwAxAF8AMQBfAF8AMQBfAEUAbQBpAHMAcwBpAG8AbgBzAEYAcgBvAG0AUAB1AHIAYwBoAGEAcwBlAGQATABpAG0AZQBfAFQAaQB0AGwAZQBcAG4AIAAgAD0ATABBAE0AQgBEAEEAKABcACIARQBtAGIAZQBkAGQAZQBkACAAZQBtAGkAcwBzAGkAbwBuAHMAIABmAG8AcgAgAHAAdQByAGMAaABhAHMAZQBkACAAbABpAG0AZQBcACIAKQA7AFwAbgBcAG4AVgBFAEUAUgBHAF8AMQA1AF8ANgBfADEAXwAxAF8AXwAxAF8ARQBtAGkAcwBzAGkAbwBuAHMARgByAG8AbQBQAHUAcgBjAGgAYQBzAGUAZABMAGkAbQBlAF8AVgBhAHIAaQBhAGIAbABlAFwAbgAgACAAPQBMAEEATQBCAEQAQQAoAFwAIgBFAFwAIgApADsAXABuAFwAbgBWAEUARQBSAEcAXwAxADUAXwA2AF8AMQBfADEAXwBfADEAXwBFAG0AaQBzAHMAaQBvAG4AcwBGAHIAbwBtAFAAdQByAGMAaABhAHMAZQBkAEwAaQBtAGUAXwBVAG4AaQB0AFwAbgAgACAAPQBMAEEATQBCAEQAQQAoAFwAIgB0ACAAQwBPADIAZQBcACIAKQA7AFwAbgBcAG4AVgBFAEUAUgBHAF8AMQA1AF8ANgBfADEAXwAxAF8AXwAxAF8ARQBtAGkAcwBzAGkAbwBuAHMARgByAG8AbQBQAHUAcgBjAGgAYQBzAGUAZABMAGkAbQBlAF8AUwBvAHUAcgBjAGUAXABuACAAIAA9AEwAQQBNAEIARABBACgAXAAiAFYARQBFAFIARwAgADIAMAAyADYAOgAgADEANQAuADYALgAxAC4AMQAsACAARQBxAHUAYQB0AGkAbwBuACAAKAAxACkAXAAiACkAOwBcAG4AXABuAFYARQBFAFIARwBfADEANQBfADYAXwAxAF8AMQBfAF8AMQBfAEUAbQBpAHMAcwBpAG8AbgBzAEYAcgBvAG0AUAB1AHIAYwBoAGEAcwBlAGQATABpAG0AZQBfAE4ASQBSAFIAZQBmAGUAcgBlAG4AYwBlAFwAbgAgACAAPQBMAEEATQBCAEQAQQAoAFwAIgBcACIAKQA7AFwAbgBcAG4AVgBFAEUAUgBHAF8AMQA1AF8ANgBfADEAXwAxAF8AXwAxAF8ARQBtAGkAcwBzAGkAbwBuAHMARgByAG8AbQBQAHUAcgBjAGgAYQBzAGUAZABMAGkAbQBlAF8ATABhAHQAZQB4AEUAcQB1AGEAdABpAG8AbgBcAG4AIAAgAD0ATABBAE0AQgBEAEEAKABcACIARQA9AE0AXwB7AGwAaQBtAGUAfQBcAFwAdABpAG0AZQBzACAARQBGAF8AbABcACIAKQA7AFwAbgBcAG4AVgBFAEUAUgBHAF8AMQA1AF8ANgBfADEAXwAxAF8AXwAxAF8ARQBtAGkAcwBzAGkAbwBuAHMARgByAG8AbQBQAHUAcgBjAGgAYQBzAGUAZABMAGkAbQBlAF8AQQByAGcAdQBtAGUAbgB0AHMAXABuACAAIAA9AEwAQQBNAEIARABBACgAXABuACAAIAAgACAATQBBAEsARQBBAFIAUgBBAFkAKAAyACwAIAA0ACwAXABuACAAIAAgACAAIAAgAEwAQQBNAEIARABBACgAcgAsAGMALABcAG4AIAAgACAAIAAgACAAIAAgAEkATgBEAEUAWAAoAHsAXABuACAAIAAgACAAIAAgACAAIAAgACAAXAAiAE0AXwBsAGkAbQBlAFwAIgAsACAAXAAiAHQAbwB0AGEAbAAgAHEAdQBhAG4AdABpAHQAeQAgAG8AZgAgAGwAaQBtAGUAIABhAHAAcABsAGkAZQBkACAAdABvACAAcwBvAGkAbABzAFwAIgAsACAAXAAiAHQAXAAiACwAIABcACIASQBuAHAAdQB0AFwAIgA7AFwAbgAgACAAIAAgACAAIAAgACAAIAAgAFwAIgBFAEYAXwBsAFwAIgAsACAAXAAiAGUAbQBpAHMAcwBpAG8AbgAgAGYAYQBjAHQAbwByACAAZgBvAHIAIABwAHUAcgBjAGgAYQBzAGUAZAAgAGwAaQBtAGUAXAAiACwAIABcACIAdAAgAEMATwAyAGUALwB0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3AF8AMQBfADEAXwBfADEAXwBFAG0AaQBzAHMAaQBvAG4AcwBGAHIAbwBtAFAAdQByAGMAaABhAHMAZQBkAFMAZQByAHYAaQBjAGUAcwBcAG4ARQBtAGkAcwBzAGkAbwBuAHMAIABvAGYAIABwAHUAcgBjAGgAYQBzAGUAZAAgAHMAZQByAHYAaQBjAGUAcwAgAGEAbgBkACAAYwBvAG4AdAByAGEAYwB0AG8AcgAgAG8AcABlAHIAYQB0AGkAbwBuAHMAXABuAEUAXABuAHQAIABDAE8AMgBlAFwAbgBFAD0AXABcAHMAdQBtAFwAXABuAG8AbABpAG0AaQB0AHMAXwBwAFwAXABsAGUAZgB0ACgAQQBfAHAAXABcAHQAaQBtAGUAcwAgAEUARgBfAHAAXABcAHIAaQBnAGgAdAApAFwAXAB0AGkAbQBlAHMAIAAxADAAXgB7AC0AMwB9AFwAbgBBAF8AcAAgAD0AIABhAGMAdABpAHYAaQB0AHkAIABkAGEAdABhACAAbwBmACAAdABoAGUAIABzAGUAcgB2AGkAYwBlACAAdABoAGEAdAAgAHcAYQBzACAAcAB1AHIAYwBoAGEAcwBlAGQAXABuAEUARgBfAHAAIAA9ACAAbABpAGYAZQAgAGMAeQBjAGwAZQAgAGUAbQBpAHMAcwBpAG8AbgAgAGYAYQBjAHQAbwByACAAZgBvAHIAIAB0AGgAZQAgAHAAdQByAGMAaABhAHMAZQBkACAAcwBlAHIAdgBpAGMAZQBcAG4ALQAtAC0ALQAtAC0ALQAtAC0ALQAtAC0ALQAtAC0ALQAtAC0ALQAtAC0ALQAtAC0ALQAtAC0ALQAtAC0ALQAtAC0ALQAtAC0ALQAtAFwAbgAqAC8AXABuAFwAbgBWAEUARQBSAEcAXwAxADUAXwA3AF8AMQBfADEAXwBfADEAXwBFAG0AaQBzAHMAaQBvAG4AcwBGAHIAbwBtAFAAdQByAGMAaABhAHMAZQBkAFMAZQByAHYAaQBjAGUAcwBcAG4AIAAgAD0ATABBAE0AQgBEAEEAKABcAG4AIAAgACAAIABBAF8AcAAsACAARQBGAF8AcAAsAFwAbgAgACAAIAAgACgAQQBfAHAAIAAqACAARQBGAF8AcAApACAAKgAgADEAMAAgAF4AIAAtADMAXABuACAAIAApADsAXABuAFwAbgBWAEUARQBSAEcAXwAxADUAXwA3AF8AMQBfADEAXwBfADEAXwBFAG0AaQBzAHMAaQBvAG4AcwBGAHIAbwBtAFAAdQByAGMAaABhAHMAZQBkAFMAZQByAHYAaQBjAGUAcwBfAFQAaQB0AGwAZQBcAG4AIAAgAD0ATABBAE0AQgBEAEEAKABcACIARQBtAGkAcwBzAGkAbwBuAHMAIABvAGYAIABwAHUAcgBjAGgAYQBzAGUAZAAgAHMAZQByAHYAaQBjAGUAcwAgAGEAbgBkACAAYwBvAG4AdAByAGEAYwB0AG8AcgAgAG8AcABlAHIAYQB0AGkAbwBuAHMAXAAiACkAOwBcAG4AXABuAFYARQBFAFIARwBfADEANQBfADcAXwAxAF8AMQBfAF8AMQBfAEUAbQBpAHMAcwBpAG8AbgBzAEYAcgBvAG0AUAB1AHIAYwBoAGEAcwBlAGQAUwBlAHIAdgBpAGMAZQBzAF8AVgBhAHIAaQBhAGIAbABlAFwAbgAgACAAPQBMAEEATQBCAEQAQQAoAFwAIgBFAFwAIgApADsAXABuAFwAbgBWAEUARQBSAEcAXwAxADUAXwA3AF8AMQBfADEAXwBfADEAXwBFAG0AaQBzAHMAaQBvAG4AcwBGAHIAbwBtAFAAdQByAGMAaABhAHMAZQBkAFMAZQByAHYAaQBjAGUAcwBfAFUAbgBpAHQAXABuACAAIAA9AEwAQQBNAEIARABBACgAXAAiAHQAIABDAE8AMgBlAFwAIgApADsAXABuAFwAbgBWAEUARQBSAEcAXwAxADUAXwA3AF8AMQBfADEAXwBfADEAXwBFAG0AaQBzAHMAaQBvAG4AcwBGAHIAbwBtAFAAdQByAGMAaABhAHMAZQBkAFMAZQByAHYAaQBjAGUAcwBfAFMAbwB1AHIAYwBlAFwAbgAgACAAPQBMAEEATQBCAEQAQQAoAFwAIgBWAEUARQBSAEcAIAAyADAAMgA2ADoAIAAxADUALgA3AC4AMQAuADEALAAgAEUAcQB1AGEAdABpAG8AbgAgACgAMQApAFwAIgApADsAXABuAFwAbgBWAEUARQBSAEcAXwAxADUAXwA3AF8AMQBfADEAXwBfADEAXwBFAG0AaQBzAHMAaQBvAG4AcwBGAHIAbwBtAFAAdQByAGMAaABhAHMAZQBkAFMAZQByAHYAaQBjAGUAcwBfAE4ASQBSAFIAZQBmAGUAcgBlAG4AYwBlAFwAbgAgACAAPQBMAEEATQBCAEQAQQAoAFwAIgBcACIAKQA7AFwAbgBcAG4AVgBFAEUAUgBHAF8AMQA1AF8ANwBfADEAXwAxAF8AXwAxAF8ARQBtAGkAcwBzAGkAbwBuAHMARgByAG8AbQBQAHUAcgBjAGgAYQBzAGUAZABTAGUAcgB2AGkAYwBlAHMAXwBMAGEAdABlAHgARQBxAHUAYQB0AGkAbwBuAFwAbgAgACAAPQBMAEEATQBCAEQAQQAoAFwAIgBFAD0AXABcAHMAdQBtAFwAXABuAG8AbABpAG0AaQB0AHMAXwBwAFwAXABsAGUAZgB0ACgAQQBfAHAAXABcAHQAaQBtAGUAcwAgAEUARgBfAHAAXABcAHIAaQBnAGgAdAApAFwAXAB0AGkAbQBlAHMAIAAxADAAXgB7AC0AMwB9AFwAIgApADsAXABuAFwAbgBWAEUARQBSAEcAXwAxADUAXwA3AF8AMQBfADEAXwBfADEAXwBFAG0AaQBzAHMAaQBvAG4AcwBGAHIAbwBtAFAAdQByAGMAaABhAHMAZQBkAFMAZQByAHYAaQBjAGUAcwBfAEEAcgBnAHUAbQBlAG4AdABzAFwAbgAgACAAPQBMAEEATQBCAEQAQQAoAFwAbgAgACAAIAAgAE0AQQBLAEUAQQBSAFIAQQBZACgAMwAsACAANAAsAFwAbgAgACAAIAAgACAAIABMAEEATQBCAEQAQQAoAHIALABjACwAXABuACAAIAAgACAAIAAgACAAIABJAE4ARABFAFgAKAB7AFwAbgAgACAAIAAgACAAIAAgACAAIAAgAFwAIgBBAF8AcABcACIALAAgAFwAIgBhAGMAdABpAHYAaQB0AHkAIABkAGEAdABhACAAbwBmACAAdABoAGUAIABzAGUAcgB2AGkAYwBlACAAdABoAGEAdAAgAHcAYQBzACAAcAB1AHIAYwBoAGEAcwBlAGQAXAAiACwAIABcACIAaABhACAAbwByACAAaABcACIALAAgAFwAIgBJAG4AcAB1AHQAXAAiADsAXABuACAAIAAgACAAIAAgACAAIAAgACAAXAAiAEUARgBfAHAAXAAiACwAIABcACIAbABpAGYAZQAgAGMAeQBjAGwAZQAgAGUAbQBpAHMAcwBpAG8AbgAgAGYAYQBjAHQAbwByACAAZgBvAHIAIAB0AGgAZQAgAHAAdQByAGMAaABhAHMAZQBkACAAcwBlAHIAdgBpAGMAZQBcACIALAAgAFwAIgBrAGcAIABDAE8AMgBlAC8AaABhACAAbwByACAAawBnACAAQwBPADIAZQAvAGgAXAAiACwAIABcACIAQwBvAG4AcwB0AGEAbgB0AFwAIgA7AFwAbgAgACAAIAAgACAAIAAgACAAIAAgAFwAIgBwAFwAIgAsACAAXAAiAHMAZQByAHYAaQBjAGU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4AF8AMQBfADEAXwBfADEAXwBFAG0AaQBzAHMAaQBvAG4AcwBGAHIAbwBtAFAAdQByAGMAaABhAHMAZQBkAFAAYQBjAGsAYQBnAGkAbgBnAFwAbgBFAG0AYgBlAGQAZABlAGQAIABlAG0AaQBzAHMAaQBvAG4AcwAgAGYAcgBvAG0AIAB1AHMAZQAgAG8AZgAgAHAAYQBjAGsAYQBnAGkAbgBnACAAbQBhAHQAZQByAGkAYQBsAHMAXABuAEUAXABuAHQAIABDAE8AMgBlAFwAbgBFAD0AXABcAHMAdQBtAFwAXABuAG8AbABpAG0AaQB0AHMAXwBwAFwAXABsAGUAZgB0ACgAUQBfAHAAXABcAHQAaQBtAGUAcwAgAEUARgBfAHAAXABcAHIAaQBnAGgAdAApAFwAXAB0AGkAbQBlAHMAIAAxADAAXgB7AC0AMwB9AFwAbgBRAF8AcAAgAD0AIAB1AG4AaQB0AHMAIABvAGYAIABwAGEAYwBrAGEAZwBpAG4AZwAgAHQAeQBwAGUAIABwAFwAbgBFAEYAXwBwACAAPQAgAGUAbQBpAHMAcwBpAG8AbgAgAGYAYQBjAHQAbwByACAAZgBvAHIAIABwAGEAYwBrAGEAZwBpAG4AZwAgAHQAeQBwAGUAIABwAFwAbgAtAC0ALQAtAC0ALQAtAC0ALQAtAC0ALQAtAC0ALQAtAC0ALQAtAC0ALQAtAC0ALQAtAC0ALQAtAC0ALQAtAC0ALQAtAC0ALQAtAC0AXABuACoALwBcAG4AXABuAFYARQBFAFIARwBfADEANQBfADgAXwAxAF8AMQBfAF8AMQBfAEUAbQBpAHMAcwBpAG8AbgBzAEYAcgBvAG0AUAB1AHIAYwBoAGEAcwBlAGQAUABhAGMAawBhAGcAaQBuAGcAXABuACAAIAA9AEwAQQBNAEIARABBACgAXABuACAAIAAgACAAUQBfAHAALAAgAEUARgBfAHAALABcAG4AIAAgACAAIAAoAFEAXwBwACAAKgAgAEUARgBfAHAAKQAgACoAIAAxADAAIABeACAALQAzAFwAbgAgACAAKQA7AFwAbgBcAG4AVgBFAEUAUgBHAF8AMQA1AF8AOABfADEAXwAxAF8AXwAxAF8ARQBtAGkAcwBzAGkAbwBuAHMARgByAG8AbQBQAHUAcgBjAGgAYQBzAGUAZABQAGEAYwBrAGEAZwBpAG4AZwBfAFQAaQB0AGwAZQBcAG4AIAAgAD0ATABBAE0AQgBEAEEAKABcACIARQBtAGIAZQBkAGQAZQBkACAAZQBtAGkAcwBzAGkAbwBuAHMAIABmAHIAbwBtACAAdQBzAGUAIABvAGYAIABwAGEAYwBrAGEAZwBpAG4AZwAgAG0AYQB0AGUAcgBpAGEAbABzAFwAIgApADsAXABuAFwAbgBWAEUARQBSAEcAXwAxADUAXwA4AF8AMQBfADEAXwBfADEAXwBFAG0AaQBzAHMAaQBvAG4AcwBGAHIAbwBtAFAAdQByAGMAaABhAHMAZQBkAFAAYQBjAGsAYQBnAGkAbgBnAF8AVgBhAHIAaQBhAGIAbABlAFwAbgAgACAAPQBMAEEATQBCAEQAQQAoAFwAIgBFAFwAIgApADsAXABuAFwAbgBWAEUARQBSAEcAXwAxADUAXwA4AF8AMQBfADEAXwBfADEAXwBFAG0AaQBzAHMAaQBvAG4AcwBGAHIAbwBtAFAAdQByAGMAaABhAHMAZQBkAFAAYQBjAGsAYQBnAGkAbgBnAF8AVQBuAGkAdABcAG4AIAAgAD0ATABBAE0AQgBEAEEAKABcACIAdAAgAEMATwAyAGUAXAAiACkAOwBcAG4AXABuAFYARQBFAFIARwBfADEANQBfADgAXwAxAF8AMQBfAF8AMQBfAEUAbQBpAHMAcwBpAG8AbgBzAEYAcgBvAG0AUAB1AHIAYwBoAGEAcwBlAGQAUABhAGMAawBhAGcAaQBuAGcAXwBTAG8AdQByAGMAZQBcAG4AIAAgAD0ATABBAE0AQgBEAEEAKABcACIAVgBFAEUAUgBHACAAMgAwADIANgA6ACAAMQA1AC4AOAAuADEALgAxACwAIABFAHEAdQBhAHQAaQBvAG4AIAAoADEAKQBcACIAKQA7AFwAbgBcAG4AVgBFAEUAUgBHAF8AMQA1AF8AOABfADEAXwAxAF8AXwAxAF8ARQBtAGkAcwBzAGkAbwBuAHMARgByAG8AbQBQAHUAcgBjAGgAYQBzAGUAZABQAGEAYwBrAGEAZwBpAG4AZwBfAE4ASQBSAFIAZQBmAGUAcgBlAG4AYwBlAFwAbgAgACAAPQBMAEEATQBCAEQAQQAoAFwAIgBcACIAKQA7AFwAbgBcAG4AVgBFAEUAUgBHAF8AMQA1AF8AOABfADEAXwAxAF8AXwAxAF8ARQBtAGkAcwBzAGkAbwBuAHMARgByAG8AbQBQAHUAcgBjAGgAYQBzAGUAZABQAGEAYwBrAGEAZwBpAG4AZwBfAEwAYQB0AGUAeABFAHEAdQBhAHQAaQBvAG4AXABuACAAIAA9AEwAQQBNAEIARABBACgAXAAiAEUAPQBcAFwAcwB1AG0AXABcAG4AbwBsAGkAbQBpAHQAcwBfAHAAXABcAGwAZQBmAHQAKABRAF8AcABcAFwAdABpAG0AZQBzACAARQBGAF8AcABcAFwAcgBpAGcAaAB0ACkAXABcAHQAaQBtAGUAcwAgADEAMABeAHsALQAzAH0AXAAiACkAOwBcAG4AXABuAFYARQBFAFIARwBfADEANQBfADgAXwAxAF8AMQBfAF8AMQBfAEUAbQBpAHMAcwBpAG8AbgBzAEYAcgBvAG0AUAB1AHIAYwBoAGEAcwBlAGQAUABhAGMAawBhAGcAaQBuAGcAXwBBAHIAZwB1AG0AZQBuAHQAcwBcAG4AIAAgAD0ATABBAE0AQgBEAEEAKABcAG4AIAAgACAAIABNAEEASwBFAEEAUgBSAEEAWQAoADMALAAgADQALABcAG4AIAAgACAAIAAgACAATABBAE0AQgBEAEEAKAByACwAYwAsAFwAbgAgACAAIAAgACAAIAAgACAASQBOAEQARQBYACgAewBcAG4AIAAgACAAIAAgACAAIAAgACAAIABcACIAUQBfAHAAXAAiACwAIABcACIAdQBuAGkAdABzACAAbwBmACAAcABhAGMAawBhAGcAaQBuAGcAIAB0AHkAcABlACAAcABcACIALAAgAFwAIgB1AG4AaQB0AHMAXAAiACwAIABcACIASQBuAHAAdQB0AFwAIgA7AFwAbgAgACAAIAAgACAAIAAgACAAIAAgAFwAIgBFAEYAXwBwAFwAIgAsACAAXAAiAGUAbQBpAHMAcwBpAG8AbgAgAGYAYQBjAHQAbwByACAAZgBvAHIAIABwAGEAYwBrAGEAZwBpAG4AZwAgAHQAeQBwAGUAIABwAFwAIgAsACAAXAAiAGsAZwAgAEMATwAyAGUALwB1AG4AaQB0AFwAIgAsACAAXAAiAEMAbwBuAHMAdABhAG4AdABcACIAOwBcAG4AIAAgACAAIAAgACAAIAAgACAAIABcACIAcABcACIALAAgAFwAIgBwAGEAYwBrAGEAZwBpAG4AZwAgAHQAeQBwAGUAXAAiACwAIABcACIAXAAiACwAIABcACIASQBuAHAAdQB0AFwAIgBcAG4AIAAgACAAIAAgACAAIAAgAH0ALAAgAHIALAAgAGMAKQBcAG4AIAAgACAAIAAgACAAKQBcAG4AIAAgACAAIAApAFwAbgAgACAAKQA7AFwAbgBcAG4AVgBFAEUAUgBHAF8AMQA1AF8AOABfADEAXwAxAF8AXwAxAF8ARQBtAGkAcwBzAGkAbwBuAHMARgByAG8AbQBQAHUAcgBjAGgAYQBzAGUAZABQAGEAYwBrAGEAZwBpAG4AZwBfAFYAYQByAGkAYQB0AGkAbwBuAFwAbgAgACAAPQBMAEEATQBCAEQAQQAoAFwAIgBWAEEAUgBJAEEAVABJAE8ATgAgAE8ATgAgAFMATwBVAFIAQwBFADoAIABDAGgAYQBuAGcAZQBkACAAdQBuAGkAdAAgAG8AZgAgAFEAIABmAHIAbwBtACAAXAB1ADAAMAAyADcAdQBuAGkAdABzAFwAdQAwADAAMgA3ACAAdABvACAAXAB1ADAAMAAyADcAawBnAFwAdQAwADAAMgA3ACAAYQBzACAARQBGACAAZABhAHQAYQAgAGkAcwAgAGkAbgAgAGsAZwAuAFwAIgApADsAXABuACAAIABcAG4AXABuAC8AKgBcAG4ALQAtAC0ALQAtAC0ALQAtAC0ALQAtAC0ALQAtAC0ALQAtAC0ALQAtAC0ALQAtAC0ALQAtAC0ALQAtAC0ALQAtAC0ALQAtAC0ALQAtAFwAbgBWAEUARQBSAEcAXwAxADUAXwA5AF8AMQBfADEAXwBfADEAXwBFAG0AaQBzAHMAaQBvAG4AcwBGAHIAbwBtAFAAdQByAGMAaABhAHMAZQBkAEcAcgBvAHcATQBlAGQAaQBhAFwAbgBFAG0AYgBlAGQAZABlAGQAIABlAG0AaQBzAHMAaQBvAG4AcwAgAGYAcgBvAG0AIAB1AHMAZQAgAG8AZgAgAGcAcgBvAHcAIABtAGUAZABpAGEAIABwAHIAbwBkAHUAYwB0AHMAXABuAEUAXABuAHQAIABDAE8AMgBlAFwAbgBFAD0AXABcAHMAdQBtAFwAXABuAG8AbABpAG0AaQB0AHMAXwBnAFwAXABsAGUAZgB0ACgAUQBfAGcAXABcAHQAaQBtAGUAcwAgAEUARgBfAGcAXABcAHIAaQBnAGgAdAApAFwAXAB0AGkAbQBlAHMAIAAxADAAXgB7AC0AMwB9AFwAbgBRAF8AZwAgAD0AIAB0AG8AdABhAGwAIABxAHUAYQBuAHQAaQB0AHkAIABvAGYAIABnAHIAbwB3ACAAbQBlAGQAaQBhACAAdAB5AHAAZQAgAGcAXABuAEUARgBfAGcAIAA9ACAAZQBtAGkAcwBzAGkAbwBuACAAZgBhAGMAdABvAHIAIABmAG8AcgAgAGcAcgBvAHcAIABtAGUAZABpAGEAIAB0AHkAcABlACAAZwBcAG4ALQAtAC0ALQAtAC0ALQAtAC0ALQAtAC0ALQAtAC0ALQAtAC0ALQAtAC0ALQAtAC0ALQAtAC0ALQAtAC0ALQAtAC0ALQAtAC0ALQAtAFwAbgAqAC8AXABuAFwAbgBWAEUARQBSAEcAXwAxADUAXwA5AF8AMQBfADEAXwBfADEAXwBFAG0AaQBzAHMAaQBvAG4AcwBGAHIAbwBtAFAAdQByAGMAaABhAHMAZQBkAEcAcgBvAHcATQBlAGQAaQBhAFwAbgAgACAAPQBMAEEATQBCAEQAQQAoAFwAbgAgACAAIAAgAFEAXwBnACwAIABFAEYAXwBnACwAXABuACAAIAAgACAAKABRAF8AZwAgACoAIABFAEYAXwBnACkAIAAqACAAMQAwACAAXgAgAC0AMwBcAG4AIAAgACkAOwBcAG4AXABuAFYARQBFAFIARwBfADEANQBfADkAXwAxAF8AMQBfAF8AMQBfAEUAbQBpAHMAcwBpAG8AbgBzAEYAcgBvAG0AUAB1AHIAYwBoAGEAcwBlAGQARwByAG8AdwBNAGUAZABpAGEAXwBUAGkAdABsAGUAXABuACAAIAA9AEwAQQBNAEIARABBACgAXAAiAEUAbQBiAGUAZABkAGUAZAAgAGUAbQBpAHMAcwBpAG8AbgBzACAAZgByAG8AbQAgAHUAcwBlACAAbwBmACAAZwByAG8AdwAgAG0AZQBkAGkAYQAgAHAAcgBvAGQAdQBjAHQAcwBcACIAKQA7AFwAbgBcAG4AVgBFAEUAUgBHAF8AMQA1AF8AOQBfADEAXwAxAF8AXwAxAF8ARQBtAGkAcwBzAGkAbwBuAHMARgByAG8AbQBQAHUAcgBjAGgAYQBzAGUAZABHAHIAbwB3AE0AZQBkAGkAYQBfAFYAYQByAGkAYQBiAGwAZQBcAG4AIAAgAD0ATABBAE0AQgBEAEEAKABcACIARQBcACIAKQA7AFwAbgBcAG4AVgBFAEUAUgBHAF8AMQA1AF8AOQBfADEAXwAxAF8AXwAxAF8ARQBtAGkAcwBzAGkAbwBuAHMARgByAG8AbQBQAHUAcgBjAGgAYQBzAGUAZABHAHIAbwB3AE0AZQBkAGkAYQBfAFUAbgBpAHQAXABuACAAIAA9AEwAQQBNAEIARABBACgAXAAiAHQAIABDAE8AMgBlAFwAIgApADsAXABuAFwAbgBWAEUARQBSAEcAXwAxADUAXwA5AF8AMQBfADEAXwBfADEAXwBFAG0AaQBzAHMAaQBvAG4AcwBGAHIAbwBtAFAAdQByAGMAaABhAHMAZQBkAEcAcgBvAHcATQBlAGQAaQBhAF8AUwBvAHUAcgBjAGUAXABuACAAIAA9AEwAQQBNAEIARABBACgAXAAiAFYARQBFAFIARwAgADIAMAAyADYAOgAgADEANQAuADkALgAxAC4AMQAsACAARQBxAHUAYQB0AGkAbwBuACAAKAAxACkAXAAiACkAOwBcAG4AXABuAFYARQBFAFIARwBfADEANQBfADkAXwAxAF8AMQBfAF8AMQBfAEUAbQBpAHMAcwBpAG8AbgBzAEYAcgBvAG0AUAB1AHIAYwBoAGEAcwBlAGQARwByAG8AdwBNAGUAZABpAGEAXwBOAEkAUgBSAGUAZgBlAHIAZQBuAGMAZQBcAG4AIAAgAD0ATABBAE0AQgBEAEEAKABcACIAXAAiACkAOwBcAG4AXABuAFYARQBFAFIARwBfADEANQBfADkAXwAxAF8AMQBfAF8AMQBfAEUAbQBpAHMAcwBpAG8AbgBzAEYAcgBvAG0AUAB1AHIAYwBoAGEAcwBlAGQARwByAG8AdwBNAGUAZABpAGEAXwBMAGEAdABlAHgARQBxAHUAYQB0AGkAbwBuAFwAbgAgACAAPQBMAEEATQBCAEQAQQAoAFwAIgBFAD0AXABcAHMAdQBtAFwAXABuAG8AbABpAG0AaQB0AHMAXwBnAFwAXABsAGUAZgB0ACgAUQBfAGcAXABcAHQAaQBtAGUAcwAgAEUARgBfAGcAXABcAHIAaQBnAGgAdAApAFwAXAB0AGkAbQBlAHMAIAAxADAAXgB7AC0AMwB9AFwAIgApADsAXABuAFwAbgBWAEUARQBSAEcAXwAxADUAXwA5AF8AMQBfADEAXwBfADEAXwBFAG0AaQBzAHMAaQBvAG4AcwBGAHIAbwBtAFAAdQByAGMAaABhAHMAZQBkAEcAcgBvAHcATQBlAGQAaQBhAF8AQQByAGcAdQBtAGUAbgB0AHMAXABuACAAIAA9AEwAQQBNAEIARABBACgAXABuACAAIAAgACAATQBBAEsARQBBAFIAUgBBAFkAKAAzACwAIAA0ACwAXABuACAAIAAgACAAIAAgAEwAQQBNAEIARABBACgAcgAsAGMALABcAG4AIAAgACAAIAAgACAAIAAgAEkATgBEAEUAWAAoAHsAXABuACAAIAAgACAAIAAgACAAIAAgACAAXAAiAFEAXwBnAFwAIgAsACAAXAAiAHQAbwB0AGEAbAAgAHEAdQBhAG4AdABpAHQAeQAgAG8AZgAgAGcAcgBvAHcAIABtAGUAZABpAGEAIAB0AHkAcABlACAAZwBcACIALAAgAFwAIgBrAGcAIABvAHIAIABtADMAXAAiACwAIABcACIASQBuAHAAdQB0AFwAIgA7AFwAbgAgACAAIAAgACAAIAAgACAAIAAgAFwAIgBFAEYAXwBnAFwAIgAsACAAXAAiAGUAbQBpAHMAcwBpAG8AbgAgAGYAYQBjAHQAbwByACAAZgBvAHIAIABnAHIAbwB3ACAAbQBlAGQAaQBhACAAdAB5AHAAZQAgAGcAXAAiACwAIABcACIAawBnACAAQwBPADIAZQAvAGsAZwAgAG8AcgAgAGsAZwAgAEMATwAyAGUALwBtADMAXAAiACwAIABcACIAQwBvAG4AcwB0AGEAbgB0AFwAIgA7AFwAbgAgACAAIAAgACAAIAAgACAAIAAgAFwAIgBnAFwAIgAsACAAXAAiAGcAcgBvAHcAIABtAGUAZABpAGE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AAXwAxAF8AMQBfAF8AMQBfAE8AdABoAGUAcgBQAHUAcgBjAGgAYQBzAGUAZABHAG8AbwBkAHMAQQBuAGQAUwBlAHIAdgBpAGMAZQBzAFwAbgBPAHQAaABlAHIAIABwAHUAcgBjAGgAYQBzAGUAZAAgAGcAbwBvAGQAcwAgAGEAbgBkACAAcwBlAHIAdgBpAGMAZQBzACAAZwBlAG4AZQByAGkAYwAgAGUAcwB0AGkAbQBhAHQAZQBcAG4AZQBtAGkAcwBzAGkAbwBuAHMAXABuAHQAIABDAE8AMgBlAFwAbgBlAG0AaQBzAHMAaQBvAG4AcwA9AGEAYwB0AGkAdgBpAHQAeQBfAGQAYQB0AGEAXABcAHQAaQBtAGUAcwAgAGUAbQBpAHMAcwBpAG8AbgBfAGYAYQBjAHQAbwByAFwAbgBhAGMAdABpAHYAaQB0AHkAXwBkAGEAdABhACAAPQAgAG0AZQBhAHMAdQByAGUAZAAgAGEAYwB0AGkAdgBpAHQAeQAgAGYAbwByACAAdABoAGUAIABwAHUAcgBjAGgAYQBzAGUAZAAgAGcAbwBvAGQAIABvAHIAIABzAGUAcgB2AGkAYwBlAFwAbgBlAG0AaQBzAHMAaQBvAG4AXwBmAGEAYwB0AG8AcgAgAD0AIABsAGkAZgBlAGMAeQBjAGwAZQAgAGUAbQBpAHMAcwBpAG8AbgBzACAAcABlAHIAIAB1AG4AaQB0ACAAbwBmACAAYQBjAHQAaQB2AGkAdAB5AFwAbgAtAC0ALQAtAC0ALQAtAC0ALQAtAC0ALQAtAC0ALQAtAC0ALQAtAC0ALQAtAC0ALQAtAC0ALQAtAC0ALQAtAC0ALQAtAC0ALQAtAC0AXABuACoALwBcAG4AXABuAFYARQBFAFIARwBfADEANQBfADEAMABfADEAXwAxAF8AXwAxAF8ATwB0AGgAZQByAFAAdQByAGMAaABhAHMAZQBkAEcAbwBvAGQAcwBBAG4AZABTAGUAcgB2AGkAYwBlAHMAXABuACAAIAA9AEwAQQBNAEIARABBACgAXABuACAAIAAgACAAYQBjAHQAaQB2AGkAdAB5AF8AZABhAHQAYQAsACAAZQBtAGkAcwBzAGkAbwBuAF8AZgBhAGMAdABvAHIALABcAG4AIAAgACAAIABhAGMAdABpAHYAaQB0AHkAXwBkAGEAdABhACAAKgAgAGUAbQBpAHMAcwBpAG8AbgBfAGYAYQBjAHQAbwByAFwAbgAgACAAKQA7AFwAbgBcAG4AVgBFAEUAUgBHAF8AMQA1AF8AMQAwAF8AMQBfADEAXwBfADEAXwBPAHQAaABlAHIAUAB1AHIAYwBoAGEAcwBlAGQARwBvAG8AZABzAEEAbgBkAFMAZQByAHYAaQBjAGUAcwBfAFQAaQB0AGwAZQBcAG4AIAAgAD0ATABBAE0AQgBEAEEAKABcACIATwB0AGgAZQByACAAcAB1AHIAYwBoAGEAcwBlAGQAIABnAG8AbwBkAHMAIABhAG4AZAAgAHMAZQByAHYAaQBjAGUAcwAgAGcAZQBuAGUAcgBpAGMAIABlAHMAdABpAG0AYQB0AGUAXAAiACkAOwBcAG4AXABuAFYARQBFAFIARwBfADEANQBfADEAMABfADEAXwAxAF8AXwAxAF8ATwB0AGgAZQByAFAAdQByAGMAaABhAHMAZQBkAEcAbwBvAGQAcwBBAG4AZABTAGUAcgB2AGkAYwBlAHMAXwBWAGEAcgBpAGEAYgBsAGUAXABuACAAIAA9AEwAQQBNAEIARABBACgAXAAiAGUAbQBpAHMAcwBpAG8AbgBzAFwAIgApADsAXABuAFwAbgBWAEUARQBSAEcAXwAxADUAXwAxADAAXwAxAF8AMQBfAF8AMQBfAE8AdABoAGUAcgBQAHUAcgBjAGgAYQBzAGUAZABHAG8AbwBkAHMAQQBuAGQAUwBlAHIAdgBpAGMAZQBzAF8AVQBuAGkAdABcAG4AIAAgAD0ATABBAE0AQgBEAEEAKABcACIAdAAgAEMATwAyAGUAXAAiACkAOwBcAG4AXABuAFYARQBFAFIARwBfADEANQBfADEAMABfADEAXwAxAF8AXwAxAF8ATwB0AGgAZQByAFAAdQByAGMAaABhAHMAZQBkAEcAbwBvAGQAcwBBAG4AZABTAGUAcgB2AGkAYwBlAHMAXwBTAG8AdQByAGMAZQBcAG4AIAAgAD0ATABBAE0AQgBEAEEAKABcACIAVgBFAEUAUgBHACAAMgAwADIANgA6ACAAMQA1AC4AMQAwACwAIABnAGUAbgBlAHIAaQBjACAAcABsAGEAYwBlAGgAbwBsAGQAZQByACAAZQBxAHUAYQB0AGkAbwBuAFwAIgApADsAXABuAFwAbgBWAEUARQBSAEcAXwAxADUAXwAxADAAXwAxAF8AMQBfAF8AMQBfAE8AdABoAGUAcgBQAHUAcgBjAGgAYQBzAGUAZABHAG8AbwBkAHMAQQBuAGQAUwBlAHIAdgBpAGMAZQBzAF8ATgBJAFIAUgBlAGYAZQByAGUAbgBjAGUAXABuACAAIAA9AEwAQQBNAEIARABBACgAXAAiAFwAIgApADsAXABuAFwAbgBWAEUARQBSAEcAXwAxADUAXwAxADAAXwAxAF8AMQBfAF8AMQBfAE8AdABoAGUAcgBQAHUAcgBjAGgAYQBzAGUAZABHAG8AbwBkAHMAQQBuAGQAUwBlAHIAdgBpAGMAZQBzAF8ATABhAHQAZQB4AEUAcQB1AGEAdABpAG8AbgBcAG4AIAAgAD0ATABBAE0AQgBEAEEAKABcACIAZQBtAGkAcwBzAGkAbwBuAHMAPQBhAGMAdABpAHYAaQB0AHkAXABcAF8AZABhAHQAYQBcAFwAdABpAG0AZQBzACAAZQBtAGkAcwBzAGkAbwBuAFwAXABfAGYAYQBjAHQAbwByAFwAIgApADsAXABuAFwAbgBWAEUARQBSAEcAXwAxADUAXwAxADAAXwAxAF8AMQBfAF8AMQBfAE8AdABoAGUAcgBQAHUAcgBjAGgAYQBzAGUAZABHAG8AbwBkAHMAQQBuAGQAUwBlAHIAdgBpAGMAZQBzAF8AQQByAGcAdQBtAGUAbgB0AHMAXABuACAAIAA9AEwAQQBNAEIARABBACgAXABuACAAIAAgACAATQBBAEsARQBBAFIAUgBBAFkAKAAyACwAIAA0ACwAXABuACAAIAAgACAAIAAgAEwAQQBNAEIARABBACgAcgAsAGMALABcAG4AIAAgACAAIAAgACAAIAAgAEkATgBEAEUAWAAoAHsAXABuACAAIAAgACAAIAAgACAAIAAgACAAXAAiAGEAYwB0AGkAdgBpAHQAeQBfAGQAYQB0AGEAXAAiACwAIABcACIAbQBlAGEAcwB1AHIAZQBkACAAYQBjAHQAaQB2AGkAdAB5ACAAZgBvAHIAIAB0AGgAZQAgAHAAdQByAGMAaABhAHMAZQBkACAAZwBvAG8AZAAgAG8AcgAgAHMAZQByAHYAaQBjAGUAXAAiACwAIABcACIAdgBhAHIAaQBlAHMAXAAiACwAIABcACIASQBuAHAAdQB0AFwAIgA7AFwAbgAgACAAIAAgACAAIAAgACAAIAAgAFwAIgBlAG0AaQBzAHMAaQBvAG4AXwBmAGEAYwB0AG8AcgBcACIALAAgAFwAIgBsAGkAZgBlAGMAeQBjAGwAZQAgAGUAbQBpAHMAcwBpAG8AbgBzACAAcABlAHIAIAB1AG4AaQB0ACAAbwBmACAAYQBjAHQAaQB2AGkAdAB5AFwAIgAsACAAXAAiAHYAYQByAGkAZQB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QBfAFQAbwB0AGEAbABVAHAAcwB0AHIAZQBhAG0ARQBtAGkAcwBzAGkAbwBuAHMARgByAG8AbQBGAHUAZQBsAFwAbgBUAG8AdABhAGwAIAB1AHAAcwB0AHIAZQBhAG0AIABlAG0AaQBzAHMAaQBvAG4AcwAgAGYAcgBvAG0AIABzAGMAbwBwAGUAIAAxACAAZgB1AGUAbAAgAGMAbwBuAHMAdQBtAHAAdABpAG8AbgBcAG4ARQBcAG4AdAAgAEMATwAyAGUAXABuAEUAPQBcAFwAcwB1AG0AXABcAG4AbwBsAGkAbQBpAHQAcwBfAHEARQBfAHsAVwBUAFQALAB0AHIAYQBuAHMALABxAH0AKwBcAFwAcwB1AG0AXABcAG4AbwBsAGkAbQBpAHQAcwBfAHEARQBfAHsAVwBUAFQALABTAEMALABxAH0AXABuAEUAXwBXAFQAVAB0AHIAYQBuAHMAcQAgAD0AIAB1AHAAcwB0AHIAZQBhAG0AIABlAG0AaQBzAHMAaQBvAG4AcwAgAGYAcgBvAG0AIABzAGMAbwBwAGUAIAAxACAAdAByAGEAbgBzAHAAbwByAHQAIABmAHUAZQBsACAAdQBzAGUAXABuAEUAXwBXAFQAVABTAEMAcQAgAD0AIAB1AHAAcwB0AHIAZQBhAG0AIABlAG0AaQBzAHMAaQBvAG4AcwAgAGYAcgBvAG0AIABzAGMAbwBwAGUAIAAxACAAcwB0AGEAdABpAG8AbgBhAHIAeQAgAGMAbwBtAGIAdQBzAHQAaQBvAG4AIABmAHUAZQBsACAAdQBzAGUAXABuAC0ALQAtAC0ALQAtAC0ALQAtAC0ALQAtAC0ALQAtAC0ALQAtAC0ALQAtAC0ALQAtAC0ALQAtAC0ALQAtAC0ALQAtAC0ALQAtAC0ALQBcAG4AKgAvAFwAbgBcAG4AVgBFAEUAUgBHAF8AMQA1AF8AMQAxAF8AMQBfADEAXwBfADEAXwBUAG8AdABhAGwAVQBwAHMAdAByAGUAYQBtAEUAbQBpAHMAcwBpAG8AbgBzAEYAcgBvAG0ARgB1AGUAbABcAG4AIAAgAD0ATABBAE0AQgBEAEEAKABcAG4AIAAgACAAIABFAF8AVwBUAFQAdAByAGEAbgBzAHEALAAgAEUAXwBXAFQAVABTAEMAcQAsAFwAbgAgACAAIAAgAEUAXwBXAFQAVAB0AHIAYQBuAHMAcQAgACsAIABFAF8AVwBUAFQAUwBDAHEAXABuACAAIAApADsAXABuAFwAbgBWAEUARQBSAEcAXwAxADUAXwAxADEAXwAxAF8AMQBfAF8AMQBfAFQAbwB0AGEAbABVAHAAcwB0AHIAZQBhAG0ARQBtAGkAcwBzAGkAbwBuAHMARgByAG8AbQBGAHUAZQBsAF8AVABpAHQAbABlAFwAbgAgACAAPQBMAEEATQBCAEQAQQAoAFwAIgBUAG8AdABhAGwAIAB1AHAAcwB0AHIAZQBhAG0AIABlAG0AaQBzAHMAaQBvAG4AcwAgAGYAcgBvAG0AIABzAGMAbwBwAGUAIAAxACAAZgB1AGUAbAAgAGMAbwBuAHMAdQBtAHAAdABpAG8AbgBcACIAKQA7AFwAbgBcAG4AVgBFAEUAUgBHAF8AMQA1AF8AMQAxAF8AMQBfADEAXwBfADEAXwBUAG8AdABhAGwAVQBwAHMAdAByAGUAYQBtAEUAbQBpAHMAcwBpAG8AbgBzAEYAcgBvAG0ARgB1AGUAbABfAFYAYQByAGkAYQBiAGwAZQBcAG4AIAAgAD0ATABBAE0AQgBEAEEAKABcACIARQBcACIAKQA7AFwAbgBcAG4AVgBFAEUAUgBHAF8AMQA1AF8AMQAxAF8AMQBfADEAXwBfADEAXwBUAG8AdABhAGwAVQBwAHMAdAByAGUAYQBtAEUAbQBpAHMAcwBpAG8AbgBzAEYAcgBvAG0ARgB1AGUAbABfAFUAbgBpAHQAXABuACAAIAA9AEwAQQBNAEIARABBACgAXAAiAHQAIABDAE8AMgBlAFwAIgApADsAXABuAFwAbgBWAEUARQBSAEcAXwAxADUAXwAxADEAXwAxAF8AMQBfAF8AMQBfAFQAbwB0AGEAbABVAHAAcwB0AHIAZQBhAG0ARQBtAGkAcwBzAGkAbwBuAHMARgByAG8AbQBGAHUAZQBsAF8AUwBvAHUAcgBjAGUAXABuACAAIAA9AEwAQQBNAEIARABBACgAXAAiAFYARQBFAFIARwAgADIAMAAyADYAOgAgADEANQAuADEAMQAuADEALgAxACwAIABFAHEAdQBhAHQAaQBvAG4AIAAoADEAKQBcACIAKQA7AFwAbgBcAG4AVgBFAEUAUgBHAF8AMQA1AF8AMQAxAF8AMQBfADEAXwBfADEAXwBUAG8AdABhAGwAVQBwAHMAdAByAGUAYQBtAEUAbQBpAHMAcwBpAG8AbgBzAEYAcgBvAG0ARgB1AGUAbABfAE4ASQBSAFIAZQBmAGUAcgBlAG4AYwBlAFwAbgAgACAAPQBMAEEATQBCAEQAQQAoAFwAIgBcACIAKQA7AFwAbgBcAG4AVgBFAEUAUgBHAF8AMQA1AF8AMQAxAF8AMQBfADEAXwBfADEAXwBUAG8AdABhAGwAVQBwAHMAdAByAGUAYQBtAEUAbQBpAHMAcwBpAG8AbgBzAEYAcgBvAG0ARgB1AGUAbABfAEwAYQB0AGUAeABFAHEAdQBhAHQAaQBvAG4AXABuACAAIAA9AEwAQQBNAEIARABBACgAXAAiAEUAPQBcAFwAcwB1AG0AXABcAG4AbwBsAGkAbQBpAHQAcwBfAHEARQBfAHsAVwBUAFQALAB0AHIAYQBuAHMALABxAH0AKwBcAFwAcwB1AG0AXABcAG4AbwBsAGkAbQBpAHQAcwBfAHEARQBfAHsAVwBUAFQALABTAEMALABxAH0AXAAiACkAOwBcAG4AXABuAFYARQBFAFIARwBfADEANQBfADEAMQBfADEAXwAxAF8AXwAxAF8AVABvAHQAYQBsAFUAcABzAHQAcgBlAGEAbQBFAG0AaQBzAHMAaQBvAG4AcwBGAHIAbwBtAEYAdQBlAGwAXwBBAHIAZwB1AG0AZQBuAHQAcwBcAG4AIAAgAD0ATABBAE0AQgBEAEEAKABcAG4AIAAgACAAIABNAEEASwBFAEEAUgBSAEEAWQAoADIALAAgADQALABcAG4AIAAgACAAIAAgACAATABBAE0AQgBEAEEAKAByACwAYwAsAFwAbgAgACAAIAAgACAAIAAgACAASQBOAEQARQBYACgAewBcAG4AIAAgACAAIAAgACAAIAAgACAAIABcACIARQBfAFcAVABUAHQAcgBhAG4AcwBxAFwAIgAsACAAXAAiAHUAcABzAHQAcgBlAGEAbQAgAGUAbQBpAHMAcwBpAG8AbgBzACAAZgByAG8AbQAgAHMAYwBvAHAAZQAgADEAIAB0AHIAYQBuAHMAcABvAHIAdAAgAGYAdQBlAGwAIAB1AHMAZQBcACIALAAgAFwAIgB0ACAAQwBPADIAZQBcACIALAAgAFwAIgBDAGEAbABjAHUAbABhAHQAZQBkACAAYgB5ACAAMQA1AC4AMQAxAC4AMQAuADEAIAAoADIAKQBcACIAOwBcAG4AIAAgACAAIAAgACAAIAAgACAAIABcACIARQBfAFcAVABUAFMAQwBxAFwAIgAsACAAXAAiAHUAcABzAHQAcgBlAGEAbQAgAGUAbQBpAHMAcwBpAG8AbgBzACAAZgByAG8AbQAgAHMAYwBvAHAAZQAgADEAIABzAHQAYQB0AGkAbwBuAGEAcgB5ACAAYwBvAG0AYgB1AHMAdABpAG8AbgAgAGYAdQBlAGwAIAB1AHMAZQBcACIALAAgAFwAIgB0ACAAQwBPADIAZQBcACIALAAgAFwAIgBDAGEAbABjAHUAbABhAHQAZQBkACAAYgB5ACAAMQA1AC4AMQAxAC4AMQAuADEAIAAoADMAKQ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gBfAFUAcABzAHQAcgBlAGEAbQBUAHIAYQBuAHMAcABvAHIAdABGAHUAZQBsAEUAbQBpAHMAcwBpAG8AbgBzAFwAbgBVAHAAcwB0AHIAZQBhAG0AIABlAG0AaQBzAHMAaQBvAG4AcwAgAGYAcgBvAG0AIABzAGMAbwBwAGUAIAAxACAAZgB1AGUAbAAgAHUAcwBlACAAZgBvAHIAIAB0AHIAYQBuAHMAcABvAHIAdAAgAHAAdQByAHAAbwBzAGUAcwBcAG4ARQBfAFcAVABUAHQAcgBhAG4AcwBxAFwAbgB0ACAAQwBPADIAZQBcAG4ARQBfAHsAVwBUAFQALAB0AHIAYQBuAHMALABxAH0APQBRAF8AewBUAHIAYQBuAHMALABxAH0AXABcAHQAaQBtAGUAcwAgAEUAQwBfAHsAVAByAGEAbgBzACwAcQB9AFwAXAB0AGkAbQBlAHMAIABFAEYAXwB7AFQAcgBhAG4AcwAsADMALABxAH0AXABcAHQAaQBtAGUAcwAgADEAMABeAHsALQAzAH0AXABuAFEAXwBUAHIAYQBuAHMAcQAgAD0AIABhAG0AbwB1AG4AdAAgAG8AZgAgAGYAdQBlAGwAIABxACAAYwBvAG0AYgB1AHMAdABlAGQAIABmAG8AcgAgAHQAcgBhAG4AcwBwAG8AcgB0ACAAZQBuAGUAcgBnAHkAIABwAHUAcgBwAG8AcwBlAHMAXABuAEUAQwBfAFQAcgBhAG4AcwBxACAAPQAgAGUAbgBlAHIAZwB5ACAAYwBvAG4AdABlAG4AdAAgAGYAYQBjAHQAbwByACAAZgBvAHIAIAB0AHIAYQBuAHMAcABvAHIAdAAgAGUAbgBlAHIAZwB5ACAAcAB1AHIAcABvAHMAZQBzAFwAbgBFAEYAXwBUAHIAYQBuAHMAMwBxACAAPQAgAHMAYwBvAHAAZQAgADMAIABlAG0AaQBzAHMAaQBvAG4AIABmAGEAYwB0AG8AcgAgAGYAbwByACAAdAByAGEAbgBzAHAAbwByAHQAIABlAG4AZQByAGcAeQAgAHAAdQByAHAAbwBzAGUAcwBcAG4ALQAtAC0ALQAtAC0ALQAtAC0ALQAtAC0ALQAtAC0ALQAtAC0ALQAtAC0ALQAtAC0ALQAtAC0ALQAtAC0ALQAtAC0ALQAtAC0ALQAtAFwAbgAqAC8AXABuAFwAbgBWAEUARQBSAEcAXwAxADUAXwAxADEAXwAxAF8AMQBfAF8AMgBfAFUAcABzAHQAcgBlAGEAbQBUAHIAYQBuAHMAcABvAHIAdABGAHUAZQBsAEUAbQBpAHMAcwBpAG8AbgBzAFwAbgAgACAAPQBMAEEATQBCAEQAQQAoAFwAbgAgACAAIAAgAFEAXwBUAHIAYQBuAHMAcQAsACAARQBDAF8AVAByAGEAbgBzAHEALAAgAEUARgBfAFQAcgBhAG4AcwAzAHEALABcAG4AIAAgACAAIAAoAFEAXwBUAHIAYQBuAHMAcQAgACoAIABFAEMAXwBUAHIAYQBuAHMAcQAgACoAIABFAEYAXwBUAHIAYQBuAHMAMwBxACkAIAAqACAAMQAwACAAXgAgAC0AMwBcAG4AIAAgACkAOwBcAG4AXABuAFYARQBFAFIARwBfADEANQBfADEAMQBfADEAXwAxAF8AXwAyAF8AVQBwAHMAdAByAGUAYQBtAFQAcgBhAG4AcwBwAG8AcgB0AEYAdQBlAGwARQBtAGkAcwBzAGkAbwBuAHMAXwBUAGkAdABsAGUAXABuACAAIAA9AEwAQQBNAEIARABBACgAXAAiAFUAcABzAHQAcgBlAGEAbQAgAGUAbQBpAHMAcwBpAG8AbgBzACAAZgByAG8AbQAgAHMAYwBvAHAAZQAgADEAIABmAHUAZQBsACAAdQBzAGUAIABmAG8AcgAgAHQAcgBhAG4AcwBwAG8AcgB0ACAAcAB1AHIAcABvAHMAZQBzAFwAIgApADsAXABuAFwAbgBWAEUARQBSAEcAXwAxADUAXwAxADEAXwAxAF8AMQBfAF8AMgBfAFUAcABzAHQAcgBlAGEAbQBUAHIAYQBuAHMAcABvAHIAdABGAHUAZQBsAEUAbQBpAHMAcwBpAG8AbgBzAF8AVgBhAHIAaQBhAGIAbABlAFwAbgAgACAAPQBMAEEATQBCAEQAQQAoAFwAIgBFAF8AVwBUAFQAdAByAGEAbgBzAHEAXAAiACkAOwBcAG4AXABuAFYARQBFAFIARwBfADEANQBfADEAMQBfADEAXwAxAF8AXwAyAF8AVQBwAHMAdAByAGUAYQBtAFQAcgBhAG4AcwBwAG8AcgB0AEYAdQBlAGwARQBtAGkAcwBzAGkAbwBuAHMAXwBVAG4AaQB0AFwAbgAgACAAPQBMAEEATQBCAEQAQQAoAFwAIgB0ACAAQwBPADIAZQBcACIAKQA7AFwAbgBcAG4AVgBFAEUAUgBHAF8AMQA1AF8AMQAxAF8AMQBfADEAXwBfADIAXwBVAHAAcwB0AHIAZQBhAG0AVAByAGEAbgBzAHAAbwByAHQARgB1AGUAbABFAG0AaQBzAHMAaQBvAG4AcwBfAFMAbwB1AHIAYwBlAFwAbgAgACAAPQBMAEEATQBCAEQAQQAoAFwAIgBWAEUARQBSAEcAIAAyADAAMgA2ADoAIAAxADUALgAxADEALgAxAC4AMQAsACAARQBxAHUAYQB0AGkAbwBuACAAKAAyACkAXAAiACkAOwBcAG4AXABuAFYARQBFAFIARwBfADEANQBfADEAMQBfADEAXwAxAF8AXwAyAF8AVQBwAHMAdAByAGUAYQBtAFQAcgBhAG4AcwBwAG8AcgB0AEYAdQBlAGwARQBtAGkAcwBzAGkAbwBuAHMAXwBOAEkAUgBSAGUAZgBlAHIAZQBuAGMAZQBcAG4AIAAgAD0ATABBAE0AQgBEAEEAKABcACIAXAAiACkAOwBcAG4AXABuAFYARQBFAFIARwBfADEANQBfADEAMQBfADEAXwAxAF8AXwAyAF8AVQBwAHMAdAByAGUAYQBtAFQAcgBhAG4AcwBwAG8AcgB0AEYAdQBlAGwARQBtAGkAcwBzAGkAbwBuAHMAXwBMAGEAdABlAHgARQBxAHUAYQB0AGkAbwBuAFwAbgAgACAAPQBMAEEATQBCAEQAQQAoAFwAIgBFAF8AewBXAFQAVAAsAHQAcgBhAG4AcwAsAHEAfQA9AFEAXwB7AFQAcgBhAG4AcwAsAHEAfQBcAFwAdABpAG0AZQBzACAARQBDAF8AewBUAHIAYQBuAHMALABxAH0AXABcAHQAaQBtAGUAcwAgAEUARgBfAHsAVAByAGEAbgBzACwAMwAsAHEAfQBcAFwAdABpAG0AZQBzACAAMQAwAF4AewAtADMAfQBcACIAKQA7AFwAbgBcAG4AVgBFAEUAUgBHAF8AMQA1AF8AMQAxAF8AMQBfADEAXwBfADIAXwBVAHAAcwB0AHIAZQBhAG0AVAByAGEAbgBzAHAAbwByAHQARgB1AGUAbABFAG0AaQBzAHMAaQBvAG4AcwBfAEEAcgBnAHUAbQBlAG4AdABzAFwAbgAgACAAPQBMAEEATQBCAEQAQQAoAFwAbgAgACAAIAAgAE0AQQBLAEUAQQBSAFIAQQBZACgAMwAsACAANAAsAFwAbgAgACAAIAAgACAAIABMAEEATQBCAEQAQQAoAHIALABjACwAXABuACAAIAAgACAAIAAgACAAIABJAE4ARABFAFgAKAB7AFwAbgAgACAAIAAgACAAIAAgACAAIAAgAFwAIgBRAF8AVAByAGEAbgBzAHEAXAAiACwAIABcACIAYQBtAG8AdQBuAHQAIABvAGYAIABmAHUAZQBsACAAcQAgAGMAbwBtAGIAdQBzAHQAZQBkACAAZgBvAHIAIAB0AHIAYQBuAHMAcABvAHIAdAAgAGUAbgBlAHIAZwB5ACAAcAB1AHIAcABvAHMAZQBzAFwAIgAsACAAXAAiAGsATABcACIALAAgAFwAIgBJAG4AcAB1AHQAXAAiADsAXABuACAAIAAgACAAIAAgACAAIAAgACAAXAAiAEUAQwBfAFQAcgBhAG4AcwBxAFwAIgAsACAAXAAiAGUAbgBlAHIAZwB5ACAAYwBvAG4AdABlAG4AdAAgAGYAYQBjAHQAbwByACAAZgBvAHIAIAB0AHIAYQBuAHMAcABvAHIAdAAgAGUAbgBlAHIAZwB5ACAAcAB1AHIAcABvAHMAZQBzAFwAIgAsACAAXAAiAEcASgAvAGsATAAgAG8AcgAgAEcASgAvAG0AMwBcACIALAAgAFwAIgBDAG8AbgBzAHQAYQBuAHQAXAAiADsAXABuACAAIAAgACAAIAAgACAAIAAgACAAXAAiAEUARgBfAFQAcgBhAG4AcwAzAHEAXAAiACwAIABcACIAcwBjAG8AcABlACAAMwAgAGUAbQBpAHMAcwBpAG8AbgAgAGYAYQBjAHQAbwByACAAZgBvAHIAIAB0AHIAYQBuAHMAcABvAHIAdAAgAGUAbgBlAHIAZwB5ACAAcAB1AHIAcABvAHMAZQBzAFwAIgAsACAAXAAiAGsAZwAgAEMATwAyAGUALwBHAEo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zAF8AVQBwAHMAdAByAGUAYQBtAFMAdABhAHQAaQBvAG4AYQByAHkARgB1AGUAbABFAG0AaQBzAHMAaQBvAG4AcwBcAG4AVQBwAHMAdAByAGUAYQBtACAAZQBtAGkAcwBzAGkAbwBuAHMAIABmAHIAbwBtACAAcwBjAG8AcABlACAAMQAgAHMAdABhAHQAaQBvAG4AYQByAHkAIABjAG8AbQBiAHUAcwB0AGkAbwBuACAAZgB1AGUAbAAgAHUAcwBlAFwAbgBFAF8AVwBUAFQAUwBDAHEAXABuAHQAIABDAE8AMgBlAFwAbgBFAF8AewBXAFQAVAAsAFMAQwAsAHEAfQA9AFEAXwB7AFMAQwAsAHEAfQBcAFwAdABpAG0AZQBzACAARQBDAF8AewBTAEMALABxAH0AXABcAHQAaQBtAGUAcwAgAEUARgBfAHsAUwBDACwAMwAsAHEAfQBcAFwAdABpAG0AZQBzACAAMQAwAF4AewAtADMAfQBcAG4AUQBfAFMAQwBxACAAPQAgAGEAbQBvAHUAbgB0ACAAbwBmACAAZgB1AGUAbAAgAHEAIAB1AHMAZQBkACAAZgBvAHIAIABzAHQAYQB0AGkAbwBuAGEAcgB5ACAAYwBvAG0AYgB1AHMAdABpAG8AbgAgAG8AcABlAHIAYQB0AGkAbwBuAHMAXABuAEUAQwBfAFMAQwBxACAAPQAgAGUAbgBlAHIAZwB5ACAAYwBvAG4AdABlAG4AdAAgAGYAYQBjAHQAbwByACAAZgBvAHIAIABzAHQAYQB0AGkAbwBuAGEAcgB5ACAAYwBvAG0AYgB1AHMAdABpAG8AbgAgAG8AcABlAHIAYQB0AGkAbwBuAHMAXABuAEUARgBfAFMAQwAzAHEAIAA9ACAAcwBjAG8AcABlACAAMwAgAGUAbQBpAHMAcwBpAG8AbgAgAGYAYQBjAHQAbwByACAAZgBvAHIAIABzAHQAYQB0AGkAbwBuAGEAcgB5ACAAYwBvAG0AYgB1AHMAdABpAG8AbgAgAG8AcABlAHIAYQB0AGkAbwBuAHMAXABuAC0ALQAtAC0ALQAtAC0ALQAtAC0ALQAtAC0ALQAtAC0ALQAtAC0ALQAtAC0ALQAtAC0ALQAtAC0ALQAtAC0ALQAtAC0ALQAtAC0ALQBcAG4AKgAvAFwAbgBcAG4AVgBFAEUAUgBHAF8AMQA1AF8AMQAxAF8AMQBfADEAXwBfADMAXwBVAHAAcwB0AHIAZQBhAG0AUwB0AGEAdABpAG8AbgBhAHIAeQBGAHUAZQBsAEUAbQBpAHMAcwBpAG8AbgBzAFwAbgAgACAAPQBMAEEATQBCAEQAQQAoAFwAbgAgACAAIAAgAFEAXwBTAEMAcQAsACAARQBDAF8AUwBDAHEALAAgAEUARgBfAFMAQwAzAHEALABcAG4AIAAgACAAIAAoAFEAXwBTAEMAcQAgACoAIABFAEMAXwBTAEMAcQAgACoAIABFAEYAXwBTAEMAMwBxACkAIAAqACAAMQAwACAAXgAgAC0AMwBcAG4AIAAgACkAOwBcAG4AXABuAFYARQBFAFIARwBfADEANQBfADEAMQBfADEAXwAxAF8AXwAzAF8AVQBwAHMAdAByAGUAYQBtAFMAdABhAHQAaQBvAG4AYQByAHkARgB1AGUAbABFAG0AaQBzAHMAaQBvAG4AcwBfAFQAaQB0AGwAZQBcAG4AIAAgAD0ATABBAE0AQgBEAEEAKABcACIAVQBwAHMAdAByAGUAYQBtACAAZQBtAGkAcwBzAGkAbwBuAHMAIABmAHIAbwBtACAAcwBjAG8AcABlACAAMQAgAHMAdABhAHQAaQBvAG4AYQByAHkAIABjAG8AbQBiAHUAcwB0AGkAbwBuACAAZgB1AGUAbAAgAHUAcwBlAFwAIgApADsAXABuAFwAbgBWAEUARQBSAEcAXwAxADUAXwAxADEAXwAxAF8AMQBfAF8AMwBfAFUAcABzAHQAcgBlAGEAbQBTAHQAYQB0AGkAbwBuAGEAcgB5AEYAdQBlAGwARQBtAGkAcwBzAGkAbwBuAHMAXwBWAGEAcgBpAGEAYgBsAGUAXABuACAAIAA9AEwAQQBNAEIARABBACgAXAAiAEUAXwBXAFQAVABTAEMAcQBcACIAKQA7AFwAbgBcAG4AVgBFAEUAUgBHAF8AMQA1AF8AMQAxAF8AMQBfADEAXwBfADMAXwBVAHAAcwB0AHIAZQBhAG0AUwB0AGEAdABpAG8AbgBhAHIAeQBGAHUAZQBsAEUAbQBpAHMAcwBpAG8AbgBzAF8AVQBuAGkAdABcAG4AIAAgAD0ATABBAE0AQgBEAEEAKABcACIAdAAgAEMATwAyAGUAXAAiACkAOwBcAG4AXABuAFYARQBFAFIARwBfADEANQBfADEAMQBfADEAXwAxAF8AXwAzAF8AVQBwAHMAdAByAGUAYQBtAFMAdABhAHQAaQBvAG4AYQByAHkARgB1AGUAbABFAG0AaQBzAHMAaQBvAG4AcwBfAFMAbwB1AHIAYwBlAFwAbgAgACAAPQBMAEEATQBCAEQAQQAoAFwAIgBWAEUARQBSAEcAIAAyADAAMgA2ADoAIAAxADUALgAxADEALgAxAC4AMQAsACAARQBxAHUAYQB0AGkAbwBuACAAKAAzACkAXAAiACkAOwBcAG4AXABuAFYARQBFAFIARwBfADEANQBfADEAMQBfADEAXwAxAF8AXwAzAF8AVQBwAHMAdAByAGUAYQBtAFMAdABhAHQAaQBvAG4AYQByAHkARgB1AGUAbABFAG0AaQBzAHMAaQBvAG4AcwBfAE4ASQBSAFIAZQBmAGUAcgBlAG4AYwBlAFwAbgAgACAAPQBMAEEATQBCAEQAQQAoAFwAIgBcACIAKQA7AFwAbgBcAG4AVgBFAEUAUgBHAF8AMQA1AF8AMQAxAF8AMQBfADEAXwBfADMAXwBVAHAAcwB0AHIAZQBhAG0AUwB0AGEAdABpAG8AbgBhAHIAeQBGAHUAZQBsAEUAbQBpAHMAcwBpAG8AbgBzAF8ATABhAHQAZQB4AEUAcQB1AGEAdABpAG8AbgBcAG4AIAAgAD0ATABBAE0AQgBEAEEAKABcACIARQBfAHsAVwBUAFQALABTAEMALABxAH0APQBRAF8AewBTAEMALABxAH0AXABcAHQAaQBtAGUAcwAgAEUAQwBfAHsAUwBDACwAcQB9AFwAXAB0AGkAbQBlAHMAIABFAEYAXwB7AFMAQwAsADMALABxAH0AXABcAHQAaQBtAGUAcwAgADEAMABeAHsALQAzAH0AXAAiACkAOwBcAG4AXABuAFYARQBFAFIARwBfADEANQBfADEAMQBfADEAXwAxAF8AXwAzAF8AVQBwAHMAdAByAGUAYQBtAFMAdABhAHQAaQBvAG4AYQByAHkARgB1AGUAbABFAG0AaQBzAHMAaQBvAG4AcwBfAEEAcgBnAHUAbQBlAG4AdABzAFwAbgAgACAAPQBMAEEATQBCAEQAQQAoAFwAbgAgACAAIAAgAE0AQQBLAEUAQQBSAFIAQQBZACgANQAsACAANAAsAFwAbgAgACAAIAAgACAAIABMAEEATQBCAEQAQQAoAHIALABjACwAXABuACAAIAAgACAAIAAgACAAIABJAE4ARABFAFgAKAB7AFwAbgAgACAAIAAgACAAIAAgACAAIAAgAFwAIgBRAF8AUwBDAHEAXAAiACwAIABcACIAYQBtAG8AdQBuAHQAIABvAGYAIABmAHUAZQBsACAAcQAgAHUAcwBlAGQAIABmAG8AcgAgAHMAdABhAHQAaQBvAG4AYQByAHkAIABjAG8AbQBiAHUAcwB0AGkAbwBuACAAbwBwAGUAcgBhAHQAaQBvAG4AcwBcACIALAAgAFwAIgBrAEwAXAAiACwAIABcACIASQBuAHAAdQB0AFwAIgA7AFwAbgAgACAAIAAgACAAIAAgACAAIAAgAFwAIgBFAEMAXwBTAEMAcQBcACIALAAgAFwAIgBlAG4AZQByAGcAeQAgAGMAbwBuAHQAZQBuAHQAIABmAGEAYwB0AG8AcgAgAGYAbwByACAAcwB0AGEAdABpAG8AbgBhAHIAeQAgAGMAbwBtAGIAdQBzAHQAaQBvAG4AIABvAHAAZQByAGEAdABpAG8AbgBzAFwAIgAsACAAXAAiAEcASgAvAGsATABcACIALAAgAFwAIgBDAG8AbgBzAHQAYQBuAHQAXAAiADsAXABuACAAIAAgACAAIAAgACAAIAAgACAAXAAiAEUARgBfAFMAQwAzAHEAXAAiACwAIABcACIAcwBjAG8AcABlACAAMwAgAGUAbQBpAHMAcwBpAG8AbgAgAGYAYQBjAHQAbwByACAAZgBvAHIAIABzAHQAYQB0AGkAbwBuAGEAcgB5ACAAYwBvAG0AYgB1AHMAdABpAG8AbgAgAG8AcABlAHIAYQB0AGkAbwBuAHMAXAAiACwAIABcACIAawBnACAAQwBPADIAZQAvAEcASgBcACIALAAgAFwAIgBDAG8AbgBzAHQAYQBuAHQAXAAiADsAXABuACAAIAAgACAAIAAgACAAIAAgACAAXAAiAGkAXAAiACwAIABcACIAcwB0AGEAdABlAFwAIgAsACAAXAAiAFwAIgAsACAAXAAiAEkAbgBwAHUAdABcACIAOwBcAG4AIAAgACAAIAAgACAAIAAgACAAIABcACIAbQBcACIALAAgAFwAIgBtAGUAdAByAG8AcABvAGwAaQB0AGEAbgAvAG4AbwBuAC0AbQBlAHQAcgBvAHAAbwBsAGkAdABhAG4AIABsAG8AYwBhAHQAaQBvAG4AXAAiACwAIABcACIAXAAiACwAIABcACIASQBuAHAAdQB0AFwAIgBcAG4AIAAgACAAIAAgACAAIAAgAH0ALAAgAHIALAAgAGMAKQBcAG4AIAAgACAAIAAgACAAKQBcAG4AIAAgACAAIAApAFwAbgAgACAAKQA7AFwAbgBcAG4AVgBFAEUAUgBHAF8AMQA1AF8AMQAxAF8AMQBfADEAXwBfADMAXwBVAHAAcwB0AHIAZQBhAG0AUwB0AGEAdABpAG8AbgBhAHIAeQBGAHUAZQBsAEUAbQBpAHMAcwBpAG8AbgBzAF8AVgBhAHIAaQBhAHQAaQBvAG4AXABuACAAIAA9AEwAQQBNAEIARABBACgAXAAiAFYAQQBSAEkAQQBUAEkATwBOACAATwBOACAAUwBPAFUAUgBDAEUAOgAgAEEAZABkAGUAZAAgAFwAdQAwADAAMgA3AHMAdABhAHQAZQBcAHUAMAAwADIANwAgAGEAbgBkACAAXAB1ADAAMAAyADcAbQBlAHQAcgBvAC8AbgBvAG4ALQBtAGUAdAByAG8AXAB1ADAAMAAyADcAIABhAHIAZwB1AG0AZQBuAHQAcwAgAGEAcwAgAGcAYQBzAGUAbwB1AHMAIABzAGMAbwBwAGUAIAAzACAARQBGAHMAIABhAHIAZQAgAHMAdABhAHQAZQAgAGEAbgBkACAAbQBlAHQAcgBvAC8AbgBvAG4ALQBtAGUAdAByAG8AIABsAG8AYwBhAHQAaQBvAG4ALQBiAGEAcwBlAGQALgBcACIAKQA7AFwAbgBcAG4ALwAqAFwAbgAtAC0ALQAtAC0ALQAtAC0ALQAtAC0ALQAtAC0ALQAtAC0ALQAtAC0ALQAtAC0ALQAtAC0ALQAtAC0ALQAtAC0ALQAtAC0ALQAtAC0AXABuAFYARQBFAFIARwBfADEANQBfADEAMgBfADEAXwAxAF8AXwAxAF8AVQBwAHMAdAByAGUAYQBtAFAAdQByAGMAaABhAHMAZQBkAEUAbABlAGMAdAByAGkAYwBpAHQAeQBMAG8AYwBhAHQAaQBvAG4AQgBhAHMAZQBkAFwAbgBTAGMAbwBwAGUAIAAzACAAZQBtAGkAcwBzAGkAbwBuAHMAIABmAHIAbwBtACAAcAB1AHIAYwBoAGEAcwBlAGQAIABlAGwAZQBjAHQAcgBpAGMAaQB0AHkAIABsAG8AYwBhAHQAaQBvAG4AIABiAGEAcwBlAGQAXABuAEUAXwAzAGUAbABlAGMAXABuAHQAIABDAE8AMgBlAFwAbgBFAF8AewAzACwAZQBsAGUAYwB9AD0AUQBfAHsAZQBsAGUAYwB9AFwAXAB0AGkAbQBlAHMAIABFAEYAXwB7ADMALABlAGwAZQBjAH0AXABcAHQAaQBtAGUAcwAgADEAMABeAHsALQAzAH0AXABuAFEAXwBlAGwAZQBjACAAPQAgAGEAbQBvAHUAbgB0ACAAbwBmACAAZQBsAGUAYwB0AHIAaQBjAGkAdAB5ACAAcAB1AHIAYwBoAGEAcwBlAGQAIABmAHIAbwBtACAAdABoAGUAIABnAHIAaQBkAFwAbgBFAEYAXwAzAGUAbABlAGMAIAA9ACAAcwBjAG8AcABlACAAMwAgAGUAbQBpAHMAcwBpAG8AbgAgAGYAYQBjAHQAbwByACAAZgBvAHIAIABwAHUAcgBjAGgAYQBzAGUAZAAgAGUAbABlAGMAdAByAGkAYwBpAHQAeQBcAG4ALQAtAC0ALQAtAC0ALQAtAC0ALQAtAC0ALQAtAC0ALQAtAC0ALQAtAC0ALQAtAC0ALQAtAC0ALQAtAC0ALQAtAC0ALQAtAC0ALQAtAFwAbgAqAC8AXABuAFwAbgBWAEUARQBSAEcAXwAxADUAXwAxADIAXwAxAF8AMQBfAF8AMQBfAFUAcABzAHQAcgBlAGEAbQBQAHUAcgBjAGgAYQBzAGUAZABFAGwAZQBjAHQAcgBpAGMAaQB0AHkATABvAGMAYQB0AGkAbwBuAEIAYQBzAGUAZABcAG4AIAAgAD0ATABBAE0AQgBEAEEAKABcAG4AIAAgACAAIABRAF8AZQBsAGUAYwAsACAARQBGAF8AMwBlAGwAZQBjACwAXABuACAAIAAgACAAKABRAF8AZQBsAGUAYwAgACoAIABFAEYAXwAzAGUAbABlAGMAKQAgACoAIAAxADAAIABeACAALQAzAFwAbgAgACAAKQA7AFwAbgBcAG4AVgBFAEUAUgBHAF8AMQA1AF8AMQAyAF8AMQBfADEAXwBfADEAXwBVAHAAcwB0AHIAZQBhAG0AUAB1AHIAYwBoAGEAcwBlAGQARQBsAGUAYwB0AHIAaQBjAGkAdAB5AEwAbwBjAGEAdABpAG8AbgBCAGEAcwBlAGQAXwBUAGkAdABsAGUAXABuACAAIAA9AEwAQQBNAEIARABBACgAXAAiAFMAYwBvAHAAZQAgADMAIABlAG0AaQBzAHMAaQBvAG4AcwAgAGYAcgBvAG0AIABwAHUAcgBjAGgAYQBzAGUAZAAgAGUAbABlAGMAdAByAGkAYwBpAHQAeQAgAGwAbwBjAGEAdABpAG8AbgAgAGIAYQBzAGUAZABcACIAKQA7AFwAbgBcAG4AVgBFAEUAUgBHAF8AMQA1AF8AMQAyAF8AMQBfADEAXwBfADEAXwBVAHAAcwB0AHIAZQBhAG0AUAB1AHIAYwBoAGEAcwBlAGQARQBsAGUAYwB0AHIAaQBjAGkAdAB5AEwAbwBjAGEAdABpAG8AbgBCAGEAcwBlAGQAXwBWAGEAcgBpAGEAYgBsAGUAXABuACAAIAA9AEwAQQBNAEIARABBACgAXAAiAEUAXwAzAGUAbABlAGMAXAAiACkAOwBcAG4AXABuAFYARQBFAFIARwBfADEANQBfADEAMgBfADEAXwAxAF8AXwAxAF8AVQBwAHMAdAByAGUAYQBtAFAAdQByAGMAaABhAHMAZQBkAEUAbABlAGMAdAByAGkAYwBpAHQAeQBMAG8AYwBhAHQAaQBvAG4AQgBhAHMAZQBkAF8AVQBuAGkAdABcAG4AIAAgAD0ATABBAE0AQgBEAEEAKABcACIAdAAgAEMATwAyAGUAXAAiACkAOwBcAG4AXABuAFYARQBFAFIARwBfADEANQBfADEAMgBfADEAXwAxAF8AXwAxAF8AVQBwAHMAdAByAGUAYQBtAFAAdQByAGMAaABhAHMAZQBkAEUAbABlAGMAdAByAGkAYwBpAHQAeQBMAG8AYwBhAHQAaQBvAG4AQgBhAHMAZQBkAF8AUwBvAHUAcgBjAGUAXABuACAAIAA9AEwAQQBNAEIARABBACgAXAAiAFYARQBFAFIARwAgADIAMAAyADYAOgAgADEANQAuADEAMgAuADEALgAxACwAIABFAHEAdQBhAHQAaQBvAG4AIAAoADEAKQBcACIAKQA7AFwAbgBcAG4AVgBFAEUAUgBHAF8AMQA1AF8AMQAyAF8AMQBfADEAXwBfADEAXwBVAHAAcwB0AHIAZQBhAG0AUAB1AHIAYwBoAGEAcwBlAGQARQBsAGUAYwB0AHIAaQBjAGkAdAB5AEwAbwBjAGEAdABpAG8AbgBCAGEAcwBlAGQAXwBOAEkAUgBSAGUAZgBlAHIAZQBuAGMAZQBcAG4AIAAgAD0ATABBAE0AQgBEAEEAKABcACIAXAAiACkAOwBcAG4AXABuAFYARQBFAFIARwBfADEANQBfADEAMgBfADEAXwAxAF8AXwAxAF8AVQBwAHMAdAByAGUAYQBtAFAAdQByAGMAaABhAHMAZQBkAEUAbABlAGMAdAByAGkAYwBpAHQAeQBMAG8AYwBhAHQAaQBvAG4AQgBhAHMAZQBkAF8ATABhAHQAZQB4AEUAcQB1AGEAdABpAG8AbgBcAG4AIAAgAD0ATABBAE0AQgBEAEEAKABcACIARQBfAHsAMwAsAGUAbABlAGMAfQA9AFEAXwB7AGUAbABlAGMAfQBcAFwAdABpAG0AZQBzACAARQBGAF8AewAzACwAZQBsAGUAYwB9AFwAXAB0AGkAbQBlAHMAIAAxADAAXgB7AC0AMwB9AFwAIgApADsAXABuAFwAbgBWAEUARQBSAEcAXwAxADUAXwAxADIAXwAxAF8AMQBfAF8AMQBfAFUAcABzAHQAcgBlAGEAbQBQAHUAcgBjAGgAYQBzAGUAZABFAGwAZQBjAHQAcgBpAGMAaQB0AHkATABvAGMAYQB0AGkAbwBuAEIAYQBzAGUAZA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MAZQBsAGUAYwBcACIALAAgAFwAIgBzAGMAbwBwAGUAIAAzACAAZQBtAGkAcwBzAGkAbwBuACAAZgBhAGMAdABvAHIAIABmAG8AcgAgAHAAdQByAGMAaABhAHMAZQBkACAAZQBsAGUAYwB0AHIAaQBjAGkAdAB5AFwAIgAsACAAXAAiAGsAZwAgAEMATwAyAGUALwBrAFcAaABcACIALAAgAFwAIgBDAG8AbgBzAHQAYQBuAHQAXAAiADsAXABuACAAIAAgACAAIAAgACAAIAAgACAAXAAiAGcAXAAiACwAIABcACIAZwByAGkAZAAgAGUAbABlAGMAdAByAGkAYwBpAHQAeQAgAHcAYQBzACAAcAB1AHIAYwBoAGEAcwBlAGQAIABmAHIAbwBt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IAXwAxAF8AMgBfAF8AMQBfAFUAcABzAHQAcgBlAGEAbQBQAHUAcgBjAGgAYQBzAGUAZABFAGwAZQBjAHQAcgBpAGMAaQB0AHkATQBhAHIAawBlAHQAQgBhAHMAZQBkAFwAbgBTAGMAbwBwAGUAIAAzACAAZQBtAGkAcwBzAGkAbwBuAHMAIABmAHIAbwBtACAAcAB1AHIAYwBoAGEAcwBlAGQAIABlAGwAZQBjAHQAcgBpAGMAaQB0AHkAIABtAGEAcgBrAGUAdAAgAGIAYQBzAGUAZABcAG4ARQBfADMAZQBsAGUAYwBcAG4AdAAgAEMATwAyAGUAXABuAEUAXwB7ADMALABlAGwAZQBjAH0APQBcAFwAbABlAGYAdABbAFEAXwB7AGUAbABlAGMAfQBcAFwAdABpAG0AZQBzAFwAXABsAGUAZgB0ACgAMQAtACgAUgBQAFAAKwBKAFIAUABQACkAXABcAHIAaQBnAGgAdAApAC0AXABcAGwAZQBmAHQAKABSAEUAQwBfAHsAcwB1AHIAcgBlAG4AZABlAHIAZQBkAH0ALQBSAEUAQwBfAHsAbwBuAHMAaQB0AGUAfQBcAFwAcgBpAGcAaAB0ACkAXABcAHQAaQBtAGUAcwAgADEAMABeAHsALQAzAH0AXABcAHIAaQBnAGgAdABdAFwAXAB0AGkAbQBlAHMAIABFAEYAXwB7AFIATQBGADMALABlAGwAZQBjAH0AXABcAHQAaQBtAGUAcwAgADEAMABeAHsALQAzAH0AXABuAFEAXwBlAGwAZQBjACAAPQAgAGEAbQBvAHUAbgB0ACAAbwBmACAAZQBsAGUAYwB0AHIAaQBjAGkAdAB5ACAAcAB1AHIAYwBoAGEAcwBlAGQAIABmAHIAbwBtACAAdABoAGUAIABnAHIAaQBkAFwAbgBSAFAAUAAgAD0AIAByAGUAbgBlAHcAYQBiAGwAZQAgAHAAbwB3AGUAcgAgAHAAZQByAGMAZQBuAHQAYQBnAGUAIAB1AG4AZABlAHIAIABMAFIARQBUACAAZgBvAHIAIAB0AGgAZQAgAGEAcABwAGwAaQBjAGEAYgBsAGUAIABwAGUAcgBpAG8AZABcAG4ASgBSAFAAUAAgAD0AIABqAHUAcgBpAHMAZABpAGMAdABpAG8AbgBhAGwAIAByAGUAbgBlAHcAYQBiAGwAZQAgAHAAbwB3AGUAcgAgAHAAZQByAGMAZQBuAHQAYQBnAGUAIABmAG8AcgAgAHQAaABlACAAYQBwAHAAbABpAGMAYQBiAGwAZQAgAHAAZQByAGkAbwBkAFwAbgBSAEUAQwBfAHMAdQByAHIAZQBuAGQAZQByAGUAZAAgAD0AIABlAGwAaQBnAGkAYgBsAGUAIAByAGUAbgBlAHcAYQBiAGwAZQAgAGUAbgBlAHIAZwB5ACAAYwBlAHIAdABpAGYAaQBjAGEAdABlAHMAIAB2AG8AbAB1AG4AdABhAHIAaQBsAHkAIABzAHUAcgByAGUAbgBkAGUAcgBlAGQAXABuAFIARQBDAF8AbwBuAHMAaQB0AGUAIAA9ACAAZQBsAGkAZwBpAGIAbABlACAAcgBlAG4AZQB3AGEAYgBsAGUAIABlAG4AZQByAGcAeQAgAGMAZQByAHQAaQBmAGkAYwBhAHQAZQBzACAAaQBzAHMAdQBlAGQAIABmAG8AcgAgAG8AbgBzAGkAdABlACAAZwBlAG4AZQByAGEAdABlAGQAIABlAGwAZQBjAHQAcgBpAGMAaQB0AHkAXABuAEUARgBfAFIATQBGADMAZQBsAGUAYwAgAD0AIABzAGMAbwBwAGUAIAAzACAAcgBlAHMAaQBkAHUAYQBsACAAbQBpAHgAIABlAG0AaQBzAHMAaQBvAG4AIABmAGEAYwB0AG8AcgAgAGYAbwByACAAZQBsAGUAYwB0AHIAaQBjAGkAdAB5AFwAbgAtAC0ALQAtAC0ALQAtAC0ALQAtAC0ALQAtAC0ALQAtAC0ALQAtAC0ALQAtAC0ALQAtAC0ALQAtAC0ALQAtAC0ALQAtAC0ALQAtAC0AXABuACoALwBcAG4AXABuAFYARQBFAFIARwBfADEANQBfADEAMgBfADEAXwAyAF8AXwAxAF8AVQBwAHMAdAByAGUAYQBtAFAAdQByAGMAaABhAHMAZQBkAEUAbABlAGMAdAByAGkAYwBpAHQAeQBNAGEAcgBrAGUAdABCAGEAcwBlAGQ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LQAzACkAKQAgACoAIABFAEYAXwBSAE0ARgAzAGUAbABlAGMAIAAqACAAMQAwACAAXgAgAC0AMwBcAG4AIAAgACkAOwBcAG4AXABuAFYARQBFAFIARwBfADEANQBfADEAMgBfADEAXwAyAF8AXwAxAF8AVQBwAHMAdAByAGUAYQBtAFAAdQByAGMAaABhAHMAZQBkAEUAbABlAGMAdAByAGkAYwBpAHQAeQBNAGEAcgBrAGUAdABCAGEAcwBlAGQAVgBhAHIAaQBhAHQAaQBvAG4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MwApACkAIAAqACAARQBGAF8AUgBNAEYAMwBlAGwAZQBjACAAKgAgADEAMAAgAF4AIAAtADMAXABuACAAIAApADsAXABuAFwAbgBWAEUARQBSAEcAXwAxADUAXwAxADIAXwAxAF8AMgBfAF8AMQBfAFUAcABzAHQAcgBlAGEAbQBQAHUAcgBjAGgAYQBzAGUAZABFAGwAZQBjAHQAcgBpAGMAaQB0AHkATQBhAHIAawBlAHQAQgBhAHMAZQBkAF8AVABpAHQAbABlAFwAbgAgACAAPQBMAEEATQBCAEQAQQAoAFwAIgBTAGMAbwBwAGUAIAAzACAAZQBtAGkAcwBzAGkAbwBuAHMAIABmAHIAbwBtACAAcAB1AHIAYwBoAGEAcwBlAGQAIABlAGwAZQBjAHQAcgBpAGMAaQB0AHkAIABtAGEAcgBrAGUAdAAgAGIAYQBzAGUAZABcACIAKQA7AFwAbgBcAG4AVgBFAEUAUgBHAF8AMQA1AF8AMQAyAF8AMQBfADIAXwBfADEAXwBVAHAAcwB0AHIAZQBhAG0AUAB1AHIAYwBoAGEAcwBlAGQARQBsAGUAYwB0AHIAaQBjAGkAdAB5AE0AYQByAGsAZQB0AEIAYQBzAGUAZABfAFYAYQByAGkAYQBiAGwAZQBcAG4AIAAgAD0ATABBAE0AQgBEAEEAKABcACIARQBfADMAZQBsAGUAYwBcACIAKQA7AFwAbgBcAG4AVgBFAEUAUgBHAF8AMQA1AF8AMQAyAF8AMQBfADIAXwBfADEAXwBVAHAAcwB0AHIAZQBhAG0AUAB1AHIAYwBoAGEAcwBlAGQARQBsAGUAYwB0AHIAaQBjAGkAdAB5AE0AYQByAGsAZQB0AEIAYQBzAGUAZABfAFUAbgBpAHQAXABuACAAIAA9AEwAQQBNAEIARABBACgAXAAiAHQAIABDAE8AMgBlAFwAIgApADsAXABuAFwAbgBWAEUARQBSAEcAXwAxADUAXwAxADIAXwAxAF8AMgBfAF8AMQBfAFUAcABzAHQAcgBlAGEAbQBQAHUAcgBjAGgAYQBzAGUAZABFAGwAZQBjAHQAcgBpAGMAaQB0AHkATQBhAHIAawBlAHQAQgBhAHMAZQBkAF8AUwBvAHUAcgBjAGUAXABuACAAIAA9AEwAQQBNAEIARABBACgAXAAiAFYARQBFAFIARwAgADIAMAAyADYAOgAgADEANQAuADEAMgAuADEALgAyACwAIABFAHEAdQBhAHQAaQBvAG4AIAAoADEAKQBcACIAKQA7AFwAbgBcAG4AVgBFAEUAUgBHAF8AMQA1AF8AMQAyAF8AMQBfADIAXwBfADEAXwBVAHAAcwB0AHIAZQBhAG0AUAB1AHIAYwBoAGEAcwBlAGQARQBsAGUAYwB0AHIAaQBjAGkAdAB5AE0AYQByAGsAZQB0AEIAYQBzAGUAZABfAE4ASQBSAFIAZQBmAGUAcgBlAG4AYwBlAFwAbgAgACAAPQBMAEEATQBCAEQAQQAoAFwAIgBcACIAKQA7AFwAbgBcAG4AVgBFAEUAUgBHAF8AMQA1AF8AMQAyAF8AMQBfADIAXwBfADEAXwBVAHAAcwB0AHIAZQBhAG0AUAB1AHIAYwBoAGEAcwBlAGQARQBsAGUAYwB0AHIAaQBjAGkAdAB5AE0AYQByAGsAZQB0AEIAYQBzAGUAZABfAEwAYQB0AGUAeABFAHEAd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LQ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TABhAHQAZQB4AEUAcQB1AGEAdABpAG8AbgBWAGEAcgBp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cgBlAG4AZQB3AGEAYgBsAGUAIABwAG8AdwBlAHIAIABwAGUAcgBjAGUAbgB0AGEAZwBlACAAdQBuAGQAZQByACAATABSAEUAVAAgAGYAbwByACAAdABoAGUAIABhAHAAcABsAGkAYwBhAGIAbABlACAAcABlAHIAaQBvAGQAXAAiACwAIABcACIAZgByAGEAYwB0AGkAbwBu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FwAIgAsACAAXAAiAGYAcgBhAGMAdABpAG8AbgBcACIALAAgAFwAIgBJAG4AcAB1AHQAXAAiADsAXABuACAAIAAgACAAIAAgACAAIAAgACAAXAAiAFIARQBDAF8AcwB1AHIAcgBlAG4AZABlAHIAZQBkAFwAIgAsACAAXAAiAGUAbABpAGcAaQBiAGwAZQAgAHIAZQBuAGUAdwBhAGIAbABlACAAZQBuAGUAcgBnAHkAIABjAGUAcgB0AGkAZgBpAGMAYQB0AGUAcwAgAHYAbwBsAHUAbgB0AGEAcgBpAGwAeQAgAHMAdQByAHIAZQBuAGQAZQByAGUAZABcACIALAAgAFwAIgBNAFcAaABcACIALAAgAFwAIgBJAG4AcAB1AHQAXAAiADsAXABuACAAIAAgACAAIAAgACAAIAAgACAAXAAiAFIARQBDAF8AbwBuAHMAaQB0AGUAXAAiACwAIABcACIAZQBsAGkAZwBpAGIAbABlACAAcgBlAG4AZQB3AGEAYgBsAGUAIABlAG4AZQByAGcAeQAgAGMAZQByAHQAaQBmAGkAYwBhAHQAZQBzACAAaQBzAHMAdQBlAGQAIABmAG8AcgAgAG8AbgBzAGkAdABlACAAZwBlAG4AZQByAGEAdABlAGQAIABlAGwAZQBjAHQAcgBpAGMAaQB0AHkAXAAiACwAIABcACIATQBXAGgAXAAiACwAIABcACIASQBuAHAAdQB0AFwAIgA7AFwAbgAgACAAIAAgACAAIAAgACAAIAAgAFwAIgBFAEYAXwBSAE0ARgAzAGUAbABlAGMAXAAiACwAIABcACIAcwBjAG8AcABlACAAMw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UAXwAxADIAXwAxAF8AMgBfAF8AMQBfAFUAcABzAHQAcgBlAGEAbQBQAHUAcgBjAGgAYQBzAGUAZABFAGwAZQBjAHQAcgBpAGMAaQB0AHkATQBhAHIAawBlAHQAQgBhAHMAZQBk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XABuAC8AKgBcAG4ALQAtAC0ALQAtAC0ALQAtAC0ALQAtAC0ALQAtAC0ALQAtAC0ALQAtAC0ALQAtAC0ALQAtAC0ALQAtAC0ALQAtAC0ALQAtAC0ALQAtAFwAbgBWAEUARQBSAEcAXwAxADUAXwAxADMAXwAxAF8AMQBfAF8AMQBfAEUAbQBpAHMAcwBpAG8AbgBzAEYAcgBvAG0ATQBhAG4AdQByAGUAUwBlAG4AdABPAGYAZgBTAGkAdABlAFwAbgBFAG0AaQBzAHMAaQBvAG4AcwAgAGYAcgBvAG0AIABtAGEAbgB1AHIAZQAgAHMAZQBuAHQAIABvAGYAZgAgAHMAaQB0AGUAIABhAHAAcABsAGkAZQBkACAAdABvACAAcwBvAGkAbABzACAAaQBuACAAYQBuAG8AdABoAGUAcgAgAGYAYQByAG0AaQBuAGcAIABzAHkAcwB0AGUAbQAgAG8AcgAgAGUAbgB0AGUAcgBwAHIAaQBzAGUAXABuAEUAXABuAHQAIABOADIATwBcAG4ARQA9AEUAXwB7AE4AMgBPAH0AKwBFAF8AewBhAGQAfQArAEUAXwB7AGwAZQBhAGMAaAB9AFwAbgBFAF8ATgAyAE8AIAA9ACAAZABpAHIAZQBjAHQAIABuAGkAdAByAG8AdQBzACAAbwB4AGkAZABlACAAZQBtAGkAcwBzAGkAbwBuAHMAIABmAHIAbwBtACAAYQBwAHAAbABpAGMAYQB0AGkAbwBuACAAbwBmACAAbQBhAG4AdQByAGUAIAB0AG8AIABzAG8AaQBsAHMAIABvAHUAdABzAGkAZABlACAAbwBmACAAcwBjAG8AcABlACAAMQAgAGIAbwB1AG4AZABhAHIAeQBcAG4ARQBfAGEAZAAgAD0AIABuAGkAdAByAG8AdQBzACAAbwB4AGkAZABlACAAZQBtAGkAcwBzAGkAbwBuAHMAIABmAHIAbwBtACAAYQB0AG0AbwBzAHAAaABlAHIAaQBjACAAZABlAHAAbwBzAGkAdABpAG8AbgAgAG8AZgAgAG0AYQBuAHUAcgBlACAAdABvACAAcwBvAGkAbABzAFwAbgBFAF8AbABlAGEAYwBoACAAPQAgAG4AaQB0AHIAbwB1AHMAIABvAHgAaQBkAGUAIABlAG0AaQBzAHMAaQBvAG4AcwAgAGYAcgBvAG0AIABuAGkAdAByAG8AZwBlAG4AIABsAGUAYQBjAGgAaQBuAGcAIABhAG4AZAAgAHIAdQBuAG8AZgBmACAAbwBmACAAbQBhAG4AdQByAGUAIAB0AG8AIABzAG8AaQBsAHMAXABuAC0ALQAtAC0ALQAtAC0ALQAtAC0ALQAtAC0ALQAtAC0ALQAtAC0ALQAtAC0ALQAtAC0ALQAtAC0ALQAtAC0ALQAtAC0ALQAtAC0ALQBcAG4AKgAvAFwAbgBcAG4AVgBFAEUAUgBHAF8AMQA1AF8AMQAzAF8AMQBfADEAXwBfADEAXwBFAG0AaQBzAHMAaQBvAG4AcwBGAHIAbwBtAE0AYQBuAHUAcgBlAFMAZQBuAHQATwBmAGYAUwBpAHQAZQBcAG4AIAAgAD0ATABBAE0AQgBEAEEAKABcAG4AIAAgACAAIABFAF8ATgAyAE8ALAAgAEUAXwBhAGQALAAgAEUAXwBsAGUAYQBjAGgALABcAG4AIAAgACAAIABFAF8ATgAyAE8AIAArACAARQBfAGEAZAAgACsAIABFAF8AbABlAGEAYwBoAFwAbgAgACAAKQA7AFwAbgBcAG4AVgBFAEUAUgBHAF8AMQA1AF8AMQAzAF8AMQBfADEAXwBfADEAXwBFAG0AaQBzAHMAaQBvAG4AcwBGAHIAbwBtAE0AYQBuAHUAcgBlAFMAZQBuAHQATwBmAGYAUwBpAHQAZQBfAFQAaQB0AGwAZQBcAG4AIAAgAD0ATABBAE0AQgBEAEEAKABcACIARQBtAGkAcwBzAGkAbwBuAHMAIABmAHIAbwBtACAAbQBhAG4AdQByAGUAIABzAGUAbgB0ACAAbwBmAGYAIABzAGkAdABlACAAYQBwAHAAbABpAGUAZAAgAHQAbwAgAHMAbwBpAGwAcwAgAGkAbgAgAGEAbgBvAHQAaABlAHIAIABmAGEAcgBtAGkAbgBnACAAcwB5AHMAdABlAG0AIABvAHIAIABlAG4AdABlAHIAcAByAGkAcwBlAFwAIgApADsAXABuAFwAbgBWAEUARQBSAEcAXwAxADUAXwAxADMAXwAxAF8AMQBfAF8AMQBfAEUAbQBpAHMAcwBpAG8AbgBzAEYAcgBvAG0ATQBhAG4AdQByAGUAUwBlAG4AdABPAGYAZgBTAGkAdABlAF8AVgBhAHIAaQBhAGIAbABlAFwAbgAgACAAPQBMAEEATQBCAEQAQQAoAFwAIgBFAFwAIgApADsAXABuAFwAbgBWAEUARQBSAEcAXwAxADUAXwAxADMAXwAxAF8AMQBfAF8AMQBfAEUAbQBpAHMAcwBpAG8AbgBzAEYAcgBvAG0ATQBhAG4AdQByAGUAUwBlAG4AdABPAGYAZgBTAGkAdABlAF8AVQBuAGkAdABcAG4AIAAgAD0ATABBAE0AQgBEAEEAKABcACIAdAAgAE4AMgBPAFwAIgApADsAXABuAFwAbgBWAEUARQBSAEcAXwAxADUAXwAxADMAXwAxAF8AMQBfAF8AMQBfAEUAbQBpAHMAcwBpAG8AbgBzAEYAcgBvAG0ATQBhAG4AdQByAGUAUwBlAG4AdABPAGYAZgBTAGkAdABlAF8AUwBvAHUAcgBjAGUAXABuACAAIAA9AEwAQQBNAEIARABBACgAXAAiAFYARQBFAFIARwAgADIAMAAyADYAOgAgADEANQAuADEAMwAuADEALgAxACwAIABFAHEAdQBhAHQAaQBvAG4AIAAoADEAKQBcACIAKQA7AFwAbgBcAG4AVgBFAEUAUgBHAF8AMQA1AF8AMQAzAF8AMQBfADEAXwBfADEAXwBFAG0AaQBzAHMAaQBvAG4AcwBGAHIAbwBtAE0AYQBuAHUAcgBlAFMAZQBuAHQATwBmAGYAUwBpAHQAZQBfAE4ASQBSAFIAZQBmAGUAcgBlAG4AYwBlAFwAbgAgACAAPQBMAEEATQBCAEQAQQAoAFwAIgBcACIAKQA7AFwAbgBcAG4AVgBFAEUAUgBHAF8AMQA1AF8AMQAzAF8AMQBfADEAXwBfADEAXwBFAG0AaQBzAHMAaQBvAG4AcwBGAHIAbwBtAE0AYQBuAHUAcgBlAFMAZQBuAHQATwBmAGYAUwBpAHQAZQBfAEwAYQB0AGUAeABFAHEAdQBhAHQAaQBvAG4AXABuACAAIAA9AEwAQQBNAEIARABBACgAXAAiAEUAPQBFAF8AewBOADIATwB9ACsARQBfAHsAYQBkAH0AKwBFAF8AewBsAGUAYQBjAGgAfQBcACIAKQA7AFwAbgBcAG4AVgBFAEUAUgBHAF8AMQA1AF8AMQAzAF8AMQBfADEAXwBfADEAXwBFAG0AaQBzAHMAaQBvAG4AcwBGAHIAbwBtAE0AYQBuAHUAcgBlAFMAZQBuAHQATwBmAGYAUwBpAHQAZQBfAEEAcgBnAHUAbQBlAG4AdABzAFwAbgAgACAAPQBMAEEATQBCAEQAQQAoAFwAbgAgACAAIAAgAE0AQQBLAEUAQQBSAFIAQQBZACgAMwAsACAANAAsAFwAbgAgACAAIAAgACAAIABMAEEATQBCAEQAQQAoAHIALABjACwAXABuACAAIAAgACAAIAAgACAAIABJAE4ARABFAFgAKAB7AFwAbgAgACAAIAAgACAAIAAgACAAIAAgAFwAIgBFAF8ATgAyAE8AXAAiACwAIABcACIAZABpAHIAZQBjAHQAIABuAGkAdAByAG8AdQBzACAAbwB4AGkAZABlACAAZQBtAGkAcwBzAGkAbwBuAHMAIABmAHIAbwBtACAAYQBwAHAAbABpAGMAYQB0AGkAbwBuACAAbwBmACAAbQBhAG4AdQByAGUAIAB0AG8AIABzAG8AaQBsAHMAIABvAHUAdABzAGkAZABlACAAbwBmACAAcwBjAG8AcABlACAAMQAgAGIAbwB1AG4AZABhAHIAeQBcACIALAAgAFwAIgB0ACAATgAyAE8AXAAiACwAIABcACIAQwBhAGwAYwB1AGwAYQB0AGUAZABcACIAOwBcAG4AIAAgACAAIAAgACAAIAAgACAAIABcACIARQBfAGEAZABcACIALAAgAFwAIgBuAGkAdAByAG8AdQBzACAAbwB4AGkAZABlACAAZQBtAGkAcwBzAGkAbwBuAHMAIABmAHIAbwBtACAAYQB0AG0AbwBzAHAAaABlAHIAaQBjACAAZABlAHAAbwBzAGkAdABpAG8AbgAgAG8AZgAgAG0AYQBuAHUAcgBlACAAdABvACAAcwBvAGkAbABzAFwAIgAsACAAXAAiAHQAIABOADIATwBcACIALAAgAFwAIgBDAGEAbABjAHUAbABhAHQAZQBkAFwAIgA7AFwAbgAgACAAIAAgACAAIAAgACAAIAAgAFwAIgBFAF8AbABlAGEAYwBoAFwAIgAsACAAXAAiAG4AaQB0AHIAbwB1AHMAIABvAHgAaQBkAGUAIABlAG0AaQBzAHMAaQBvAG4AcwAgAGYAcgBvAG0AIABuAGkAdAByAG8AZwBlAG4AIABsAGUAYQBjAGgAaQBuAGcAIABhAG4AZAAgAHIAdQBuAG8AZgBmACAAbwBmACAAbQBhAG4AdQByAGUAIAB0AG8AIABzAG8AaQBsAHMAXAAiACwAIABcACIAdAAgAE4AMgBPAFwAIgAsACAAXAAiAEMAYQBsAGMAdQBsAGEAdABlAGQAXAAiAFwAbgAgACAAIAAgACAAIAAgACAAfQAsACAAcgAsACAAYwApAFwAbgAgACAAIAAgACAAIAApAFwAbgAgACAAIAAgACkAXABuACAAIAApADsAXABuAFwAbgBcAG4ALwAqAFwAbgAtAC0ALQAtAC0ALQAtAC0ALQAtAC0ALQAtAC0ALQAtAC0ALQAtAC0ALQAtAC0ALQAtAC0ALQAtAC0ALQAtAC0ALQAtAC0ALQAtAC0AXABuAFYARQBFAFIARwBfADEANQBfADEAMwBfADEAXwAzAF8AXwAxAF8ARQBtAGkAcwBzAGkAbwBuAHMARgByAG8AbQBTAG8AbABpAGQAVwBhAHMAdABlAFQAcgBlAGEAdABtAGUAbgB0AEYAYQBjAGkAbABpAHQAeQBcAG4ALQAtAC0ALQAtAC0ALQAtAC0ALQAtAC0ALQAtAC0ALQAtAC0ALQAtAC0ALQAtAC0ALQAtAC0ALQAtAC0ALQAtAC0ALQAtAC0ALQAtAFwAbgAqAC8AXABuAFwAbgBWAEUARQBSAEcAXwAxADUAXwAxADMAXwAxAF8AMwBfAF8AMQBfAEUAbQBpAHMAcwBpAG8AbgBzAEYAcgBvAG0AUwBvAGwAaQBkAFcAYQBzAHQAZQBUAHIAZQBhAHQAbQBlAG4AdABGAGEAYwBpAGwAaQB0AHkAXABuACAAIAA9AEwAQQBNAEIARABBACgAXABuACAAIAAgACAARQBfAE4AMgBPACwAIABFAF8AYQBkACwAIABFAF8AbABlAGEAYwBoACwAXABuACAAIAAgACAARQBfAE4AMgBPACAAKwAgAEUAXwBhAGQAIAArACAARQBfAGwAZQBhAGMAaABcAG4AIAAgACkAOwBcAG4AXABuAFYARQBFAFIARwBfADEANQBfADEAMwBfADEAXwAzAF8AXwAxAF8ARQBtAGkAcwBzAGkAbwBuAHMARgByAG8AbQBTAG8AbABpAGQAVwBhAHMAdABlAFQAcgBlAGEAdABtAGUAbgB0AEYAYQBjAGkAbABpAHQAeQBfAFQAaQB0AGwAZQBcAG4AIAAgAD0ATABBAE0AQgBEAEEAKABcACIARQBtAGkAcwBzAGkAbwBuAHMAIABmAHIAbwBtACAAcwBvAGwAaQBkACAAdwBhAHMAdABlACAAcwBlAG4AdAAgAHQAbwAgAGEAIAB0AHIAZQBhAHQAbQBlAG4AdAAgAGYAYQBjAGkAbABpAHQAeQBcACIAKQA7AFwAbgBcAG4AVgBFAEUAUgBHAF8AMQA1AF8AMQAzAF8AMQBfADMAXwBfADEAXwBFAG0AaQBzAHMAaQBvAG4AcwBGAHIAbwBtAFMAbwBsAGkAZABXAGEAcwB0AGUAVAByAGUAYQB0AG0AZQBuAHQARgBhAGMAaQBsAGkAdAB5AF8AVgBhAHIAaQBhAGIAbABlAFwAbgAgACAAPQBMAEEATQBCAEQAQQAoAFwAIgBFAFwAIgApADsAXABuAFwAbgBWAEUARQBSAEcAXwAxADUAXwAxADMAXwAxAF8AMwBfAF8AMQBfAEUAbQBpAHMAcwBpAG8AbgBzAEYAcgBvAG0AUwBvAGwAaQBkAFcAYQBzAHQAZQBUAHIAZQBhAHQAbQBlAG4AdABGAGEAYwBpAGwAaQB0AHkAXwBVAG4AaQB0AFwAbgAgACAAPQBMAEEATQBCAEQAQQAoAFwAIgB0ACAAQwBPADIAZQBcACIAKQA7AFwAbgBcAG4AVgBFAEUAUgBHAF8AMQA1AF8AMQAzAF8AMQBfADMAXwBfADEAXwBFAG0AaQBzAHMAaQBvAG4AcwBGAHIAbwBtAFMAbwBsAGkAZABXAGEAcwB0AGUAVAByAGUAYQB0AG0AZQBuAHQARgBhAGMAaQBsAGkAdAB5AF8AUwBvAHUAcgBjAGUAXABuACAAIAA9AEwAQQBNAEIARABBACgAXAAiAFYARQBFAFIARwAgADIAMAAyADYAOgAgADEANQAuADEAMwAuADEALgAzAFwAIgApADsAXABuAFwAbgBWAEUARQBSAEcAXwAxADUAXwAxADMAXwAxAF8AMwBfAF8AMQBfAEUAbQBpAHMAcwBpAG8AbgBzAEYAcgBvAG0AUwBvAGwAaQBkAFcAYQBzAHQAZQBUAHIAZQBhAHQAbQBlAG4AdABGAGEAYwBpAGwAaQB0AHkAXwBOAEkAUgBSAGUAZgBlAHIAZQBuAGMAZQBcAG4AIAAgAD0ATABBAE0AQgBEAEEAKABcACIAXAAiACkAOwBcAG4AXABuAFYARQBFAFIARwBfADEANQBfADEAMwBfADEAXwAzAF8AXwAxAF8ARQBtAGkAcwBzAGkAbwBuAHMARgByAG8AbQBTAG8AbABpAGQAVwBhAHMAdABlAFQAcgBlAGEAdABtAGUAbgB0AEYAYQBjAGkAbABpAHQAeQBfAEwAYQB0AGUAeABFAHEAdQBhAHQAaQBvAG4AXABuACAAIAA9AEwAQQBNAEIARABBACgAXAAiAFwAIgApADsAXABuAFwAbgBWAEUARQBSAEcAXwAxADUAXwAxADMAXwAxAF8AMwBfAF8AMQBfAEUAbQBpAHMAcwBpAG8AbgBzAEYAcgBvAG0AUwBvAGwAaQBkAFcAYQBzAHQAZQBUAHIAZQBhAHQAbQBlAG4AdABGAGEAYwBpAGwAaQB0AHkAXwBBAHIAZwB1AG0AZQBuAHQAcwBcAG4AIAAgAD0ATABBAE0AQgBEAEEAKABcACIAXAAiACkAOwBcAG4AXABuAFwAbgAvACoAXABuAC0ALQAtAC0ALQAtAC0ALQAtAC0ALQAtAC0ALQAtAC0ALQAtAC0ALQAtAC0ALQAtAC0ALQAtAC0ALQAtAC0ALQAtAC0ALQAtAC0ALQBcAG4AVgBFAEUAUgBHAF8AMQA1AF8AMQA0AF8AMQBfADEAXwBfADEAXwBFAG0AYgBlAGQAZABlAGQARQBtAGkAcwBzAGkAbwBuAHMARgByAG8AbQBVAHAAcwB0AHIAZQBhAG0ARgByAGUAaQBnAGgAdABcAG4ARQBtAGIAZQBkAGQAZQBkACAAZQBtAGkAcwBzAGkAbwBuAHMAIABmAHIAbwBtACAAdQBwAHMAdAByAGUAYQBtACAAZgByAGUAaQBnAGgAdABcAG4ARQBcAG4AdAAgAEMATwAyAGUAXABuAEUAPQBcAFwAcwB1AG0AXABcAG4AbwBsAGkAbQBpAHQAcwBfAGYAXABcAGwAZQBmAHQAKAAoAFcAXwBmAFwAXAB0AGkAbQBlAHMAIABEAF8AZgApAFwAXAB0AGkAbQBlAHMAIABFAEYAXwBmAFwAXAByAGkAZwBoAHQAKQBcAG4AVwBfAGYAIAA9ACAAdABvAHQAYQBsACAAbQBhAHMAcwAgAG8AZgAgAGcAbwBvAGQAcwAgAHQAcgBhAG4AcwBwAG8AcgB0AGUAZAAgAHAAZQByACAAZgByAGUAaQBnAGgAdAAgAHQAeQBwAGUAIABmAFwAbgBEAF8AZgAgAD0AIAB0AG8AdABhAGwAIABkAGkAcwB0AGEAbgBjAGUAIAB0AHIAYQBuAHMAcABvAHIAdABlAGQAIABwAGUAcgAgAGYAcgBlAGkAZwBoAHQAIAB0AHkAcABlACAAZgBcAG4ARQBGAF8AZgAgAD0AIABlAG0AaQBzAHMAaQBvAG4AIABmAGEAYwB0AG8AcgAgAGYAbwByACAAZgByAGUAaQBnAGgAdAAgAHQAeQBwAGUAIABmAFwAbgAtAC0ALQAtAC0ALQAtAC0ALQAtAC0ALQAtAC0ALQAtAC0ALQAtAC0ALQAtAC0ALQAtAC0ALQAtAC0ALQAtAC0ALQAtAC0ALQAtAC0AXABuACoALwBcAG4AXABuAFYARQBFAFIARwBfADEANQBfADEANABfADEAXwAxAF8AXwAxAF8ARQBtAGIAZQBkAGQAZQBkAEUAbQBpAHMAcwBpAG8AbgBzAEYAcgBvAG0AVQBwAHMAdAByAGUAYQBtAEYAcgBlAGkAZwBoAHQAXABuACAAIAA9AEwAQQBNAEIARABBACgAXABuACAAIAAgACAAVwBfAGYALAAgAEQAXwBmACwAIABFAEYAXwBmACwAXABuACAAIAAgACAAKABXAF8AZgAgACoAIABEAF8AZgApACAAKgAgAEUARgBfAGYAXABuACAAIAApADsAXABuAFwAbgBWAEUARQBSAEcAXwAxADUAXwAxADQAXwAxAF8AMQBfAF8AMQBfAEUAbQBiAGUAZABkAGUAZABFAG0AaQBzAHMAaQBvAG4AcwBGAHIAbwBtAFUAcABzAHQAcgBlAGEAbQBGAHIAZQBpAGcAaAB0AF8AVABpAHQAbABlAFwAbgAgACAAPQBMAEEATQBCAEQAQQAoAFwAIgBFAG0AYgBlAGQAZABlAGQAIABlAG0AaQBzAHMAaQBvAG4AcwAgAGYAcgBvAG0AIAB1AHAAcwB0AHIAZQBhAG0AIABmAHIAZQBpAGcAaAB0AFwAIgApADsAXABuAFwAbgBWAEUARQBSAEcAXwAxADUAXwAxADQAXwAxAF8AMQBfAF8AMQBfAEUAbQBiAGUAZABkAGUAZABFAG0AaQBzAHMAaQBvAG4AcwBGAHIAbwBtAFUAcABzAHQAcgBlAGEAbQBGAHIAZQBpAGcAaAB0AF8AVgBhAHIAaQBhAGIAbABlAFwAbgAgACAAPQBMAEEATQBCAEQAQQAoAFwAIgBFAFwAIgApADsAXABuAFwAbgBWAEUARQBSAEcAXwAxADUAXwAxADQAXwAxAF8AMQBfAF8AMQBfAEUAbQBiAGUAZABkAGUAZABFAG0AaQBzAHMAaQBvAG4AcwBGAHIAbwBtAFUAcABzAHQAcgBlAGEAbQBGAHIAZQBpAGcAaAB0AF8AVQBuAGkAdABcAG4AIAAgAD0ATABBAE0AQgBEAEEAKABcACIAdAAgAEMATwAyAGUAXAAiACkAOwBcAG4AXABuAFYARQBFAFIARwBfADEANQBfADEANABfADEAXwAxAF8AXwAxAF8ARQBtAGIAZQBkAGQAZQBkAEUAbQBpAHMAcwBpAG8AbgBzAEYAcgBvAG0AVQBwAHMAdAByAGUAYQBtAEYAcgBlAGkAZwBoAHQAXwBTAG8AdQByAGMAZQBcAG4AIAAgAD0ATABBAE0AQgBEAEEAKABcACIAVgBFAEUAUgBHACAAMgAwADIANgA6ACAAMQA1AC4AMQA0AC4AMQAuADEALAAgAEUAcQB1AGEAdABpAG8AbgAgACgAMQApAFwAIgApADsAXABuAFwAbgBWAEUARQBSAEcAXwAxADUAXwAxADQAXwAxAF8AMQBfAF8AMQBfAEUAbQBiAGUAZABkAGUAZABFAG0AaQBzAHMAaQBvAG4AcwBGAHIAbwBtAFUAcABzAHQAcgBlAGEAbQBGAHIAZQBpAGcAaAB0AF8ATgBJAFIAUgBlAGYAZQByAGUAbgBjAGUAXABuACAAIAA9AEwAQQBNAEIARABBACgAXAAiAFwAIgApADsAXABuAFwAbgBWAEUARQBSAEcAXwAxADUAXwAxADQAXwAxAF8AMQBfAF8AMQBfAEUAbQBiAGUAZABkAGUAZABFAG0AaQBzAHMAaQBvAG4AcwBGAHIAbwBtAFUAcABzAHQAcgBlAGEAbQBGAHIAZQBpAGcAaAB0AF8ATABhAHQAZQB4AEUAcQB1AGEAdABpAG8AbgBcAG4AIAAgAD0ATABBAE0AQgBEAEEAKABcACIARQA9AFwAXABzAHUAbQBcAFwAbgBvAGwAaQBtAGkAdABzAF8AZgBcAFwAbABlAGYAdAAoACgAVwBfAGYAXABcAHQAaQBtAGUAcwAgAEQAXwBmACkAXABcAHQAaQBtAGUAcwAgAEUARgBfAGYAXABcAHIAaQBnAGgAdAApAFwAIgApADsAXABuAFwAbgBWAEUARQBSAEcAXwAxADUAXwAxADQAXwAxAF8AMQBfAF8AMQBfAEUAbQBiAGUAZABkAGUAZABFAG0AaQBzAHMAaQBvAG4AcwBGAHIAbwBtAFUAcABzAHQAcgBlAGEAbQBGAHIAZQBpAGcAaAB0AF8AQQByAGcAdQBtAGUAbgB0AHMAXABuACAAIAA9AEwAQQBNAEIARABBACgAXABuACAAIAAgACAATQBBAEsARQBBAFIAUgBBAFkAKAA0ACwAIAA0ACwAXABuACAAIAAgACAAIAAgAEwAQQBNAEIARABBACgAcgAsAGMALABcAG4AIAAgACAAIAAgACAAIAAgAEkATgBEAEUAWAAoAHsAXABuACAAIAAgACAAIAAgACAAIAAgACAAXAAiAFcAXwBmAFwAIgAsACAAXAAiAHQAbwB0AGEAbAAgAG0AYQBzAHMAIABvAGYAIABnAG8AbwBkAHMAIAB0AHIAYQBuAHMAcABvAHIAdABlAGQAIABwAGUAcgAgAGYAcgBlAGkAZwBoAHQAIAB0AHkAcABlACAAZgBcACIALAAgAFwAIgB0AFwAIgAsACAAXAAiAEkAbgBwAHUAdABcACIAOwBcAG4AIAAgACAAIAAgACAAIAAgACAAIABcACIARABfAGYAXAAiACwAIABcACIAdABvAHQAYQBsACAAZABpAHMAdABhAG4AYwBlACAAdAByAGEAbgBzAHAAbwByAHQAZQBkACAAcABlAHIAIABmAHIAZQBpAGcAaAB0ACAAdAB5AHAAZQAgAGYAXAAiACwAIABcACIAawBtAFwAIgAsACAAXAAiAEkAbgBwAHUAdABcACIAOwBcAG4AIAAgACAAIAAgACAAIAAgACAAIABcACIARQBGAF8AZgBcACIALAAgAFwAIgBlAG0AaQBzAHMAaQBvAG4AIABmAGEAYwB0AG8AcgAgAGYAbwByACAAZgByAGUAaQBnAGgAdAAgAHQAeQBwAGUAIABmAFwAIgAsACAAXAAiAHQAIABDAE8AMgBlAC8AKAB0ACAAawBtACkAXAAiACwAIABcACIAQwBvAG4AcwB0AGEAbgB0AFwAIgA7AFwAbgAgACAAIAAgACAAIAAgACAAIAAgAFwAIgBmAFwAIgAsACAAXAAiAGYAcgBlAGkAZwBoAHQAIAB0AHkAcABlAFwAIgAsACAAXAAiAFwAIgAsACAAXAAiAEkAbgBwAHUAdABcACIAXABuACAAIAAgACAAIAAgACAAIAB9ACwAIAByACwAIABjACkAXABuACAAIAAgACAAIAAgACkAXABuACAAIAAgACAAKQBcAG4AIAAgACkAOwBcAG4AIgB9ACwAewAiAHAAYQB0AGgAIgA6ACIALwBwAHIAbwBqAGUAYwB0AHMALwBTAGMAbwBwAGUAMwBfAEkAbgBwAHUAdABGAHUAbgBjAHQAaQBvAG4AcwAiACwAIgB0AGUAeAB0ACIAOgAiAFwAbgBHAGUAdABMAGkAdgBlAHcAZQBpAGcAaAB0AF8AUABhAHMAdAB1AHIAZQBCAGUAZQBmAFwAbgA9AEwAQQBNAEIARABBACgAXABuACAAIABQAHUAcgBjAGgAYQBzAGUARABhAHQAZQAsACAATABpAHYAZQBzAHQAbwBjAGsAQwBsAGEAcwBzACwAIABTAG8AdQByAGMAZQBSAGUAZwBpAG8AbgAsAFwAbgAgACAAUwBvAHUAcgBjAGUAUgBlAGcAaQBvAG4ATABlAGYAdABBAHIAcgBhAHkALAAgAFMAbwB1AHIAYwBlAFIAZQBnAGkAbwBuAFIAaQBnAGgAdABBAHIAcgBhAHkALAAgAFMAZQBhAHMAbwBuAEEAcgByAGEAeQAsACAATABpAHYAZQBzAHQAbwBjAGsAQwBsAGEAcwBzAEEAcgByAGEAeQAsACAATABpAHYAZQB3AGUAaQBnAGgAdABBAHIAcgBhAHkALABcAG4AIAAgAEwARQBUACgAXABuACAAIAAgACAAUwBlAGEAcwBvAG4ALAAgAEkARgBTACgAXABuACAAIAAgACAAIAAgAE0ATwBOAFQASAAoAFAAdQByAGMAaABhAHMAZQBEAGEAdABlACkAIABcAHUAMAAwADMAYwA9ACAAMgAsACAAIABcACIAUwB1AG0AbQBlAHIAXAAiACwAXABuACAAIAAgACAAIAAgAE0ATwBOAFQASAAoAFAAdQByAGMAaABhAHMAZQBEAGEAdABlACkAIABcAHUAMAAwADMAYwA9ACAANQAsACAAIABcACIAQQB1AHQAdQBtAG4AXAAiACwAXABuACAAIAAgACAAIAAgAE0ATwBOAFQASAAoAFAAdQByAGMAaABhAHMAZQBEAGEAdABlACkAIABcAHUAMAAwADMAYwA9ACAAOAAsACAAIABcACIAVwBpAG4AdABlAHIAXAAiACwAXABuACAAIAAgACAAIAAgAE0ATwBOAFQASAAoAFAAdQByAGMAaABhAHMAZQBEAGEAdABlACkAIABcAHUAMAAwADMAYwA9ACAAMQAxACwAIABcACIAUwBwAHIAaQBuAGcAXAAiACwAXABuACAAIAAgACAAIAAgAE0ATwBOAFQASAAoAFAAdQByAGMAaABhAHMAZQBEAGEAdABlACkAIAA9ACAAMQAyACwAIAAgAFwAIgBTAHUAbQBtAGUAcgBcACIAXABuACAAIAAgACAAKQAsAFwAbgAgACAAIAAgAFMAbwB1AHIAYwBlAFIAZQBnAGkAbwBuAFIAaQBnAGgAdAAsACAASQBGACgASQBTAE4AVQBNAEIARQBSACgARgBJAE4ARAAoAFwAIgAgAC0AIABcACIALAAgAFMAbwB1AHIAYwBlAFIAZQBnAGkAbwBuACkAKQAsACAATQBJAEQAKABTAG8AdQByAGMAZQBSAGUAZwBpAG8AbgAsACAARgBJAE4ARAAoAFwAIgAgAC0AIABcACIALAAgAFMAbwB1AHIAYwBlAFIAZQBnAGkAbwBuACkAIAArACAAMwAsACAATABFAE4AKABTAG8AdQByAGMAZQBSAGUAZwBpAG8AbgApACkALAAgAFwAIgBuAC8AYQBcACIAKQAsAFwAbgAgACAAIAAgAFMAbwB1AHIAYwBlAFIAZQBnAGkAbwBuAEwAZQBmAHQALAAgACAASQBGACgASQBTAE4AVQBNAEIARQBSACgARgBJAE4ARAAoAFwAIgAgAC0AIABcACIALAAgAFMAbwB1AHIAYwBlAFIAZQBnAGkAbwBuACkAKQAsACAATABFAEYAVAAoAFMAbwB1AHIAYwBlAFIAZQBnAGkAbwBuACwAIABGAEkATgBEACgAXAAiACAALQAgAFwAIgAsACAAUwBvAHUAcgBjAGUAUgBlAGcAaQBvAG4AKQAgAC0AIAAxACkALAAgAFMAbwB1AHIAYwBlAFIAZQBnAGkAbwBuACkALABcAG4AIAAgACAAIABJAEYARQBSAFIATwBSACgAXABuACAAIAAgACAAIAAgAFgATABPAE8ASwBVAFAAKAAxACwAXABuACAAIAAgACAAIAAgACAAIAAoAFMAbwB1AHIAYwBlAFIAZQBnAGkAbwBuAEwAZQBmAHQAQQByAHIAYQB5ACAAPQAgAFMAbwB1AHIAYwBlAFIAZQBnAGkAbwBuAEwAZQBmAHQAKQAgACoAIAAoAFMAbwB1AHIAYwBlAFIAZQBnAGkAbwBuAFIAaQBnAGgAdABBAHIAcgBhAHkAIAA9ACAAUwBvAHUAcgBjAGUAUgBlAGcAaQBvAG4AUgBpAGcAaAB0ACkAIAAqACAAKABTAGUAYQBzAG8AbgBBAHIAcgBhAHkAIAA9ACAAUwBlAGEAcwBvAG4AKQAsAFwAbgAgACAAIAAgACAAIAAgACAAWABMAE8ATwBLAFUAUAAoAEwAaQB2AGUAcwB0AG8AYwBrAEMAbABhAHMAcwAsACAATABpAHYAZQBzAHQAbwBjAGsAQwBsAGEAcwBzAEEAcgByAGEAeQAsACAATABpAHYAZQB3AGUAaQBnAGgAdABBAHIAcgBhAHkALAAgADAAKQAsAFwAbgAgACAAIAAgACAAIAAwACkALABcAG4AIAAgACAAIAAwACkAXABuACAAIAApAFwAbgApADs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BAG4AaQBtAGEAbABz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dgBlAHMAdABvAGMAawBfAFYAYQByAGkAYQB0AGkAbwBuAFwAbgA9AEwAQQBNAEIARABBACgAKABcACIAXAAiACkAKQA7AFwAbgBcAG4AUwBjAG8AcABlADMAXwBMAGkAdgBlAHMAdABvAGMAawBfAEQAYQB0AGEAXABuAD0ATABBAE0AQgBEAEEAKABcAG4AIAAgAE0AQQBLAEUAQQBSAFIAQQBZACgANAAy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QBuAGkAbQBhAGwAcwBcACIALAAgAFwAIgBCAGUAZQBmACAAYwBhAHQAdABsAGUAXAAiACwAIABcACIAQwBhAHQAdABsAGUALAAgAGYAbwByACAAbQBhAG4AdQBmAGEAYwB0AHUAcgBpAG4AZwAgAGIAZQBlAGYAXAAiACwAIABcACIAQQB1AHMAdAByAGEAbABpAGEAXAAiACwAIABcACIAawBnACAAbABpAHYAZQB3AGUAaQBnAGgAdABcACIALAAgADEAMQAsACAAXAAiAGEAdAAgAG0AYQByAGsAZQB0AFwAIgA7AFwAbgAgACAAIAAgACAAIAAgACAAXAAiAEEAbgBpAG0AYQBsAHMAXAAiACwAIABcACIAQgBlAGUAZgAgAGMAYQB0AHQAbABlAFwAIgAsACAAXAAiAEMAYQB0AHQAbABlACwAIABmAG8AcgAgAG0AYQBuAHUAZgBhAGMAdAB1AHIAaQBuAGcAIABiAGUAZQBmAFwAIgAsACAAXAAiAE4AUwBXAFwAIgAsACAAXAAiAGsAZwAgAGwAaQB2AGUAdwBlAGkAZwBoAHQAXAAiACwAIAA4AC4AMgAxACwAIABcACIAYQB0ACAAbQBhAHIAawBlAHQAXAAiADsAXABuACAAIAAgACAAIAAgACAAIABcACIAQQBuAGkAbQBhAGwAcwBcACIALAAgAFwAIgBCAGUAZQBmACAAYwBhAHQAdABsAGUAXAAiACwAIABcACIAQwBhAHQAdABsAGUALAAgAGYAbwByACAAbQBhAG4AdQBmAGEAYwB0AHUAcgBpAG4AZwAgAGIAZQBlAGYAXAAiACwAIABcACIATgBUAFwAIgAsACAAXAAiAGsAZwAgAGwAaQB2AGUAdwBlAGkAZwBoAHQAXAAiACwAIAAxADIALgAyACwAIABcACIAYQB0ACAAbQBhAHIAawBlAHQAXAAiADsAXABuACAAIAAgACAAIAAgACAAIABcACIAQQBuAGkAbQBhAGwAcwBcACIALAAgAFwAIgBCAGUAZQBmACAAYwBhAHQAdABsAGUAXAAiACwAIABcACIAQwBhAHQAdABsAGUALAAgAGYAbwByACAAbQBhAG4AdQBmAGEAYwB0AHUAcgBpAG4AZwAgAGIAZQBlAGYAXAAiACwAIABcACIAUQBMAEQAXAAiACwAIABcACIAawBnACAAbABpAHYAZQB3AGUAaQBnAGgAdABcACIALAAgADEAMAAuADkALAAgAFwAIgBhAHQAIABtAGEAcgBrAGUAdABcACIAOwBcAG4AIAAgACAAIAAgACAAIAAgAFwAIgBBAG4AaQBtAGEAbABzAFwAIgAsACAAXAAiAEIAZQBlAGYAIABjAGEAdAB0AGwAZQBcACIALAAgAFwAIgBDAGEAdAB0AGwAZQAsACAAZgBvAHIAIABtAGEAbgB1AGYAYQBjAHQAdQByAGkAbgBnACAAYgBlAGUAZgBcACIALAAgAFwAIgBTAEEAXAAiACwAIABcACIAawBnACAAbABpAHYAZQB3AGUAaQBnAGgAdABcACIALAAgADcALgA2ADMALAAgAFwAIgBhAHQAIABtAGEAcgBrAGUAdABcACIAOwBcAG4AIAAgACAAIAAgACAAIAAgAFwAIgBBAG4AaQBtAGEAbABzAFwAIgAsACAAXAAiAEIAZQBlAGYAIABjAGEAdAB0AGwAZQBcACIALAAgAFwAIgBDAGEAdAB0AGwAZQAsACAAZgBvAHIAIABtAGEAbgB1AGYAYQBjAHQAdQByAGkAbgBnACAAYgBlAGUAZgBcACIALAAgAFwAIgBUAEEAUwBcACIALAAgAFwAIgBrAGcAIABsAGkAdgBlAHcAZQBpAGcAaAB0AFwAIgAsACAAOAAuADcANQAsACAAXAAiAGEAdAAgAG0AYQByAGsAZQB0AFwAIgA7AFwAbgAgACAAIAAgACAAIAAgACAAXAAiAEEAbgBpAG0AYQBsAHMAXAAiACwAIABcACIAQgBlAGUAZgAgAGMAYQB0AHQAbABlAFwAIgAsACAAXAAiAEMAYQB0AHQAbABlACwAIABmAG8AcgAgAG0AYQBuAHUAZgBhAGMAdAB1AHIAaQBuAGcAIABiAGUAZQBmAFwAIgAsACAAXAAiAFYASQBDAFwAIgAsACAAXAAiAGsAZwAgAGwAaQB2AGUAdwBlAGkAZwBoAHQAXAAiACwAIAA4AC4AMQA3ACwAIABcACIAYQB0ACAAbQBhAHIAawBlAHQAXAAiADsAXABuACAAIAAgACAAIAAgACAAIABcACIAQQBuAGkAbQBhAGwAcwBcACIALAAgAFwAIgBCAGUAZQBmACAAYwBhAHQAdABsAGUAXAAiACwAIABcACIAQwBhAHQAdABsAGUALAAgAGYAbwByACAAbQBhAG4AdQBmAGEAYwB0AHUAcgBpAG4AZwAgAGIAZQBlAGYAXAAiACwAIABcACIAVwBBAFwAIgAsACAAXAAiAGsAZwAgAGwAaQB2AGUAdwBlAGkAZwBoAHQAXAAiACwAIAAxADMALgAxACwAIABcACIAYQB0ACAAbQBhAHIAawBlAHQAXAAiADsAXABuACAAIAAgACAAIAAgACAAIABcACIAQQBuAGkAbQBhAGwAcwBcACIALAAgAFwAIgBCAGUAZQBmACAAYwBhAHQAdABsAGUAXAAiACwAIABcACIAQwBhAHQAdABsAGUALAAgAGYAbwByACAAcAByAGkAbQBlACAAYgBlAGUAZgBcACIALAAgAFwAIgBBAHUAcwB0AHIAYQBsAGkAYQBcACIALAAgAFwAIgBrAGcAIABsAGkAdgBlAHcAZQBpAGcAaAB0AFwAIgAsACAAMQA0AC4ANQAsACAAXAAiAGEAdAAgAG0AYQByAGsAZQB0AFwAIgA7AFwAbgAgACAAIAAgACAAIAAgACAAXAAiAEEAbgBpAG0AYQBsAHMAXAAiACwAIABcACIAQgBlAGUAZgAgAGMAYQB0AHQAbABlAFwAIgAsACAAXAAiAEMAYQB0AHQAbABlACwAIABmAG8AcgAgAHAAcgBpAG0AZQAgAGIAZQBlAGYAXAAiACwAIABcACIATgBTAFcAXAAiACwAIABcACIAawBnACAAbABpAHYAZQB3AGUAaQBnAGgAdABcACIALAAgADEAMQAuADMALAAgAFwAIgBhAHQAIABtAGEAcgBrAGUAdABcACIAOwBcAG4AIAAgACAAIAAgACAAIAAgAFwAIgBBAG4AaQBtAGEAbABzAFwAIgAsACAAXAAiAEIAZQBlAGYAIABjAGEAdAB0AGwAZQBcACIALAAgAFwAIgBDAGEAdAB0AGwAZQAsACAAZgBvAHIAIABwAHIAaQBtAGUAIABiAGUAZQBmAFwAIgAsACAAXAAiAE4AVABcACIALAAgAFwAIgBrAGcAIABsAGkAdgBlAHcAZQBpAGcAaAB0AFwAIgAsACAAMQA4AC4AOQAsACAAXAAiAGEAdAAgAG0AYQByAGsAZQB0AFwAIgA7AFwAbgAgACAAIAAgACAAIAAgACAAXAAiAEEAbgBpAG0AYQBsAHMAXAAiACwAIABcACIAQgBlAGUAZgAgAGMAYQB0AHQAbABlAFwAIgAsACAAXAAiAEMAYQB0AHQAbABlACwAIABmAG8AcgAgAHAAcgBpAG0AZQAgAGIAZQBlAGYAXAAiACwAIABcACIAUQBMAEQAXAAiACwAIABcACIAawBnACAAbABpAHYAZQB3AGUAaQBnAGgAdABcACIALAAgADEAMwAuADkALAAgAFwAIgBhAHQAIABtAGEAcgBrAGUAdABcACIAOwBcAG4AIAAgACAAIAAgACAAIAAgAFwAIgBBAG4AaQBtAGEAbABzAFwAIgAsACAAXAAiAEIAZQBlAGYAIABjAGEAdAB0AGwAZQBcACIALAAgAFwAIgBDAGEAdAB0AGwAZQAsACAAZgBvAHIAIABwAHIAaQBtAGUAIABiAGUAZQBmAFwAIgAsACAAXAAiAFMAQQBcACIALAAgAFwAIgBrAGcAIABsAGkAdgBlAHcAZQBpAGcAaAB0AFwAIgAsACAAMQAyAC4AMwAsACAAXAAiAGEAdAAgAG0AYQByAGsAZQB0AFwAIgA7AFwAbgAgACAAIAAgACAAIAAgACAAXAAiAEEAbgBpAG0AYQBsAHMAXAAiACwAIABcACIAQgBlAGUAZgAgAGMAYQB0AHQAbABlAFwAIgAsACAAXAAiAEMAYQB0AHQAbABlACwAIABmAG8AcgAgAHAAcgBpAG0AZQAgAGIAZQBlAGYAXAAiACwAIABcACIAVABBAF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YASQBD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XAEEAXAAiACwAIABcACIAawBnACAAbABpAHYAZQB3AGUAaQBnAGgAdABcACIALAAgADIAMAAuADgALAAgAFwAIgBhAHQAIABtAGEAcgBrAGUAdABcACIAOwBcAG4AIAAgACAAIAAgACAAIAAgAFwAIgBBAG4AaQBtAGEAbABzAFwAIgAsACAAXAAiAEIAZQBlAGYAIABjAGEAdAB0AGwAZQBcACIALAAgAFwAIgBDAGEAdAB0AGwAZQAsACAAdwBlAGEAbgBlAHIAcwBcACIALAAgAFwAIgBBAHUAcwB0AHIAYQBsAGkAYQBcACIALAAgAFwAIgBrAGcAIABsAGkAdgBlAHcAZQBpAGcAaAB0AFwAIgAsACAAMQA1AC4ANQAsACAAXAAiAGEAdAAgAG0AYQByAGsAZQB0AFwAIgA7AFwAbgAgACAAIAAgACAAIAAgACAAXAAiAEEAbgBpAG0AYQBsAHMAXAAiACwAIABcACIAQgBlAGUAZgAgAGMAYQB0AHQAbABlAFwAIgAsACAAXAAiAEMAYQB0AHQAbABlACwAIAB3AGUAYQBuAGUAcgBzAFwAIgAsACAAXAAiAE4AUwBXAFwAIgAsACAAXAAiAGsAZwAgAGwAaQB2AGUAdwBlAGkAZwBoAHQAXAAiACwAIAAxADIALgA3ACwAIABcACIAYQB0ACAAbQBhAHIAawBlAHQAXAAiADsAXABuACAAIAAgACAAIAAgACAAIABcACIAQQBuAGkAbQBhAGwAcwBcACIALAAgAFwAIgBCAGUAZQBmACAAYwBhAHQAdABsAGUAXAAiACwAIABcACIAQwBhAHQAdABsAGUALAAgAHcAZQBhAG4AZQByAHMAXAAiACwAIABcACIATgBUAFwAIgAsACAAXAAiAGsAZwAgAGwAaQB2AGUAdwBlAGkAZwBoAHQAXAAiACwAIAAxADkALgAxACwAIABcACIAYQB0ACAAbQBhAHIAawBlAHQAXAAiADsAXABuACAAIAAgACAAIAAgACAAIABcACIAQQBuAGkAbQBhAGwAcwBcACIALAAgAFwAIgBCAGUAZQBmACAAYwBhAHQAdABsAGUAXAAiACwAIABcACIAQwBhAHQAdABsAGUALAAgAHcAZQBhAG4AZQByAHMAXAAiACwAIABcACIAUQBMAEQAXAAiACwAIABcACIAawBnACAAbABpAHYAZQB3AGUAaQBnAGgAdABcACIALAAgADIAMAAuADUALAAgAFwAIgBhAHQAIABtAGEAcgBrAGUAdABcACIAOwBcAG4AIAAgACAAIAAgACAAIAAgAFwAIgBBAG4AaQBtAGEAbABzAFwAIgAsACAAXAAiAEIAZQBlAGYAIABjAGEAdAB0AGwAZQBcACIALAAgAFwAIgBDAGEAdAB0AGwAZQAsACAAdwBlAGEAbgBlAHIAcwBcACIALAAgAFwAIgBTAEEAXAAiACwAIABcACIAawBnACAAbABpAHYAZQB3AGUAaQBnAGgAdABcACIALAAgADEAMAAuADgALAAgAFwAIgBhAHQAIABtAGEAcgBrAGUAdABcACIAOwBcAG4AIAAgACAAIAAgACAAIAAgAFwAIgBBAG4AaQBtAGEAbABzAFwAIgAsACAAXAAiAEIAZQBlAGYAIABjAGEAdAB0AGwAZQBcACIALAAgAFwAIgBDAGEAdAB0AGwAZQAsACAAdwBlAGEAbgBlAHIAcwBcACIALAAgAFwAIgBUAEEAUwBcACIALAAgAFwAIgBrAGcAIABsAGkAdgBlAHcAZQBpAGcAaAB0AFwAIgAsACAAMQAzAC4ANAAsACAAXAAiAGEAdAAgAG0AYQByAGsAZQB0AFwAIgA7AFwAbgAgACAAIAAgACAAIAAgACAAXAAiAEEAbgBpAG0AYQBsAHMAXAAiACwAIABcACIAQgBlAGUAZgAgAGMAYQB0AHQAbABlAFwAIgAsACAAXAAiAEMAYQB0AHQAbABlACwAIAB3AGUAYQBuAGUAcgBzAFwAIgAsACAAXAAiAFYASQBDAFwAIgAsACAAXAAiAGsAZwAgAGwAaQB2AGUAdwBlAGkAZwBoAHQAXAAiACwAIAAxADIALAAgAFwAIgBhAHQAIABtAGEAcgBrAGUAdABcACIAOwBcAG4AIAAgACAAIAAgACAAIAAgAFwAIgBBAG4AaQBtAGEAbABzAFwAIgAsACAAXAAiAEIAZQBlAGYAIABjAGEAdAB0AGwAZQBcACIALAAgAFwAIgBDAGEAdAB0AGwAZQAsACAAdwBlAGEAbgBlAHIAcwBcACIALAAgAFwAIgBXAEEAXAAiACwAIABcACIAawBnACAAbABpAHYAZQB3AGUAaQBnAGgAdABcACIALAAgADEAMgAuADQALAAgAFwAIgBhAHQAIABtAGEAcgBrAGUAdABcACIAOwBcAG4AIAAgACAAIAAgACAAIAAgAFwAIgBBAG4AaQBtAGEAbABzAFwAIgAsACAAXAAiAEMAaABpAGMAawBlAG4AcwBcACIALAAgAFwAIgBDAGgAaQBjAGsAZQBuAHMAXAAiACwAIABcACIAQQB1AHMAdAByAGEAbABpAGEAXAAiACwAIABcACIAawBnACAAbABpAHYAZQB3AGUAaQBnAGgAdABcACIALAAgADEALgAzADYALAAgAFwAIgBhAHQAIABtAGEAcgBrAGUAdABcACIAOwBcAG4AIAAgACAAIAAgACAAIAAgAFwAIgBBAG4AaQBtAGEAbABzAFwAIgAsACAAXAAiAEQAYQBpAHIAeQAgAGMAYQB0AHQAbABlAFwAIgAsACAAXAAiAEQAYQBpAHIAeQAgAGMAbwB3AHMAXAAiACwAIABcACIAVgBJAEMAXAAiACwAIABcACIAawBnACAAbABpAHYAZQB3AGUAaQBnAGgAdABcACIALAAgADQALgA0ADEALAAgAFwAIgBhAHQAIABtAGEAcgBrAGUAdABcACIAOwBcAG4AIAAgACAAIAAgACAAIAAgAFwAIgBBAG4AaQBtAGEAbABzAFwAIgAsACAAXAAiAFAAaQBnAHMAXAAiACwAIABcACIAUABpAGcAcwBcACIALAAgAFwAIgBBAHUAcwB0AHIAYQBsAGkAYQBcACIALAAgAFwAIgBrAGcAIABsAGkAdgBlAHcAZQBpAGcAaAB0AFwAIgAsACAAMwAuADMAOAAsACAAXAAiAGEAdAAgAG0AYQByAGsAZQB0AFwAIgA7AFwAbgAgACAAIAAgACAAIAAgACAAXAAiAEEAbgBpAG0AYQBsAHMAXAAiACwAIABcACIAUwBoAGUAZQBwAFwAIgAsACAAXAAiAFMAaABlAGUAcAAsACAAZgBvAHIAIABtAHUAdAB0AG8AbgBcACIALAAgAFwAIgBBAHUAcwB0AHIAYQBsAGkAYQBcACIALAAgAFwAIgBrAGcAIABsAGkAdgBlAHcAZQBpAGcAaAB0AFwAIgAsACAANgAuADgAMQAsACAAXAAiAGEAdAAgAG0AYQByAGsAZQB0AFwAIgA7AFwAbgAgACAAIAAgACAAIAAgACAAXAAiAEEAbgBpAG0AYQBsAHMAXAAiACwAIABcACIAUwBoAGUAZQBwAFwAIgAsACAAXAAiAFMAaABlAGUAcAAsACAAZgBvAHIAIABtAHUAdAB0AG8AbgBcACIALAAgAFwAIgBOAFMAVwBcACIALAAgAFwAIgBrAGcAIABsAGkAdgBlAHcAZQBpAGcAaAB0AFwAIgAsACAAMgAuADIANgAsACAAXAAiAGEAdAAgAG0AYQByAGsAZQB0AFwAIgA7AFwAbgAgACAAIAAgACAAIAAgACAAXAAiAEEAbgBpAG0AYQBsAHMAXAAiACwAIABcACIAUwBoAGUAZQBwAFwAIgAsACAAXAAiAFMAaABlAGUAcAAsACAAZgBvAHIAIABtAHUAdAB0AG8AbgBcACIALAAgAFwAIgBRAEwARABcACIALAAgAFwAIgBrAGcAIABsAGkAdgBlAHcAZQBpAGcAaAB0AFwAIgAsACAANgAuADMAMwAsACAAXAAiAGEAdAAgAG0AYQByAGsAZQB0AFwAIgA7AFwAbgAgACAAIAAgACAAIAAgACAAXAAiAEEAbgBpAG0AYQBsAHMAXAAiACwAIABcACIAUwBoAGUAZQBwAFwAIgAsACAAXAAiAFMAaABlAGUAcAAsACAAZgBvAHIAIABtAHUAdAB0AG8AbgBcACIALAAgAFwAIgBTAEEAXAAiACwAIABcACIAawBnACAAbABpAHYAZQB3AGUAaQBnAGgAdABcACIALAAgADYALgAxADgALAAgAFwAIgBhAHQAIABtAGEAcgBrAGUAdABcACIAOwBcAG4AIAAgACAAIAAgACAAIAAgAFwAIgBBAG4AaQBtAGEAbABzAFwAIgAsACAAXAAiAFMAaABlAGUAcABcACIALAAgAFwAIgBTAGgAZQBlAHAALAAgAGYAbwByACAAbQB1AHQAdABvAG4AXAAiACwAIABcACIAVABBAFMAXAAiACwAIABcACIAawBnACAAbABpAHYAZQB3AGUAaQBnAGgAdABcACIALAAgADcALgA1ACwAIABcACIAYQB0ACAAbQBhAHIAawBlAHQAXAAiADsAXABuACAAIAAgACAAIAAgACAAIABcACIAQQBuAGkAbQBhAGwAcwBcACIALAAgAFwAIgBTAGgAZQBlAHAAXAAiACwAIABcACIAUwBoAGUAZQBwACwAIABmAG8AcgAgAG0AdQB0AHQAbwBuAFwAIgAsACAAXAAiAFYASQBDAFwAIgAsACAAXAAiAGsAZwAgAGwAaQB2AGUAdwBlAGkAZwBoAHQAXAAiACwAIAA4AC4AMAA4ACwAIABcACIAYQB0ACAAbQBhAHIAawBlAHQAXAAiADsAXABuACAAIAAgACAAIAAgACAAIABcACIAQQBuAGkAbQBhAGwAcwBcACIALAAgAFwAIgBTAGgAZQBlAHAAXAAiACwAIABcACIAUwBoAGUAZQBwACwAIABmAG8AcgAgAG0AdQB0AHQAbwBuAFwAIgAsACAAXAAiAFcAQQBcACIALAAgAFwAIgBrAGcAIABsAGkAdgBlAHcAZQBpAGcAaAB0AFwAIgAsACAANQAuADQANQAsACAAXAAiAGEAdAAgAG0AYQByAGsAZQB0AFwAIgA7AFwAbgAgACAAIAAgACAAIAAgACAAXAAiAEEAbgBpAG0AYQBsAHMAXAAiACwAIABcACIAUwBoAGUAZQBwAFwAIgAsACAAXAAiAFMAaABlAGUAcAAsACAAZgBvAHIAIABwAHIAaQBtAGUAIABsAGEAbQBiAFwAIgAsACAAXAAiAEEAdQBzAHQAcgBhAGwAaQBhAFwAIgAsACAAXAAiAGsAZwAgAGwAaQB2AGUAdwBlAGkAZwBoAHQAXAAiACwAIAA3AC4AMQA1ACwAIABcACIAYQB0ACAAbQBhAHIAawBlAHQAXAAiADsAXABuACAAIAAgACAAIAAgACAAIABcACIAQQBuAGkAbQBhAGwAcwBcACIALAAgAFwAIgBTAGgAZQBlAHAAXAAiACwAIABcACIAUwBoAGUAZQBwACwAIABmAG8AcgAgAHAAcgBpAG0AZQAgAGwAYQBtAGIAXAAiACwAIABcACIATgBTAFcAXAAiACwAIABcACIAawBnACAAbABpAHYAZQB3AGUAaQBnAGgAdABcACIALAAgADgALgAyADkALAAgAFwAIgBhAHQAIABtAGEAcgBrAGUAdABcACIAOwBcAG4AIAAgACAAIAAgACAAIAAgAFwAIgBBAG4AaQBtAGEAbABzAFwAIgAsACAAXAAiAFMAaABlAGUAcABcACIALAAgAFwAIgBTAGgAZQBlAHAALAAgAGYAbwByACAAcAByAGkAbQBlACAAbABhAG0AYgBcACIALAAgAFwAIgBRAEwARABcACIALAAgAFwAIgBrAGcAIABsAGkAdgBlAHcAZQBpAGcAaAB0AFwAIgAsACAANgAuADMAOQAsACAAXAAiAGEAdAAgAG0AYQByAGsAZQB0AFwAIgA7AFwAbgAgACAAIAAgACAAIAAgACAAXAAiAEEAbgBpAG0AYQBsAHMAXAAiACwAIABcACIAUwBoAGUAZQBwAFwAIgAsACAAXAAiAFMAaABlAGUAcAAsACAAZgBvAHIAIABwAHIAaQBtAGUAIABsAGEAbQBiAFwAIgAsACAAXAAiAFMAQQBcACIALAAgAFwAIgBrAGcAIABsAGkAdgBlAHcAZQBpAGcAaAB0AFwAIgAsACAANgAuADgANwAsACAAXAAiAGEAdAAgAG0AYQByAGsAZQB0AFwAIgA7AFwAbgAgACAAIAAgACAAIAAgACAAXAAiAEEAbgBpAG0AYQBsAHMAXAAiACwAIABcACIAUwBoAGUAZQBwAFwAIgAsACAAXAAiAFMAaABlAGUAcAAsACAAZgBvAHIAIABwAHIAaQBtAGUAIABsAGEAbQBiAFwAIgAsACAAXAAiAFQAQQBTAFwAIgAsACAAXAAiAGsAZwAgAGwAaQB2AGUAdwBlAGkAZwBoAHQAXAAiACwAIAA4AC4ANgA2ACwAIABcACIAYQB0ACAAbQBhAHIAawBlAHQAXAAiADsAXABuACAAIAAgACAAIAAgACAAIABcACIAQQBuAGkAbQBhAGwAcwBcACIALAAgAFwAIgBTAGgAZQBlAHAAXAAiACwAIABcACIAUwBoAGUAZQBwACwAIABmAG8AcgAgAHAAcgBpAG0AZQAgAGwAYQBtAGIAXAAiACwAIABcACIAVgBJAEMAXAAiACwAIABcACIAawBnACAAbABpAHYAZQB3AGUAaQBnAGgAdABcACIALAAgADEAMAAsACAAXAAiAGEAdAAgAG0AYQByAGsAZQB0AFwAIgA7AFwAbgAgACAAIAAgACAAIAAgACAAXAAiAEEAbgBpAG0AYQBsAHMAXAAiACwAIABcACIAUwBoAGUAZQBwAFwAIgAsACAAXAAiAFMAaABlAGUAcAAsACAAZgBvAHIAIABwAHIAaQBtAGUAIABsAGEAbQBiAFwAIgAsACAAXAAiAFcAQQBcACIALAAgAFwAIgBrAGcAIABsAGkAdgBlAHcAZQBpAGcAaAB0AFwAIgAsACAANQAuADYANw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QwBoAGUAbQBpAGMAYQBsAHMAXABuAD0APQA9AD0APQA9AD0APQA9AD0APQA9AD0APQA9AD0APQA9AD0APQA9AD0APQA9AD0APQA9AD0APQA9AD0APQA9AD0APQA9AD0APQA9AD0APQA9AD0APQA9AD0APQA9AD0APQA9AD0APQA9AD0APQA9AD0APQA9AD0APQA9AD0APQA9AD0APQA9AD0APQA9AD0APQA9AD0AXABuACoALwBcAG4AXABuAFMAYwBvAHAAZQAzAF8AQwBoAGUAbQBpAGMAYQBsAHMAXwBUAGkAdABsAGUAXABuAD0ATABBAE0AQgBEAEEAKAAoAFwAIgBDAGgAZQBtAGkAYwBhAGwAcwAgAHMAYwBvAHAAZQAgADMAXAAiACkAKQA7AFwAbgBcAG4AUwBjAG8AcABlADMAXwBDAGgAZQBtAGkAYwBhAGw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MAaABlAG0AaQBjAGEAbABzAF8AVgBhAHIAaQBhAHQAaQBvAG4AXABuAD0ATABBAE0AQgBEAEEAKAAoAFwAIgBcACIAKQApADsAXABuAFwAbgBTAGMAbwBwAGUAMwBfAEMAaABlAG0AaQBjAGEAbABzAF8ARABhAHQAYQBcAG4APQBMAEEATQBCAEQAQQAoAFwAbgAgACAATQBBAEsARQBBAFIAUgBBAFkAKA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wBoAGUAbQBpAGMAYQBsAHMAXAAiACwAIABcACIAQwBsAGUAYQBuAGkAbgBnACAAYwBoAGUAbQBpAGMAYQBsAHMAXAAiACwAIABcACIAQQBsAGsAYQBsAGkAbgBlACAAYwBsAGUAYQBuAGUAcgBcACIALAAgAFwAIgBHAGwAbwBiAGEAbABcACIALAAgAFwAIgBrAGcAXAAiACwAIAAwAC4ANwAyADIALAAgAFwAIgBhAHQAIABtAGEAbgB1AGYAYQBjAHQAdQByAGUAcgBcACIAOwBcAG4AIAAgACAAIAAgACAAIAAgAFwAIgBDAGgAZQBtAGkAYwBhAGwAcwBcACIALAAgAFwAIgBDAGwAZQBhAG4AaQBuAGcAIABjAGgAZQBtAGkAYwBhAGwAcwBcACIALAAgAFwAIgBCAGwAZQBhAGMAaABcACIALAAgAFwAIgBHAGwAbwBiAGEAbABcACIALAAgAFwAIgBrAGcAXAAiACwAIAAwAC4AOAAwADQALAAgAFwAIgBhAHQAIABtAGEAbgB1AGYAYQBjAHQAdQByAGUAcgBcACIAOwBcAG4AIAAgACAAIAAgACAAIAAgAFwAIgBDAGgAZQBtAGkAYwBhAGwAcwBcACIALAAgAFwAIgBDAGwAZQBhAG4AaQBuAGcAIABjAGgAZQBtAGkAYwBhAGwAcwBcACIALAAgAFwAIgBQAGgAbwBzAHAAaABvAHIAaQBjACAAYQBjAGkAZABcACIALAAgAFwAIgBHAGwAbwBiAGEAbABcACIALAAgAFwAIgBrAGcAXAAiACwAIAAwAC4AOQAwADcALAAgAFwAIgBhAHQAIABtAGEAbgB1AGYAYQBjAHQAdQByAGUAcgBcACIAOwBcAG4AIAAgACAAIAAgACAAIAAgAFwAIgBDAGgAZQBtAGkAYwBhAGwAcwBcACIALAAgAFwAIgBQAGgAYQByAG0AYQBjAHkAIABjAGgAZQBtAGkAYwBhAGwAcwBcACIALAAgAFwAIgBQAGEAcgBhAHMAaQB0AGUAIABjAG8AbgB0AHIAbwBsACAAZgBvAHIAIABjAGEAdAB0AGwAZQAgACgAZQB4AHQAZQByAG4AYQBsACkALAAgAGQAaQBwAHAAaQBuAGcAXAAiACwAIABcACIARwBsAG8AYgBhAGwAXAAiACwAIABcACIAcAAgACgAaABlAGEAZAApAFwAIgAsACAAMAAuADAANQA0ADcALAAgAFwAIgBhAHQAIABtAGEAbgB1AGYAYQBjAHQAdQByAGUAcgBcACIAOwBcAG4AIAAgACAAIAAgACAAIAAgAFwAIgBDAGgAZQBtAGkAYwBhAGwAcwBcACIALAAgAFwAIgBQAGgAYQByAG0AYQBjAHkAIABjAGgAZQBtAGkAYwBhAGwAcwBcACIALAAgAFwAIgBQAGEAcgBhAHMAaQB0AGUAIABjAG8AbgB0AHIAbwBsACAAZgBvAHIAIABjAGEAdAB0AGwAZQAgACgAaQBuAHQAZQByAG4AYQBsACkAXAAiACwAIABcACIARwBsAG8AYgBhAGwAXAAiACwAIABcACIAcAAgACgAaABlAGEAZAApAFwAIgAsACAAMAAuADAAMQA0ADIALAAgAFwAIgBhAHQAIABtAGEAbgB1AGYAYQBjAHQAdQByAGUAcgBcACIAOwBcAG4AIAAgACAAIAAgACAAIAAgAFwAIgBDAGgAZQBtAGkAYwBhAGwAcwBcACIALAAgAFwAIgBQAGgAYQByAG0AYQBjAHkAIABjAGgAZQBtAGkAYwBhAGwAcwBcACIALAAgAFwAIgBQAGEAcgBhAHMAaQB0AGUAIABjAG8AbgB0AHIAbwBsACAAZgBvAHIAIABzAGgAZQBlAHAAIAAoAGUAeAB0AGUAcgBuAGEAbAApAFwAIgAsACAAXAAiAEcAbABvAGIAYQBsAFwAIgAsACAAXAAiAHAAIAAoAGgAZQBhAGQAKQBcACIALAAgADAALgAwADEANAAzACwAIABcACIAYQB0ACAAbQBhAG4AdQBmAGEAYwB0AHUAcgBlAHIAXAAiADsAXABuACAAIAAgACAAIAAgACAAIABcACIAQwBoAGUAbQBpAGMAYQBsAHMAXAAiACwAIABcACIAUABoAGEAcgBtAGEAYwB5ACAAYwBoAGUAbQBpAGMAYQBsAHMAXAAiACwAIABcACIAUABhAHIAYQBzAGkAdABlACAAYwBvAG4AdAByAG8AbAAgAGYAbwByACAAcwBoAGUAZQBwACAAKABpAG4AdABlAHIAbgBhAGwAKQBcACIALAAgAFwAIgBHAGwAbwBiAGEAbABcACIALAAgAFwAIgBwACAAKABoAGUAYQBkACkAXAAiACwAIAAwAC4AMAAwADQAMgA2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GUAZQBkAFwAbgA9AD0APQA9AD0APQA9AD0APQA9AD0APQA9AD0APQA9AD0APQA9AD0APQA9AD0APQA9AD0APQA9AD0APQA9AD0APQA9AD0APQA9AD0APQA9AD0APQA9AD0APQA9AD0APQA9AD0APQA9AD0APQA9AD0APQA9AD0APQA9AD0APQA9AD0APQA9AD0APQA9AD0APQA9AD0APQA9AFwAbgAqAC8AXABuAFwAbgBTAGMAbwBwAGUAMwBfAEYAZQBlAGQAXwBUAGkAdABsAGUAXABuAD0ATABBAE0AQgBEAEEAKAAoAFwAIgBGAGUAZQBkACAAcwBjAG8AcABlACAAMwBcACIAKQApADsAXABuAFwAbgBTAGMAbwBwAGUAMwBfAEYAZQBlAGQ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GAGUAZQBkAF8AVgBhAHIAaQBhAHQAaQBvAG4AXABuAD0ATABBAE0AQgBEAEEAKAAoAFwAIgBcACIAKQApADsAXABuAFwAbgBTAGMAbwBwAGUAMwBfAEYAZQBlAGQAXwBEAGEAdABhAFwAbgA9AEwAQQBNAEIARABBACgAXABuACAAIABNAEEASwBFAEEAUgBSAEEAWQAoADc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lAGQAXAAiACwAIABcACIAQQBxAHUAYQBjAHUAbAB0AHUAcgBlACAAZgBlAGUAZABcACIALAAgAFwAIgBTAGEAcgBkAGkAbgBlAHMAIAAoAHcAaABvAGwAZQApAFwAIgAsACAAXAAiAFMAQQBcACIALAAgAFwAIgBrAGcAXAAiACwAIAAwAC4AMwA3ADYALAAgAFwAIgBhAHQAIABtAGEAcgBrAGUAdABcACIAOwBcAG4AIAAgACAAIAAgACAAIAAgAFwAIgBGAGUAZQBkAFwAIgAsACAAXAAiAEcAcgBhAGkAbgBcACIALAAgAFwAIgBCAGEAcgBsAGUAeQAgAGcAcgBhAGkAbgBcACIALAAgAFwAIgBBAHUAcwB0AHIAYQBsAGkAYQBcACIALAAgAFwAIgBrAGcAXAAiACwAIAAwAC4AMgAzADkALAAgAFwAIgBhAHQAIABtAGEAcgBrAGUAdABcACIAOwBcAG4AIAAgACAAIAAgACAAIAAgAFwAIgBGAGUAZQBkAFwAIgAsACAAXAAiAEcAcgBhAGkAbgBcACIALAAgAFwAIgBCAGEAcgBsAGUAeQAgAGcAcgBhAGkAbgBcACIALAAgAFwAIgBOAFMAVwBcACIALAAgAFwAIgBrAGcAXAAiACwAIAAwAC4AMgA1ADYALAAgAFwAIgBhAHQAIABtAGEAcgBrAGUAdABcACIAOwBcAG4AIAAgACAAIAAgACAAIAAgAFwAIgBGAGUAZQBkAFwAIgAsACAAXAAiAEcAcgBhAGkAbgBcACIALAAgAFwAIgBCAGEAcgBsAGUAeQAgAGcAcgBhAGkAbgBcACIALAAgAFwAIgBOAFQAXAAiACwAIABcACIAawBnAFwAIgAsACAAMAAuADMAMwAyACwAIABcACIAYQB0ACAAbQBhAHIAawBlAHQAXAAiADsAXABuACAAIAAgACAAIAAgACAAIABcACIARgBlAGUAZABcACIALAAgAFwAIgBHAHIAYQBpAG4AXAAiACwAIABcACIAQgBhAHIAbABlAHkAIABnAHIAYQBpAG4AXAAiACwAIABcACIAUQBMAEQAXAAiACwAIABcACIAawBnAFwAIgAsACAAMAAuADIANgA5ACwAIABcACIAYQB0ACAAbQBhAHIAawBlAHQAXAAiADsAXABuACAAIAAgACAAIAAgACAAIABcACIARgBlAGUAZABcACIALAAgAFwAIgBHAHIAYQBpAG4AXAAiACwAIABcACIAQgBhAHIAbABlAHkAIABnAHIAYQBpAG4AXAAiACwAIABcACIAUwBBAFwAIgAsACAAXAAiAGsAZwBcACIALAAgADAALgAyADIAMwAsACAAXAAiAGEAdAAgAG0AYQByAGsAZQB0AFwAIgA7AFwAbgAgACAAIAAgACAAIAAgACAAXAAiAEYAZQBlAGQAXAAiACwAIABcACIARwByAGEAaQBuAFwAIgAsACAAXAAiAEIAYQByAGwAZQB5ACAAZwByAGEAaQBuAFwAIgAsACAAXAAiAFQAQQBTAFwAIgAsACAAXAAiAGsAZwBcACIALAAgADAALgAzADAANwAsACAAXAAiAGEAdAAgAG0AYQByAGsAZQB0AFwAIgA7AFwAbgAgACAAIAAgACAAIAAgACAAXAAiAEYAZQBlAGQAXAAiACwAIABcACIARwByAGEAaQBuAFwAIgAsACAAXAAiAEIAYQByAGwAZQB5ACAAZwByAGEAaQBuAFwAIgAsACAAXAAiAFYASQBDAFwAIgAsACAAXAAiAGsAZwBcACIALAAgADAALgAyADQAMQAsACAAXAAiAGEAdAAgAG0AYQByAGsAZQB0AFwAIgA7AFwAbgAgACAAIAAgACAAIAAgACAAXAAiAEYAZQBlAGQAXAAiACwAIABcACIARwByAGEAaQBuAFwAIgAsACAAXAAiAEIAYQByAGwAZQB5ACAAZwByAGEAaQBuAFwAIgAsACAAXAAiAFcAQQBcACIALAAgAFwAIgBrAGcAXAAiACwAIAAwAC4AMgAzADYALAAgAFwAIgBhAHQAIABtAGEAcgBrAGUAdABcACIAOwBcAG4AIAAgACAAIAAgACAAIAAgAFwAIgBGAGUAZQBkAFwAIgAsACAAXAAiAEcAcgBhAGkAbgBcACIALAAgAFwAIgBNAGEAaQB6AGUAIABnAHIAYQBpAG4AXAAiACwAIABcACIAQQB1AHMAdAByAGEAbABpAGEAXAAiACwAIABcACIAawBnAFwAIgAsACAAMAAuADEAOAAxACwAIABcACIAYQB0ACAAbQBhAHIAawBlAHQAXAAiADsAXABuACAAIAAgACAAIAAgACAAIABcACIARgBlAGUAZABcACIALAAgAFwAIgBHAHIAYQBpAG4AXAAiACwAIABcACIATQBhAGkAegBlACAAZwByAGEAaQBuAFwAIgAsACAAXAAiAE4AUwBXAFwAIgAsACAAXAAiAGsAZwBcACIALAAgADAALgAxADYAOQAsACAAXAAiAGEAdAAgAG0AYQByAGsAZQB0AFwAIgA7AFwAbgAgACAAIAAgACAAIAAgACAAXAAiAEYAZQBlAGQAXAAiACwAIABcACIARwByAGEAaQBuAFwAIgAsACAAXAAiAE0AYQBpAHoAZQAgAGcAcgBhAGkAbgBcACIALAAgAFwAIgBOAFQAXAAiACwAIABcACIAawBnAFwAIgAsACAAMAAuADIANQA2ACwAIABcACIAYQB0ACAAbQBhAHIAawBlAHQAXAAiADsAXABuACAAIAAgACAAIAAgACAAIABcACIARgBlAGUAZABcACIALAAgAFwAIgBHAHIAYQBpAG4AXAAiACwAIABcACIATQBhAGkAegBlACAAZwByAGEAaQBuAFwAIgAsACAAXAAiAFEATABEAFwAIgAsACAAXAAiAGsAZwBcACIALAAgADAALgAxADgANgAsACAAXAAiAGEAdAAgAG0AYQByAGsAZQB0AFwAIgA7AFwAbgAgACAAIAAgACAAIAAgACAAXAAiAEYAZQBlAGQAXAAiACwAIABcACIARwByAGEAaQBuAFwAIgAsACAAXAAiAE0AYQBpAHoAZQAgAGcAcgBhAGkAbgBcACIALAAgAFwAIgBTAEEAXAAiACwAIABcACIAawBnAFwAIgAsACAAMAAuADEANwA2ACwAIABcACIAYQB0ACAAbQBhAHIAawBlAHQAXAAiADsAXABuACAAIAAgACAAIAAgACAAIABcACIARgBlAGUAZABcACIALAAgAFwAIgBHAHIAYQBpAG4AXAAiACwAIABcACIATQBhAGkAegBlACAAZwByAGEAaQBuAFwAIgAsACAAXAAiAFYASQBDAFwAIgAsACAAXAAiAGsAZwBcACIALAAgADAALgAxADUAOQAsACAAXAAiAGEAdAAgAG0AYQByAGsAZQB0AFwAIgA7AFwAbgAgACAAIAAgACAAIAAgACAAXAAiAEYAZQBlAGQAXAAiACwAIABcACIARwByAGEAaQBuAFwAIgAsACAAXAAiAE0AYQBpAHoAZQAgAGcAcgBhAGkAbgBcACIALAAgAFwAIgBXAEEAXAAiACwAIABcACIAawBnAFwAIgAsACAAMAAuADIAOAA1ACwAIABcACIAYQB0ACAAbQBhAHIAawBlAHQAXAAiADsAXABuACAAIAAgACAAIAAgACAAIABcACIARgBlAGUAZABcACIALAAgAFwAIgBHAHIAYQBpAG4AXAAiACwAIABcACIAUwBvAHIAZwBoAHUAbQAgAGcAcgBhAGkAbgBcACIALAAgAFwAIgBBAHUAcwB0AHIAYQBsAGkAYQBcACIALAAgAFwAIgBrAGcAXAAiACwAIAAwAC4AMgAzADIALAAgAFwAIgBhAHQAIABtAGEAcgBrAGUAdABcACIAOwBcAG4AIAAgACAAIAAgACAAIAAgAFwAIgBGAGUAZQBkAFwAIgAsACAAXAAiAEcAcgBhAGkAbgBcACIALAAgAFwAIgBTAG8AcgBnAGgAdQBtACAAZwByAGEAaQBuAFwAIgAsACAAXAAiAE4AUwBXAFwAIgAsACAAXAAiAGsAZwBcACIALAAgADAALgAyADMAMgAsACAAXAAiAGEAdAAgAG0AYQByAGsAZQB0AFwAIgA7AFwAbgAgACAAIAAgACAAIAAgACAAXAAiAEYAZQBlAGQAXAAiACwAIABcACIARwByAGEAaQBuAFwAIgAsACAAXAAiAFMAbwByAGcAaAB1AG0AIABnAHIAYQBpAG4AXAAiACwAIABcACIAUQBMAEQAXAAiACwAIABcACIAawBnAFwAIgAsACAAMAAuADIAMwAxACwAIABcACIAYQB0ACAAbQBhAHIAawBlAHQAXAAiADsAXABuACAAIAAgACAAIAAgACAAIABcACIARgBlAGUAZABcACIALAAgAFwAIgBHAHIAYQBpAG4AXAAiACwAIABcACIAUwBvAHIAZwBoAHUAbQAgAGcAcgBhAGkAbgBcACIALAAgAFwAIgBTAEEAXAAiACwAIABcACIAawBnAFwAIgAsACAAMAAuADIAMQA4ACwAIABcACIAYQB0ACAAbQBhAHIAawBlAHQAXAAiADsAXABuACAAIAAgACAAIAAgACAAIABcACIARgBlAGUAZABcACIALAAgAFwAIgBHAHIAYQBpAG4AXAAiACwAIABcACIAUwBvAHIAZwBoAHUAbQAgAGcAcgBhAGkAbgBcACIALAAgAFwAIgBWAEkAQwBcACIALAAgAFwAIgBrAGcAXAAiACwAIAAwAC4AMgA0ADYALAAgAFwAIgBhAHQAIABtAGEAcgBrAGUAdABcACIAOwBcAG4AIAAgACAAIAAgACAAIAAgAFwAIgBGAGUAZQBkAFwAIgAsACAAXAAiAEcAcgBhAGkAbgBcACIALAAgAFwAIgBXAGgAZQBhAHQAIABnAHIAYQBpAG4AXAAiACwAIABcACIAQQB1AHMAdAByAGEAbABpAGEAXAAiACwAIABcACIAawBnAFwAIgAsACAAMAAuADIANgA4ACwAIABcACIAYQB0ACAAbQBhAHIAawBlAHQAXAAiADsAXABuACAAIAAgACAAIAAgACAAIABcACIARgBlAGUAZABcACIALAAgAFwAIgBHAHIAYQBpAG4AXAAiACwAIABcACIAVwBoAGUAYQB0ACAAZwByAGEAaQBuAFwAIgAsACAAXAAiAE4AUwBXAFwAIgAsACAAXAAiAGsAZwBcACIALAAgADAALgAyADgAMgAsACAAXAAiAGEAdAAgAG0AYQByAGsAZQB0AFwAIgA7AFwAbgAgACAAIAAgACAAIAAgACAAXAAiAEYAZQBlAGQAXAAiACwAIABcACIARwByAGEAaQBuAFwAIgAsACAAXAAiAFcAaABlAGEAdAAgAGcAcgBhAGkAbgBcACIALAAgAFwAIgBOAFQAXAAiACwAIABcACIAawBnAFwAIgAsACAAMAAuADMAOAA1ACwAIABcACIAYQB0ACAAbQBhAHIAawBlAHQAXAAiADsAXABuACAAIAAgACAAIAAgACAAIABcACIARgBlAGUAZABcACIALAAgAFwAIgBHAHIAYQBpAG4AXAAiACwAIABcACIAVwBoAGUAYQB0ACAAZwByAGEAaQBuAFwAIgAsACAAXAAiAFEATABEAFwAIgAsACAAXAAiAGsAZwBcACIALAAgADAALgAyADkANgAsACAAXAAiAGEAdAAgAG0AYQByAGsAZQB0AFwAIgA7AFwAbgAgACAAIAAgACAAIAAgACAAXAAiAEYAZQBlAGQAXAAiACwAIABcACIARwByAGEAaQBuAFwAIgAsACAAXAAiAFcAaABlAGEAdAAgAGcAcgBhAGkAbgBcACIALAAgAFwAIgBTAEEAXAAiACwAIABcACIAawBnAFwAIgAsACAAMAAuADIANAAxACwAIABcACIAYQB0ACAAbQBhAHIAawBlAHQAXAAiADsAXABuACAAIAAgACAAIAAgACAAIABcACIARgBlAGUAZABcACIALAAgAFwAIgBHAHIAYQBpAG4AXAAiACwAIABcACIAVwBoAGUAYQB0ACAAZwByAGEAaQBuAFwAIgAsACAAXAAiAFQAQQBTAFwAIgAsACAAXAAiAGsAZwBcACIALAAgADAALgAzADMAOAAsACAAXAAiAGEAdAAgAG0AYQByAGsAZQB0AFwAIgA7AFwAbgAgACAAIAAgACAAIAAgACAAXAAiAEYAZQBlAGQAXAAiACwAIABcACIARwByAGEAaQBuAFwAIgAsACAAXAAiAFcAaABlAGEAdAAgAGcAcgBhAGkAbgBcACIALAAgAFwAIgBWAEkAQwBcACIALAAgAFwAIgBrAGcAXAAiACwAIAAwAC4AMgA2ADYALAAgAFwAIgBhAHQAIABtAGEAcgBrAGUAdABcACIAOwBcAG4AIAAgACAAIAAgACAAIAAgAFwAIgBGAGUAZQBkAFwAIgAsACAAXAAiAEcAcgBhAGkAbgBcACIALAAgAFwAIgBXAGgAZQBhAHQAIABnAHIAYQBpAG4AXAAiACwAIABcACIAVwBBAFwAIgAsACAAXAAiAGsAZwBcACIALAAgADAALgAyADYAMQAsACAAXAAiAGEAdAAgAG0AYQByAGsAZQB0AFwAIgA7AFwAbgAgACAAIAAgACAAIAAgACAAXAAiAEYAZQBlAGQAXAAiACwAIABcACIASABhAHkAXAAiACwAIABcACIAQwBlAHIAZQBhAGwAIABoAGEAeQBcACIALAAgAFwAIgBBAHUAcwB0AHIAYQBsAGkAYQBcACIALAAgAFwAIgBrAGcAXAAiACwAIAAwAC4AMQAxADcALAAgAFwAIgBhAHQAIABtAGEAcgBrAGUAdABcACIAOwBcAG4AIAAgACAAIAAgACAAIAAgAFwAIgBGAGUAZQBkAFwAIgAsACAAXAAiAEgAYQB5AFwAIgAsACAAXAAiAEMAZQByAGUAYQBsACAAaABhAHkAXAAiACwAIABcACIATgBTAFcAXAAiACwAIABcACIAawBnAFwAIgAsACAAMAAuADEAMQA2ACwAIABcACIAYQB0ACAAbQBhAHIAawBlAHQAXAAiADsAXABuACAAIAAgACAAIAAgACAAIABcACIARgBlAGUAZABcACIALAAgAFwAIgBIAGEAeQBcACIALAAgAFwAIgBDAGUAcgBlAGEAbAAgAGgAYQB5AFwAIgAsACAAXAAiAFEATABEAFwAIgAsACAAXAAiAGsAZwBcACIALAAgADAALgAxADEAOAAsACAAXAAiAGEAdAAgAG0AYQByAGsAZQB0AFwAIgA7AFwAbgAgACAAIAAgACAAIAAgACAAXAAiAEYAZQBlAGQAXAAiACwAIABcACIASABhAHkAXAAiACwAIABcACIAQwBlAHIAZQBhAGwAIABoAGEAeQBcACIALAAgAFwAIgBTAEEAXAAiACwAIABcACIAawBnAFwAIgAsACAAMAAuADEAMQAxACwAIABcACIAYQB0ACAAbQBhAHIAawBlAHQAXAAiADsAXABuACAAIAAgACAAIAAgACAAIABcACIARgBlAGUAZABcACIALAAgAFwAIgBIAGEAeQBcACIALAAgAFwAIgBDAGUAcgBlAGEAbAAgAGgAYQB5AFwAIgAsACAAXAAiAFQAQQBTAFwAIgAsACAAXAAiAGsAZwBcACIALAAgADAALgAxADMAOQAsACAAXAAiAGEAdAAgAG0AYQByAGsAZQB0AFwAIgA7AFwAbgAgACAAIAAgACAAIAAgACAAXAAiAEYAZQBlAGQAXAAiACwAIABcACIASABhAHkAXAAiACwAIABcACIAQwBlAHIAZQBhAGwAIABoAGEAeQBcACIALAAgAFwAIgBWAEkAQwBcACIALAAgAFwAIgBrAGcAXAAiACwAIAAwAC4AMQAxADYALAAgAFwAIgBhAHQAIABtAGEAcgBrAGUAdABcACIAOwBcAG4AIAAgACAAIAAgACAAIAAgAFwAIgBGAGUAZQBkAFwAIgAsACAAXAAiAEgAYQB5AFwAIgAsACAAXAAiAEMAZQByAGUAYQBsACAAaABhAHkAXAAiACwAIABcACIAVwBBAFwAIgAsACAAXAAiAGsAZwBcACIALAAgADAALgAxADIAMgAsACAAXAAiAGEAdAAgAG0AYQByAGsAZQB0AFwAIgA7AFwAbgAgACAAIAAgACAAIAAgACAAXAAiAEYAZQBlAGQAXAAiACwAIABcACIASABhAHkAXAAiACwAIABcACIAQwBlAHIAZQBhAGwAIABzAGkAbABhAGcAZQBcACIALAAgAFwAIgBBAHUAcwB0AHIAYQBsAGkAYQBcACIALAAgAFwAIgBrAGcAXAAiACwAIAAwAC4AMAA3ADQANAAsACAAXAAiAGEAdAAgAG0AYQByAGsAZQB0AFwAIgA7AFwAbgAgACAAIAAgACAAIAAgACAAXAAiAEYAZQBlAGQAXAAiACwAIABcACIASABhAHkAXAAiACwAIABcACIAQwBlAHIAZQBhAGwAIABzAGkAbABhAGcAZQBcACIALAAgAFwAIgBOAFMAVwBcACIALAAgAFwAIgBrAGcAXAAiACwAIAAwAC4AMAA3ADMAOQAsACAAXAAiAGEAdAAgAG0AYQByAGsAZQB0AFwAIgA7AFwAbgAgACAAIAAgACAAIAAgACAAXAAiAEYAZQBlAGQAXAAiACwAIABcACIASABhAHkAXAAiACwAIABcACIAQwBlAHIAZQBhAGwAIABzAGkAbABhAGcAZQBcACIALAAgAFwAIgBRAEwARABcACIALAAgAFwAIgBrAGcAXAAiACwAIAAwAC4AMAA3ADkALAAgAFwAIgBhAHQAIABtAGEAcgBrAGUAdABcACIAOwBcAG4AIAAgACAAIAAgACAAIAAgAFwAIgBGAGUAZQBkAFwAIgAsACAAXAAiAEgAYQB5AFwAIgAsACAAXAAiAEMAZQByAGUAYQBsACAAcwBpAGwAYQBnAGUAXAAiACwAIABcACIAUwBBAFwAIgAsACAAXAAiAGsAZwBcACIALAAgADAALgAwADcAMAA2ACwAIABcACIAYQB0ACAAbQBhAHIAawBlAHQAXAAiADsAXABuACAAIAAgACAAIAAgACAAIABcACIARgBlAGUAZABcACIALAAgAFwAIgBIAGEAeQBcACIALAAgAFwAIgBDAGUAcgBlAGEAbAAgAHMAaQBsAGEAZwBlAFwAIgAsACAAXAAiAFQAQQBTAFwAIgAsACAAXAAiAGsAZwBcACIALAAgADAALgAwADgAMAA4ACwAIABcACIAYQB0ACAAbQBhAHIAawBlAHQAXAAiADsAXABuACAAIAAgACAAIAAgACAAIABcACIARgBlAGUAZABcACIALAAgAFwAIgBIAGEAeQBcACIALAAgAFwAIgBDAGUAcgBlAGEAbAAgAHMAaQBsAGEAZwBlAFwAIgAsACAAXAAiAFYASQBDAFwAIgAsACAAXAAiAGsAZwBcACIALAAgADAALgAwADcAMwA2ACwAIABcACIAYQB0ACAAbQBhAHIAawBlAHQAXAAiADsAXABuACAAIAAgACAAIAAgACAAIABcACIARgBlAGUAZABcACIALAAgAFwAIgBIAGEAeQBcACIALAAgAFwAIgBMAHUAYwBlAHIAbgBlACAAaABhAHkAXAAiACwAIABcACIAQQB1AHMAdAByAGEAbABpAGEAXAAiACwAIABcACIAawBnAFwAIgAsACAAMAAuADEAMQA3ACwAIABcACIAYQB0ACAAbQBhAHIAawBlAHQAXAAiADsAXABuACAAIAAgACAAIAAgACAAIABcACIARgBlAGUAZABcACIALAAgAFwAIgBIAGEAeQBcACIALAAgAFwAIgBMAHUAYwBlAHIAbgBlACAAaABhAHkAXAAiACwAIABcACIATgBTAFcAXAAiACwAIABcACIAawBnAFwAIgAsACAAMAAuADEAMQAzACwAIABcACIAYQB0ACAAbQBhAHIAawBlAHQAXAAiADsAXABuACAAIAAgACAAIAAgACAAIABcACIARgBlAGUAZABcACIALAAgAFwAIgBIAGEAeQBcACIALAAgAFwAIgBMAHUAYwBlAHIAbgBlACAAaABhAHkAXAAiACwAIABcACIAUQBMAEQAXAAiACwAIABcACIAawBnAFwAIgAsACAAMAAuADEANAAzACwAIABcACIAYQB0ACAAbQBhAHIAawBlAHQAXAAiADsAXABuACAAIAAgACAAIAAgACAAIABcACIARgBlAGUAZABcACIALAAgAFwAIgBIAGEAeQBcACIALAAgAFwAIgBMAHUAYwBlAHIAbgBlACAAaABhAHkAXAAiACwAIABcACIAUwBBAFwAIgAsACAAXAAiAGsAZwBcACIALAAgADAALgAxADAANgAsACAAXAAiAGEAdAAgAG0AYQByAGsAZQB0AFwAIgA7AFwAbgAgACAAIAAgACAAIAAgACAAXAAiAEYAZQBlAGQAXAAiACwAIABcACIASABhAHkAXAAiACwAIABcACIATAB1AGMAZQByAG4AZQAgAGgAYQB5AFwAIgAsACAAXAAiAFQAQQBTAFwAIgAsACAAXAAiAGsAZwBcACIALAAgADAALgAxADEAMwAsACAAXAAiAGEAdAAgAG0AYQByAGsAZQB0AFwAIgA7AFwAbgAgACAAIAAgACAAIAAgACAAXAAiAEYAZQBlAGQAXAAiACwAIABcACIASABhAHkAXAAiACwAIABcACIATAB1AGMAZQByAG4AZQAgAGgAYQB5AFwAIgAsACAAXAAiAFYASQBDAFwAIgAsACAAXAAiAGsAZwBcACIALAAgADAALgAxADAANgAsACAAXAAiAGEAdAAgAG0AYQByAGsAZQB0AFwAIgA7AFwAbgAgACAAIAAgACAAIAAgACAAXAAiAEYAZQBlAGQAXAAiACwAIABcACIASABhAHkAXAAiACwAIABcACIATQBhAGkAegBlACAAcwBpAGwAYQBnAGUAXAAiACwAIABcACIAVgBJAEMAXAAiACwAIABcACIAawBnAFwAIgAsACAAMAAuADEANgAzACwAIABcACIAYQB0ACAAbQBhAHIAawBlAHQAXAAiADsAXABuACAAIAAgACAAIAAgACAAIABcACIARgBlAGUAZABcACIALAAgAFwAIgBIAGEAeQBcACIALAAgAFwAIgBPAGEAdABlAG4AIABoAGEAeQBcACIALAAgAFwAIgBBAHUAcwB0AHIAYQBsAGkAYQBcACIALAAgAFwAIgBrAGcAXAAiACwAIAAwAC4AMQAyACwAIABcACIAYQB0ACAAbQBhAHIAawBlAHQAXAAiADsAXABuACAAIAAgACAAIAAgACAAIABcACIARgBlAGUAZABcACIALAAgAFwAIgBIAGEAeQBcACIALAAgAFwAIgBPAGEAdABlAG4AIABoAGEAeQBcACIALAAgAFwAIgBOAFMAVwBcACIALAAgAFwAIgBrAGcAXAAiACwAIAAwAC4AMQAxADkALAAgAFwAIgBhAHQAIABtAGEAcgBrAGUAdABcACIAOwBcAG4AIAAgACAAIAAgACAAIAAgAFwAIgBGAGUAZQBkAFwAIgAsACAAXAAiAEgAYQB5AFwAIgAsACAAXAAiAE8AYQB0AGUAbgAgAGgAYQB5AFwAIgAsACAAXAAiAFEATABEAFwAIgAsACAAXAAiAGsAZwBcACIALAAgADAALgAxADEANwAsACAAXAAiAGEAdAAgAG0AYQByAGsAZQB0AFwAIgA7AFwAbgAgACAAIAAgACAAIAAgACAAXAAiAEYAZQBlAGQAXAAiACwAIABcACIASABhAHkAXAAiACwAIABcACIATwBhAHQAZQBuACAAaABhAHkAXAAiACwAIABcACIAUwBBAFwAIgAsACAAXAAiAGsAZwBcACIALAAgADAALgAxADEANAAsACAAXAAiAGEAdAAgAG0AYQByAGsAZQB0AFwAIgA7AFwAbgAgACAAIAAgACAAIAAgACAAXAAiAEYAZQBlAGQAXAAiACwAIABcACIASABhAHkAXAAiACwAIABcACIATwBhAHQAZQBuACAAaABhAHkAXAAiACwAIABcACIAVgBJAEMAXAAiACwAIABcACIAawBnAFwAIgAsACAAMAAuADEAMQA4ACwAIABcACIAYQB0ACAAbQBhAHIAawBlAHQAXAAiADsAXABuACAAIAAgACAAIAAgACAAIABcACIARgBlAGUAZABcACIALAAgAFwAIgBIAGEAeQBcACIALAAgAFwAIgBPAGEAdABlAG4AIABoAGEAeQBcACIALAAgAFwAIgBXAEEAXAAiACwAIABcACIAawBnAFwAIgAsACAAMAAuADEAMgA0ACwAIABcACIAYQB0ACAAbQBhAHIAawBlAHQAXAAiADsAXABuACAAIAAgACAAIAAgACAAIABcACIARgBlAGUAZABcACIALAAgAFwAIgBIAGEAeQBcACIALAAgAFwAIgBQAGEAcwB0AHUAcgBlACAAaABhAHkAXAAiACwAIABcACIAQQB1AHMAdAByAGEAbABpAGEAXAAiACwAIABcACIAawBnAFwAIgAsACAAMAAuADMAMwA5ACwAIABcACIAYQB0ACAAbQBhAHIAawBlAHQAXAAiADsAXABuACAAIAAgACAAIAAgACAAIABcACIARgBlAGUAZABcACIALAAgAFwAIgBIAGEAeQBcACIALAAgAFwAIgBQAGEAcwB0AHUAcgBlACAAaABhAHkAXAAiACwAIABcACIATgBTAFcAXAAiACwAIABcACIAawBnAFwAIgAsACAAMAAuADMAMQAxACwAIABcACIAYQB0ACAAbQBhAHIAawBlAHQAXAAiADsAXABuACAAIAAgACAAIAAgACAAIABcACIARgBlAGUAZABcACIALAAgAFwAIgBIAGEAeQBcACIALAAgAFwAIgBQAGEAcwB0AHUAcgBlACAAaABhAHkAXAAiACwAIABcACIAUQBMAEQAXAAiACwAIABcACIAawBnAFwAIgAsACAAMAAuADIANQA0ACwAIABcACIAYQB0ACAAbQBhAHIAawBlAHQAXAAiADsAXABuACAAIAAgACAAIAAgACAAIABcACIARgBlAGUAZABcACIALAAgAFwAIgBIAGEAeQBcACIALAAgAFwAIgBQAGEAcwB0AHUAcgBlACAAaABhAHkAXAAiACwAIABcACIAUwBBAFwAIgAsACAAXAAiAGsAZwBcACIALAAgADAALgAzADEAMwAsACAAXAAiAGEAdAAgAG0AYQByAGsAZQB0AFwAIgA7AFwAbgAgACAAIAAgACAAIAAgACAAXAAiAEYAZQBlAGQAXAAiACwAIABcACIASABhAHkAXAAiACwAIABcACIAUABhAHMAdAB1AHIAZQAgAGgAYQB5AFwAIgAsACAAXAAiAFQAQQBTAFwAIgAsACAAXAAiAGsAZwBcACIALAAgADAALgAzADkAOAAsACAAXAAiAGEAdAAgAG0AYQByAGsAZQB0AFwAIgA7AFwAbgAgACAAIAAgACAAIAAgACAAXAAiAEYAZQBlAGQAXAAiACwAIABcACIASABhAHkAXAAiACwAIABcACIAUABhAHMAdAB1AHIAZQAgAGgAYQB5AFwAIgAsACAAXAAiAFYASQBDAFwAIgAsACAAXAAiAGsAZwBcACIALAAgADAALgAzADQANQAsACAAXAAiAGEAdAAgAG0AYQByAGsAZQB0AFwAIgA7AFwAbgAgACAAIAAgACAAIAAgACAAXAAiAEYAZQBlAGQAXAAiACwAIABcACIASABhAHkAXAAiACwAIABcACIAUABhAHMAdAB1AHIAZQAgAGgAYQB5AFwAIgAsACAAXAAiAFcAQQBcACIALAAgAFwAIgBrAGcAXAAiACwAIAAwAC4AMwA2ADgALAAgAFwAIgBhAHQAIABtAGEAcgBrAGUAdABcACIAOwBcAG4AIAAgACAAIAAgACAAIAAgAFwAIgBGAGUAZQBkAFwAIgAsACAAXAAiAE0AZQBhAGwAXAAiACwAIABcACIAQwBhAG4AbwBsAGEAIABtAGUAYQBsAFwAIgAsACAAXAAiAEEAdQBzAHQAcgBhAGwAaQBhAFwAIgAsACAAXAAiAGsAZwBcACIALAAgADAALgAyADQANAAsACAAXAAiAGEAdAAgAG0AYQByAGsAZQB0AFwAIgA7AFwAbgAgACAAIAAgACAAIAAgACAAXAAiAEYAZQBlAGQAXAAiACwAIABcACIATQBlAGEAbABcACIALAAgAFwAIgBNAGUAYQB0ACAAbQBlAGEAbABcACIALAAgAFwAIgBBAHUAcwB0AHIAYQBsAGkAYQBcACIALAAgAFwAIgBrAGcAXAAiACwAIAAwAC4ANAAwADgALAAgAFwAIgBhAHQAIABtAGEAcgBrAGUAdABcACIAOwBcAG4AIAAgACAAIAAgACAAIAAgAFwAIgBGAGUAZQBkAFwAIgAsACAAXAAiAE0AZQBhAGwAXAAiACwAIABcACIAUwBvAHkAYgBlAGEAbgAgAG0AZQBhAGwAXAAiACwAIABcACIAQgByAGEAegBpAGwAXAAiACwAIABcACIAawBnAFwAIgAsACAAMAAuADQAMgA2ACwAIABcACIAYQB0ACAAbQBhAHIAawBlAHQAXAAiADsAXABuACAAIAAgACAAIAAgACAAIABcACIARgBlAGUAZABcACIALAAgAFwAIgBNAGUAYQBsAFwAIgAsACAAXAAiAFcAaABlAGEAdAAgAGIAcgBhAG4AXAAiACwAIABcACIAQQB1AHMAdAByAGEAbABpAGEAXAAiACwAIABcACIAawBnAFwAIgAsACAAMAAuADEAOQA2ACwAIABcACIAYQB0ACAAbQBhAHIAawBlAHQAXAAiADsAXABuACAAIAAgACAAIAAgACAAIABcACIARgBlAGUAZABcACIALAAgAFwAIgBNAGkAeABlAGQAIAByAGEAdABpAG8AbgBzAFwAIgAsACAAXAAiAEYAZQBlAGQAIABmAG8AcgAgAGMAaABpAGMAawBlAG4AcwBcACIALAAgAFwAIgBBAHUAcwB0AHIAYQBsAGkAYQBcACIALAAgAFwAIgBrAGcAXAAiACwAIAAwAC4ANQA5ADQALAAgAFwAIgBhAHQAIABtAGEAcgBrAGUAdABcACIAOwBcAG4AIAAgACAAIAAgACAAIAAgAFwAIgBGAGUAZQBkAFwAIgAsACAAXAAiAE0AaQB4AGUAZAAgAHIAYQB0AGkAbwBuAHMAXAAiACwAIABcACIARgBlAGUAZAAgAGYAbwByACAAZABhAGkAcgB5ACAAYwBhAGwAdgBlAHMAXAAiACwAIABcACIAQQB1AHMAdAByAGEAbABpAGEAXAAiACwAIABcACIAawBnAFwAIgAsACAAMAAuADQAMQA5ACwAIABcACIAYQB0ACAAbQBhAHIAawBlAHQAXAAiADsAXABuACAAIAAgACAAIAAgACAAIABcACIARgBlAGUAZABcACIALAAgAFwAIgBNAGkAeABlAGQAIAByAGEAdABpAG8AbgBzAFwAIgAsACAAXAAiAEYAZQBlAGQAIABmAG8AcgAgAGQAYQBpAHIAeQAgAGMAbwB3AHMAXAAiACwAIABcACIAQQB1AHMAdAByAGEAbABpAGEAXAAiACwAIABcACIAawBnAFwAIgAsACAAMAAuADMAMwAzACwAIABcACIAYQB0ACAAbQBhAHIAawBlAHQAXAAiADsAXABuACAAIAAgACAAIAAgACAAIABcACIARgBlAGUAZABcACIALAAgAFwAIgBNAGkAeABlAGQAIAByAGEAdABpAG8AbgBzAFwAIgAsACAAXAAiAEYAZQBlAGQAIABmAG8AcgAgAHAAaQBnAHMAXAAiACwAIABcACIAQQB1AHMAdAByAGEAbABpAGEAXAAiACwAIABcACIAawBnAFwAIgAsACAAMAAuADQAMAAzACwAIABcACIAYQB0ACAAbQBhAHIAawBlAHQAXAAiADsAXABuACAAIAAgACAAIAAgACAAIABcACIARgBlAGUAZABcACIALAAgAFwAIgBPAHQAaABlAHIAXAAiACwAIABcACIAQgBlAG4AdABvAG4AaQB0AGUAXAAiACwAIABcACIAQQB1AHMAdAByAGEAbABpAGEAXAAiACwAIABcACIAawBnAFwAIgAsACAAMAAuADAANgA1ADIALAAgAFwAIgBhAHQAIABtAGEAcgBrAGUAdABcACIAOwBcAG4AIAAgACAAIAAgACAAIAAgAFwAIgBGAGUAZQBkAFwAIgAsACAAXAAiAE8AdABoAGUAcgBcACIALAAgAFwAIgBDAGEAbgBvAGwAYQAgAG8AaQBsAFwAIgAsACAAXAAiAEEAdQBzAHQAcgBhAGwAaQBhAFwAIgAsACAAXAAiAGsAZwBcACIALAAgADAALgA4ADcALAAgAFwAIgBhAHQAIABtAGEAcgBrAGUAdABcACIAOwBcAG4AIAAgACAAIAAgACAAIAAgAFwAIgBGAGUAZQBkAFwAIgAsACAAXAAiAE8AdABoAGUAcgBcACIALAAgAFwAIgBDAG8AdAB0AG8AbgAgAHMAZQBlAGQAXAAiACwAIABcACIAQQB1AHMAdAByAGEAbABpAGEAXAAiACwAIABcACIAawBnAFwAIgAsACAAMAAuADEAOQA3ACwAIABcACIAYQB0ACAAbQBhAHIAawBlAHQAXAAiADsAXABuACAAIAAgACAAIAAgACAAIABcACIARgBlAGUAZABcACIALAAgAFwAIgBPAHQAaABlAHIAXAAiACwAIABcACIATABpAGMAawAgAGIAbABvAGMAawAsACAAZAByAHkAIABzAGUAYQBzAG8AbgAgAG0AaQB4AFwAIgAsACAAXAAiAEEAdQBzAHQAcgBhAGwAaQBhAFwAIgAsACAAXAAiAGsAZwBcACIALAAgADAALgA4ADgAMQAsACAAXAAiAGEAdAAgAG0AYQByAGsAZQB0AFwAIgA7AFwAbgAgACAAIAAgACAAIAAgACAAXAAiAEYAZQBlAGQAXAAiACwAIABcACIATwB0AGgAZQByAFwAIgAsACAAXAAiAEwAaQBjAGsAIABiAGwAbwBjAGsALAAgAG0AaQBuAGUAcgBhAGwAXAAiACwAIABcACIAQQB1AHMAdAByAGEAbABpAGEAXAAiACwAIABcACIAawBnAFwAIgAsACAAMAAuADYANwA3ACwAIABcACIAYQB0ACAAbQBhAHIAawBlAHQAXAAiADsAXABuACAAIAAgACAAIAAgACAAIABcACIARgBlAGUAZABcACIALAAgAFwAIgBPAHQAaABlAHIAXAAiACwAIABcACIATABpAGMAawAgAGIAbABvAGMAawAsACAAdwBlAGEAbgBlAHIAXAAiACwAIABcACIAQQB1AHMAdAByAGEAbABpAGEAXAAiACwAIABcACIAawBnAFwAIgAsACAAMAAuADIAMwAxACwAIABcACIAYQB0ACAAbQBhAHIAawBlAHQAXAAiADsAXABuACAAIAAgACAAIAAgACAAIABcACIARgBlAGUAZABcACIALAAgAFwAIgBPAHQAaABlAHIAXAAiACwAIABcACIATQBvAGwAYQBzAHMAZQBzAFwAIgAsACAAXAAiAFEATABEAFwAIgAsACAAXAAiAGsAZwBcACIALAAgADAALgAxADgAN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S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FMAYwBvAHAAZQAzAF8ASQBuAG8AcgBnAGEAbgBpAGMARgBlAHIAdABpAGwAaQBzAGUAcgBzAF8AVABpAHQAbABlAFwAbgA9AEwAQQBNAEIARABBACgAKABcACIASQBuAG8AcgBnAGEAbgBpAGMAIABmAGUAcgB0AGkAbABpAHMAZQByACAAYwBoAGUAbQBpAGMAYQBsACAAYwBvAG0AcABvAHUAbgBkACAAcwBjAG8AcABlACAAMwBcACIAKQApADsAXABuAFwAbgBTAGMAbwBwAGUAMwBfAEkAbgBvAHIAZwBhAG4AaQBjAEYAZQByAHQAaQBsAGkAcwBlAHI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yAHQAaQBsAGkAcwBlAHIAcwBcACIALAAgAFwAIgBJAG4AbwByAGcAYQBuAGkAYwAgAGYAZQByAHQAaQBsAGkAcwBlAHIAcwBcACIALAAgAFwAIgBBAG0AbQBvAG4AaQBhACwAIABBAFUAIABtAGEAcgBrAGUAdAAgAG0AaQB4AFwAIgAsACAAXAAiAEcAbABvAGIAYQBsAFwAIgAsACAAXAAiAGsAZwBcACIALAAgADIALgAzADIALAAgAFwAIgBhAHQAIABtAGEAcgBrAGUAdABcACIAOwBcAG4AIAAgACAAIAAgACAAIAAgAFwAIgBGAGUAcgB0AGkAbABpAHMAZQByAHMAXAAiACwAIABcACIASQBuAG8AcgBnAGEAbgBpAGMAIABmAGUAcgB0AGkAbABpAHMAZQByAHMAXAAiACwAIABcACIAQQBtAG0AbwBuAGkAYQAsACAAQwBhAG4AYQBkAGEAXAAiACwAIABcACIAQwBhAG4AYQBkAGEAXAAiACwAIABcACIAawBnAFwAIgAsACAAMgAuADEAMgAsACAAXAAiAGEAdAAgAG0AYQByAGsAZQB0AFwAIgA7AFwAbgAgACAAIAAgACAAIAAgACAAXAAiAEYAZQByAHQAaQBsAGkAcwBlAHIAcwBcACIALAAgAFwAIgBJAG4AbwByAGcAYQBuAGkAYwAgAGYAZQByAHQAaQBsAGkAcwBlAHIAcwBcACIALAAgAFwAIgBBAG0AbQBvAG4AaQBhACwAIABDAGgAaQBuAGEAXAAiACwAIABcACIAQwBoAGkAbgBhAFwAIgAsACAAXAAiAGsAZwBcACIALAAgADQALgAxADcALAAgAFwAIgBhAHQAIABtAGEAcgBrAGUAdABcACIAOwBcAG4AIAAgACAAIAAgACAAIAAgAFwAIgBGAGUAcgB0AGkAbABpAHMAZQByAHMAXAAiACwAIABcACIASQBuAG8AcgBnAGEAbgBpAGMAIABmAGUAcgB0AGkAbABpAHMAZQByAHMAXAAiACwAIABcACIAQQBtAG0AbwBuAGkAYQAsACAAWQBlAG0AZQBuAFwAIgAsACAAXAAiAFkAZQBtAGUAbgBcACIALAAgAFwAIgBrAGcAXAAiACwAIAAyAC4AMgA2ACwAIABcACIAYQB0ACAAbQBhAHIAawBlAHQAXAAiADsAXABuACAAIAAgACAAIAAgACAAIABcACIARgBlAHIAdABpAGwAaQBzAGUAcgBzAFwAIgAsACAAXAAiAEkAbgBvAHIAZwBhAG4AaQBjACAAZgBlAHIAdABpAGwAaQBzAGUAcgBzAFwAIgAsACAAXAAiAEEAbQBtAG8AbgBpAHUAbQAgAG4AaQB0AHIAYQB0AGUALAAgAEEAVQAgAG0AYQByAGsAZQB0ACAAbQBpAHgAXAAiACwAIABcACIARwBsAG8AYgBhAGwAXAAiACwAIABcACIAawBnAFwAIgAsACAAMgAuADIAMQAsACAAXAAiAGEAdAAgAG0AYQByAGsAZQB0AFwAIgA7AFwAbgAgACAAIAAgACAAIAAgACAAXAAiAEYAZQByAHQAaQBsAGkAcwBlAHIAcwBcACIALAAgAFwAIgBJAG4AbwByAGcAYQBuAGkAYwAgAGYAZQByAHQAaQBsAGkAcwBlAHIAcwBcACIALAAgAFwAIgBDAGEAbABjAGkAdQBtACAAYQBtAG0AbwBuAGkAdQBtACAAbgBpAHQAcgBhAHQAZQAsACAAQQBVACAAbQBhAHIAawBlAHQAIABtAGkAeABcACIALAAgAFwAIgBHAGwAbwBiAGEAbABcACIALAAgAFwAIgBrAGcAXAAiACwAIAAxAC4AMQA1ACwAIABcACIAYQB0ACAAbQBhAHIAawBlAHQAXAAiADsAXABuACAAIAAgACAAIAAgACAAIABcACIARgBlAHIAdABpAGwAaQBzAGUAcgBzAFwAIgAsACAAXAAiAEkAbgBvAHIAZwBhAG4AaQBjACAAZgBlAHIAdABpAGwAaQBzAGUAcgBzAFwAIgAsACAAXAAiAEMAYQBsAGMAaQB1AG0AIABuAGkAdAByAGEAdABlAFwAIgAsACAAXAAiAEcAbABvAGIAYQBsAFwAIgAsACAAXAAiAGsAZwBcACIALAAgADAALgA3ADUALAAgAFwAIgBhAHQAIABtAGEAcgBrAGUAdABcACIAOwBcAG4AIAAgACAAIAAgACAAIAAgAFwAIgBGAGUAcgB0AGkAbABpAHMAZQByAHMAXAAiACwAIABcACIASQBuAG8AcgBnAGEAbgBpAGMAIABmAGUAcgB0AGkAbABpAHMAZQByAHMAXAAiACwAIABcACIARABpAGEAbQBtAG8AbgBpAHUAbQAgAHAAaABvAHMAcABoAGEAdABlACwAIABBAFUAIABtAGEAcgBrAGUAdAAgAG0AaQB4AFwAIgAsACAAXAAiAEcAbABvAGIAYQBsAFwAIgAsACAAXAAiAGsAZwBcACIALAAgADEALgAzADQALAAgAFwAIgBhAHQAIABtAGEAcgBrAGUAdABcACIAOwBcAG4AIAAgACAAIAAgACAAIAAgAFwAIgBGAGUAcgB0AGkAbABpAHMAZQByAHMAXAAiACwAIABcACIASQBuAG8AcgBnAGEAbgBpAGMAIABmAGUAcgB0AGkAbABpAHMAZQByAHMAXAAiACwAIABcACIARABvAHUAYgBsAGUAIABzAHUAcABlAHIAcABoAG8AcwBwAGgAYQB0AGUALAAgAEEAVQAgAG0AYQByAGsAZQB0ACAAbQBpAHgAXAAiACwAIABcACIARwBsAG8AYgBhAGwAXAAiACwAIABcACIAawBnAFwAIgAsACAAMAAuADMAOQAyACwAIABcACIAYQB0ACAAbQBhAHIAawBlAHQAXAAiADsAXABuACAAIAAgACAAIAAgACAAIABcACIARgBlAHIAdABpAGwAaQBzAGUAcgBzAFwAIgAsACAAXAAiAEkAbgBvAHIAZwBhAG4AaQBjACAAZgBlAHIAdABpAGwAaQBzAGUAcgBzAFwAIgAsACAAXAAiAE0AbwBuAG8AYQBtAG0AbwBuAGkAdQBtACAAcABoAG8AcwBwAGgAYQB0AGUALAAgAEEAVQAgAG0AYQByAGsAZQB0ACAAbQBpAHgAXAAiACwAIABcACIARwBsAG8AYgBhAGwAXAAiACwAIABcACIAawBnAFwAIgAsACAAMAAuADgAMgA3ACwAIABcACIAYQB0ACAAbQBhAHIAawBlAHQAXAAiADsAXABuACAAIAAgACAAIAAgACAAIABcACIARgBlAHIAdABpAGwAaQBzAGUAcgBzAFwAIgAsACAAXAAiAEkAbgBvAHIAZwBhAG4AaQBjACAAZgBlAHIAdABpAGwAaQBzAGUAcgBzAFwAIgAsACAAXAAiAE0AdQByAGkAYQB0AGUAIABvAGYAIABwAG8AdABhAHMAaAAsACAAQQBVACAAbQBhAHIAawBlAHQAIABtAGkAeABcACIALAAgAFwAIgBHAGwAbwBiAGEAbABcACIALAAgAFwAIgBrAGcAXAAiACwAIAAwAC4ANQA0ADkALAAgAFwAIgBhAHQAIABtAGEAcgBrAGUAdABcACIAOwBcAG4AIAAgACAAIAAgACAAIAAgAFwAIgBGAGUAcgB0AGkAbABpAHMAZQByAHMAXAAiACwAIABcACIASQBuAG8AcgBnAGEAbgBpAGMAIABmAGUAcgB0AGkAbABpAHMAZQByAHMAXAAiACwAIABcACIATgBpAHQAcgBvAGcAZQBuACAAZgByAG8AbQAgAGEAbQBtAG8AbgBpAGEALAAgAEEAVQAgAG0AYQByAGsAZQB0ACAAbQBpAHgAXAAiACwAIABcACIARwBsAG8AYgBhAGwAXAAiACwAIABcACIAawBnACAATgBcACIALAAgADIALgA4ADMALAAgAFwAIgBhAHQAIABtAGEAcgBrAGUAdABcACIAOwBcAG4AIAAgACAAIAAgACAAIAAgAFwAIgBGAGUAcgB0AGkAbABpAHMAZQByAHMAXAAiACwAIABcACIASQBuAG8AcgBnAGEAbgBpAGMAIABmAGUAcgB0AGkAbABpAHMAZQByAHMAXAAiACwAIABcACIATgBpAHQAcgBvAGcAZQBuACAAZgByAG8AbQAgAGYAZQByAHQAaQBsAGkAegBlAHIALAAgAEEAVQAgAG0AYQByAGsAZQB0ACAAbQBpAHgAXAAiACwAIABcACIARwBsAG8AYgBhAGwAXAAiACwAIABcACIAawBnACAATgBcACIALAAgADQALgAyACwAIABcACIAYQB0ACAAbQBhAHIAawBlAHQAXAAiADsAXABuACAAIAAgACAAIAAgACAAIABcACIARgBlAHIAdABpAGwAaQBzAGUAcgBzAFwAIgAsACAAXAAiAEkAbgBvAHIAZwBhAG4AaQBjACAAZgBlAHIAdABpAGwAaQBzAGUAcgBzAFwAIgAsACAAXAAiAE4AaQB0AHIAbwBnAGUAbgAgAGYAcgBvAG0AIABuAGkAdAByAGEAdABlACAAZgBlAHIAdABpAGwAaQB6AGUAcgAsACAAQQBVACAAbQBhAHIAawBlAHQAIABtAGkAeABcACIALAAgAFwAIgBHAGwAbwBiAGEAbABcACIALAAgAFwAIgBrAGcAIABOAFwAIgAsACAANQAuADQANwAsACAAXAAiAGEAdAAgAG0AYQByAGsAZQB0AFwAIgA7AFwAbgAgACAAIAAgACAAIAAgACAAXAAiAEYAZQByAHQAaQBsAGkAcwBlAHIAcwBcACIALAAgAFwAIgBJAG4AbwByAGcAYQBuAGkAYwAgAGYAZQByAHQAaQBsAGkAcwBlAHIAcwBcACIALAAgAFwAIgBQAGgAbwBzAHAAaABvAHIAdQBzACAAZgByAG8AbQAgAGYAZQByAHQAaQBsAGkAegBlAHIALAAgAEEAVQAgAG0AYQByAGsAZQB0ACAAbQBpAHgAXAAiACwAIABcACIARwBsAG8AYgBhAGwAXAAiACwAIABcACIAawBnACAAUABcACIALAAgADMALgA5ADYALAAgAFwAIgBhAHQAIABtAGEAcgBrAGUAdABcACIAOwBcAG4AIAAgACAAIAAgACAAIAAgAFwAIgBGAGUAcgB0AGkAbABpAHMAZQByAHMAXAAiACwAIABcACIASQBuAG8AcgBnAGEAbgBpAGMAIABmAGUAcgB0AGkAbABpAHMAZQByAHMAXAAiACwAIABcACIAUABvAHQAYQBzAHMAaQB1AG0AIABmAHIAbwBtACAAZgBlAHIAdABpAGwAaQB6AGUAcgAsACAAQQBVACAAbQBhAHIAawBlAHQAIABtAGkAeABcACIALAAgAFwAIgBHAGwAbwBiAGEAbABcACIALAAgAFwAIgBrAGcAIABLAFwAIgAsACAAMAAuADkAMAA5ACwAIABcACIAYQB0ACAAbQBhAHIAawBlAHQAXAAiADsAXABuACAAIAAgACAAIAAgACAAIABcACIARgBlAHIAdABpAGwAaQBzAGUAcgBzAFwAIgAsACAAXAAiAEkAbgBvAHIAZwBhAG4AaQBjACAAZgBlAHIAdABpAGwAaQBzAGUAcgBzAFwAIgAsACAAXAAiAFMAaQBuAGcAbABlACAAcwB1AHAAZQByAHAAaABvAHMAcABoAGEAdABlACwAIABBAFUAIABtAGEAcgBrAGUAdAAgAG0AaQB4AFwAIgAsACAAXAAiAEcAbABvAGIAYQBsAFwAIgAsACAAXAAiAGsAZwBcACIALAAgADAALgAyADIANwAsACAAXAAiAGEAdAAgAG0AYQByAGsAZQB0AFwAIgA7AFwAbgAgACAAIAAgACAAIAAgACAAXAAiAEYAZQByAHQAaQBsAGkAcwBlAHIAcwBcACIALAAgAFwAIgBJAG4AbwByAGcAYQBuAGkAYwAgAGYAZQByAHQAaQBsAGkAcwBlAHIAcwBcACIALAAgAFwAIgBTAHUAbABmAHUAcgAgAGYAcgBvAG0AIABmAGUAcgB0AGkAbABpAHoAZQByACwAIABBAFUAIABtAGEAcgBrAGUAdAAgAG0AaQB4AFwAIgAsACAAXAAiAEcAbABvAGIAYQBsAFwAIgAsACAAXAAiAGsAZwAgAFMAXAAiACwAIAAyAC4ANQAsACAAXAAiAGEAdAAgAG0AYQByAGsAZQB0AFwAIgA7AFwAbgAgACAAIAAgACAAIAAgACAAXAAiAEYAZQByAHQAaQBsAGkAcwBlAHIAcwBcACIALAAgAFwAIgBJAG4AbwByAGcAYQBuAGkAYwAgAGYAZQByAHQAaQBsAGkAcwBlAHIAcwBcACIALAAgAFwAIgBBAG0AbQBvAG4AaQB1AG0AIABzAHUAbABwAGgAYQB0AGUALAAgAEEAVQAgAG0AYQByAGsAZQB0ACAAbQBpAHgAXAAiACwAIABcACIARwBsAG8AYgBhAGwAXAAiACwAIABcACIAawBnAFwAIgAsACAAMAAuADgANgA1ACwAIABcACIAYQB0ACAAbQBhAHIAawBlAHQAXAAiADsAXABuACAAIAAgACAAIAAgACAAIABcACIARgBlAHIAdABpAGwAaQBzAGUAcgBzAFwAIgAsACAAXAAiAEkAbgBvAHIAZwBhAG4AaQBjACAAZgBlAHIAdABpAGwAaQBzAGUAcgBzAFwAIgAsACAAXAAiAFUAcgBlAGEAIABhAG0AbQBvAG4AaQB1AG0AIABuAGkAdAByAGEAdABlACwAIABBAFUAIABtAGEAcgBrAGUAdAAgAG0AaQB4AFwAIgAsACAAXAAiAEcAbABvAGIAYQBsAFwAIgAsACAAXAAiAGsAZwBcACIALAAgADEALgA3ADUALAAgAFwAIgBhAHQAIABtAGEAcgBrAGUAdABcACIAOwBcAG4AIAAgACAAIAAgACAAIAAgAFwAIgBGAGUAcgB0AGkAbABpAHMAZQByAHMAXAAiACwAIABcACIASQBuAG8AcgBnAGEAbgBpAGMAIABmAGUAcgB0AGkAbABpAHMAZQByAHMAXAAiACwAIABcACIAVQByAGUAYQAsACAAQQBVACAAbQBhAHIAawBlAHQAIABtAGkAeABcACIALAAgAFwAIgBHAGwAbwBiAGEAbABcACIALAAgAFwAIgBrAGcAXAAiACwAIAAwAC4AOQA2ADgALAAgAFwAIgBhAHQAIABtAGEAcgBrAGUAdABcACIAOwBcAG4AIAAgACAAIAAgACAAIAAgAFwAIgBGAGUAcgB0AGkAbABpAHMAZQByAHMAXAAiACwAIABcACIASQBuAG8AcgBnAGEAbgBpAGMAIABmAGUAcgB0AGkAbABpAHMAZQByAHMAXAAiACwAIABcACIAVQByAGUAYQAsACAAQwBhAG4AYQBkAGEAXAAiACwAIABcACIAQwBhAG4AYQBkAGEAXAAiACwAIABcACIAawBnAFwAIgAsACAAMAAuADgAMgAzACwAIABcACIAYQB0ACAAbQBhAHIAawBlAHQAXAAiADsAXABuACAAIAAgACAAIAAgACAAIABcACIARgBlAHIAdABpAGwAaQBzAGUAcgBzAFwAIgAsACAAXAAiAEkAbgBvAHIAZwBhAG4AaQBjACAAZgBlAHIAdABpAGwAaQBzAGUAcgBzAFwAIgAsACAAXAAiAFUAcgBlAGEALAAgAEMAaABpAG4AYQBcACIALAAgAFwAIgBDAGgAaQBuAGEAXAAiACwAIABcACIAawBnAFwAIgAsACAAMgAuADAAOQAsACAAXAAiAGEAdAAgAG0AYQByAGsAZQB0AFwAIgA7AFwAbgAgACAAIAAgACAAIAAgACAAXAAiAEYAZQByAHQAaQBsAGkAcwBlAHIAcwBcACIALAAgAFwAIgBJAG4AbwByAGcAYQBuAGkAYwAgAGYAZQByAHQAaQBsAGkAcwBlAHIAcwBcACIALAAgAFwAIgBVAHIAZQBhACwAIABZAGUAbQBlAG4AXAAiACwAIABcACIAWQBlAG0AZQBuAFwAIgAsACAAXAAiAGsAZwBcACIALAAgADAALgA5ADYAMwAsACAAXAAiAGEAdAAgAG0AYQByAGsAZQB0AFwAIgA7AFwAbgAgACAAIAAgACAAIAAgACAAXAAiAEYAZQByAHQAaQBsAGkAcwBlAHIAcwBcACIALAAgAFwAIgBJAG4AbwByAGcAYQBuAGkAYwAgAGYAZQByAHQAaQBsAGkAcwBlAHIAcwBcACIALAAgAFwAIgBaAGkAbgBjACAAZgByAG8AbQAgAGYAZQByAHQAaQBsAGkAegBlAHIAXAAiACwAIABcACIARwBsAG8AYgBhAGwAXAAiACwAIABcACIAawBnACAAWgBuAFwAIgAsACAANAAuADgAM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TwB0AGgAZQByACAAYQBnAHIAaQBjAHUAbAB0AHUAcgBhAGwAIABpAG4AcAB1AHQAcwBcAG4APQA9AD0APQA9AD0APQA9AD0APQA9AD0APQA9AD0APQA9AD0APQA9AD0APQA9AD0APQA9AD0APQA9AD0APQA9AD0APQA9AD0APQA9AD0APQA9AD0APQA9AD0APQA9AD0APQA9AD0APQA9AD0APQA9AD0APQA9AD0APQA9AD0APQA9AD0APQA9AD0APQA9AD0APQA9AD0APQBcAG4AKgAvAFwAbgBcAG4AUwBjAG8AcABlADMAXwBPAHQAaABlAHIAXwBUAGkAdABsAGUAXABuAD0ATABBAE0AQgBEAEEAKAAoAFwAIgBPAHQAaABlAHIAIABhAGcAcgBpAGMAdQBsAHQAdQByAGEAbAAgAGkAbgBwAHUAdABzACAAcwBjAG8AcABlACAAMwBcACIAKQApADsAXABuAFwAbgBTAGMAbwBwAGUAMwBfAE8AdABoAGUAcg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8AdABoAGUAcgBfAFYAYQByAGkAYQB0AGkAbwBuAFwAbgA9AEwAQQBNAEIARABBACgAKABcACIAXAAiACkAKQA7AFwAbgBcAG4AUwBjAG8AcABlADMAXwBPAHQAaABlAHIAXwBEAGEAdABhAFwAbgA9AEwAQQBNAEIARABBACgAXABuACAAIABNAEEASwBFAEEAUgBSAEEAWQAoADk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PAHQAaABlAHIAXAAiACwAIABcACIATwB0AGgAZQByAFwAIgAsACAAXAAiAEEAbgBpAG0AYQBsACAAZQBhAHIAIAB0AGEAZwBzACAAKABsAGEAcgBnAGUAKQBcACIALAAgAFwAIgBBAHUAcwB0AHIAYQBsAGkAYQBcACIALAAgAFwAIgBwAFwAIgAsACAAMAAuADAANAAyADQALAAgAFwAIgBhAHQAIABtAGEAcgBrAGUAdABcACIAOwBcAG4AIAAgACAAIAAgACAAIAAgAFwAIgBPAHQAaABlAHIAXAAiACwAIABcACIATwB0AGgAZQByAFwAIgAsACAAXAAiAEEAbgBpAG0AYQBsACAAZQBhAHIAIAB0AGEAZwBzACAAKABzAG0AYQBsAGwAKQBcACIALAAgAFwAIgBBAHUAcwB0AHIAYQBsAGkAYQBcACIALAAgAFwAIgBwAFwAIgAsACAAMAAuADAAMgA5ADMALAAgAFwAIgBhAHQAIABtAGEAcgBrAGUAdABcACIAOwBcAG4AIAAgACAAIAAgACAAIAAgAFwAIgBPAHQAaABlAHIAXAAiACwAIABcACIATwB0AGgAZQByAFwAIgAsACAAXAAiAEIAYQByAGwAZQB5ACAAZwByAGEAaQBuACAAKABmAG8AcgAgAHMAZQBlAGQAKQBcACIALAAgAFwAIgBBAHUAcwB0AHIAYQBsAGkAYQBcACIALAAgAFwAIgBrAGcAXAAiACwAIAAwAC4AMgAzADkALAAgAFwAIgBhAHQAIABtAGEAcgBrAGUAdABcACIAOwBcAG4AIAAgACAAIAAgACAAIAAgAFwAIgBPAHQAaABlAHIAXAAiACwAIABcACIATwB0AGgAZQByAFwAIgAsACAAXAAiAE0AYQBpAHoAZQAgAGcAcgBhAGkAbgAgACgAZgBvAHIAIABzAGUAZQBkACkAXAAiACwAIABcACIAQQB1AHMAdAByAGEAbABpAGEAXAAiACwAIABcACIAawBnAFwAIgAsACAAMAAuADEAOAAxACwAIABcACIAYQB0ACAAbQBhAHIAawBlAHQAXAAiADsAXABuACAAIAAgACAAIAAgACAAIABcACIATwB0AGgAZQByAFwAIgAsACAAXAAiAE8AdABoAGUAcgBcACIALAAgAFwAIgBOAHkAbABvAG4AIABuAGUAdAB0AGkAbgBnAFwAIgAsACAAXAAiAEcAbABvAGIAYQBsAFwAIgAsACAAXAAiAGsAZwBcACIALAAgADkALgA4ADEALAAgAFwAIgBhAHQAIABtAGEAcgBrAGUAdABcACIAOwBcAG4AIAAgACAAIAAgACAAIAAgAFwAIgBPAHQAaABlAHIAXAAiACwAIABcACIATwB0AGgAZQByAFwAIgAsACAAXAAiAE8AYQB0ACAAZwByAGEAaQBuACAAKABmAG8AcgAgAHMAZQBlAGQAKQBcACIALAAgAFwAIgBBAHUAcwB0AHIAYQBsAGkAYQBcACIALAAgAFwAIgBrAGcAXAAiACwAIAAwAC4AMgA3ACwAIABcACIAYQB0ACAAbQBhAHIAawBlAHQAXAAiADsAXABuACAAIAAgACAAIAAgACAAIABcACIATwB0AGgAZQByAFwAIgAsACAAXAAiAE8AdABoAGUAcgBcACIALAAgAFwAIgBTAG8AcgBnAGgAdQBtACAAZwByAGEAaQBuACAAKABmAG8AcgAgAHMAZQBlAGQAKQBcACIALAAgAFwAIgBBAHUAcwB0AHIAYQBsAGkAYQBcACIALAAgAFwAIgBrAGcAXAAiACwAIAAwAC4AMgAzADIALAAgAFwAIgBhAHQAIABtAGEAcgBrAGUAdABcACIAOwBcAG4AIAAgACAAIAAgACAAIAAgAFwAIgBPAHQAaABlAHIAXAAiACwAIABcACIATwB0AGgAZQByAFwAIgAsACAAXAAiAFcAaABlAGEAdAAgAGcAcgBhAGkAbgAgACgAZgBvAHIAIABzAGUAZQBkACkAXAAiACwAIABcACIAQQB1AHMAdAByAGEAbABpAGEAXAAiACwAIABcACIAawBnAFwAIgAsACAAMAAuADIANgA4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hAGMAawBhAGcAaQBuAGcAXwBWAGEAcgBpAGEAdABpAG8AbgBcAG4APQBMAEEATQBCAEQAQQAoACgAXAAiAFwAIgApACkAOwBcAG4AXABuAFMAYwBvAHAAZQAzAF8AUABhAGMAawBhAGcAaQBuAGcAXwBEAGEAdABhAFwAbgA9AEwAQQBNAEIARABBACgAXABuACAAIABNAEEASwBFAEEAUgBSAEEAWQAoADU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EAYwBrAGEAZwBpAG4AZwBcACIALAAgAFwAIgBQAGEAYwBrAGEAZwBpAG4AZwBcACIALAAgAFwAIgBDAG8AcgByAHUAZwBhAHQAZQBkACAAYgBvAGEAcgBkAFwAIgAsACAAXAAiAEcAbABvAGIAYQBsAFwAIgAsACAAXAAiAGsAZwBcACIALAAgADEALgAwADUALAAgAFwAIgBhAHQAIABtAGEAbgB1AGYAYQBjAHQAdQByAGUAcgBcACIAOwBcAG4AIAAgACAAIAAgACAAIAAgAFwAIgBQAGEAYwBrAGEAZwBpAG4AZwBcACIALAAgAFwAIgBQAGEAYwBrAGEAZwBpAG4AZwBcACIALAAgAFwAIgBQAGwAYQBzAHQAaQBjACAAYwByAGEAdABlACAAcABvAGwAeQBwAHIAbwBwAHkAbABlAG4AZQBcACIALAAgAFwAIgBHAGwAbwBiAGEAbABcACIALAAgAFwAIgBwAFwAIgAsACAAMwAuADkAOQAsACAAXAAiAGEAdAAgAG0AYQBuAHUAZgBhAGMAdAB1AHIAZQByAFwAIgA7AFwAbgAgACAAIAAgACAAIAAgACAAXAAiAFAAYQBjAGsAYQBnAGkAbgBnAFwAIgAsACAAXAAiAFAAYQBjAGsAYQBnAGkAbgBnAFwAIgAsACAAXAAiAFAAbABhAHMAdABpAGMAIABmAGkAbABtACAATABEAFAARQBcACIALAAgAFwAIgBHAGwAbwBiAGEAbABcACIALAAgAFwAIgBrAGcAXAAiACwAIAAzAC4ANAA0ACwAIABcACIAYQB0ACAAbQBhAG4AdQBmAGEAYwB0AHUAcgBlAHIAXAAiADsAXABuACAAIAAgACAAIAAgACAAIABcACIAUABhAGMAawBhAGcAaQBuAGcAXAAiACwAIABcACIAUABhAGMAawBhAGcAaQBuAGcAXAAiACwAIABcACIAUABsAGEAcwB0AGkAYwAgAHMAaABlAGUAdAAgAEgARABQAEUAXAAiACwAIABcACIARwBsAG8AYgBhAGwAXAAiACwAIABcACIAawBnAFwAIgAsACAAMwAuADcAM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lAHMAdABpAGMAaQBkAGUAcwBcAG4APQA9AD0APQA9AD0APQA9AD0APQA9AD0APQA9AD0APQA9AD0APQA9AD0APQA9AD0APQA9AD0APQA9AD0APQA9AD0APQA9AD0APQA9AD0APQA9AD0APQA9AD0APQA9AD0APQA9AD0APQA9AD0APQA9AD0APQA9AD0APQA9AD0APQA9AD0APQA9AD0APQA9AD0APQA9AD0APQBcAG4AKgAvAFwAbgBcAG4AUwBjAG8AcABlADMAXwBQAGUAcwB0AGkAYwBpAGQAZQBzAF8AVABpAHQAbABlAFwAbgA9AEwAQQBNAEIARABBACgAKABcACIAUABlAHMAdABpAGMAaQBkAGUAcwAgAHMAYwBvAHAAZQAgADMAXAAiACkAKQA7AFwAbgBcAG4AUwBjAG8AcABlADMAXwBQAGUAcwB0AGkAYwBpAGQAZQ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lAHMAdABpAGMAaQBkAGUAcwBfAFYAYQByAGkAYQB0AGkAbwBuAFwAbgA9AEwAQQBNAEIARABBACgAKABcACIAXAAiACkAKQA7AFwAbgBcAG4AUwBjAG8AcABlADMAXwBQAGUAcwB0AGkAYwBpAGQAZQBzAF8ARABhAHQAYQBcAG4APQBMAEEATQBCAEQAQQAoAFwAbgAgACAATQBBAEsARQBBAFIAUgBBAFkAKAAxADM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UAcwB0AGkAYwBpAGQAZQBzAFwAIgAsACAAXAAiAFAAZQBzAHQAaQBjAGkAZABlAHMAXAAiACwAIABcACIAMgAsADQALQBEAFwAIgAsACAAXAAiAEcAbABvAGIAYQBsAFwAIgAsACAAXAAiAGsAZwAgAEEASQBcACIALAAgADUALgAyACwAIABcACIAYQB0ACAAbQBhAHIAawBlAHQAXAAiADsAXABuACAAIAAgACAAIAAgACAAIABcACIAUABlAHMAdABpAGMAaQBkAGUAcwBcACIALAAgAFwAIgBQAGUAcwB0AGkAYwBpAGQAZQBzAFwAIgAsACAAXAAiAEEAdAByAGEAegBpAG4AZQBcACIALAAgAFwAIgBHAGwAbwBiAGEAbABcACIALAAgAFwAIgBrAGcAIABBAEkAXAAiACwAIAA4AC4AMwA4ACwAIABcACIAYQB0ACAAbQBhAHIAawBlAHQAXAAiADsAXABuACAAIAAgACAAIAAgACAAIABcACIAUABlAHMAdABpAGMAaQBkAGUAcwBcACIALAAgAFwAIgBQAGUAcwB0AGkAYwBpAGQAZQBzAFwAIgAsACAAXAAiAEQAaQB1AHIAbwBuAFwAIgAsACAAXAAiAEcAbABvAGIAYQBsAFwAIgAsACAAXAAiAGsAZwAgAEEASQBcACIALAAgADgALgA4ACwAIABcACIAYQB0ACAAbQBhAHIAawBlAHQAXAAiADsAXABuACAAIAAgACAAIAAgACAAIABcACIAUABlAHMAdABpAGMAaQBkAGUAcwBcACIALAAgAFwAIgBQAGUAcwB0AGkAYwBpAGQAZQBzAFwAIgAsACAAXAAiAEcAbAB5AHAAaABvAHMAYQB0AGUAXAAiACwAIABcACIARwBsAG8AYgBhAGwAXAAiACwAIABcACIAawBnACAAQQBJAFwAIgAsACAAMQAwAC4AMwAsACAAXAAiAGEAdAAgAG0AYQByAGsAZQB0AFwAIgA7AFwAbgAgACAAIAAgACAAIAAgACAAXAAiAFAAZQBzAHQAaQBjAGkAZABlAHMAXAAiACwAIABcACIAUABlAHMAdABpAGMAaQBkAGUAcwBcACIALAAgAFwAIgBNAGEAbgBjAG8AegBlAGIAXAAiACwAIABcACIARwBsAG8AYgBhAGwAXAAiACwAIABcACIAawBnACAAQQBJAFwAIgAsACAANAAuADUANQAsACAAXAAiAGEAdAAgAG0AYQByAGsAZQB0AFwAIgA7AFwAbgAgACAAIAAgACAAIAAgACAAXAAiAFAAZQBzAHQAaQBjAGkAZABlAHMAXAAiACwAIABcACIAUABlAHMAdABpAGMAaQBkAGUAcwBcACIALAAgAFwAIgBNAEMAUABBAFwAIgAsACAAXAAiAEcAbABvAGIAYQBsAFwAIgAsACAAXAAiAGsAZwAgAEEASQBcACIALAAgADUALgA2ACwAIABcACIAYQB0ACAAbQBhAHIAawBlAHQAXAAiADsAXABuACAAIAAgACAAIAAgACAAIABcACIAUABlAHMAdABpAGMAaQBkAGUAcwBcACIALAAgAFwAIgBQAGUAcwB0AGkAYwBpAGQAZQBzAFwAIgAsACAAXAAiAE0AZQB0AG8AbABhAGMAaABsAG8AcgBcACIALAAgAFwAIgBHAGwAbwBiAGEAbABcACIALAAgAFwAIgBrAGcAIABBAEkAXAAiACwAIAA4AC4AMAA2ACwAIABcACIAYQB0ACAAbQBhAHIAawBlAHQAXAAiADsAXABuACAAIAAgACAAIAAgACAAIABcACIAUABlAHMAdABpAGMAaQBkAGUAcwBcACIALAAgAFwAIgBQAGUAcwB0AGkAYwBpAGQAZQBzAFwAIgAsACAAXAAiAE0AZQB0AHMAdQBsAGYAdQByAG8AbgAtAG0AZQB0AGgAeQBsAFwAIgAsACAAXAAiAEcAbABvAGIAYQBsAFwAIgAsACAAXAAiAGsAZwAgAEEASQBcACIALAAgADgALgA4ACwAIABcACIAYQB0ACAAbQBhAHIAawBlAHQAXAAiADsAXABuACAAIAAgACAAIAAgACAAIABcACIAUABlAHMAdABpAGMAaQBkAGUAcwBcACIALAAgAFwAIgBQAGUAcwB0AGkAYwBpAGQAZQBzAFwAIgAsACAAXAAiAFAAZQBzAHQAaQBjAGkAZABlAHMAIAAoAGcAZQBuAGUAcgBpAGMAKQBcACIALAAgAFwAIgBHAGwAbwBiAGEAbABcACIALAAgAFwAIgBrAGcAIABBAEkAXAAiACwAIAA5AC4AMQA2ACwAIABcACIAYQB0ACAAbQBhAHIAawBlAHQAXAAiADsAXABuACAAIAAgACAAIAAgACAAIABcACIAUABlAHMAdABpAGMAaQBkAGUAcwBcACIALAAgAFwAIgBQAGUAcwB0AGkAYwBpAGQAZQBzAFwAIgAsACAAXAAiAFQAcgBpAC0AYQBsAGwAYQB0AGUAXAAiACwAIABcACIARwBsAG8AYgBhAGwAXAAiACwAIABcACIAawBnACAAQQBJAFwAIgAsACAAOAAuADUANwAsACAAXAAiAGEAdAAgAG0AYQByAGsAZQB0AFwAIgA7AFwAbgAgACAAIAAgACAAIAAgACAAXAAiAFAAZQBzAHQAaQBjAGkAZABlAHMAXAAiACwAIABcACIAUABlAHMAdABpAGMAaQBkAGUAcwBcACIALAAgAFwAIgBUAHIAaQBiAGUAbgB1AHIAbwBuACAAbQBlAHQAaAB5AGwAXAAiACwAIABcACIARwBsAG8AYgBhAGwAXAAiACwAIABcACIAawBnACAAQQBJAFwAIgAsACAAOAAuADgALAAgAFwAIgBhAHQAIABtAGEAcgBrAGUAdABcACIAOwBcAG4AIAAgACAAIAAgACAAIAAgAFwAIgBQAGUAcwB0AGkAYwBpAGQAZQBzAFwAIgAsACAAXAAiAFAAZQBzAHQAaQBjAGkAZABlAHMAXAAiACwAIABcACIAVAByAGkAZgBsAHUAcgBhAGwAaQBuAFwAIgAsACAAXAAiAEcAbABvAGIAYQBsAFwAIgAsACAAXAAiAGsAZwAgAEEASQBcACIALAAgADYALgAxADY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MAbwBpAGwAIABhAG0AZQBuAGQAbQBlAG4AdABzAFwAbgA9AD0APQA9AD0APQA9AD0APQA9AD0APQA9AD0APQA9AD0APQA9AD0APQA9AD0APQA9AD0APQA9AD0APQA9AD0APQA9AD0APQA9AD0APQA9AD0APQA9AD0APQA9AD0APQA9AD0APQA9AD0APQA9AD0APQA9AD0APQA9AD0APQA9AD0APQA9AD0APQA9AD0APQA9AD0APQA9AFwAbgAqAC8AXABuAFwAbgBTAGMAbwBwAGUAMwBfAFMAbwBpAGwAQQBtAGUAbgBkAG0AZQBuAHQAcwBfAFQAaQB0AGwAZQBcAG4APQBMAEEATQBCAEQAQQAoACgAXAAiAFMAbwBpAGwAIABhAG0AZQBuAGQAbQBlAG4AdABzACAAcwBjAG8AcABlACAAMwBcACIAKQApADsAXABuAFwAbgBTAGMAbwBwAGUAMwBfAFMAbwBpAGwAQQBtAGUAbgBkAG0AZQBuAHQ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MAbwBpAGwAQQBtAGUAbgBkAG0AZQBuAHQAcwBfAFYAYQByAGkAYQB0AGkAbwBuAFwAbgA9AEwAQQBNAEIARABBACgAKABcACIAXAAiACkAKQA7AFwAbgBcAG4AUwBjAG8AcABlADMAXwBTAG8AaQBsAEEAbQBlAG4AZABtAGUAbgB0AHMAXwBEAGEAdABhAFwAbgA9AEwAQQBNAEIARABBACgAXABuACAAIABNAEEASwBFAEEAUgBSAEEAWQAoADQ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TAG8AaQBsACAAYQBtAGUAbABpAG8AcgBhAG4AdABzAFwAIgAsACAAXAAiAFMAbwBpAGwAIABhAG0AZQBsAGkAbwByAGEAbgB0AHMAXAAiACwAIABcACIARABvAGwAbwBtAGkAdABl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cAeQBwAHMAdQBt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wAaQBtAGUAcwB0AG8AbgBlACAAKABjAHIAdQBzAGgAZQBkACkAXAAiACwAIABcACIAQQB1AHMAdAByAGEAbABpAGEAXAAiACwAIABcACIAawBnAFwAIgAsACAAMAAuADAANAA4ADUALAAgAFwAIgBhAHQAIABtAGEAcgBrAGUAdABcACIAXABuACAAIAAgACAAIAAgAH0ALAAgAHIALAAgAGMAKQBcAG4AKQApACkAOwBcAG4AIgB9ACwAewAiAHAAYQB0AGgAIgA6ACIALwBwAHIAbwBqAGUAYwB0AHMALwBDAG8AbQBtAG8AbgBMAGkAdgBlAHMAdABvAGMAaw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sAGkAdgBlAHMAdABvAGMAawAgAHQAeQBwAGUAcwBcAG4ARQB4AGMAZQBsACAAbQBvAGQAdQBsAGUAIABuAGEAbQBlADoAIABTAG8AdQByAGMAZQBEAGEAdABhAF8ATABpAHYAZQBzAHQAbwBjAGsAXwBDAG8AbQBtAG8Ab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UwBvAHUAcgBjAGUARABhAHQAYQBfAEwAaQB2AGUAcwB0AG8AYwBrAF8AQwBvAG0AbQBvAG4AXwBGAHIAYQBjAFcARQBUAE0ATQBTAFwAbgBGAHIAYQBjAFcARQBUAE0ATQBTAGkAIAA9ACAARgByAGEAYwB0AGkAbwBuACAAbwBmACAATgAgAGEAdgBhAGkAbABhAGIAbABlACAAZgBvAHIAIABsAGUAYQBjAGgAaQBuAGcAIABhAG4AZAAgAHIAdQBuAG8AZgBmAFwAbgAoAFQAYQBiAGwAZQAgAEEANQAuADUALgAxADAALgAyACAAaQBzACAAcgBlAGYAZQByAGUAbgBjAGUAZAAgAGkAbgAgAE4ASQBSACAAYgB1AHQAIAAxACAAaQBzACAAdQBzAGUAZAApAFwAbgAtAC0ALQAtAC0ALQAtAC0ALQAtAC0ALQAtAC0ALQAtAC0ALQAtAC0ALQAtAC0ALQAtAC0ALQAtAC0ALQAtAC0ALQAtAC0ALQAtAC0AXABuACoALwBcAG4AXABuAFMAbwB1AHIAYwBlAEQAYQB0AGEAXwBMAGkAdgBlAHMAdABvAGMAawBfAEMAbwBtAG0AbwBuAF8ARgByAGEAYwBXAEUAVABNAE0AUwBfAFQAaQB0AGwAZQBcAG4AIAAgAD0ATABBAE0AQgBEAEEAKABcACIARgByAGEAYwB0AGkAbwBuACAAbwBmACAATgAgAGEAdgBhAGkAbABhAGIAbABlACAAZgBvAHIAIABsAGUAYQBjAGgAaQBuAGcAIABhAG4AZAAgAHIAdQBuAG8AZgBmAFwAIgApADsAXABuAFwAbgBTAG8AdQByAGMAZQBEAGEAdABhAF8ATABpAHYAZQBzAHQAbwBjAGsAXwBDAG8AbQBtAG8AbgBfAEYAcgBhAGMAVwBFAFQATQBNAFMAXwBVAG4AaQB0AFwAbgAgACAAPQBMAEEATQBCAEQAQQAoAFwAIgBGAHIAYQBjAHQAaQBvAG4AXAAiACkAOwBcAG4AXABuAFMAbwB1AHIAYwBlAEQAYQB0AGEAXwBMAGkAdgBlAHMAdABvAGMAawBfAEMAbwBtAG0AbwBuAF8ARgByAGEAYwBXAEUAVABN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VwBFAFQATQBNAFMAXwBEAGEAdABhAFwAbgAgACAAPQBMAEEATQBCAEQAQQAoADEAKQA7AFwAbgBcAG4ALwAqACAAXABuAC0ALQAtAC0ALQAtAC0ALQAtAC0ALQAtAC0ALQAtAC0ALQAtAC0ALQAtAC0ALQAtAC0ALQAtAC0ALQAtAC0ALQAtAC0ALQAtAC0ALQBcAG4AUwBvAHUAcgBjAGUARABhAHQAYQBfAEwAaQB2AGUAcwB0AG8AYwBrAF8AQwBvAG0AbQBvAG4AXwBGAHIAYQBjAEwARQBBAEMASABfAE0AUwBcAG4ARgByAGEAYwBMAEUAQQBDAEgAXwBNAFMAIAA9ACAAMAAuADAAMgAgACgARwBnACAATgAvAEcAZwAgAGEAcABwAGwAaQBlAGQAKQAgACgAQwBTACAARQBGACwAIABzAG8AdQByAGMAZQAgAEkAUABDAEMAIAAoADIAMAAxADkAKQApACAAXABuAGYAcgBhAGMAdABpAG8AbgAgAG8AZgAgAE4AIABsAG8AcwB0ACAAdABoAHIAbwB1AGcAaAAgAGwAZQBhAGMAaABpAG4AZwAgAGEAbgBkACAAcgB1AG4AbwBmAGYAXABuAC0ALQAtAC0ALQAtAC0ALQAtAC0ALQAtAC0ALQAtAC0ALQAtAC0ALQAtAC0ALQAtAC0ALQAtAC0ALQAtAC0ALQAtAC0ALQAtAC0ALQBcAG4AKgAvAFwAbgBcAG4AUwBvAHUAcgBjAGUARABhAHQAYQBfAEwAaQB2AGUAcwB0AG8AYwBrAF8AQwBvAG0AbQBvAG4AXwBGAHIAYQBjAEwARQBBAEMASABfAE0AUwBfAFQAaQB0AGwAZQBcAG4AIAAgAD0ATABBAE0AQgBEAEEAKABcACIARgByAGEAYwB0AGkAbwBuACAAbwBmACAATgAgAGwAbwBzAHQAIAB0AGgAcgBvAHUAZwBoACAAbABlAGEAYwBoAGkAbgBnACAAYQBuAGQAIAByAHUAbgBvAGYAZgBcACIAKQA7AFwAbgBcAG4AUwBvAHUAcgBjAGUARABhAHQAYQBfAEwAaQB2AGUAcwB0AG8AYwBrAF8AQwBvAG0AbQBvAG4AXwBGAHIAYQBjAEwARQBBAEMASABfAE0AUwBfAFUAbgBpAHQAXABuACAAIAA9AEwAQQBNAEIARABBACgAXAAiAEYAcgBhAGMAdABpAG8AbgBcACIAKQA7AFwAbgBcAG4AUwBvAHUAcgBjAGUARABhAHQAYQBfAEwAaQB2AGUAcwB0AG8AYwBrAF8AQwBvAG0AbQBvAG4AXwBGAHIAYQBjAEwARQBBAEMASABf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TABFAEEAQwBIAF8ATQBTAF8ARABhAHQAYQBcAG4AIAAgAD0ATABBAE0AQgBEAEEAKABcAG4AIAAgACAAIABNAEEASwBFAEEAUgBSAEEAWQAoADgALAAgADIALAAgAFwAbgAgACAAIAAgACAAIABMAEEATQBCAEQAQQAoAHIALABjACwAIABcAG4AIAAgACAAIAAgACAAIAAgAEkATgBEAEUAWAAoAHsAXABuACAAIAAgACAAIAAgACAAIAAgACAAXAAiAFAAcgBvAGQAdQBjAHQAaQBvAG4AIABzAHkAcwB0AGUAbQBcACIALAAgAFwAIgBFAG0AaQBzAHMAaQBvAG4AIABmAGEAYwB0AG8AcgBcACIAOwBcAG4AIAAgACAAIAAgACAAIAAgACAAIAAgACAAXAAiAEkAcgByAGkAZwBhAHQAZQBkACAAcABhAHMAdAB1AHIAZQBcACIALAAgADAALgAwADAANQA5ADsAXABuACAAIAAgACAAIAAgACAAIAAgACAAIAAgAFwAIgBJAHIAcgBpAGcAYQB0AGUAZAAgAGMAcgBvAHAAXAAiACwAIAAwAC4AMAAwADcAOwBcAG4AIAAgACAAIAAgACAAIAAgACAAIAAgACAAXAAiAE4AbwBuAC0AaQByAHIAaQBnAGEAdABlAGQAIABwAGEAcwB0AHUAcgBlAFwAIgAsACAAMAAuADAAMAAxADgAOwBcAG4AIAAgACAAIAAgACAAIAAgACAAIAAgACAAXAAiAE4AbwBuAC0AaQByAHIAaQBnAGEAdABlAGQAIABjAHIAbwBwAFwAIgAsACAAMAAuADAAMAA0ADEAOwBcAG4AIAAgACAAIAAgACAAIAAgACAAIAAgACAAXAAiAFMAdQBnAGEAcgAgAGMAYQBuAGUAXAAiACwAIAAwAC4AMAAxADkAOQA7AFwAbgAgACAAIAAgACAAIAAgACAAIAAgACAAIABcACIAQwBvAHQAdABvAG4AXAAiACwAIAAwAC4AMAAwADUAMwA7AFwAbgAgACAAIAAgACAAIAAgACAAIAAgACAAIABcACIASABvAHIAdABpAGMAdQBsAHQAdQByAGUAXAAiACwAIAAwAC4AMAAwADYANA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EMAbwBtAG0AbwBuAF8AUwB5AG0AYgBvAGwAcwBNAE0AUwBcAG4AVABhAGIAbABlACAANQAuADEAMgAgAEEAZABkAGkAdABpAG8AbgBhAGwAIABzAHkAbQBiAG8AbABzACAAdQBzAGUAZAAgAGkAbgAgAGEAbABnAG8AcgBpAHQAaABtAHMAIABmAG8AcgAgAG0AYQBuAHUAcgBlACAAcgBlAGwAYQB0AGUAZAAgAGUAbQBpAHMAcwBpAG8AbgBzAFwAbgAtAC0ALQAtAC0ALQAtAC0ALQAtAC0ALQAtAC0ALQAtAC0ALQAtAC0ALQAtAC0ALQAtAC0ALQAtAC0ALQAtAC0ALQAtAC0ALQAtAC0AXABuACoALwBcAG4AXABuAFMAbwB1AHIAYwBlAEQAYQB0AGEAXwBMAGkAdgBlAHMAdABvAGMAawBfAEMAbwBtAG0AbwBuAF8AUwB5AG0AYgBvAGwAcwBNAE0AUwBfAFQAaQB0AGwAZQBcAG4AIAAgAD0ATABBAE0AQgBEAEEAKABcACIAVABhAGIAbABlACAANQAuADEAMgAgAEEAZABkAGkAdABpAG8AbgBhAGwAIABzAHkAbQBiAG8AbABzACAAdQBzAGUAZAAgAGkAbgAgAGEAbABnAG8AcgBpAHQAaABtAHMAIABmAG8AcgAgAG0AYQBuAHUAcgBlACAAcgBlAGwAYQB0AGUAZAAgAGUAbQBpAHMAcwBpAG8AbgBzAFwAIgApADsAXABuAFwAbgBTAG8AdQByAGMAZQBEAGEAdABhAF8ATABpAHYAZQBzAHQAbwBjAGsAXwBDAG8AbQBtAG8AbgBfAFMAeQBtAGIAbwBsAHMATQBNAFMAXwBWAGEAaQByAGEAYgBsAGUAXABuACAAIAA9AEwAQQBNAEIARABBACgAXAAiAE0ATQBTAFwAIgApADsAXABuAFwAbgBTAG8AdQByAGMAZQBEAGEAdABhAF8ATABpAHYAZQBzAHQAbwBjAGsAXwBDAG8AbQBtAG8AbgBfAFMAeQBtAGIAbwBsAHMATQBNAFMAXwBVAG4AaQB0AFwAbgAgACAAPQBMAEEATQBCAEQAQQAoAFwAIgBcACIAKQA7AFwAbgBcAG4AUwBvAHUAcgBjAGUARABhAHQAYQBfAEwAaQB2AGUAcwB0AG8AYwBrAF8AQwBvAG0AbQBvAG4AXwBTAHkAbQBiAG8AbABzAE0ATQBTAF8AUwBvAHUAcgBjAGUAXABuACAAIAA9AEwAQQBNAEIARABBACgAXAAiAE4AYQB0AGkAbwBuAGEAbAAgAEkAbgB2AGUAbgB0AG8AcgB5ACAAUgBlAHAAbwByAHQAIAAyADAAMgAzACAAVgBvAGwAdQBtAGUAIAAxADoAIABUAGEAYgBsAGUAIAA1AC4AMQAyAFwAIgApADsAXABuAFwAbgBTAG8AdQByAGMAZQBEAGEAdABhAF8ATABpAHYAZQBzAHQAbwBjAGsAXwBDAG8AbQBtAG8AbgBfAFMAeQBtAGIAbwBsAHMATQBNAFMAXwBEAGEAdABhAFwAbgAgACAAPQBMAEEATQBCAEQAQQAoAFwAbgAgACAAIAAgAE0AQQBLAEUAQQBSAFIAQQBZACgAMQA5ACwAIAAzACwAIABcAG4AIAAgACAAIAAgACAATABBAE0AQgBEAEEAKAByACwAYwAsACAAXABuACAAIAAgACAAIAAgACAAIABJAE4ARABFAFgAKAB7AFwAbgAgACAAIAAgACAAIAAgACAAIAAgAFwAIgBTAHkAbQBiAG8AbABcACIALAAgAFwAIgBNAGEAbgB1AHIAZQAgAG0AYQBuAGEAZwBlAG0AZQBuAHQAIABzAHkAcwB0AGUAbQBcACIALAAgAFwAIgBcACIAOwBcAG4AIAAgACAAIAAgACAAIAAgACAAIAAgACAAXAAiADEAXAAiACwAIABcACIAQQBuAGEAZQByAG8AYgBpAGMAIABsAGEAZwBvAG8AbgBcACIALAAgAFwAIgBBAG4AYQBlAHIAbwBiAGkAYwAgAGwAYQBnAG8AbwBuACAAKABtAD0AMQApAFwAIgA7AFwAbgAgACAAIAAgACAAIAAgACAAIAAgACAAIABcACIAMgBcACIALAAgAFwAIgBMAGkAcQB1AGkAZAAgAHMAeQBzAHQAZQBtAHMAXAAiACwAIABcACIATABpAHEAdQBpAGQAIABzAHkAcwB0AGUAbQBzACAAKABtAD0AMgApAFwAIgA7AFwAbgAgACAAIAAgACAAIAAgACAAIAAgACAAIABcACIAMwBcACIALAAgAFwAIgBEAGEAaQBsAHkAIABzAHAAcgBlAGEAZABcACIALAAgAFwAIgBEAGEAaQBsAHkAIABzAHAAcgBlAGEAZAAgACgAbQA9ADMAKQBcACIAOwBcAG4AIAAgACAAIAAgACAAIAAgACAAIAAgACAAXAAiADMAYQBcACIALAAgAFwAIgBTAHUAbQBwACAAYQBuAGQAIABkAGkAcwBwAGUAcgBzAGEAbAAgAHMAeQBzAHQAZQBtAFwAIgAsACAAXAAiAFMAdQBtAHAAIABhAG4AZAAgAGQAaQBzAHAAZQByAHMAYQBsACAAcwB5AHMAdABlAG0AIAAoAG0APQAzAGEAKQBcACIAOwBcAG4AIAAgACAAIAAgACAAIAAgACAAIAAgACAAXAAiADMAYgBcACIALAAgAFwAIgBEAHIAYQBpAG4AcwAgAHQAbwAgAHAAYQBkAGQAbwBjAGsAXAAiACwAIABcACIARAByAGEAaQBuAHMAIAB0AG8AIABwAGEAZABkAG8AYwBrACAAKABtAD0AMwBiACkAXAAiADsAXABuACAAIAAgACAAIAAgACAAIAAgACAAIAAgAFwAIgA0AFwAIgAsACAAXAAiAFMAbwBsAGkAZAAgAHMAdABvAHIAYQBnAGUAXAAiACwAIABcACIAUwBvAGwAaQBkACAAcwB0AG8AcgBhAGcAZQAgACgAbQA9ADQAKQBcACIAOwBcAG4AIAAgACAAIAAgACAAIAAgACAAIAAgACAAXAAiADUAXAAiACwAIABcACIARAByAHkAbABvAHQAIAAoAGYAZQBlAGQAIABwAGEAZAApAFwAIgAsACAAXAAiAEQAcgB5AGwAbwB0ACAAKABmAGUAZQBkACAAcABhAGQAKQAgACgAbQA9ADUAKQBcACIAOwBcAG4AIAAgACAAIAAgACAAIAAgACAAIAAgACAAXAAiADYAXAAiACwAIABcACIAQwBvAG0AcABvAHMAdABpAG4AZwAgACgAcABhAHMAcwBpAHYAZQAgAHcAaQBuAGQAcgBvAHcAKQBcACIALAAgAFwAIgBDAG8AbQBwAG8AcwB0AGkAbgBnACAAKABwAGEAcwBzAGkAdgBlACAAdwBpAG4AZAByAG8AdwApACAAKABtAD0ANgApAFwAIgA7AFwAbgAgACAAIAAgACAAIAAgACAAIAAgACAAIABcACIANwBcACIALAAgAFwAIgBEAGkAZwBlAHMAdABlAHIAIAAvACAAYwBvAHYAZQByAGUAZAAgAGwAYQBnAG8AbwBuAHMAXAAiACwAIABcACIARABpAGcAZQBzAHQAZQByACAALwAgAGMAbwB2AGUAcgBlAGQAIABsAGEAZwBvAG8AbgBzACAAKABtAD0ANwApAFwAIgA7AFwAbgAgACAAIAAgACAAIAAgACAAIAAgACAAIABcACIAOABcACIALAAgAFwAIgBEAGUAZQBwACAAbABpAHQAdABlAHIAXAAiACwAIABcACIARABlAGUAcAAgAGwAaQB0AHQAZQByACAAKABtAD0AOAApAFwAIgA7AFwAbgAgACAAIAAgACAAIAAgACAAIAAgACAAIABcACIAOQBcACIALAAgAFwAIgBQAGkAdAAgAHMAdABvAHIAYQBnAGUAXAAiACwAIABcACIAUABpAHQAIABzAHQAbwByAGEAZwBlACAAKABtAD0AOQApAFwAIgA7AFwAbgAgACAAIAAgACAAIAAgACAAIAAgACAAIABcACIAMQAwAFwAIgAsACAAXAAiAFAAbwB1AGwAdAByAHkAIABtAGEAbgB1AHIAZQAgAHcAaQB0AGgAIABiAGUAZABkAGkAbgBnAFwAIgAsACAAXAAiAFAAbwB1AGwAdAByAHkAIABtAGEAbgB1AHIAZQAgAHcAaQB0AGgAIABiAGUAZABkAGkAbgBnACAAKABtAD0AMQAwACkAXAAiADsAXABuACAAIAAgACAAIAAgACAAIAAgACAAIAAgAFwAIgAxADEAXAAiACwAIABcACIAUABvAHUAbAB0AHIAeQAgAG0AYQBuAHUAcgBlACAAdwBpAHQAaABvAHUAdAAgAGIAZQBkAGQAaQBuAGcAXAAiACwAIABcACIAUABvAHUAbAB0AHIAeQAgAG0AYQBuAHUAcgBlACAAdwBpAHQAaABvAHUAdAAgAGIAZQBkAGQAaQBuAGcAIAAoAG0APQAxADEAKQBcACIAOwBcAG4AIAAgACAAIAAgACAAIAAgACAAIAAgACAAXAAiADEAMQBhAFwAIgAsACAAXAAiAEIAZQBsAHQAIABtAGEAbgB1AHIAZQAgAHIAZQBtAG8AdgBhAGwAXAAiACwAIABcACIAQgBlAGwAdAAgAG0AYQBuAHUAcgBlACAAcgBlAG0AbwB2AGEAbAAgACgAbQA9ADEAMQBhACkAXAAiADsAXABuACAAIAAgACAAIAAgACAAIAAgACAAIAAgAFwAIgAxADEAYgBcACIALAAgAFwAIgBNAGEAbgB1AHIAZQAgAHMAdABvAHIAZQBkACAAaQBuACAAaABvAHUAcwBlAFwAIgAsACAAXAAiAE0AYQBuAHUAcgBlACAAcwB0AG8AcgBlAGQAIABpAG4AIABoAG8AdQBzAGUAIAAoAG0APQAxADEAYgApAFwAIgA7AFwAbgAgACAAIAAgACAAIAAgACAAIAAgACAAIABcACIAMQAyAFwAIgAsACAAXAAiAEQAaQByAGUAYwB0ACAAcAByAG8AYwBlAHMAcwBpAG4AZwBcACIALAAgAFwAIgBEAGkAcgBlAGMAdAAgAHAAcgBvAGMAZQBzAHMAaQBuAGcAIAAoAG0APQAxADIAKQBcACIAOwBcAG4AIAAgACAAIAAgACAAIAAgACAAIAAgACAAXAAiADEAMwBcACIALAAgAFwAIgBEAGkAcgBlAGMAdAAgAGEAcABwAGwAaQBjAGEAdABpAG8AbgBcACIALAAgAFwAIgBEAGkAcgBlAGMAdAAgAGEAcABwAGwAaQBjAGEAdABpAG8AbgAgACgAbQA9ADEAMwApAFwAIgA7AFwAbgAgACAAIAAgACAAIAAgACAAIAAgACAAIABcACIAMQA0AFwAIgAsACAAXAAiAFAAYQBzAHQAdQByAGUAIAByAGEAbgBnAGUAIABhAG4AZAAgAHAAYQBkAGQAbwBjAGsAXAAiACwAIABcACIAUABhAHMAdAB1AHIAZQAgAHIAYQBuAGcAZQAgAGEAbgBkACAAcABhAGQAZABvAGMAawAgACgAbQA9ADEANAAp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CAGUAZQBmAEMAYQB0AHQAbABlAFwAbgAtAC0ALQAtAC0ALQAtAC0ALQAtAC0ALQAtAC0ALQAtAC0ALQAtAC0ALQAtAC0ALQAtAC0ALQAtAC0ALQAtAC0ALQAtAC0ALQAtAC0AXABuACoALwBcAG4AXABuAFMAbwB1AHIAYwBlAEQAYQB0AGEAXwBMAGkAdgBlAHMAdABvAGMAawBfAFAAcgBvAGQAdQBjAHQAXwBCAGUAZQBmAEMAYQB0AHQAbABlAF8AVABpAHQAbABlAFwAbgAgACAAPQBMAEEATQBCAEQAQQAoAFwAIgBCAGUAZQBmACAAYwBhAHQAdABsAGUAIABwAHIAbwBkAHUAYwB0AHMAIABmAG8AcgAgAHMAYwBvAHAAZQAgADMAXAAiACkAOwBcAG4AXABuAFMAbwB1AHIAYwBlAEQAYQB0AGEAXwBMAGkAdgBlAHMAdABvAGMAawBfAFAAcgBvAGQAdQBjAHQAXwBCAGUAZQBmAEMAYQB0AHQAbABlAF8AVgBhAGkAcgBhAGIAbABlAFwAbgAgACAAPQBMAEEATQBCAEQAQQAoAFwAIgBcACIAKQA7AFwAbgBcAG4AUwBvAHUAcgBjAGUARABhAHQAYQBfAEwAaQB2AGUAcwB0AG8AYwBrAF8AUAByAG8AZAB1AGMAdABfAEIAZQBlAGYAQwBhAHQAdABsAGUAXwBVAG4AaQB0AFwAbgAgACAAPQBMAEEATQBCAEQAQQAoAFwAIgBcACIAKQA7AFwAbgBcAG4AUwBvAHUAcgBjAGUARABhAHQAYQBfAEwAaQB2AGUAcwB0AG8AYwBrAF8AUAByAG8AZAB1AGMAdABfAEIAZQBlAGYAQ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IAZQBlAGYAQwBhAHQAdABsAGUAXwBEAGEAdABhAFwAbgAgACAAPQBMAEEATQBCAEQAQQAoAFwAbgAgACAAIAAgAE0AQQBLAEUAQQBSAFIAQQBZACgAOQAsACAAMgAsACAAXABuACAAIAAgACAAIAAgAEwAQQBNAEIARABBACgAcgAsAGMALAAgAFwAbgAgACAAIAAgACAAIAAgACAASQBOAEQARQBYACgAewBcAG4AIAAgACAAIAAgACAAIAAgACAAIABcACIAUAByAG8AZAB1AGMAdABcACIALAAgAFwAIgBTAG8AdQByAGMAZQAgAHIAZQBnAGkAbwBuAFwAIgA7AFwAbgAgACAAIAAgACAAIAAgACAAIAAgACAAIABcACIAQwBhAHQAdABsAGUALAAgAGYAbwByACAAbQBhAG4AdQBmAGEAYwB0AHUAcgBpAG4AZwAgAGIAZQBlAGYAXAAiACwAIABcACIAQQB1AHMAdAByAGEAbABpAGEAXAAiADsAXABuACAAIAAgACAAIAAgACAAIAAgACAAIAAgAFwAIgBDAGEAdAB0AGwAZQAsACAAZgBvAHIAIABwAHIAaQBtAGUAIABiAGUAZQBmAFwAIgAsACAAXAAiAE4AUwBXAFwAIgA7AFwAbgAgACAAIAAgACAAIAAgACAAIAAgACAAIABcACIAQwBhAHQAdABsAGUALAAgAHcAZQBhAG4AZQByAHMAXAAiACwAIABcACIATgBU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EMAaABpAGMAawBlAG4AcwBcAG4ALQAtAC0ALQAtAC0ALQAtAC0ALQAtAC0ALQAtAC0ALQAtAC0ALQAtAC0ALQAtAC0ALQAtAC0ALQAtAC0ALQAtAC0ALQAtAC0ALQAtAFwAbgAqAC8AXABuAFwAbgBTAG8AdQByAGMAZQBEAGEAdABhAF8ATABpAHYAZQBzAHQAbwBjAGsAXwBQAHIAbwBkAHUAYwB0AF8AQwBoAGkAYwBrAGUAbgBzAF8AVABpAHQAbABlAFwAbgAgACAAPQBMAEEATQBCAEQAQQAoAFwAIgBDAGgAaQBjAGsAZQBuAHMAIABwAHIAbwBkAHUAYwB0AHMAIABmAG8AcgAgAHMAYwBvAHAAZQAgADMAXAAiACkAOwBcAG4AXABuAFMAbwB1AHIAYwBlAEQAYQB0AGEAXwBMAGkAdgBlAHMAdABvAGMAawBfAFAAcgBvAGQAdQBjAHQAXwBDAGgAaQBjAGsAZQBuAHMAXwBWAGEAaQByAGEAYgBsAGUAXABuACAAIAA9AEwAQQBNAEIARABBACgAXAAiAFwAIgApADsAXABuAFwAbgBTAG8AdQByAGMAZQBEAGEAdABhAF8ATABpAHYAZQBzAHQAbwBjAGsAXwBQAHIAbwBkAHUAYwB0AF8AQwBoAGkAYwBrAGUAbgBzAF8AVQBuAGkAdABcAG4AIAAgAD0ATABBAE0AQgBEAEEAKABcACIAXAAiACkAOwBcAG4AXABuAFMAbwB1AHIAYwBlAEQAYQB0AGEAXwBMAGkAdgBlAHMAdABvAGMAawBfAFAAcgBvAGQAdQBjAHQAXwBDAGgAaQBjAGsAZQBu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MAaABpAGMAawBlAG4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DAGgAaQBjAGsAZQBuAHMAXAAiACwAIABcACIAQQB1AHMAdAByAGEAbABpAGE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QAYQBpAHIAeQBjAGEAdAB0AGwAZQBcAG4ALQAtAC0ALQAtAC0ALQAtAC0ALQAtAC0ALQAtAC0ALQAtAC0ALQAtAC0ALQAtAC0ALQAtAC0ALQAtAC0ALQAtAC0ALQAtAC0ALQAtAFwAbgAqAC8AXABuAFwAbgBTAG8AdQByAGMAZQBEAGEAdABhAF8ATABpAHYAZQBzAHQAbwBjAGsAXwBQAHIAbwBkAHUAYwB0AF8ARABhAGkAcgB5AGMAYQB0AHQAbABlAF8AVABpAHQAbABlAFwAbgAgACAAPQBMAEEATQBCAEQAQQAoAFwAIgBEAGEAaQByAHkAIABjAGEAdAB0AGwAZQAgAHAAcgBvAGQAdQBjAHQAcwAgAGYAbwByACAAcwBjAG8AcABlACAAMwBcACIAKQA7AFwAbgBcAG4AUwBvAHUAcgBjAGUARABhAHQAYQBfAEwAaQB2AGUAcwB0AG8AYwBrAF8AUAByAG8AZAB1AGMAdABfAEQAYQBpAHIAeQBjAGEAdAB0AGwAZQBfAFYAYQBpAHIAYQBiAGwAZQBcAG4AIAAgAD0ATABBAE0AQgBEAEEAKABcACIAXAAiACkAOwBcAG4AXABuAFMAbwB1AHIAYwBlAEQAYQB0AGEAXwBMAGkAdgBlAHMAdABvAGMAawBfAFAAcgBvAGQAdQBjAHQAXwBEAGEAaQByAHkAYwBhAHQAdABsAGUAXwBVAG4AaQB0AFwAbgAgACAAPQBMAEEATQBCAEQAQQAoAFwAIgBcACIAKQA7AFwAbgBcAG4AUwBvAHUAcgBjAGUARABhAHQAYQBfAEwAaQB2AGUAcwB0AG8AYwBrAF8AUAByAG8AZAB1AGMAdABfAEQAYQBpAHIAeQBj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RABhAGkAcgB5AGMAYQB0AHQAbABl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QAYQBpAHIAeQAgAGMAbwB3AHMAXAAiACwAIABcACIAVgBJAE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FAAaQBnAHMAXABuAC0ALQAtAC0ALQAtAC0ALQAtAC0ALQAtAC0ALQAtAC0ALQAtAC0ALQAtAC0ALQAtAC0ALQAtAC0ALQAtAC0ALQAtAC0ALQAtAC0ALQBcAG4AKgAvAFwAbgBcAG4AUwBvAHUAcgBjAGUARABhAHQAYQBfAEwAaQB2AGUAcwB0AG8AYwBrAF8AUAByAG8AZAB1AGMAdABfAFAAaQBnAHMAXwBUAGkAdABsAGUAXABuACAAIAA9AEwAQQBNAEIARABBACgAXAAiAFAAaQBnAHMAIABwAHIAbwBkAHUAYwB0AHMAIABmAG8AcgAgAHMAYwBvAHAAZQAgADMAXAAiACkAOwBcAG4AXABuAFMAbwB1AHIAYwBlAEQAYQB0AGEAXwBMAGkAdgBlAHMAdABvAGMAawBfAFAAcgBvAGQAdQBjAHQAXwBQAGkAZwBzAF8AVgBhAGkAcgBhAGIAbABlAFwAbgAgACAAPQBMAEEATQBCAEQAQQAoAFwAIgBcACIAKQA7AFwAbgBcAG4AUwBvAHUAcgBjAGUARABhAHQAYQBfAEwAaQB2AGUAcwB0AG8AYwBrAF8AUAByAG8AZAB1AGMAdABfAFAAaQBnAHMAXwBVAG4AaQB0AFwAbgAgACAAPQBMAEEATQBCAEQAQQAoAFwAIgBcACIAKQA7AFwAbgBcAG4AUwBvAHUAcgBjAGUARABhAHQAYQBfAEwAaQB2AGUAcwB0AG8AYwBrAF8AUAByAG8AZAB1AGMAdABfAFAAaQBn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AAaQBn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UABpAGcAcwBcACIALAAgAFwAIgBBAHUAcwB0AHIAYQBsAGkAY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TAGgAZQBlAHAAXABuAC0ALQAtAC0ALQAtAC0ALQAtAC0ALQAtAC0ALQAtAC0ALQAtAC0ALQAtAC0ALQAtAC0ALQAtAC0ALQAtAC0ALQAtAC0ALQAtAC0ALQBcAG4AKgAvAFwAbgBcAG4AUwBvAHUAcgBjAGUARABhAHQAYQBfAEwAaQB2AGUAcwB0AG8AYwBrAF8AUAByAG8AZAB1AGMAdABfAFMAaABlAGUAcABfAFQAaQB0AGwAZQBcAG4AIAAgAD0ATABBAE0AQgBEAEEAKABcACIAUwBoAGUAZQBwACAAcAByAG8AZAB1AGMAdABzACAAZgBvAHIAIABzAGMAbwBwAGUAIAAzAFwAIgApADsAXABuAFwAbgBTAG8AdQByAGMAZQBEAGEAdABhAF8ATABpAHYAZQBzAHQAbwBjAGsAXwBQAHIAbwBkAHUAYwB0AF8AUwBoAGUAZQBwAF8AVgBhAGkAcgBhAGIAbABlAFwAbgAgACAAPQBMAEEATQBCAEQAQQAoAFwAIgBcACIAKQA7AFwAbgBcAG4AUwBvAHUAcgBjAGUARABhAHQAYQBfAEwAaQB2AGUAcwB0AG8AYwBrAF8AUAByAG8AZAB1AGMAdABfAFMAaABlAGUAcABfAFUAbgBpAHQAXABuACAAIAA9AEwAQQBNAEIARABBACgAXAAiAFwAIgApADsAXABuAFwAbgBTAG8AdQByAGMAZQBEAGEAdABhAF8ATABpAHYAZQBzAHQAbwBjAGsAXwBQAHIAbwBkAHUAYwB0AF8AUwBoAGUAZQBw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TAGgAZQBlAHAAXwBEAGEAdABhAFwAbgAgACAAPQBMAEEATQBCAEQAQQAoAFwAbgAgACAAIAAgAE0AQQBLAEUAQQBSAFIAQQBZACgAOAAsACAAMgAsACAAXABuACAAIAAgACAAIAAgAEwAQQBNAEIARABBACgAcgAsAGMALAAgAFwAbgAgACAAIAAgACAAIAAgACAASQBOAEQARQBYACgAewBcAG4AIAAgACAAIAAgACAAIAAgACAAIABcACIAUAByAG8AZAB1AGMAdABcACIALAAgAFwAIgBTAG8AdQByAGMAZQAgAHIAZQBnAGkAbwBuAFwAIgA7AFwAbgAgACAAIAAgACAAIAAgACAAIAAgACAAIABcACIAUwBoAGUAZQBwACwAIABmAG8AcgAgAG0AdQB0AHQAbwBuAFwAIgAsACAAXAAiAEEAdQBzAHQAcgBhAGwAaQBhAFwAIgA7AFwAbgAgACAAIAAgACAAIAAgACAAIAAgACAAIABcACIAUwBoAGUAZQBwACwAIABmAG8AcgAgAHAAcgBpAG0AZQAgAGwAYQBtAGIAXAAiACwAIABcACIATgBTAFc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BdAH0A</AFEJSONBlob>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46</vt:i4>
      </vt:variant>
      <vt:variant>
        <vt:lpstr>Named Ranges</vt:lpstr>
      </vt:variant>
      <vt:variant>
        <vt:i4>285</vt:i4>
      </vt:variant>
    </vt:vector>
  </HeadingPairs>
  <TitlesOfParts>
    <vt:vector size="331" baseType="lpstr">
      <vt:lpstr>Home</vt:lpstr>
      <vt:lpstr>Results - Activity period</vt:lpstr>
      <vt:lpstr>Results - Product EI</vt:lpstr>
      <vt:lpstr>Input - Enterprise</vt:lpstr>
      <vt:lpstr>Input - Site</vt:lpstr>
      <vt:lpstr>Input - Poultry</vt:lpstr>
      <vt:lpstr>Input - Livestock sales</vt:lpstr>
      <vt:lpstr>Input - Poultry purchases</vt:lpstr>
      <vt:lpstr>Input - Fuel</vt:lpstr>
      <vt:lpstr>Input - Electricity</vt:lpstr>
      <vt:lpstr>Input - Common farm inputs</vt:lpstr>
      <vt:lpstr>Input - Livestock farm Inputs</vt:lpstr>
      <vt:lpstr>Input - Freight</vt:lpstr>
      <vt:lpstr>Input - Solid waste</vt:lpstr>
      <vt:lpstr>Input - Manure sent off-site</vt:lpstr>
      <vt:lpstr>Input - Data quality</vt:lpstr>
      <vt:lpstr>4.6.1.1-2 Methane</vt:lpstr>
      <vt:lpstr>4.6.1.3-4 Direct N20</vt:lpstr>
      <vt:lpstr>4.6.1.5-6 Atmos Dep</vt:lpstr>
      <vt:lpstr>4.6.1.7-8 Leaching and runoff</vt:lpstr>
      <vt:lpstr>4.6.1.9 Manure applied to soils</vt:lpstr>
      <vt:lpstr>4.6.1.10-11 Soil direct N2O</vt:lpstr>
      <vt:lpstr>4.6.1.12-13 Soil atmos dep</vt:lpstr>
      <vt:lpstr>4.6.1.14-15 Soil leach runoff</vt:lpstr>
      <vt:lpstr>8.1.1.1-2 Transport fuel</vt:lpstr>
      <vt:lpstr>8.2.1.1-2 Stationary fuel</vt:lpstr>
      <vt:lpstr>10.1.1-2 Solid waste treatment</vt:lpstr>
      <vt:lpstr>14.1.1-2 Purchased electricity</vt:lpstr>
      <vt:lpstr>15 Scope 3</vt:lpstr>
      <vt:lpstr>Calcs - Manure sent off-site</vt:lpstr>
      <vt:lpstr>Constants - Poultry</vt:lpstr>
      <vt:lpstr>Constants - Common livestock</vt:lpstr>
      <vt:lpstr>Constants - Electricity</vt:lpstr>
      <vt:lpstr>Constants - Fertiliser</vt:lpstr>
      <vt:lpstr>Constants - Fuel</vt:lpstr>
      <vt:lpstr>Constants - Scope 3</vt:lpstr>
      <vt:lpstr>Constants - Solid Waste</vt:lpstr>
      <vt:lpstr>Constants - Common</vt:lpstr>
      <vt:lpstr>Input - Fert Prod System</vt:lpstr>
      <vt:lpstr>Input - Fertiliser</vt:lpstr>
      <vt:lpstr>5.1.1.1-2 Inorganic fert N2O</vt:lpstr>
      <vt:lpstr>5.1.1.3-4 Inorganic fert CO2</vt:lpstr>
      <vt:lpstr>5.2.1.1-2 Organic Fert N2O</vt:lpstr>
      <vt:lpstr>5.3.1.1-2 Lime CO2</vt:lpstr>
      <vt:lpstr>5.4.1.1-4 Atmos deposition</vt:lpstr>
      <vt:lpstr>5.5.1.1-2 Leaching and runoff</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M1_Table_AE_j_k</vt:lpstr>
      <vt:lpstr>M1_Table_CP_j_k</vt:lpstr>
      <vt:lpstr>M1_Table_DMD_j_k</vt:lpstr>
      <vt:lpstr>M1_Table_E_CO2</vt:lpstr>
      <vt:lpstr>M1_Table_E_N2O</vt:lpstr>
      <vt:lpstr>M1_Table_E_N2O_dir</vt:lpstr>
      <vt:lpstr>M1_Table_E_N2O_leach</vt:lpstr>
      <vt:lpstr>M1_Table_EM_N2O_PRP_dir</vt:lpstr>
      <vt:lpstr>M1_Table_I_j_k</vt:lpstr>
      <vt:lpstr>M1_Table_I_j_k_Consumer_1</vt:lpstr>
      <vt:lpstr>M1_Table_M_j_k_m_T1</vt:lpstr>
      <vt:lpstr>M1_Table_M_j_k_m_T2</vt:lpstr>
      <vt:lpstr>M1_Table_M_j_k_m_T2_Consumer_1</vt:lpstr>
      <vt:lpstr>M1_Table_M_vol_m14</vt:lpstr>
      <vt:lpstr>M1_Table_M_vol_m14_Consumer_1</vt:lpstr>
      <vt:lpstr>M1_Table_MMS_ATMOS</vt:lpstr>
      <vt:lpstr>M1_Table_MN_j_k_m_T</vt:lpstr>
      <vt:lpstr>M1_Table_MN_j_k_m_T1</vt:lpstr>
      <vt:lpstr>M1_Table_MN_j_k_m_T2</vt:lpstr>
      <vt:lpstr>M1_Table_MN_j_k_m_T2_Consumer_1</vt:lpstr>
      <vt:lpstr>M1_Table_MN_j_k_m14_T1</vt:lpstr>
      <vt:lpstr>M1_Table_MN_j_k_m14_T1_Consumer_1</vt:lpstr>
      <vt:lpstr>M1_Table_MN_j_k_m14_T1_Consumer_2</vt:lpstr>
      <vt:lpstr>M1_Table_MN_j_k_m4</vt:lpstr>
      <vt:lpstr>M1_Table_MN_j_k_m4_Consumer_1</vt:lpstr>
      <vt:lpstr>M1_Table_MN_Leach_j_k_m4</vt:lpstr>
      <vt:lpstr>M1_Table_MNLeach_MMS</vt:lpstr>
      <vt:lpstr>M1_Table_MNSoil_scope1</vt:lpstr>
      <vt:lpstr>M1_Table_MNSoil_scope1_fert</vt:lpstr>
      <vt:lpstr>M1_Table_MNSoil_scope3</vt:lpstr>
      <vt:lpstr>M1_Table_N_j_k</vt:lpstr>
      <vt:lpstr>M1_Table_NE_j_k</vt:lpstr>
      <vt:lpstr>M1_Table_NI_j_k</vt:lpstr>
      <vt:lpstr>M1_Table_NT_j_k_m_T1</vt:lpstr>
      <vt:lpstr>M1_Table_VS_j_k</vt:lpstr>
      <vt:lpstr>M1_Table_VST_j_k</vt:lpstr>
      <vt:lpstr>M2_Table_AE_j_k</vt:lpstr>
      <vt:lpstr>M2_Table_CP_j_k</vt:lpstr>
      <vt:lpstr>M2_Table_DMD_j_k</vt:lpstr>
      <vt:lpstr>M2_Table_E_N2O_dir</vt:lpstr>
      <vt:lpstr>M2_Table_E_N2O_leach</vt:lpstr>
      <vt:lpstr>M2_Table_EM_N2O_PRP_dir</vt:lpstr>
      <vt:lpstr>M2_Table_FertApplications</vt:lpstr>
      <vt:lpstr>M2_Table_I_j_k</vt:lpstr>
      <vt:lpstr>M2_Table_I_j_k_Consumer_1</vt:lpstr>
      <vt:lpstr>M2_Table_M_j_k_m_T1</vt:lpstr>
      <vt:lpstr>M2_Table_M_vol_m14</vt:lpstr>
      <vt:lpstr>M2_Table_M_vol_m14_Consumer_1</vt:lpstr>
      <vt:lpstr>M2_Table_MMS_ATMOS</vt:lpstr>
      <vt:lpstr>M2_Table_MN_j_k_m_T</vt:lpstr>
      <vt:lpstr>M2_Table_MN_j_k_m_T1</vt:lpstr>
      <vt:lpstr>M2_Table_MN_j_k_m_T2</vt:lpstr>
      <vt:lpstr>M2_Table_MN_j_k_m_T2_Consumer_1</vt:lpstr>
      <vt:lpstr>M2_Table_MN_j_k_m14_T1</vt:lpstr>
      <vt:lpstr>M2_Table_MN_j_k_m14_T1_Consumer_1</vt:lpstr>
      <vt:lpstr>M2_Table_MN_j_k_m14_T1_Consumer_2</vt:lpstr>
      <vt:lpstr>M2_Table_MN_j_k_m4</vt:lpstr>
      <vt:lpstr>M2_Table_MNLeach_MMS</vt:lpstr>
      <vt:lpstr>M2_Table_MNSoil_scope1</vt:lpstr>
      <vt:lpstr>M2_Table_MNSoil_scope1_fert</vt:lpstr>
      <vt:lpstr>M2_Table_MNSoil_scope3</vt:lpstr>
      <vt:lpstr>M2_Table_N_j_k</vt:lpstr>
      <vt:lpstr>M2_Table_NE_j_k</vt:lpstr>
      <vt:lpstr>M2_Table_NI_j_k</vt:lpstr>
      <vt:lpstr>M2_Table_NT_j_k_m_T1</vt:lpstr>
      <vt:lpstr>M2_Table_VS_j_k</vt:lpstr>
      <vt:lpstr>M2_Table_VST_j_k</vt:lpstr>
      <vt:lpstr>Result_CarbonRemovalsFromPlantings</vt:lpstr>
      <vt:lpstr>Result_EmissionsForWholeProductionCycle_Gross_Method1</vt:lpstr>
      <vt:lpstr>Result_EmissionsForWholeProductionCycle_Gross_Method2</vt:lpstr>
      <vt:lpstr>Result_EmissionsForWholeProductionCycle_Method1</vt:lpstr>
      <vt:lpstr>Result_EmissionsForWholeProductionCycle_Method2</vt:lpstr>
      <vt:lpstr>Result_EmissionsForWholeProductionCycle_Net_Method1</vt:lpstr>
      <vt:lpstr>Result_EmissionsForWholeProductionCycle_Net_Method2</vt:lpstr>
      <vt:lpstr>Result_Enterprise_Gross_Method1</vt:lpstr>
      <vt:lpstr>Result_Enterprise_Gross_Method2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SourceData_Poultry_FracGAMSSoil_Data</vt:lpstr>
      <vt:lpstr>SourceData_Poultry_FractionOfNitrogenLostThroughLeachingAndRunoff_Data</vt:lpstr>
      <vt:lpstr>Table_A_j</vt:lpstr>
      <vt:lpstr>Table_B_0_j</vt:lpstr>
      <vt:lpstr>Table_D_j_k</vt:lpstr>
      <vt:lpstr>Table_D_j_k_Consumer_1</vt:lpstr>
      <vt:lpstr>Table_E_ad_inorganic</vt:lpstr>
      <vt:lpstr>Table_E_ad_organic</vt:lpstr>
      <vt:lpstr>Table_E_g</vt:lpstr>
      <vt:lpstr>Table_E_g_Consumer_1</vt:lpstr>
      <vt:lpstr>Table_E_g_offsite</vt:lpstr>
      <vt:lpstr>Table_E_g_onsite</vt:lpstr>
      <vt:lpstr>Table_E_lime</vt:lpstr>
      <vt:lpstr>Table_EF_m</vt:lpstr>
      <vt:lpstr>Table_EF_m_Consumer_1</vt:lpstr>
      <vt:lpstr>Table_FracGASM_m_T</vt:lpstr>
      <vt:lpstr>Table_FracGASM_m_T_Consumer_1</vt:lpstr>
      <vt:lpstr>Table_FracGASM_m_T1</vt:lpstr>
      <vt:lpstr>Table_M_leach_inorganic_j</vt:lpstr>
      <vt:lpstr>Table_M_leach_organic_j</vt:lpstr>
      <vt:lpstr>Table_M_vol_inorganic_j_f</vt:lpstr>
      <vt:lpstr>Table_M_vol_organic_j_f</vt:lpstr>
      <vt:lpstr>Table_MMS_j_m_T1</vt:lpstr>
      <vt:lpstr>Table_MMS_j_m_T1_Consumer_1</vt:lpstr>
      <vt:lpstr>Table_MMS_j_m_T2</vt:lpstr>
      <vt:lpstr>Table_MMS_j_m_T2_Consumer_1</vt:lpstr>
      <vt:lpstr>Table_MN_j_f</vt:lpstr>
      <vt:lpstr>Table_MNSoil_j_f</vt:lpstr>
      <vt:lpstr>Table_MU_j_f</vt:lpstr>
      <vt:lpstr>Table_N_j_k</vt:lpstr>
      <vt:lpstr>Table_N_j_k_Consumer_1</vt:lpstr>
      <vt:lpstr>Table_NR_j_k</vt:lpstr>
      <vt:lpstr>Table_PF</vt:lpstr>
      <vt:lpstr>Table_V_w_t_offsite</vt:lpstr>
      <vt:lpstr>Table_V_w_t_onsite</vt:lpstr>
      <vt:lpstr>VEERG_10_1_1_1__1_EmissionsFromWasteManagement_Scope1_Result_Method1</vt:lpstr>
      <vt:lpstr>VEERG_10_1_1_1__1_EmissionsFromWasteManagement_Scope3_Result_Method1</vt:lpstr>
      <vt:lpstr>VEERG_14_1_1__1_LocationBasedScopeElectricityEmissions_Result_Method1</vt:lpstr>
      <vt:lpstr>VEERG_14_1_2__1_MarketBasedScopeElectricityEmissionsVariation_Result_Method1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VEERG_15_1_1_1__1_EmissionsFromPurchasedLivestock_Result_Method1</vt:lpstr>
      <vt:lpstr>VEERG_15_1_1_1__1_EmissionsFromPurchasedLivestock_Result_Method2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VEERG_4_6_1_1__1_TotalAnnualMethaneEmissions_Result_Method1</vt:lpstr>
      <vt:lpstr>VEERG_4_6_1_1__1_TotalAnnualMethaneEmissions_Result_Method2</vt:lpstr>
      <vt:lpstr>VEERG_4_6_1_10__1_DirectNitrousOxideEmissionsFromPoultryManure_Result_Method1</vt:lpstr>
      <vt:lpstr>VEERG_4_6_1_10__1_DirectNitrousOxideEmissionsFromPoultryManure_Result_Method2</vt:lpstr>
      <vt:lpstr>VEERG_4_6_1_12__1_AtmosphericDepositionEmissionsFromPoultryManureOnPasture_Result_Method1</vt:lpstr>
      <vt:lpstr>VEERG_4_6_1_12__1_AtmosphericDepositionEmissionsFromPoultryManureOnPasture_Result_Method2</vt:lpstr>
      <vt:lpstr>VEERG_4_6_1_14__1_LeachingAndRunoffEmissionsFromPoultryManureOnPasture_Result_Method1</vt:lpstr>
      <vt:lpstr>VEERG_4_6_1_14__1_LeachingAndRunoffEmissionsFromPoultryManureOnPasture_Result_Method2</vt:lpstr>
      <vt:lpstr>VEERG_4_6_1_3__1_TotalAnnualDirectNitrousOxideEmissionsFromMMS_Result_Method1</vt:lpstr>
      <vt:lpstr>VEERG_4_6_1_3__1_TotalAnnualDirectNitrousOxideEmissionsFromMMS_Result_Method2</vt:lpstr>
      <vt:lpstr>VEERG_4_6_1_5__1_TotalAnnualAtmosphericDepositionEmissionsFromMMS_Result_Method1</vt:lpstr>
      <vt:lpstr>VEERG_4_6_1_5__1_TotalAnnualAtmosphericDepositionEmissionsFromMMS_Result_Method2</vt:lpstr>
      <vt:lpstr>VEERG_4_6_1_7__1_AnnualEmissionsFromLeachingAndRunoffFromMMS_Result_Method1</vt:lpstr>
      <vt:lpstr>VEERG_4_6_1_7__1_AnnualEmissionsFromLeachingAndRunoffFromMMS_Result_Method2</vt:lpstr>
      <vt:lpstr>VEERG_4_6_1_9__1_MassOfNitrogenAppliedToSoilsScope1_Result_Method1</vt:lpstr>
      <vt:lpstr>VEERG_4_6_1_9__1_MassOfNitrogenAppliedToSoilsScope1_Result_Method2</vt:lpstr>
      <vt:lpstr>VEERG_4_6_1_9__2_MassOfNitrogenAppliedToSoilsScope3_Result_Method1</vt:lpstr>
      <vt:lpstr>VEERG_4_6_1_9__2_MassOfNitrogenAppliedToSoilsScope3_Result_Method2</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VEERG_5_2_1_1__1_OrganicFertiliserApplicationN2OEmissions_Result_Method1</vt:lpstr>
      <vt:lpstr>VEERG_5_2_1_1__1_OrganicFertiliserApplicationN2OEmissions_Result_Method2</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VEERG_5_4_1_3__1_OrganicFertiliserAtmosphericDepositionN2OEmissions_Result_Method2</vt:lpstr>
      <vt:lpstr>VEERG_5_5_1_1__1_FertiliserLeachingAndRunoffN2OEmissions_Result_Method1</vt:lpstr>
      <vt:lpstr>VEERG_5_5_1_1__1_FertiliserLeachingAndRunoffN2OEmissions_Result_Method2</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X_Cell_Enterprise_BirdsSold</vt:lpstr>
      <vt:lpstr>X_Cell_Enterprise_EggsProduced</vt:lpstr>
      <vt:lpstr>X_Cell_Enterprise_ManureProduced</vt:lpstr>
      <vt:lpstr>X_Cell_Enterprise_PercentIncomeFromBirdsSold</vt:lpstr>
      <vt:lpstr>X_Cell_Enterprise_PercentIncomeFromEggsSold</vt:lpstr>
      <vt:lpstr>X_Cell_Enterprise_PercentIncomeFromManureSold</vt:lpstr>
      <vt:lpstr>X_Cell_Enterprise_PercentManureFertiliserOwnFarm</vt:lpstr>
      <vt:lpstr>X_Cell_Enterprise_PercentManureSold</vt:lpstr>
      <vt:lpstr>X_Cell_Enterprise_ProductionTimeframeEnd</vt:lpstr>
      <vt:lpstr>X_Cell_Enterprise_ProductionTimeframeStart</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X_Cell_Fertiliser_AreaUnderCropping</vt:lpstr>
      <vt:lpstr>X_Cell_Fertiliser_CropType</vt:lpstr>
      <vt:lpstr>X_Cell_Fertiliser_IrrigationMethod</vt:lpstr>
      <vt:lpstr>X_Cell_Fertiliser_ProductionSystem</vt:lpstr>
      <vt:lpstr>X_Cell_Fuel_IsMetroLocation</vt:lpstr>
      <vt:lpstr>X_Cell_ManureSentOffsite_ManureIrrigationMethod</vt:lpstr>
      <vt:lpstr>X_Cell_ManureSentOffsite_ManureProductionSystem</vt:lpstr>
      <vt:lpstr>X_Cell_ManureSentOffsite_MassNitrogenManure_Method1</vt:lpstr>
      <vt:lpstr>X_Cell_ManureSentOffsite_MassNitrogenManure_Method2</vt:lpstr>
      <vt:lpstr>X_Cell_Poultry_ManureAppliedIrrigationMethod</vt:lpstr>
      <vt:lpstr>X_Cell_Poultry_ManureAppliedProductionSystem</vt:lpstr>
      <vt:lpstr>X_Cell_Poultry_ProductionSystem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lpstr>X_Table_Poultry_Diet_Method1</vt:lpstr>
      <vt:lpstr>X_Table_Poultry_Diet_Method2</vt:lpstr>
      <vt:lpstr>X_Table_Poultry_Movement</vt:lpstr>
      <vt:lpstr>X_Table_Poultry_Stage1MMS</vt:lpstr>
      <vt:lpstr>X_Table_Poultry_Stage2MMS_BeltManureRemoval</vt:lpstr>
      <vt:lpstr>X_Table_Poultry_Stage2MMS_BeltManureRemoval_Destinations</vt:lpstr>
      <vt:lpstr>X_Table_Poultry_Stage2MMS_ManureStoredInHouse</vt:lpstr>
      <vt:lpstr>X_Table_Poultry_Stage2MMS_ManureStoredInHouse_Destinations</vt:lpstr>
      <vt:lpstr>X_Table_Poultry_Stage2MMS_PoultryManureWithBedding</vt:lpstr>
      <vt:lpstr>X_Table_Poultry_Stage2MMS_PoultryManureWithBedding_Destinations</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2026-09-03T01:52:52Z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2026-09-02T18:44:30; rename=True resize=True rowheights=True scope=all</vt:lpwstr>
  </property>
</Properties>
</file>