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C46878CC-7BB3-4D18-A5CE-C01DF426898B}" xr6:coauthVersionLast="47" xr6:coauthVersionMax="47" xr10:uidLastSave="{00000000-0000-0000-0000-000000000000}"/>
  <bookViews>
    <workbookView xWindow="1125" yWindow="1125" windowWidth="36330" windowHeight="19485" firstSheet="1" activeTab="1"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Swine" sheetId="82" r:id="rId6"/>
    <sheet name="Input - Livestock sales" sheetId="81" r:id="rId7"/>
    <sheet name="Input - Pig purchases" sheetId="109" r:id="rId8"/>
    <sheet name="Input - Fuel" sheetId="93" r:id="rId9"/>
    <sheet name="Input - Electricity" sheetId="90" r:id="rId10"/>
    <sheet name="Input - Common farm inputs" sheetId="110" r:id="rId11"/>
    <sheet name="Input - Livestock farm Inputs" sheetId="111" r:id="rId12"/>
    <sheet name="Input - Freight" sheetId="112" r:id="rId13"/>
    <sheet name="Input - Solid waste" sheetId="106" r:id="rId14"/>
    <sheet name="Input - Manure sent off-site" sheetId="113" r:id="rId15"/>
    <sheet name="Input - Data quality" sheetId="78" r:id="rId16"/>
    <sheet name="3.5.1.1-2 Enteric Methane" sheetId="89" r:id="rId17"/>
    <sheet name="4.5.1.1-2 Methane" sheetId="83" r:id="rId18"/>
    <sheet name="4.5.1.3-4 Direct N2O" sheetId="84" r:id="rId19"/>
    <sheet name="4.5.1.5-6 Atmos Dep" sheetId="85" r:id="rId20"/>
    <sheet name="4.5.1.7-8 Leaching and runoff" sheetId="86" r:id="rId21"/>
    <sheet name="4.5.1.9 Manure applied to soils" sheetId="87" r:id="rId22"/>
    <sheet name="8.1.1.1-2 Transport fuel" sheetId="94" r:id="rId23"/>
    <sheet name="8.2.1.1-2 Stationary fuel" sheetId="95" r:id="rId24"/>
    <sheet name="10.1.1-2 Solid waste treatment" sheetId="107" r:id="rId25"/>
    <sheet name="14.1.1-2 Purchased electricity" sheetId="91" r:id="rId26"/>
    <sheet name="15 Scope 3" sheetId="114" r:id="rId27"/>
    <sheet name="Calcs - Manure sent off-site" sheetId="115" r:id="rId28"/>
    <sheet name="Constants - Swine" sheetId="88" r:id="rId29"/>
    <sheet name="Constants - Common livestock" sheetId="117" r:id="rId30"/>
    <sheet name="Constants - Electricity" sheetId="92" r:id="rId31"/>
    <sheet name="Constants - Fertiliser" sheetId="105" r:id="rId32"/>
    <sheet name="Constants - Fuel" sheetId="96" r:id="rId33"/>
    <sheet name="Constants - Scope 3" sheetId="116" r:id="rId34"/>
    <sheet name="Constants - Solid Waste" sheetId="108" r:id="rId35"/>
    <sheet name="Constants - Common" sheetId="79" r:id="rId36"/>
    <sheet name="Input - Fert Prod System" sheetId="97" r:id="rId37"/>
    <sheet name="Input - Fertiliser" sheetId="98" r:id="rId38"/>
    <sheet name="5.1.1.1-2 Inorganic fert N2O" sheetId="99" r:id="rId39"/>
    <sheet name="5.1.1.3-4 Inorganic fert CO2" sheetId="100" r:id="rId40"/>
    <sheet name="5.2.1.1-2 Organic Fert N2O" sheetId="101" r:id="rId41"/>
    <sheet name="5.3.1.1-2 Lime CO2" sheetId="102" r:id="rId42"/>
    <sheet name="5.4.1.1-4 Atmos deposition" sheetId="103" r:id="rId43"/>
    <sheet name="5.5.1.1-2 Leaching and runoff" sheetId="104" r:id="rId44"/>
    <sheet name="Acknowledgements" sheetId="118" r:id="rId45"/>
  </sheets>
  <definedNames>
    <definedName name="_Toc225350871" localSheetId="42">'5.4.1.1-4 Atmos deposition'!$C$1</definedName>
    <definedName name="_Toc225350871" localSheetId="43">'5.5.1.1-2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Swine.CalculateActualPercentManureSold">_xlfn.LAMBDA(_xlpm.Stage1MMSPercents,_xlpm.PercentSeparated,_xlpm.Stage2MMSPercents,_xlpm.PercentManureSold, (((SUM(_xlpm.Stage1MMSPercents) - (SUM(_xlpm.Stage1MMSPercents) * _xlpm.PercentSeparated)) / 4) * (SUM(_xlpm.Stage2MMSPercents) / 4)) * _xlpm.PercentManureSold)</definedName>
    <definedName name="M1_Table_E_CO2">'5.1.1.3-4 Inorganic fert CO2'!$D$57:$E$76</definedName>
    <definedName name="M1_Table_E_N2O">'5.1.1.1-2 Inorganic fert N2O'!$D$59:$E$78</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FertApplications">'5.1.1.1-2 Inorganic fert N2O'!$M$10:$W$25</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5_1_1__1_TotalAnnualMethaneFromEntericFermentation_Result_Method1">'3.5.1.1-2 Enteric Methane'!$E$58</definedName>
    <definedName name="VEERG_3_5_1_1__1_TotalAnnualMethaneFromEntericFermentation_Result_Method2">'3.5.1.1-2 Enteric Methane'!$N$58</definedName>
    <definedName name="VEERG_4_5_1_1__1_TotalAnnualMethaneEmissions_Result_Method1">'4.5.1.1-2 Methane'!$E$261</definedName>
    <definedName name="VEERG_4_5_1_1__1_TotalAnnualMethaneEmissions_Result_Method2">'4.5.1.1-2 Methane'!$O$261</definedName>
    <definedName name="VEERG_4_5_1_3__1_TotalAnnualDirectNitrousOxideEmissionsFromMMS_Result_Method1">'4.5.1.3-4 Direct N2O'!$E$297</definedName>
    <definedName name="VEERG_4_5_1_3__1_TotalAnnualDirectNitrousOxideEmissionsFromMMS_Result_Method2">'4.5.1.3-4 Direct N2O'!$O$297</definedName>
    <definedName name="VEERG_4_5_1_5__1_AnnualAtmosphericDepositionEmissionsFromMMS_Result_Method1">'4.5.1.5-6 Atmos Dep'!$E$125</definedName>
    <definedName name="VEERG_4_5_1_5__1_AnnualAtmosphericDepositionEmissionsFromMMS_Result_Method2">'4.5.1.5-6 Atmos Dep'!$O$125</definedName>
    <definedName name="VEERG_4_5_1_7__1_AnnualEmissionsFromLeachingAndRunoffFromMMS_Result_Method1">'4.5.1.7-8 Leaching and runoff'!$E$49</definedName>
    <definedName name="VEERG_4_5_1_7__1_AnnualEmissionsFromLeachingAndRunoffFromMMS_Result_Method2">'4.5.1.7-8 Leaching and runoff'!$N$49</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Swine_ManureAppliedIrrigationMethod">'Input - Swine'!$E$117</definedName>
    <definedName name="X_Cell_Swine_ManureAppliedProductionSystem">'Input - Swine'!$E$116</definedName>
    <definedName name="X_Cell_Swine_ProductionSystem">'Input - Swine'!$E$32</definedName>
    <definedName name="X_Cell_Swine_Stage1MMS_AnaerobicLagoon_AmountSeparated_Method1">'Input - Swine'!$E$38</definedName>
    <definedName name="X_Cell_Swine_Stage1MMS_AnaerobicLagoon_AmountSeparated_Method2">'Input - Swine'!$E$39</definedName>
    <definedName name="X_Cell_Swine_Stage1MMS_AnaerobicLagoon_SolidsSeparated">'Input - Swine'!$E$37</definedName>
    <definedName name="X_Cell_Swine_Stage1MMS_DeepLitter_AmountSeparated_Method1">'Input - Swine'!$E$55</definedName>
    <definedName name="X_Cell_Swine_Stage1MMS_DeepLitter_AmountSeparated_Method2">'Input - Swine'!$E$56</definedName>
    <definedName name="X_Cell_Swine_Stage1MMS_DeepLitter_SolidsSeparated">'Input - Swine'!$E$54</definedName>
    <definedName name="X_Cell_Swine_Stage1MMS_DigesterCoveredLagoons_AmountSeparated_Method1">'Input - Swine'!$E$49</definedName>
    <definedName name="X_Cell_Swine_Stage1MMS_DigesterCoveredLagoons_AmountSeparated_Method2">'Input - Swine'!$E$50</definedName>
    <definedName name="X_Cell_Swine_Stage1MMS_DigesterCoveredLagoons_SolidsSeparated">'Input - Swine'!$E$48</definedName>
    <definedName name="X_Cell_Swine_Stage1MMS_Drylot_AmountSeparated_Method1">'Input - Swine'!$E$43</definedName>
    <definedName name="X_Cell_Swine_Stage1MMS_Drylot_AmountSeparated_Method2">'Input - Swine'!$E$44</definedName>
    <definedName name="X_Cell_Swine_Stage1MMS_Drylot_SolidsSeparated">'Input - Swine'!$E$42</definedName>
    <definedName name="X_Cell_Swine_Stage1MMS_PitStorage_AmountSeparated_Method1">'Input - Swine'!$E$61</definedName>
    <definedName name="X_Cell_Swine_Stage1MMS_PitStorage_AmountSeparated_Method2">'Input - Swine'!$E$62</definedName>
    <definedName name="X_Cell_Swine_Stage1MMS_PitStorage_SolidsSeparated">'Input - Swine'!$E$60</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period'!$D$27:$F$32</definedName>
    <definedName name="X_Table_Result_CarbonRemovalsFromPlantings_RowsToCols">'Results - Activity period'!$D$37:$E$43</definedName>
    <definedName name="X_Table_Swine_FeedIntake_Method1">'Input - Swine'!$D$12:$H$13</definedName>
    <definedName name="X_Table_Swine_FeedIntake_Method2">'Input - Swine'!$D$15:$H$16</definedName>
    <definedName name="X_Table_Swine_HerdMovement">'Input - Swine'!$D$5:$H$7</definedName>
    <definedName name="X_Table_Swine_ManureProduction_Method1">'Input - Swine'!$D$21:$H$23</definedName>
    <definedName name="X_Table_Swine_ManureProduction_Method2">'Input - Swine'!$D$25:$H$27</definedName>
    <definedName name="X_Table_Swine_Stage1MMS_AnaerobicLagoon">'Input - Swine'!$D$35:$H$36</definedName>
    <definedName name="X_Table_Swine_Stage1MMS_DeepLitter">'Input - Swine'!$D$52:$H$53</definedName>
    <definedName name="X_Table_Swine_Stage1MMS_DigesterCoveredLagoons">'Input - Swine'!$D$46:$H$47</definedName>
    <definedName name="X_Table_Swine_Stage1MMS_Drylot">'Input - Swine'!$D$40:$H$41</definedName>
    <definedName name="X_Table_Swine_Stage1MMS_PitStorage">'Input - Swine'!$D$58:$H$59</definedName>
    <definedName name="X_Table_Swine_Stage1MMS_SolidStorage">'Input - Swine'!$D$63:$H$64</definedName>
    <definedName name="X_Table_Swine_Stage2MMS_From_AnaerobicLagoon">'Input - Swine'!$D$72:$H$76</definedName>
    <definedName name="X_Table_Swine_Stage2MMS_From_AnaerobicLagoon_Destinations">'Input - Swine'!$J$72:$M$76</definedName>
    <definedName name="X_Table_Swine_Stage2MMS_From_DeepLitter">'Input - Swine'!$D$94:$H$98</definedName>
    <definedName name="X_Table_Swine_Stage2MMS_From_DeepLitter_Destinations">'Input - Swine'!$J$94:$M$98</definedName>
    <definedName name="X_Table_Swine_Stage2MMS_From_DigesterCoveredLagoons">'Input - Swine'!$D$87:$H$91</definedName>
    <definedName name="X_Table_Swine_Stage2MMS_From_DigesterCoveredLagoons_Destinations">'Input - Swine'!$J$87:$M$91</definedName>
    <definedName name="X_Table_Swine_Stage2MMS_From_Drylot">'Input - Swine'!$D$79:$H$84</definedName>
    <definedName name="X_Table_Swine_Stage2MMS_From_Drylot_Destinations">'Input - Swine'!$J$79:$M$84</definedName>
    <definedName name="X_Table_Swine_Stage2MMS_From_PitStorage">'Input - Swine'!$D$101:$H$105</definedName>
    <definedName name="X_Table_Swine_Stage2MMS_From_PitStorage_Destinations">'Input - Swine'!$J$101:$M$105</definedName>
    <definedName name="X_Table_Swine_Stage2MMS_From_SolidStorage">'Input - Swine'!$D$108:$H$113</definedName>
    <definedName name="X_Table_Swine_Stage2MMS_From_SolidStorage_Destinations">'Input - Swine'!$J$108:$M$113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6" i="118" l="1"/>
  <c r="A55" i="118"/>
  <c r="A54" i="118"/>
  <c r="A53" i="118"/>
  <c r="A52" i="118"/>
  <c r="A51" i="118"/>
  <c r="A50" i="118"/>
  <c r="A49" i="118"/>
  <c r="A48"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97" i="104"/>
  <c r="A67" i="104"/>
  <c r="A56" i="104"/>
  <c r="A55" i="104"/>
  <c r="A54" i="104"/>
  <c r="A53" i="104"/>
  <c r="A52" i="104"/>
  <c r="A51" i="104"/>
  <c r="A50" i="104"/>
  <c r="A49" i="104"/>
  <c r="A48"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127" i="103"/>
  <c r="A97" i="103"/>
  <c r="A67" i="103"/>
  <c r="A56" i="103"/>
  <c r="A55" i="103"/>
  <c r="A54" i="103"/>
  <c r="A53" i="103"/>
  <c r="A52" i="103"/>
  <c r="A51" i="103"/>
  <c r="A50" i="103"/>
  <c r="A49" i="103"/>
  <c r="A48"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6" i="102"/>
  <c r="A55" i="102"/>
  <c r="A54" i="102"/>
  <c r="A53" i="102"/>
  <c r="A52" i="102"/>
  <c r="A51" i="102"/>
  <c r="A50" i="102"/>
  <c r="A49" i="102"/>
  <c r="A48"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6" i="101"/>
  <c r="A55" i="101"/>
  <c r="A54" i="101"/>
  <c r="A53" i="101"/>
  <c r="A52" i="101"/>
  <c r="A51" i="101"/>
  <c r="A50" i="101"/>
  <c r="A49" i="101"/>
  <c r="A48"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7" i="100"/>
  <c r="A56" i="100"/>
  <c r="A55" i="100"/>
  <c r="A54" i="100"/>
  <c r="A53" i="100"/>
  <c r="A52" i="100"/>
  <c r="A51" i="100"/>
  <c r="A50" i="100"/>
  <c r="A49" i="100"/>
  <c r="A48"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97" i="99"/>
  <c r="A67" i="99"/>
  <c r="A56" i="99"/>
  <c r="A55" i="99"/>
  <c r="A54" i="99"/>
  <c r="A53" i="99"/>
  <c r="A52" i="99"/>
  <c r="A51" i="99"/>
  <c r="A50" i="99"/>
  <c r="A49" i="99"/>
  <c r="A48"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6" i="98"/>
  <c r="A55" i="98"/>
  <c r="A54" i="98"/>
  <c r="A53" i="98"/>
  <c r="A52" i="98"/>
  <c r="A51" i="98"/>
  <c r="A50" i="98"/>
  <c r="A49" i="98"/>
  <c r="A48"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6" i="97"/>
  <c r="A55" i="97"/>
  <c r="A54" i="97"/>
  <c r="A53" i="97"/>
  <c r="A52" i="97"/>
  <c r="A51" i="97"/>
  <c r="A50" i="97"/>
  <c r="A49" i="97"/>
  <c r="A48"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277" i="79"/>
  <c r="A247" i="79"/>
  <c r="A217" i="79"/>
  <c r="A187" i="79"/>
  <c r="A157" i="79"/>
  <c r="A127" i="79"/>
  <c r="A97" i="79"/>
  <c r="A67" i="79"/>
  <c r="A56" i="79"/>
  <c r="A55" i="79"/>
  <c r="A54" i="79"/>
  <c r="A53" i="79"/>
  <c r="A52" i="79"/>
  <c r="A51" i="79"/>
  <c r="A50" i="79"/>
  <c r="A49" i="79"/>
  <c r="A48"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7" i="108"/>
  <c r="A56" i="108"/>
  <c r="A55" i="108"/>
  <c r="A54" i="108"/>
  <c r="A53" i="108"/>
  <c r="A52" i="108"/>
  <c r="A51" i="108"/>
  <c r="A50" i="108"/>
  <c r="A49" i="108"/>
  <c r="A48"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247" i="116"/>
  <c r="A217" i="116"/>
  <c r="A187" i="116"/>
  <c r="A157" i="116"/>
  <c r="A127" i="116"/>
  <c r="A97" i="116"/>
  <c r="A67" i="116"/>
  <c r="A56" i="116"/>
  <c r="A55" i="116"/>
  <c r="A54" i="116"/>
  <c r="A53" i="116"/>
  <c r="A52" i="116"/>
  <c r="A51" i="116"/>
  <c r="A50" i="116"/>
  <c r="A49" i="116"/>
  <c r="A48"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157" i="96"/>
  <c r="A127" i="96"/>
  <c r="A97" i="96"/>
  <c r="A67" i="96"/>
  <c r="A56" i="96"/>
  <c r="A55" i="96"/>
  <c r="A54" i="96"/>
  <c r="A53" i="96"/>
  <c r="A52" i="96"/>
  <c r="A51" i="96"/>
  <c r="A50" i="96"/>
  <c r="A49" i="96"/>
  <c r="A48"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217" i="105"/>
  <c r="A187" i="105"/>
  <c r="A157" i="105"/>
  <c r="A127" i="105"/>
  <c r="A97" i="105"/>
  <c r="A67" i="105"/>
  <c r="A56" i="105"/>
  <c r="A55" i="105"/>
  <c r="A54" i="105"/>
  <c r="A53" i="105"/>
  <c r="A52" i="105"/>
  <c r="A51" i="105"/>
  <c r="A50" i="105"/>
  <c r="A49" i="105"/>
  <c r="A48"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6" i="92"/>
  <c r="A55" i="92"/>
  <c r="A54" i="92"/>
  <c r="A53" i="92"/>
  <c r="A52" i="92"/>
  <c r="A51" i="92"/>
  <c r="A50" i="92"/>
  <c r="A49" i="92"/>
  <c r="A48"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6" i="117"/>
  <c r="A55" i="117"/>
  <c r="A54" i="117"/>
  <c r="A53" i="117"/>
  <c r="A52" i="117"/>
  <c r="A51" i="117"/>
  <c r="A50" i="117"/>
  <c r="A49" i="117"/>
  <c r="A48"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127" i="88"/>
  <c r="A97" i="88"/>
  <c r="A67" i="88"/>
  <c r="A56" i="88"/>
  <c r="A55" i="88"/>
  <c r="A54" i="88"/>
  <c r="A53" i="88"/>
  <c r="A52" i="88"/>
  <c r="A51" i="88"/>
  <c r="A50" i="88"/>
  <c r="A49" i="88"/>
  <c r="A48"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7" i="115"/>
  <c r="A56" i="115"/>
  <c r="A55" i="115"/>
  <c r="A54" i="115"/>
  <c r="A53" i="115"/>
  <c r="A52" i="115"/>
  <c r="A51" i="115"/>
  <c r="A50" i="115"/>
  <c r="A49" i="115"/>
  <c r="A48"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37" i="114"/>
  <c r="A607" i="114"/>
  <c r="A577" i="114"/>
  <c r="A547" i="114"/>
  <c r="A517" i="114"/>
  <c r="A487" i="114"/>
  <c r="A457" i="114"/>
  <c r="A427" i="114"/>
  <c r="A397" i="114"/>
  <c r="A367" i="114"/>
  <c r="A337" i="114"/>
  <c r="A307" i="114"/>
  <c r="A277" i="114"/>
  <c r="A247" i="114"/>
  <c r="A217" i="114"/>
  <c r="A187" i="114"/>
  <c r="A157" i="114"/>
  <c r="A127" i="114"/>
  <c r="A97" i="114"/>
  <c r="A67" i="114"/>
  <c r="A56" i="114"/>
  <c r="A55" i="114"/>
  <c r="A54" i="114"/>
  <c r="A53" i="114"/>
  <c r="A52" i="114"/>
  <c r="A51" i="114"/>
  <c r="A50" i="114"/>
  <c r="A49" i="114"/>
  <c r="A48"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6" i="91"/>
  <c r="A55" i="91"/>
  <c r="A54" i="91"/>
  <c r="A53" i="91"/>
  <c r="A52" i="91"/>
  <c r="A51" i="91"/>
  <c r="A50" i="91"/>
  <c r="A49" i="91"/>
  <c r="A48"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187" i="107"/>
  <c r="A157" i="107"/>
  <c r="A127" i="107"/>
  <c r="A97" i="107"/>
  <c r="A67" i="107"/>
  <c r="A56" i="107"/>
  <c r="A55" i="107"/>
  <c r="A54" i="107"/>
  <c r="A53" i="107"/>
  <c r="A52" i="107"/>
  <c r="A51" i="107"/>
  <c r="A50" i="107"/>
  <c r="A49" i="107"/>
  <c r="A48"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6" i="95"/>
  <c r="A55" i="95"/>
  <c r="A54" i="95"/>
  <c r="A53" i="95"/>
  <c r="A52" i="95"/>
  <c r="A51" i="95"/>
  <c r="A50" i="95"/>
  <c r="A49" i="95"/>
  <c r="A48"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7" i="94"/>
  <c r="A56" i="94"/>
  <c r="A55" i="94"/>
  <c r="A54" i="94"/>
  <c r="A53" i="94"/>
  <c r="A52" i="94"/>
  <c r="A51" i="94"/>
  <c r="A50" i="94"/>
  <c r="A49" i="94"/>
  <c r="A48"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277" i="87"/>
  <c r="A247" i="87"/>
  <c r="A217" i="87"/>
  <c r="A187" i="87"/>
  <c r="A157" i="87"/>
  <c r="A127" i="87"/>
  <c r="A97" i="87"/>
  <c r="A67" i="87"/>
  <c r="A56" i="87"/>
  <c r="A55" i="87"/>
  <c r="A54" i="87"/>
  <c r="A53" i="87"/>
  <c r="A52" i="87"/>
  <c r="A51" i="87"/>
  <c r="A50" i="87"/>
  <c r="A49" i="87"/>
  <c r="A48"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6" i="86"/>
  <c r="A55" i="86"/>
  <c r="A54" i="86"/>
  <c r="A53" i="86"/>
  <c r="A52" i="86"/>
  <c r="A51" i="86"/>
  <c r="A50" i="86"/>
  <c r="A49" i="86"/>
  <c r="A48"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127" i="85"/>
  <c r="A97" i="85"/>
  <c r="A67" i="85"/>
  <c r="A56" i="85"/>
  <c r="A55" i="85"/>
  <c r="A54" i="85"/>
  <c r="A53" i="85"/>
  <c r="A52" i="85"/>
  <c r="A51" i="85"/>
  <c r="A50" i="85"/>
  <c r="A49" i="85"/>
  <c r="A48"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277" i="84"/>
  <c r="A247" i="84"/>
  <c r="A217" i="84"/>
  <c r="A187" i="84"/>
  <c r="A157" i="84"/>
  <c r="A127" i="84"/>
  <c r="A97" i="84"/>
  <c r="A67" i="84"/>
  <c r="A56" i="84"/>
  <c r="A55" i="84"/>
  <c r="A54" i="84"/>
  <c r="A53" i="84"/>
  <c r="A52" i="84"/>
  <c r="A51" i="84"/>
  <c r="A50" i="84"/>
  <c r="A49" i="84"/>
  <c r="A48"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247" i="83"/>
  <c r="A217" i="83"/>
  <c r="A187" i="83"/>
  <c r="A157" i="83"/>
  <c r="A127" i="83"/>
  <c r="A97" i="83"/>
  <c r="A67" i="83"/>
  <c r="A56" i="83"/>
  <c r="A55" i="83"/>
  <c r="A54" i="83"/>
  <c r="A53" i="83"/>
  <c r="A52" i="83"/>
  <c r="A51" i="83"/>
  <c r="A50" i="83"/>
  <c r="A49" i="83"/>
  <c r="A48"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6" i="89"/>
  <c r="A55" i="89"/>
  <c r="A54" i="89"/>
  <c r="A53" i="89"/>
  <c r="A52" i="89"/>
  <c r="A51" i="89"/>
  <c r="A50" i="89"/>
  <c r="A49" i="89"/>
  <c r="A48"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6" i="78"/>
  <c r="A55" i="78"/>
  <c r="A54" i="78"/>
  <c r="A53" i="78"/>
  <c r="A52" i="78"/>
  <c r="A51" i="78"/>
  <c r="A50" i="78"/>
  <c r="A49" i="78"/>
  <c r="A48"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6" i="113"/>
  <c r="A55" i="113"/>
  <c r="A54" i="113"/>
  <c r="A53" i="113"/>
  <c r="A52" i="113"/>
  <c r="A51" i="113"/>
  <c r="A50" i="113"/>
  <c r="A49" i="113"/>
  <c r="A48"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6" i="106"/>
  <c r="A55" i="106"/>
  <c r="A54" i="106"/>
  <c r="A53" i="106"/>
  <c r="A52" i="106"/>
  <c r="A51" i="106"/>
  <c r="A50" i="106"/>
  <c r="A49" i="106"/>
  <c r="A48"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6" i="112"/>
  <c r="A55" i="112"/>
  <c r="A54" i="112"/>
  <c r="A53" i="112"/>
  <c r="A52" i="112"/>
  <c r="A51" i="112"/>
  <c r="A50" i="112"/>
  <c r="A49" i="112"/>
  <c r="A48"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6" i="111"/>
  <c r="A55" i="111"/>
  <c r="A54" i="111"/>
  <c r="A53" i="111"/>
  <c r="A52" i="111"/>
  <c r="A51" i="111"/>
  <c r="A50" i="111"/>
  <c r="A49" i="111"/>
  <c r="A48"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6" i="110"/>
  <c r="A55" i="110"/>
  <c r="A54" i="110"/>
  <c r="A53" i="110"/>
  <c r="A52" i="110"/>
  <c r="A51" i="110"/>
  <c r="A50" i="110"/>
  <c r="A49" i="110"/>
  <c r="A48"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6" i="90"/>
  <c r="A55" i="90"/>
  <c r="A54" i="90"/>
  <c r="A53" i="90"/>
  <c r="A52" i="90"/>
  <c r="A51" i="90"/>
  <c r="A50" i="90"/>
  <c r="A49" i="90"/>
  <c r="A48"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6" i="93"/>
  <c r="A55" i="93"/>
  <c r="A54" i="93"/>
  <c r="A53" i="93"/>
  <c r="A52" i="93"/>
  <c r="A51" i="93"/>
  <c r="A50" i="93"/>
  <c r="A49" i="93"/>
  <c r="A48"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6" i="109"/>
  <c r="A55" i="109"/>
  <c r="A54" i="109"/>
  <c r="A53" i="109"/>
  <c r="A52" i="109"/>
  <c r="A51" i="109"/>
  <c r="A50" i="109"/>
  <c r="A49" i="109"/>
  <c r="A48"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6" i="81"/>
  <c r="A55" i="81"/>
  <c r="A54" i="81"/>
  <c r="A53" i="81"/>
  <c r="A52" i="81"/>
  <c r="A51" i="81"/>
  <c r="A50" i="81"/>
  <c r="A49" i="81"/>
  <c r="A48"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97" i="82"/>
  <c r="A67" i="82"/>
  <c r="A56" i="82"/>
  <c r="A55" i="82"/>
  <c r="A54" i="82"/>
  <c r="A53" i="82"/>
  <c r="A52" i="82"/>
  <c r="A51" i="82"/>
  <c r="A50" i="82"/>
  <c r="A49" i="82"/>
  <c r="A48"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6" i="75"/>
  <c r="A55" i="75"/>
  <c r="A54" i="75"/>
  <c r="A53" i="75"/>
  <c r="A52" i="75"/>
  <c r="A51" i="75"/>
  <c r="A50" i="75"/>
  <c r="A49" i="75"/>
  <c r="A48"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7" i="72"/>
  <c r="A56" i="72"/>
  <c r="A55" i="72"/>
  <c r="A54" i="72"/>
  <c r="A53" i="72"/>
  <c r="A52" i="72"/>
  <c r="A51" i="72"/>
  <c r="A50" i="72"/>
  <c r="A49" i="72"/>
  <c r="A48"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6" i="80"/>
  <c r="A55" i="80"/>
  <c r="A54" i="80"/>
  <c r="A53" i="80"/>
  <c r="A52" i="80"/>
  <c r="A51" i="80"/>
  <c r="A50" i="80"/>
  <c r="A49" i="80"/>
  <c r="A48"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6" i="13"/>
  <c r="A55" i="13"/>
  <c r="A54" i="13"/>
  <c r="A53" i="13"/>
  <c r="A52" i="13"/>
  <c r="A51" i="13"/>
  <c r="A50" i="13"/>
  <c r="A49" i="13"/>
  <c r="A48"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6" i="71"/>
  <c r="A55" i="71"/>
  <c r="A54" i="71"/>
  <c r="A53" i="71"/>
  <c r="A52" i="71"/>
  <c r="A51" i="71"/>
  <c r="A50" i="71"/>
  <c r="A49" i="71"/>
  <c r="A48"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4"/>
  <c r="D74" i="104"/>
  <c r="D73" i="104"/>
  <c r="D72" i="104"/>
  <c r="D71" i="104"/>
  <c r="D70" i="104"/>
  <c r="D69" i="104"/>
  <c r="D68" i="104"/>
  <c r="D134" i="103" a="1"/>
  <c r="D134" i="103" s="1"/>
  <c r="D102" i="103" a="1"/>
  <c r="D102" i="103" s="1"/>
  <c r="G25" i="102" a="1"/>
  <c r="G25" i="102" s="1"/>
  <c r="F25" i="102" a="1"/>
  <c r="F25" i="102" s="1"/>
  <c r="D25" i="102" a="1"/>
  <c r="D25" i="102" s="1"/>
  <c r="H20" i="101" a="1"/>
  <c r="H20" i="101" s="1"/>
  <c r="E20" i="101" a="1"/>
  <c r="E20" i="101" s="1"/>
  <c r="D20" i="101" a="1"/>
  <c r="D20" i="101" s="1"/>
  <c r="N21" i="99" a="1"/>
  <c r="N21" i="99" s="1"/>
  <c r="N11" i="99" a="1"/>
  <c r="N11" i="99" s="1"/>
  <c r="D55" i="88"/>
  <c r="D54" i="88"/>
  <c r="D42" i="88"/>
  <c r="D64" i="82" s="1"/>
  <c r="F642" i="114" a="1"/>
  <c r="F642" i="114" s="1"/>
  <c r="E642" i="114" a="1"/>
  <c r="E642" i="114" s="1"/>
  <c r="D642" i="114" a="1"/>
  <c r="D642" i="114" s="1"/>
  <c r="F624" i="114" a="1"/>
  <c r="F624" i="114" s="1"/>
  <c r="E624" i="114" a="1"/>
  <c r="E624" i="114" s="1"/>
  <c r="D624" i="114" a="1"/>
  <c r="D624" i="114" s="1"/>
  <c r="F505" i="114" a="1"/>
  <c r="F505" i="114" s="1"/>
  <c r="E505" i="114" a="1"/>
  <c r="E505" i="114" s="1"/>
  <c r="K505" i="114" s="1" a="1"/>
  <c r="K505" i="114" s="1"/>
  <c r="D505" i="114" a="1"/>
  <c r="D505" i="114" s="1"/>
  <c r="F463" i="114" a="1"/>
  <c r="F463" i="114" s="1"/>
  <c r="J463" i="114" s="1" a="1"/>
  <c r="J463" i="114" s="1"/>
  <c r="E463" i="114" a="1"/>
  <c r="D463" i="114" a="1"/>
  <c r="D463" i="114" s="1"/>
  <c r="F445" i="114" a="1"/>
  <c r="F445" i="114" s="1"/>
  <c r="J445" i="114" s="1" a="1"/>
  <c r="J445" i="114" s="1"/>
  <c r="E445" i="114" a="1"/>
  <c r="D445" i="114" a="1"/>
  <c r="D445" i="114" s="1"/>
  <c r="G351" i="114" a="1"/>
  <c r="G351" i="114" s="1"/>
  <c r="F351" i="114" a="1"/>
  <c r="F351" i="114" s="1"/>
  <c r="E351" i="114" a="1"/>
  <c r="E351" i="114" s="1"/>
  <c r="D351" i="114" a="1"/>
  <c r="D351" i="114" s="1"/>
  <c r="D320" i="114" a="1"/>
  <c r="D320" i="114" s="1"/>
  <c r="AD252" i="114" a="1"/>
  <c r="AD252" i="114" s="1"/>
  <c r="AC252" i="114" a="1"/>
  <c r="Z252" i="114" a="1"/>
  <c r="Z252" i="114" s="1"/>
  <c r="Y252" i="114" a="1"/>
  <c r="V252" i="114" a="1"/>
  <c r="V252" i="114" s="1"/>
  <c r="U252" i="114" a="1"/>
  <c r="U252" i="114" s="1"/>
  <c r="R252" i="114" a="1"/>
  <c r="R252" i="114" s="1"/>
  <c r="Q252" i="114" a="1"/>
  <c r="Q252" i="114" s="1"/>
  <c r="P252" i="114" a="1"/>
  <c r="P252" i="114" s="1"/>
  <c r="O252" i="114" a="1"/>
  <c r="O252" i="114" s="1"/>
  <c r="D252" i="114" a="1"/>
  <c r="D252" i="114" s="1"/>
  <c r="D236" i="114" a="1"/>
  <c r="D236" i="114" s="1"/>
  <c r="AA120" i="114" a="1"/>
  <c r="AA120" i="114" s="1"/>
  <c r="Z120" i="114" a="1"/>
  <c r="Z120" i="114" s="1"/>
  <c r="Y120" i="114" a="1"/>
  <c r="Y120" i="114" s="1"/>
  <c r="W120" i="114" a="1"/>
  <c r="W120" i="114" s="1"/>
  <c r="V120" i="114" a="1"/>
  <c r="V120" i="114" s="1"/>
  <c r="U120" i="114" a="1"/>
  <c r="U120" i="114" s="1"/>
  <c r="S120" i="114" a="1"/>
  <c r="S120" i="114" s="1"/>
  <c r="R120" i="114" a="1"/>
  <c r="R120" i="114" s="1"/>
  <c r="Q120" i="114" a="1"/>
  <c r="Q120" i="114" s="1"/>
  <c r="O120" i="114" a="1"/>
  <c r="O120" i="114" s="1"/>
  <c r="N120" i="114" a="1"/>
  <c r="N120" i="114" s="1"/>
  <c r="M120" i="114" a="1"/>
  <c r="M120" i="114" s="1"/>
  <c r="E120" i="114" a="1"/>
  <c r="E120" i="114" s="1"/>
  <c r="D120" i="114" a="1"/>
  <c r="D120" i="114" s="1"/>
  <c r="H61" i="114" a="1"/>
  <c r="H61" i="114" s="1"/>
  <c r="E61" i="114" a="1"/>
  <c r="E61" i="114" s="1"/>
  <c r="D61" i="114" a="1"/>
  <c r="D61" i="114" s="1"/>
  <c r="D32" i="95"/>
  <c r="D25" i="95"/>
  <c r="M39" i="94" a="1"/>
  <c r="M39" i="94" s="1"/>
  <c r="F39" i="94"/>
  <c r="D37" i="94"/>
  <c r="D34" i="94"/>
  <c r="D33" i="94"/>
  <c r="D25" i="94"/>
  <c r="J21" i="93" a="1"/>
  <c r="J21" i="93" s="1"/>
  <c r="G21" i="93" a="1"/>
  <c r="G21" i="93" s="1"/>
  <c r="J20" i="93" a="1"/>
  <c r="J20" i="93" s="1"/>
  <c r="G20" i="93" a="1"/>
  <c r="G20" i="93" s="1"/>
  <c r="J19" i="93" a="1"/>
  <c r="J19" i="93" s="1"/>
  <c r="G19" i="93" a="1"/>
  <c r="G19" i="93" s="1"/>
  <c r="J18" i="93" a="1"/>
  <c r="J18" i="93" s="1"/>
  <c r="G18" i="93" a="1"/>
  <c r="G18" i="93" s="1"/>
  <c r="J17" i="93" a="1"/>
  <c r="J17" i="93" s="1"/>
  <c r="G17" i="93" a="1"/>
  <c r="G17" i="93" s="1"/>
  <c r="F27" i="117" a="1"/>
  <c r="F27" i="117" s="1"/>
  <c r="E27" i="117" a="1"/>
  <c r="E27" i="117" s="1"/>
  <c r="D27" i="117" a="1"/>
  <c r="D27" i="117" s="1"/>
  <c r="F26" i="117" a="1"/>
  <c r="F26" i="117" s="1"/>
  <c r="E47" i="88" s="1"/>
  <c r="E26" i="117" a="1"/>
  <c r="E26" i="117" s="1"/>
  <c r="D60" i="88" s="1"/>
  <c r="D26" i="117" a="1"/>
  <c r="D26" i="117" s="1"/>
  <c r="F25" i="117" a="1"/>
  <c r="F25" i="117" s="1"/>
  <c r="E25" i="117" a="1"/>
  <c r="E25" i="117" s="1"/>
  <c r="D25" i="117" a="1"/>
  <c r="D25" i="117" s="1"/>
  <c r="F24" i="117" a="1"/>
  <c r="F24" i="117" s="1"/>
  <c r="E24" i="117" a="1"/>
  <c r="E24" i="117" s="1"/>
  <c r="D24" i="117" a="1"/>
  <c r="D24" i="117" s="1"/>
  <c r="F23" i="117" a="1"/>
  <c r="F23" i="117" s="1"/>
  <c r="E23" i="117" a="1"/>
  <c r="E23" i="117" s="1"/>
  <c r="D23" i="117" a="1"/>
  <c r="D23" i="117" s="1"/>
  <c r="F22" i="117" a="1"/>
  <c r="F22" i="117" s="1"/>
  <c r="E22" i="117" a="1"/>
  <c r="E22" i="117" s="1"/>
  <c r="D22" i="117" a="1"/>
  <c r="D22" i="117" s="1"/>
  <c r="F21" i="117" a="1"/>
  <c r="F21" i="117" s="1"/>
  <c r="E21" i="117" a="1"/>
  <c r="E21" i="117" s="1"/>
  <c r="D21" i="117" a="1"/>
  <c r="D21" i="117" s="1"/>
  <c r="F20" i="117" a="1"/>
  <c r="F20" i="117" s="1"/>
  <c r="L46" i="88" s="1"/>
  <c r="E20" i="117" a="1"/>
  <c r="E20" i="117" s="1"/>
  <c r="K46" i="88" s="1"/>
  <c r="D20" i="117" a="1"/>
  <c r="D20" i="117" s="1"/>
  <c r="F19" i="117" a="1"/>
  <c r="F19" i="117" s="1"/>
  <c r="E19" i="117" a="1"/>
  <c r="E19" i="117" s="1"/>
  <c r="D19" i="117" a="1"/>
  <c r="D19" i="117" s="1"/>
  <c r="F18" i="117" a="1"/>
  <c r="F18" i="117" s="1"/>
  <c r="H43" i="88" s="1"/>
  <c r="E18" i="117" a="1"/>
  <c r="E18" i="117" s="1"/>
  <c r="D18" i="117" a="1"/>
  <c r="D18" i="117" s="1"/>
  <c r="F17" i="117" a="1"/>
  <c r="F17" i="117" s="1"/>
  <c r="E17" i="117" a="1"/>
  <c r="E17" i="117" s="1"/>
  <c r="D17" i="117" a="1"/>
  <c r="D17" i="117" s="1"/>
  <c r="F16" i="117" a="1"/>
  <c r="F16" i="117" s="1"/>
  <c r="H42" i="88" s="1"/>
  <c r="E16" i="117" a="1"/>
  <c r="E16" i="117" s="1"/>
  <c r="D56" i="88" s="1"/>
  <c r="D16" i="117" a="1"/>
  <c r="D16" i="117" s="1"/>
  <c r="F15" i="117" a="1"/>
  <c r="F15" i="117" s="1"/>
  <c r="E15" i="117" a="1"/>
  <c r="E15" i="117" s="1"/>
  <c r="K42" i="88" s="1"/>
  <c r="D15" i="117" a="1"/>
  <c r="D15" i="117" s="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L41" i="88" s="1"/>
  <c r="E10" i="117" a="1"/>
  <c r="E10" i="117" s="1"/>
  <c r="K41" i="88" s="1"/>
  <c r="D10" i="117" a="1"/>
  <c r="D10" i="117" s="1"/>
  <c r="D8" i="117" a="1"/>
  <c r="D8" i="117" s="1"/>
  <c r="D7" i="117" a="1"/>
  <c r="D7" i="117" s="1"/>
  <c r="D6" i="117" a="1"/>
  <c r="D6" i="117" s="1"/>
  <c r="I247" i="116" a="1"/>
  <c r="I247" i="116" s="1"/>
  <c r="H247" i="116" a="1"/>
  <c r="H247" i="116" s="1"/>
  <c r="G247" i="116" a="1"/>
  <c r="G247" i="116" s="1"/>
  <c r="F247" i="116" a="1"/>
  <c r="F247" i="116" s="1"/>
  <c r="E247" i="116" a="1"/>
  <c r="E247" i="116" s="1"/>
  <c r="D247" i="116" a="1"/>
  <c r="D247" i="116" s="1"/>
  <c r="I246" i="116" a="1"/>
  <c r="I246" i="116" s="1"/>
  <c r="H246" i="116" a="1"/>
  <c r="H246" i="116" s="1"/>
  <c r="G246" i="116" a="1"/>
  <c r="G246" i="116" s="1"/>
  <c r="F246" i="116" a="1"/>
  <c r="F246" i="116" s="1"/>
  <c r="E246" i="116" a="1"/>
  <c r="E246" i="116" s="1"/>
  <c r="D246" i="116" a="1"/>
  <c r="D246" i="116" s="1"/>
  <c r="I245" i="116" a="1"/>
  <c r="I245" i="116" s="1"/>
  <c r="H245" i="116" a="1"/>
  <c r="H245" i="116" s="1"/>
  <c r="G245" i="116" a="1"/>
  <c r="G245" i="116" s="1"/>
  <c r="F245" i="116" a="1"/>
  <c r="F245" i="116" s="1"/>
  <c r="E245" i="116" a="1"/>
  <c r="E245" i="116" s="1"/>
  <c r="D245" i="116" a="1"/>
  <c r="D245" i="116" s="1"/>
  <c r="I244" i="116" a="1"/>
  <c r="I244" i="116" s="1"/>
  <c r="H244" i="116" a="1"/>
  <c r="H244" i="116" s="1"/>
  <c r="G244" i="116" a="1"/>
  <c r="G244" i="116" s="1"/>
  <c r="F244" i="116" a="1"/>
  <c r="F244" i="116" s="1"/>
  <c r="E244" i="116" a="1"/>
  <c r="E244" i="116" s="1"/>
  <c r="D244" i="116" a="1"/>
  <c r="D244" i="116" s="1"/>
  <c r="I243" i="116" a="1"/>
  <c r="I243" i="116" s="1"/>
  <c r="H243" i="116" a="1"/>
  <c r="H243" i="116" s="1"/>
  <c r="G243" i="116" a="1"/>
  <c r="G243" i="116" s="1"/>
  <c r="F243" i="116" a="1"/>
  <c r="F243" i="116" s="1"/>
  <c r="M243" i="116" s="1"/>
  <c r="E243" i="116" a="1"/>
  <c r="E243" i="116" s="1"/>
  <c r="L243" i="116" s="1"/>
  <c r="D243" i="116" a="1"/>
  <c r="D243" i="116" s="1"/>
  <c r="I242" i="116" a="1"/>
  <c r="I242" i="116" s="1"/>
  <c r="H242" i="116" a="1"/>
  <c r="H242" i="116" s="1"/>
  <c r="G242" i="116" a="1"/>
  <c r="G242" i="116" s="1"/>
  <c r="F242" i="116" a="1"/>
  <c r="F242" i="116" s="1"/>
  <c r="M242" i="116" s="1"/>
  <c r="E242" i="116" a="1"/>
  <c r="E242" i="116" s="1"/>
  <c r="D242" i="116" a="1"/>
  <c r="D242" i="116" s="1"/>
  <c r="I237" i="116" a="1"/>
  <c r="I237" i="116" s="1"/>
  <c r="H237" i="116" a="1"/>
  <c r="H237" i="116" s="1"/>
  <c r="G237" i="116" a="1"/>
  <c r="G237" i="116" s="1"/>
  <c r="F237" i="116" a="1"/>
  <c r="F237" i="116" s="1"/>
  <c r="E237" i="116" a="1"/>
  <c r="E237" i="116" s="1"/>
  <c r="D237" i="116" a="1"/>
  <c r="D237" i="116" s="1"/>
  <c r="I236" i="116" a="1"/>
  <c r="I236" i="116" s="1"/>
  <c r="H236" i="116" a="1"/>
  <c r="H236" i="116" s="1"/>
  <c r="G236" i="116" a="1"/>
  <c r="G236" i="116" s="1"/>
  <c r="F236" i="116" a="1"/>
  <c r="F236" i="116" s="1"/>
  <c r="E236" i="116" a="1"/>
  <c r="E236" i="116" s="1"/>
  <c r="D236" i="116" a="1"/>
  <c r="D236" i="116" s="1"/>
  <c r="I235" i="116" a="1"/>
  <c r="I235" i="116" s="1"/>
  <c r="H235" i="116" a="1"/>
  <c r="H235" i="116" s="1"/>
  <c r="G235" i="116" a="1"/>
  <c r="G235" i="116" s="1"/>
  <c r="F235" i="116" a="1"/>
  <c r="F235" i="116" s="1"/>
  <c r="E235" i="116" a="1"/>
  <c r="E235" i="116" s="1"/>
  <c r="D235" i="116" a="1"/>
  <c r="D235" i="116" s="1"/>
  <c r="I231" i="116" a="1"/>
  <c r="I231" i="116" s="1"/>
  <c r="H231" i="116" a="1"/>
  <c r="H231" i="116" s="1"/>
  <c r="G231" i="116" a="1"/>
  <c r="G231" i="116" s="1"/>
  <c r="F231" i="116" a="1"/>
  <c r="F231" i="116" s="1"/>
  <c r="E231" i="116" a="1"/>
  <c r="E231" i="116" s="1"/>
  <c r="D231" i="116" a="1"/>
  <c r="D231" i="116" s="1"/>
  <c r="I230" i="116" a="1"/>
  <c r="I230" i="116" s="1"/>
  <c r="H230" i="116" a="1"/>
  <c r="H230" i="116" s="1"/>
  <c r="G230" i="116" a="1"/>
  <c r="G230" i="116" s="1"/>
  <c r="F230" i="116" a="1"/>
  <c r="F230" i="116" s="1"/>
  <c r="E230" i="116" a="1"/>
  <c r="E230" i="116" s="1"/>
  <c r="D230" i="116" a="1"/>
  <c r="D230" i="116" s="1"/>
  <c r="I229" i="116" a="1"/>
  <c r="I229" i="116" s="1"/>
  <c r="H229" i="116" a="1"/>
  <c r="H229" i="116" s="1"/>
  <c r="G229" i="116" a="1"/>
  <c r="G229" i="116" s="1"/>
  <c r="F229" i="116" a="1"/>
  <c r="F229" i="116" s="1"/>
  <c r="E229" i="116" a="1"/>
  <c r="E229" i="116" s="1"/>
  <c r="D229" i="116" a="1"/>
  <c r="D229" i="116" s="1"/>
  <c r="I228" i="116" a="1"/>
  <c r="I228" i="116" s="1"/>
  <c r="H228" i="116" a="1"/>
  <c r="H228" i="116" s="1"/>
  <c r="G228" i="116" a="1"/>
  <c r="G228" i="116" s="1"/>
  <c r="F228" i="116" a="1"/>
  <c r="F228" i="116" s="1"/>
  <c r="E228" i="116" a="1"/>
  <c r="E228" i="116" s="1"/>
  <c r="D228" i="116" a="1"/>
  <c r="D228" i="116" s="1"/>
  <c r="I227" i="116" a="1"/>
  <c r="I227" i="116" s="1"/>
  <c r="H227" i="116" a="1"/>
  <c r="H227" i="116" s="1"/>
  <c r="G227" i="116" a="1"/>
  <c r="G227" i="116" s="1"/>
  <c r="F227" i="116" a="1"/>
  <c r="F227" i="116" s="1"/>
  <c r="E227" i="116" a="1"/>
  <c r="E227" i="116" s="1"/>
  <c r="D227" i="116" a="1"/>
  <c r="D227" i="116" s="1"/>
  <c r="I226" i="116" a="1"/>
  <c r="I226" i="116" s="1"/>
  <c r="H226" i="116" a="1"/>
  <c r="H226" i="116" s="1"/>
  <c r="G226" i="116"/>
  <c r="G226" i="116" a="1"/>
  <c r="F226" i="116" a="1"/>
  <c r="F226" i="116" s="1"/>
  <c r="E226" i="116" a="1"/>
  <c r="E226" i="116" s="1"/>
  <c r="D226" i="116" a="1"/>
  <c r="D226" i="116" s="1"/>
  <c r="I225" i="116" a="1"/>
  <c r="I225" i="116" s="1"/>
  <c r="H225" i="116" a="1"/>
  <c r="H225" i="116" s="1"/>
  <c r="G225" i="116" a="1"/>
  <c r="G225" i="116" s="1"/>
  <c r="F225" i="116" a="1"/>
  <c r="F225" i="116" s="1"/>
  <c r="E225" i="116" a="1"/>
  <c r="E225" i="116" s="1"/>
  <c r="D225" i="116" a="1"/>
  <c r="D225" i="116" s="1"/>
  <c r="I224" i="116" a="1"/>
  <c r="I224" i="116" s="1"/>
  <c r="H224" i="116" a="1"/>
  <c r="H224" i="116" s="1"/>
  <c r="G224" i="116" a="1"/>
  <c r="G224" i="116" s="1"/>
  <c r="F224" i="116" a="1"/>
  <c r="F224" i="116" s="1"/>
  <c r="E224" i="116" a="1"/>
  <c r="E224" i="116" s="1"/>
  <c r="D224" i="116" a="1"/>
  <c r="D224" i="116" s="1"/>
  <c r="I223" i="116" a="1"/>
  <c r="I223" i="116" s="1"/>
  <c r="H223" i="116" a="1"/>
  <c r="H223" i="116" s="1"/>
  <c r="G223" i="116" a="1"/>
  <c r="G223" i="116" s="1"/>
  <c r="F223" i="116" a="1"/>
  <c r="F223" i="116" s="1"/>
  <c r="E223" i="116" a="1"/>
  <c r="E223" i="116" s="1"/>
  <c r="D223" i="116" a="1"/>
  <c r="D223" i="116" s="1"/>
  <c r="I222" i="116" a="1"/>
  <c r="I222" i="116" s="1"/>
  <c r="H222" i="116"/>
  <c r="H222" i="116" a="1"/>
  <c r="G222" i="116" a="1"/>
  <c r="G222" i="116" s="1"/>
  <c r="F222" i="116"/>
  <c r="F222" i="116" a="1"/>
  <c r="E222" i="116" a="1"/>
  <c r="E222" i="116" s="1"/>
  <c r="D222" i="116" a="1"/>
  <c r="D222" i="116" s="1"/>
  <c r="I221" i="116" a="1"/>
  <c r="I221" i="116" s="1"/>
  <c r="H221" i="116" a="1"/>
  <c r="H221" i="116" s="1"/>
  <c r="G221" i="116" a="1"/>
  <c r="G221" i="116" s="1"/>
  <c r="F221" i="116" a="1"/>
  <c r="F221" i="116" s="1"/>
  <c r="E221" i="116" a="1"/>
  <c r="E221" i="116" s="1"/>
  <c r="D221" i="116" a="1"/>
  <c r="D221" i="116" s="1"/>
  <c r="I220" i="116" a="1"/>
  <c r="I220" i="116" s="1"/>
  <c r="H220" i="116" a="1"/>
  <c r="H220" i="116" s="1"/>
  <c r="G220" i="116" a="1"/>
  <c r="G220" i="116" s="1"/>
  <c r="F220" i="116" a="1"/>
  <c r="F220" i="116" s="1"/>
  <c r="E220" i="116" a="1"/>
  <c r="E220" i="116" s="1"/>
  <c r="D220" i="116" a="1"/>
  <c r="D220" i="116" s="1"/>
  <c r="I216" i="116" a="1"/>
  <c r="I216" i="116" s="1"/>
  <c r="H216" i="116" a="1"/>
  <c r="H216" i="116" s="1"/>
  <c r="G216" i="116" a="1"/>
  <c r="G216" i="116" s="1"/>
  <c r="F216" i="116" a="1"/>
  <c r="F216" i="116" s="1"/>
  <c r="E216" i="116" a="1"/>
  <c r="E216" i="116" s="1"/>
  <c r="D216" i="116" a="1"/>
  <c r="D216" i="116" s="1"/>
  <c r="I215" i="116" a="1"/>
  <c r="I215" i="116" s="1"/>
  <c r="H215" i="116" a="1"/>
  <c r="H215" i="116" s="1"/>
  <c r="G215" i="116" a="1"/>
  <c r="G215" i="116" s="1"/>
  <c r="F215" i="116" a="1"/>
  <c r="F215" i="116" s="1"/>
  <c r="E215" i="116" a="1"/>
  <c r="E215" i="116" s="1"/>
  <c r="D215" i="116" a="1"/>
  <c r="D215" i="116" s="1"/>
  <c r="I214" i="116" a="1"/>
  <c r="I214" i="116" s="1"/>
  <c r="H214" i="116" a="1"/>
  <c r="H214" i="116" s="1"/>
  <c r="G214" i="116" a="1"/>
  <c r="G214" i="116" s="1"/>
  <c r="F214" i="116" a="1"/>
  <c r="F214" i="116" s="1"/>
  <c r="E214" i="116" a="1"/>
  <c r="E214" i="116" s="1"/>
  <c r="D214" i="116" a="1"/>
  <c r="D214" i="116" s="1"/>
  <c r="I213" i="116" a="1"/>
  <c r="I213" i="116" s="1"/>
  <c r="H213" i="116" a="1"/>
  <c r="H213" i="116" s="1"/>
  <c r="G213" i="116" a="1"/>
  <c r="G213" i="116" s="1"/>
  <c r="F213" i="116" a="1"/>
  <c r="F213" i="116" s="1"/>
  <c r="E213" i="116" a="1"/>
  <c r="E213" i="116" s="1"/>
  <c r="G384" i="114" s="1" a="1"/>
  <c r="G384" i="114" s="1"/>
  <c r="D213" i="116"/>
  <c r="D213" i="116" a="1"/>
  <c r="I209" i="116" a="1"/>
  <c r="I209" i="116" s="1"/>
  <c r="H209" i="116" a="1"/>
  <c r="H209" i="116" s="1"/>
  <c r="G209" i="116" a="1"/>
  <c r="G209" i="116" s="1"/>
  <c r="F209" i="116" a="1"/>
  <c r="F209" i="116" s="1"/>
  <c r="E209" i="116" a="1"/>
  <c r="E209" i="116" s="1"/>
  <c r="D209" i="116" a="1"/>
  <c r="D209" i="116" s="1"/>
  <c r="I208" i="116"/>
  <c r="I208" i="116" a="1"/>
  <c r="H208" i="116" a="1"/>
  <c r="H208" i="116" s="1"/>
  <c r="G208" i="116" a="1"/>
  <c r="G208" i="116" s="1"/>
  <c r="F208" i="116" a="1"/>
  <c r="F208" i="116" s="1"/>
  <c r="E208" i="116" a="1"/>
  <c r="E208" i="116" s="1"/>
  <c r="D208" i="116" a="1"/>
  <c r="D208" i="116" s="1"/>
  <c r="I207" i="116" a="1"/>
  <c r="I207" i="116" s="1"/>
  <c r="H207" i="116" a="1"/>
  <c r="H207" i="116" s="1"/>
  <c r="G207" i="116" a="1"/>
  <c r="G207" i="116" s="1"/>
  <c r="F207" i="116" a="1"/>
  <c r="F207" i="116" s="1"/>
  <c r="E207" i="116" a="1"/>
  <c r="E207" i="116" s="1"/>
  <c r="D207" i="116" a="1"/>
  <c r="D207" i="116" s="1"/>
  <c r="I206" i="116" a="1"/>
  <c r="I206" i="116" s="1"/>
  <c r="H206" i="116" a="1"/>
  <c r="H206" i="116" s="1"/>
  <c r="G206" i="116" a="1"/>
  <c r="G206" i="116" s="1"/>
  <c r="F206" i="116" a="1"/>
  <c r="F206" i="116" s="1"/>
  <c r="E206" i="116" a="1"/>
  <c r="E206" i="116" s="1"/>
  <c r="D206" i="116" a="1"/>
  <c r="D206" i="116" s="1"/>
  <c r="I205" i="116" a="1"/>
  <c r="I205" i="116" s="1"/>
  <c r="H205" i="116" a="1"/>
  <c r="H205" i="116" s="1"/>
  <c r="G205" i="116" a="1"/>
  <c r="G205" i="116" s="1"/>
  <c r="F205" i="116" a="1"/>
  <c r="F205" i="116" s="1"/>
  <c r="E205" i="116" a="1"/>
  <c r="E205" i="116" s="1"/>
  <c r="D205" i="116"/>
  <c r="D205" i="116" a="1"/>
  <c r="I204" i="116" a="1"/>
  <c r="I204" i="116" s="1"/>
  <c r="H204" i="116" a="1"/>
  <c r="H204" i="116" s="1"/>
  <c r="G204" i="116" a="1"/>
  <c r="G204" i="116" s="1"/>
  <c r="F204" i="116" a="1"/>
  <c r="F204" i="116" s="1"/>
  <c r="E204" i="116" a="1"/>
  <c r="E204" i="116" s="1"/>
  <c r="D204" i="116" a="1"/>
  <c r="D204" i="116" s="1"/>
  <c r="I203" i="116" a="1"/>
  <c r="I203" i="116" s="1"/>
  <c r="H203" i="116" a="1"/>
  <c r="H203" i="116" s="1"/>
  <c r="G203" i="116" a="1"/>
  <c r="G203" i="116" s="1"/>
  <c r="F203" i="116" a="1"/>
  <c r="F203" i="116" s="1"/>
  <c r="E203" i="116" a="1"/>
  <c r="E203" i="116" s="1"/>
  <c r="D48" i="111" s="1"/>
  <c r="D495" i="114" s="1"/>
  <c r="F495" i="114" s="1" a="1"/>
  <c r="F495" i="114" s="1"/>
  <c r="D203" i="116" a="1"/>
  <c r="D203" i="116" s="1"/>
  <c r="I202" i="116" a="1"/>
  <c r="I202" i="116" s="1"/>
  <c r="H202" i="116" a="1"/>
  <c r="H202" i="116" s="1"/>
  <c r="G202" i="116" a="1"/>
  <c r="G202" i="116" s="1"/>
  <c r="F202" i="116" a="1"/>
  <c r="F202" i="116" s="1"/>
  <c r="E202" i="116" a="1"/>
  <c r="E202" i="116" s="1"/>
  <c r="F485" i="114" s="1" a="1"/>
  <c r="F485" i="114" s="1"/>
  <c r="D202" i="116" a="1"/>
  <c r="D202" i="116" s="1"/>
  <c r="M198" i="116" a="1"/>
  <c r="M198" i="116" s="1"/>
  <c r="L198" i="116" a="1"/>
  <c r="L198" i="116" s="1"/>
  <c r="K198" i="116" a="1"/>
  <c r="K198" i="116" s="1"/>
  <c r="F198" i="116" a="1"/>
  <c r="F198" i="116" s="1"/>
  <c r="E198" i="116" a="1"/>
  <c r="E198" i="116" s="1"/>
  <c r="D198" i="116" a="1"/>
  <c r="D198" i="116" s="1"/>
  <c r="M197" i="116" a="1"/>
  <c r="M197" i="116" s="1"/>
  <c r="L197" i="116" a="1"/>
  <c r="L197" i="116" s="1"/>
  <c r="K197" i="116" a="1"/>
  <c r="K197" i="116" s="1"/>
  <c r="F197" i="116" a="1"/>
  <c r="F197" i="116" s="1"/>
  <c r="E197" i="116" a="1"/>
  <c r="E197" i="116" s="1"/>
  <c r="D197" i="116" a="1"/>
  <c r="D197" i="116" s="1"/>
  <c r="M196" i="116" a="1"/>
  <c r="M196" i="116" s="1"/>
  <c r="L196" i="116" a="1"/>
  <c r="L196" i="116" s="1"/>
  <c r="K196" i="116" a="1"/>
  <c r="K196" i="116" s="1"/>
  <c r="F196" i="116" a="1"/>
  <c r="F196" i="116" s="1"/>
  <c r="E196" i="116" a="1"/>
  <c r="E196" i="116" s="1"/>
  <c r="D196" i="116" a="1"/>
  <c r="D196" i="116" s="1"/>
  <c r="M195" i="116" a="1"/>
  <c r="M195" i="116" s="1"/>
  <c r="L195" i="116" a="1"/>
  <c r="L195" i="116" s="1"/>
  <c r="K195" i="116" a="1"/>
  <c r="K195" i="116" s="1"/>
  <c r="F195" i="116" a="1"/>
  <c r="F195" i="116" s="1"/>
  <c r="E195" i="116" a="1"/>
  <c r="E195" i="116" s="1"/>
  <c r="D195" i="116" a="1"/>
  <c r="D195" i="116" s="1"/>
  <c r="M194" i="116" a="1"/>
  <c r="M194" i="116" s="1"/>
  <c r="L194" i="116" a="1"/>
  <c r="L194" i="116" s="1"/>
  <c r="K194" i="116" a="1"/>
  <c r="K194" i="116" s="1"/>
  <c r="F194" i="116" a="1"/>
  <c r="F194" i="116" s="1"/>
  <c r="E194" i="116" a="1"/>
  <c r="E194" i="116" s="1"/>
  <c r="D194" i="116" a="1"/>
  <c r="D194" i="116" s="1"/>
  <c r="M193" i="116" a="1"/>
  <c r="M193" i="116" s="1"/>
  <c r="L193" i="116" a="1"/>
  <c r="L193" i="116" s="1"/>
  <c r="K193" i="116" a="1"/>
  <c r="K193" i="116" s="1"/>
  <c r="F193" i="116" a="1"/>
  <c r="F193" i="116" s="1"/>
  <c r="E193" i="116" a="1"/>
  <c r="E193" i="116" s="1"/>
  <c r="D193" i="116" a="1"/>
  <c r="D193" i="116" s="1"/>
  <c r="M192" i="116" a="1"/>
  <c r="M192" i="116" s="1"/>
  <c r="L192" i="116" a="1"/>
  <c r="L192" i="116" s="1"/>
  <c r="K192" i="116" a="1"/>
  <c r="K192" i="116" s="1"/>
  <c r="F192" i="116" a="1"/>
  <c r="F192" i="116" s="1"/>
  <c r="E192" i="116" a="1"/>
  <c r="E192" i="116" s="1"/>
  <c r="D192" i="116" a="1"/>
  <c r="D192" i="116" s="1"/>
  <c r="M191" i="116" a="1"/>
  <c r="M191" i="116" s="1"/>
  <c r="L191" i="116" a="1"/>
  <c r="L191" i="116" s="1"/>
  <c r="K191" i="116" a="1"/>
  <c r="K191" i="116" s="1"/>
  <c r="F191" i="116" a="1"/>
  <c r="F191" i="116" s="1"/>
  <c r="E191" i="116" a="1"/>
  <c r="E191" i="116" s="1"/>
  <c r="D191" i="116" a="1"/>
  <c r="D191" i="116" s="1"/>
  <c r="M190" i="116" a="1"/>
  <c r="M190" i="116" s="1"/>
  <c r="L190" i="116" a="1"/>
  <c r="L190" i="116" s="1"/>
  <c r="K190" i="116" a="1"/>
  <c r="K190" i="116" s="1"/>
  <c r="F190" i="116" a="1"/>
  <c r="F190" i="116" s="1"/>
  <c r="E190" i="116" a="1"/>
  <c r="E190" i="116" s="1"/>
  <c r="D190" i="116" a="1"/>
  <c r="D190" i="116" s="1"/>
  <c r="M189" i="116" a="1"/>
  <c r="M189" i="116" s="1"/>
  <c r="L189" i="116" a="1"/>
  <c r="L189" i="116" s="1"/>
  <c r="K189" i="116" a="1"/>
  <c r="K189" i="116" s="1"/>
  <c r="F189" i="116" a="1"/>
  <c r="F189" i="116" s="1"/>
  <c r="E189" i="116" a="1"/>
  <c r="E189" i="116" s="1"/>
  <c r="D189" i="116"/>
  <c r="D189" i="116" a="1"/>
  <c r="M188" i="116" a="1"/>
  <c r="M188" i="116" s="1"/>
  <c r="L188" i="116" a="1"/>
  <c r="L188" i="116" s="1"/>
  <c r="K188" i="116" a="1"/>
  <c r="K188" i="116" s="1"/>
  <c r="F188" i="116" a="1"/>
  <c r="F188" i="116" s="1"/>
  <c r="E188" i="116" a="1"/>
  <c r="E188" i="116" s="1"/>
  <c r="D188" i="116" a="1"/>
  <c r="D188" i="116" s="1"/>
  <c r="M187" i="116" a="1"/>
  <c r="M187" i="116" s="1"/>
  <c r="L187" i="116" a="1"/>
  <c r="L187" i="116" s="1"/>
  <c r="K187" i="116" a="1"/>
  <c r="K187" i="116" s="1"/>
  <c r="F187" i="116" a="1"/>
  <c r="F187" i="116" s="1"/>
  <c r="E187" i="116" a="1"/>
  <c r="E187" i="116" s="1"/>
  <c r="D187" i="116" a="1"/>
  <c r="D187" i="116" s="1"/>
  <c r="M186" i="116" a="1"/>
  <c r="M186" i="116" s="1"/>
  <c r="L186" i="116" a="1"/>
  <c r="L186" i="116" s="1"/>
  <c r="K186" i="116" a="1"/>
  <c r="K186" i="116" s="1"/>
  <c r="F186" i="116" a="1"/>
  <c r="F186" i="116" s="1"/>
  <c r="E186" i="116" a="1"/>
  <c r="E186" i="116" s="1"/>
  <c r="D186" i="116" a="1"/>
  <c r="D186" i="116" s="1"/>
  <c r="M185" i="116" a="1"/>
  <c r="M185" i="116" s="1"/>
  <c r="L185" i="116" a="1"/>
  <c r="L185" i="116" s="1"/>
  <c r="K185" i="116" a="1"/>
  <c r="K185" i="116" s="1"/>
  <c r="F185" i="116" a="1"/>
  <c r="F185" i="116" s="1"/>
  <c r="E185" i="116" a="1"/>
  <c r="E185" i="116" s="1"/>
  <c r="D185" i="116" a="1"/>
  <c r="D185" i="116" s="1"/>
  <c r="M184" i="116" a="1"/>
  <c r="M184" i="116" s="1"/>
  <c r="L184" i="116" a="1"/>
  <c r="L184" i="116" s="1"/>
  <c r="K184" i="116" a="1"/>
  <c r="K184" i="116" s="1"/>
  <c r="F184" i="116" a="1"/>
  <c r="F184" i="116" s="1"/>
  <c r="E184" i="116" a="1"/>
  <c r="E184" i="116" s="1"/>
  <c r="D184" i="116" a="1"/>
  <c r="D184" i="116" s="1"/>
  <c r="M183" i="116" a="1"/>
  <c r="M183" i="116" s="1"/>
  <c r="L183" i="116" a="1"/>
  <c r="L183" i="116" s="1"/>
  <c r="K183" i="116" a="1"/>
  <c r="K183" i="116" s="1"/>
  <c r="F183" i="116" a="1"/>
  <c r="F183" i="116" s="1"/>
  <c r="E183" i="116" a="1"/>
  <c r="E183" i="116" s="1"/>
  <c r="D183" i="116" a="1"/>
  <c r="D183" i="116" s="1"/>
  <c r="M182" i="116" a="1"/>
  <c r="M182" i="116" s="1"/>
  <c r="L182" i="116" a="1"/>
  <c r="L182" i="116" s="1"/>
  <c r="K182" i="116" a="1"/>
  <c r="K182" i="116" s="1"/>
  <c r="F182" i="116" a="1"/>
  <c r="F182" i="116" s="1"/>
  <c r="E182" i="116" a="1"/>
  <c r="E182" i="116" s="1"/>
  <c r="D182" i="116" a="1"/>
  <c r="D182" i="116" s="1"/>
  <c r="M181" i="116" a="1"/>
  <c r="M181" i="116" s="1"/>
  <c r="L181" i="116" a="1"/>
  <c r="L181" i="116" s="1"/>
  <c r="K181" i="116" a="1"/>
  <c r="K181" i="116" s="1"/>
  <c r="F181" i="116" a="1"/>
  <c r="F181" i="116" s="1"/>
  <c r="E181" i="116" a="1"/>
  <c r="E181" i="116" s="1"/>
  <c r="D181" i="116" a="1"/>
  <c r="D181" i="116" s="1"/>
  <c r="M180" i="116" a="1"/>
  <c r="M180" i="116" s="1"/>
  <c r="L180" i="116" a="1"/>
  <c r="L180" i="116" s="1"/>
  <c r="K180" i="116" a="1"/>
  <c r="K180" i="116" s="1"/>
  <c r="F180" i="116" a="1"/>
  <c r="F180" i="116" s="1"/>
  <c r="E180" i="116" a="1"/>
  <c r="E180" i="116" s="1"/>
  <c r="D180" i="116" a="1"/>
  <c r="D180" i="116" s="1"/>
  <c r="M179" i="116" a="1"/>
  <c r="M179" i="116" s="1"/>
  <c r="L179" i="116" a="1"/>
  <c r="L179" i="116" s="1"/>
  <c r="K179" i="116" a="1"/>
  <c r="K179" i="116" s="1"/>
  <c r="F179" i="116" a="1"/>
  <c r="F179" i="116" s="1"/>
  <c r="E179" i="116" a="1"/>
  <c r="E179" i="116" s="1"/>
  <c r="D179" i="116" a="1"/>
  <c r="D179" i="116" s="1"/>
  <c r="M178" i="116" a="1"/>
  <c r="M178" i="116" s="1"/>
  <c r="L178" i="116" a="1"/>
  <c r="L178" i="116" s="1"/>
  <c r="K178" i="116" a="1"/>
  <c r="K178" i="116" s="1"/>
  <c r="F178" i="116" a="1"/>
  <c r="F178" i="116" s="1"/>
  <c r="E178" i="116" a="1"/>
  <c r="E178" i="116" s="1"/>
  <c r="D178" i="116" a="1"/>
  <c r="D178" i="116" s="1"/>
  <c r="M177" i="116" a="1"/>
  <c r="M177" i="116" s="1"/>
  <c r="L177" i="116" a="1"/>
  <c r="L177" i="116" s="1"/>
  <c r="K177" i="116" a="1"/>
  <c r="K177" i="116" s="1"/>
  <c r="F177" i="116" a="1"/>
  <c r="F177" i="116" s="1"/>
  <c r="E177" i="116" a="1"/>
  <c r="E177" i="116" s="1"/>
  <c r="D177" i="116" a="1"/>
  <c r="D177" i="116" s="1"/>
  <c r="M176" i="116" a="1"/>
  <c r="M176" i="116" s="1"/>
  <c r="L176" i="116" a="1"/>
  <c r="L176" i="116" s="1"/>
  <c r="K176" i="116" a="1"/>
  <c r="K176" i="116" s="1"/>
  <c r="F176" i="116" a="1"/>
  <c r="F176" i="116" s="1"/>
  <c r="E176" i="116" a="1"/>
  <c r="E176" i="116" s="1"/>
  <c r="D176" i="116" a="1"/>
  <c r="D176" i="116" s="1"/>
  <c r="M175" i="116" a="1"/>
  <c r="M175" i="116" s="1"/>
  <c r="L175" i="116" a="1"/>
  <c r="L175" i="116" s="1"/>
  <c r="K175" i="116" a="1"/>
  <c r="K175" i="116" s="1"/>
  <c r="F175" i="116" a="1"/>
  <c r="F175" i="116" s="1"/>
  <c r="E175" i="116" a="1"/>
  <c r="E175" i="116" s="1"/>
  <c r="D175" i="116" a="1"/>
  <c r="D175" i="116" s="1"/>
  <c r="M174" i="116" a="1"/>
  <c r="M174" i="116" s="1"/>
  <c r="L174" i="116" a="1"/>
  <c r="L174" i="116" s="1"/>
  <c r="K174" i="116" a="1"/>
  <c r="K174" i="116" s="1"/>
  <c r="F174" i="116" a="1"/>
  <c r="F174" i="116" s="1"/>
  <c r="E174" i="116" a="1"/>
  <c r="E174" i="116" s="1"/>
  <c r="D174" i="116" a="1"/>
  <c r="D174" i="116" s="1"/>
  <c r="I170" i="116" a="1"/>
  <c r="I170" i="116" s="1"/>
  <c r="H170" i="116" a="1"/>
  <c r="H170" i="116" s="1"/>
  <c r="G170" i="116" a="1"/>
  <c r="G170" i="116" s="1"/>
  <c r="F170" i="116" a="1"/>
  <c r="F170" i="116" s="1"/>
  <c r="E170" i="116" a="1"/>
  <c r="E170" i="116" s="1"/>
  <c r="D170" i="116" a="1"/>
  <c r="D170" i="116" s="1"/>
  <c r="I169" i="116" a="1"/>
  <c r="I169" i="116" s="1"/>
  <c r="H169" i="116" a="1"/>
  <c r="H169" i="116" s="1"/>
  <c r="G169" i="116" a="1"/>
  <c r="G169" i="116" s="1"/>
  <c r="F169" i="116" a="1"/>
  <c r="F169" i="116" s="1"/>
  <c r="E169" i="116" a="1"/>
  <c r="E169" i="116" s="1"/>
  <c r="D169" i="116" a="1"/>
  <c r="D169" i="116" s="1"/>
  <c r="I168" i="116" a="1"/>
  <c r="I168" i="116" s="1"/>
  <c r="H168" i="116" a="1"/>
  <c r="H168" i="116" s="1"/>
  <c r="G168" i="116" a="1"/>
  <c r="G168" i="116" s="1"/>
  <c r="F168" i="116" a="1"/>
  <c r="F168" i="116" s="1"/>
  <c r="E168" i="116" a="1"/>
  <c r="E168" i="116" s="1"/>
  <c r="D7" i="111" s="1" a="1"/>
  <c r="D168" i="116" a="1"/>
  <c r="D168" i="116" s="1"/>
  <c r="I165" i="116" a="1"/>
  <c r="I165" i="116" s="1"/>
  <c r="H165" i="116" a="1"/>
  <c r="H165" i="116" s="1"/>
  <c r="G165" i="116" a="1"/>
  <c r="G165" i="116" s="1"/>
  <c r="F165" i="116" a="1"/>
  <c r="F165" i="116" s="1"/>
  <c r="E165" i="116" a="1"/>
  <c r="E165" i="116" s="1"/>
  <c r="D165" i="116" a="1"/>
  <c r="D165" i="116" s="1"/>
  <c r="I164" i="116" a="1"/>
  <c r="I164" i="116" s="1"/>
  <c r="H164" i="116" a="1"/>
  <c r="H164" i="116" s="1"/>
  <c r="G164" i="116" a="1"/>
  <c r="G164" i="116" s="1"/>
  <c r="F164" i="116" a="1"/>
  <c r="F164" i="116" s="1"/>
  <c r="E164" i="116" a="1"/>
  <c r="E164" i="116" s="1"/>
  <c r="D164" i="116" a="1"/>
  <c r="D164" i="116" s="1"/>
  <c r="I163" i="116" a="1"/>
  <c r="I163" i="116" s="1"/>
  <c r="H163" i="116" a="1"/>
  <c r="H163" i="116" s="1"/>
  <c r="G163" i="116" a="1"/>
  <c r="G163" i="116" s="1"/>
  <c r="F163" i="116" a="1"/>
  <c r="F163" i="116" s="1"/>
  <c r="E163" i="116" a="1"/>
  <c r="E163" i="116" s="1"/>
  <c r="D163" i="116" a="1"/>
  <c r="D163" i="116" s="1"/>
  <c r="I162" i="116" a="1"/>
  <c r="I162" i="116" s="1"/>
  <c r="H162" i="116" a="1"/>
  <c r="H162" i="116" s="1"/>
  <c r="G162" i="116" a="1"/>
  <c r="G162" i="116" s="1"/>
  <c r="F162" i="116" a="1"/>
  <c r="F162" i="116" s="1"/>
  <c r="E162" i="116" a="1"/>
  <c r="E162" i="116" s="1"/>
  <c r="D12" i="111" s="1" a="1"/>
  <c r="D162" i="116" a="1"/>
  <c r="D162" i="116" s="1"/>
  <c r="I158" i="116" a="1"/>
  <c r="I158" i="116" s="1"/>
  <c r="H158" i="116" a="1"/>
  <c r="H158" i="116" s="1"/>
  <c r="G158" i="116" a="1"/>
  <c r="G158" i="116" s="1"/>
  <c r="F158" i="116" a="1"/>
  <c r="F158" i="116" s="1"/>
  <c r="P158" i="116" s="1"/>
  <c r="E158" i="116" a="1"/>
  <c r="E158" i="116" s="1"/>
  <c r="O158" i="116" s="1"/>
  <c r="Q157" i="116" s="1"/>
  <c r="D158" i="116" a="1"/>
  <c r="D158" i="116" s="1"/>
  <c r="I157" i="116" a="1"/>
  <c r="I157" i="116" s="1"/>
  <c r="H157" i="116" a="1"/>
  <c r="H157" i="116" s="1"/>
  <c r="G157" i="116" a="1"/>
  <c r="G157" i="116" s="1"/>
  <c r="F157" i="116" a="1"/>
  <c r="F157" i="116" s="1"/>
  <c r="M157" i="116" s="1"/>
  <c r="E157" i="116" a="1"/>
  <c r="E157" i="116" s="1"/>
  <c r="L157" i="116" s="1"/>
  <c r="N156" i="116" s="1"/>
  <c r="D157" i="116" a="1"/>
  <c r="D157" i="116" s="1"/>
  <c r="I156" i="116" a="1"/>
  <c r="I156" i="116" s="1"/>
  <c r="H156" i="116" a="1"/>
  <c r="H156" i="116" s="1"/>
  <c r="G156" i="116" a="1"/>
  <c r="G156" i="116" s="1"/>
  <c r="F156" i="116" a="1"/>
  <c r="F156" i="116" s="1"/>
  <c r="P156" i="116" s="1"/>
  <c r="E156" i="116" a="1"/>
  <c r="E156" i="116" s="1"/>
  <c r="O156" i="116" s="1"/>
  <c r="Q155" i="116" s="1"/>
  <c r="D156" i="116" a="1"/>
  <c r="D156" i="116" s="1"/>
  <c r="I155" i="116" a="1"/>
  <c r="I155" i="116" s="1"/>
  <c r="H155" i="116" a="1"/>
  <c r="H155" i="116" s="1"/>
  <c r="G155" i="116" a="1"/>
  <c r="G155" i="116" s="1"/>
  <c r="F155" i="116" a="1"/>
  <c r="F155" i="116" s="1"/>
  <c r="M155" i="116" s="1"/>
  <c r="E155" i="116" a="1"/>
  <c r="E155" i="116" s="1"/>
  <c r="L155" i="116" s="1"/>
  <c r="N154" i="116" s="1"/>
  <c r="D155" i="116" a="1"/>
  <c r="D155" i="116" s="1"/>
  <c r="I154" i="116" a="1"/>
  <c r="I154" i="116" s="1"/>
  <c r="H154" i="116" a="1"/>
  <c r="H154" i="116" s="1"/>
  <c r="G154" i="116" a="1"/>
  <c r="G154" i="116" s="1"/>
  <c r="F154" i="116" a="1"/>
  <c r="F154" i="116" s="1"/>
  <c r="P154" i="116" s="1"/>
  <c r="E154" i="116" a="1"/>
  <c r="E154" i="116" s="1"/>
  <c r="O154" i="116" s="1"/>
  <c r="Q153" i="116" s="1"/>
  <c r="D154" i="116" a="1"/>
  <c r="D154" i="116" s="1"/>
  <c r="I153" i="116" a="1"/>
  <c r="I153" i="116" s="1"/>
  <c r="H153" i="116" a="1"/>
  <c r="H153" i="116" s="1"/>
  <c r="G153" i="116" a="1"/>
  <c r="G153" i="116" s="1"/>
  <c r="F153" i="116" a="1"/>
  <c r="F153" i="116" s="1"/>
  <c r="M153" i="116" s="1"/>
  <c r="E153" i="116" a="1"/>
  <c r="E153" i="116" s="1"/>
  <c r="L153" i="116" s="1"/>
  <c r="N152" i="116" s="1"/>
  <c r="D153" i="116" a="1"/>
  <c r="D153" i="116" s="1"/>
  <c r="I152" i="116" a="1"/>
  <c r="I152" i="116" s="1"/>
  <c r="H152" i="116" a="1"/>
  <c r="H152" i="116" s="1"/>
  <c r="G152" i="116" a="1"/>
  <c r="G152" i="116" s="1"/>
  <c r="F152" i="116" a="1"/>
  <c r="F152" i="116" s="1"/>
  <c r="P152" i="116" s="1"/>
  <c r="E152" i="116" a="1"/>
  <c r="E152" i="116" s="1"/>
  <c r="O152" i="116" s="1"/>
  <c r="Q151" i="116" s="1"/>
  <c r="D152" i="116" a="1"/>
  <c r="D152" i="116" s="1"/>
  <c r="I151" i="116" a="1"/>
  <c r="I151" i="116" s="1"/>
  <c r="H151" i="116" a="1"/>
  <c r="H151" i="116" s="1"/>
  <c r="G151" i="116" a="1"/>
  <c r="G151" i="116" s="1"/>
  <c r="F151" i="116" a="1"/>
  <c r="F151" i="116" s="1"/>
  <c r="M151" i="116" s="1"/>
  <c r="E151" i="116" a="1"/>
  <c r="E151" i="116" s="1"/>
  <c r="L151" i="116" s="1"/>
  <c r="N150" i="116" s="1"/>
  <c r="D151" i="116" a="1"/>
  <c r="D151" i="116" s="1"/>
  <c r="I150" i="116" a="1"/>
  <c r="I150" i="116" s="1"/>
  <c r="H150" i="116" a="1"/>
  <c r="H150" i="116" s="1"/>
  <c r="G150" i="116" a="1"/>
  <c r="G150" i="116" s="1"/>
  <c r="F150" i="116" a="1"/>
  <c r="F150" i="116" s="1"/>
  <c r="P150" i="116" s="1"/>
  <c r="E150" i="116" a="1"/>
  <c r="E150" i="116" s="1"/>
  <c r="O150" i="116" s="1"/>
  <c r="D150" i="116" a="1"/>
  <c r="D150" i="116" s="1"/>
  <c r="I149" i="116" a="1"/>
  <c r="I149" i="116" s="1"/>
  <c r="H149" i="116" a="1"/>
  <c r="H149" i="116" s="1"/>
  <c r="G149" i="116" a="1"/>
  <c r="G149" i="116" s="1"/>
  <c r="F149" i="116" a="1"/>
  <c r="F149" i="116" s="1"/>
  <c r="P149" i="116" s="1"/>
  <c r="E149" i="116" a="1"/>
  <c r="E149" i="116" s="1"/>
  <c r="O149" i="116" s="1"/>
  <c r="D149" i="116" a="1"/>
  <c r="D149" i="116" s="1"/>
  <c r="I148" i="116" a="1"/>
  <c r="I148" i="116" s="1"/>
  <c r="H148" i="116" a="1"/>
  <c r="H148" i="116" s="1"/>
  <c r="G148" i="116" a="1"/>
  <c r="G148" i="116" s="1"/>
  <c r="F148" i="116" a="1"/>
  <c r="F148" i="116" s="1"/>
  <c r="P148" i="116" s="1"/>
  <c r="E148" i="116" a="1"/>
  <c r="E148" i="116" s="1"/>
  <c r="O148" i="116" s="1"/>
  <c r="D148" i="116" a="1"/>
  <c r="D148" i="116" s="1"/>
  <c r="I147" i="116" a="1"/>
  <c r="I147" i="116" s="1"/>
  <c r="H147" i="116" a="1"/>
  <c r="H147" i="116" s="1"/>
  <c r="G147" i="116" a="1"/>
  <c r="G147" i="116" s="1"/>
  <c r="F147" i="116" a="1"/>
  <c r="F147" i="116" s="1"/>
  <c r="P147" i="116" s="1"/>
  <c r="E147" i="116" a="1"/>
  <c r="E147" i="116" s="1"/>
  <c r="O147" i="116" s="1"/>
  <c r="D147" i="116" a="1"/>
  <c r="D147" i="116" s="1"/>
  <c r="I146" i="116" a="1"/>
  <c r="I146" i="116" s="1"/>
  <c r="H146" i="116" a="1"/>
  <c r="H146" i="116" s="1"/>
  <c r="G146" i="116" a="1"/>
  <c r="G146" i="116" s="1"/>
  <c r="F146" i="116" a="1"/>
  <c r="F146" i="116" s="1"/>
  <c r="P146" i="116" s="1"/>
  <c r="E146" i="116" a="1"/>
  <c r="E146" i="116" s="1"/>
  <c r="O146" i="116" s="1"/>
  <c r="D146" i="116" a="1"/>
  <c r="D146" i="116" s="1"/>
  <c r="I145" i="116" a="1"/>
  <c r="I145" i="116" s="1"/>
  <c r="H145" i="116" a="1"/>
  <c r="H145" i="116" s="1"/>
  <c r="G145" i="116" a="1"/>
  <c r="G145" i="116" s="1"/>
  <c r="F145" i="116" a="1"/>
  <c r="F145" i="116" s="1"/>
  <c r="P145" i="116" s="1"/>
  <c r="E145" i="116" a="1"/>
  <c r="E145" i="116" s="1"/>
  <c r="O145" i="116" s="1"/>
  <c r="D145" i="116" a="1"/>
  <c r="D145" i="116" s="1"/>
  <c r="I144" i="116" a="1"/>
  <c r="I144" i="116" s="1"/>
  <c r="H144" i="116" a="1"/>
  <c r="H144" i="116" s="1"/>
  <c r="G144" i="116" a="1"/>
  <c r="G144" i="116" s="1"/>
  <c r="F144" i="116" a="1"/>
  <c r="F144" i="116" s="1"/>
  <c r="P144" i="116" s="1"/>
  <c r="E144" i="116" a="1"/>
  <c r="E144" i="116" s="1"/>
  <c r="O144" i="116" s="1"/>
  <c r="Q143" i="116" s="1"/>
  <c r="D144" i="116" a="1"/>
  <c r="D144" i="116" s="1"/>
  <c r="I143" i="116" a="1"/>
  <c r="I143" i="116" s="1"/>
  <c r="H143" i="116" a="1"/>
  <c r="H143" i="116" s="1"/>
  <c r="G143" i="116" a="1"/>
  <c r="G143" i="116" s="1"/>
  <c r="F143" i="116" a="1"/>
  <c r="F143" i="116" s="1"/>
  <c r="M143" i="116" s="1"/>
  <c r="E143" i="116" a="1"/>
  <c r="E143" i="116" s="1"/>
  <c r="L143" i="116" s="1"/>
  <c r="D143" i="116" a="1"/>
  <c r="D143" i="116" s="1"/>
  <c r="I142" i="116" a="1"/>
  <c r="I142" i="116" s="1"/>
  <c r="H142" i="116" a="1"/>
  <c r="H142" i="116" s="1"/>
  <c r="G142" i="116" a="1"/>
  <c r="G142" i="116" s="1"/>
  <c r="F142" i="116" a="1"/>
  <c r="F142" i="116" s="1"/>
  <c r="M142" i="116" s="1"/>
  <c r="E142" i="116" a="1"/>
  <c r="E142" i="116" s="1"/>
  <c r="L142" i="116" s="1"/>
  <c r="D142" i="116" a="1"/>
  <c r="D142" i="116" s="1"/>
  <c r="I141" i="116" a="1"/>
  <c r="I141" i="116" s="1"/>
  <c r="H141" i="116" a="1"/>
  <c r="H141" i="116" s="1"/>
  <c r="G141" i="116" a="1"/>
  <c r="G141" i="116" s="1"/>
  <c r="F141" i="116" a="1"/>
  <c r="F141" i="116" s="1"/>
  <c r="M141" i="116" s="1"/>
  <c r="E141" i="116" a="1"/>
  <c r="E141" i="116" s="1"/>
  <c r="L141" i="116" s="1"/>
  <c r="D141" i="116" a="1"/>
  <c r="D141" i="116" s="1"/>
  <c r="I140" i="116" a="1"/>
  <c r="I140" i="116" s="1"/>
  <c r="H140" i="116" a="1"/>
  <c r="H140" i="116" s="1"/>
  <c r="G140" i="116" a="1"/>
  <c r="G140" i="116" s="1"/>
  <c r="F140" i="116" a="1"/>
  <c r="F140" i="116" s="1"/>
  <c r="M140" i="116" s="1"/>
  <c r="E140" i="116" a="1"/>
  <c r="E140" i="116" s="1"/>
  <c r="L140" i="116" s="1"/>
  <c r="D140" i="116" a="1"/>
  <c r="D140" i="116" s="1"/>
  <c r="I139" i="116" a="1"/>
  <c r="I139" i="116" s="1"/>
  <c r="H139" i="116" a="1"/>
  <c r="H139" i="116" s="1"/>
  <c r="G139" i="116" a="1"/>
  <c r="G139" i="116" s="1"/>
  <c r="F139" i="116" a="1"/>
  <c r="F139" i="116" s="1"/>
  <c r="M139" i="116" s="1"/>
  <c r="E139" i="116" a="1"/>
  <c r="E139" i="116" s="1"/>
  <c r="L139" i="116" s="1"/>
  <c r="D139" i="116" a="1"/>
  <c r="D139" i="116" s="1"/>
  <c r="I138" i="116" a="1"/>
  <c r="I138" i="116" s="1"/>
  <c r="H138" i="116" a="1"/>
  <c r="H138" i="116" s="1"/>
  <c r="G138" i="116" a="1"/>
  <c r="G138" i="116" s="1"/>
  <c r="F138" i="116" a="1"/>
  <c r="F138" i="116" s="1"/>
  <c r="M138" i="116" s="1"/>
  <c r="E138" i="116" a="1"/>
  <c r="E138" i="116" s="1"/>
  <c r="L138" i="116" s="1"/>
  <c r="N137" i="116" s="1"/>
  <c r="D138" i="116" a="1"/>
  <c r="D138" i="116" s="1"/>
  <c r="I137" i="116" a="1"/>
  <c r="I137" i="116" s="1"/>
  <c r="H137" i="116" a="1"/>
  <c r="H137" i="116" s="1"/>
  <c r="G137" i="116" a="1"/>
  <c r="G137" i="116" s="1"/>
  <c r="F137" i="116" a="1"/>
  <c r="F137" i="116" s="1"/>
  <c r="P137" i="116" s="1"/>
  <c r="E137" i="116" a="1"/>
  <c r="E137" i="116" s="1"/>
  <c r="O137" i="116" s="1"/>
  <c r="D137" i="116" a="1"/>
  <c r="D137" i="116" s="1"/>
  <c r="I136" i="116" a="1"/>
  <c r="I136" i="116" s="1"/>
  <c r="H136" i="116" a="1"/>
  <c r="H136" i="116" s="1"/>
  <c r="G136" i="116" a="1"/>
  <c r="G136" i="116" s="1"/>
  <c r="F136" i="116" a="1"/>
  <c r="F136" i="116" s="1"/>
  <c r="P136" i="116" s="1"/>
  <c r="E136" i="116" a="1"/>
  <c r="E136" i="116" s="1"/>
  <c r="O136" i="116" s="1"/>
  <c r="D136" i="116" a="1"/>
  <c r="D136" i="116" s="1"/>
  <c r="I135" i="116" a="1"/>
  <c r="I135" i="116" s="1"/>
  <c r="H135" i="116" a="1"/>
  <c r="H135" i="116" s="1"/>
  <c r="G135" i="116" a="1"/>
  <c r="G135" i="116" s="1"/>
  <c r="F135" i="116" a="1"/>
  <c r="F135" i="116" s="1"/>
  <c r="P135" i="116" s="1"/>
  <c r="E135" i="116" a="1"/>
  <c r="E135" i="116" s="1"/>
  <c r="O135" i="116" s="1"/>
  <c r="D135" i="116" a="1"/>
  <c r="D135" i="116" s="1"/>
  <c r="I134" i="116" a="1"/>
  <c r="I134" i="116" s="1"/>
  <c r="H134" i="116" a="1"/>
  <c r="H134" i="116" s="1"/>
  <c r="G134" i="116" a="1"/>
  <c r="G134" i="116" s="1"/>
  <c r="F134" i="116" a="1"/>
  <c r="F134" i="116" s="1"/>
  <c r="P134" i="116" s="1"/>
  <c r="E134" i="116" a="1"/>
  <c r="E134" i="116" s="1"/>
  <c r="O134" i="116" s="1"/>
  <c r="D134" i="116" a="1"/>
  <c r="D134" i="116" s="1"/>
  <c r="I133" i="116" a="1"/>
  <c r="I133" i="116" s="1"/>
  <c r="H133" i="116" a="1"/>
  <c r="H133" i="116" s="1"/>
  <c r="G133" i="116" a="1"/>
  <c r="G133" i="116" s="1"/>
  <c r="F133" i="116" a="1"/>
  <c r="F133" i="116" s="1"/>
  <c r="P133" i="116" s="1"/>
  <c r="E133" i="116" a="1"/>
  <c r="E133" i="116" s="1"/>
  <c r="O133" i="116" s="1"/>
  <c r="D133" i="116" a="1"/>
  <c r="D133" i="116" s="1"/>
  <c r="I132" i="116" a="1"/>
  <c r="I132" i="116" s="1"/>
  <c r="H132" i="116" a="1"/>
  <c r="H132" i="116" s="1"/>
  <c r="G132" i="116" a="1"/>
  <c r="G132" i="116" s="1"/>
  <c r="F132" i="116" a="1"/>
  <c r="F132" i="116" s="1"/>
  <c r="P132" i="116" s="1"/>
  <c r="E132" i="116" a="1"/>
  <c r="E132" i="116" s="1"/>
  <c r="O132" i="116" s="1"/>
  <c r="D132" i="116" a="1"/>
  <c r="D132" i="116" s="1"/>
  <c r="I131" i="116" a="1"/>
  <c r="I131" i="116" s="1"/>
  <c r="H131" i="116" a="1"/>
  <c r="H131" i="116" s="1"/>
  <c r="G131" i="116" a="1"/>
  <c r="G131" i="116" s="1"/>
  <c r="F131" i="116" a="1"/>
  <c r="F131" i="116" s="1"/>
  <c r="P131" i="116" s="1"/>
  <c r="E131" i="116" a="1"/>
  <c r="E131" i="116" s="1"/>
  <c r="O131" i="116" s="1"/>
  <c r="Q130" i="116" s="1"/>
  <c r="D131" i="116" a="1"/>
  <c r="D131" i="116" s="1"/>
  <c r="I130" i="116" a="1"/>
  <c r="I130" i="116" s="1"/>
  <c r="H130" i="116" a="1"/>
  <c r="H130" i="116" s="1"/>
  <c r="G130" i="116" a="1"/>
  <c r="G130" i="116" s="1"/>
  <c r="F130" i="116" a="1"/>
  <c r="F130" i="116" s="1"/>
  <c r="M130" i="116" s="1"/>
  <c r="E130" i="116" a="1"/>
  <c r="E130" i="116" s="1"/>
  <c r="L130" i="116" s="1"/>
  <c r="D130" i="116" a="1"/>
  <c r="D130" i="116" s="1"/>
  <c r="I129" i="116" a="1"/>
  <c r="I129" i="116" s="1"/>
  <c r="H129" i="116" a="1"/>
  <c r="H129" i="116" s="1"/>
  <c r="G129" i="116" a="1"/>
  <c r="G129" i="116" s="1"/>
  <c r="F129" i="116" a="1"/>
  <c r="F129" i="116" s="1"/>
  <c r="M129" i="116" s="1"/>
  <c r="E129" i="116" a="1"/>
  <c r="E129" i="116" s="1"/>
  <c r="L129" i="116" s="1"/>
  <c r="D129" i="116" a="1"/>
  <c r="D129" i="116" s="1"/>
  <c r="I128" i="116" a="1"/>
  <c r="I128" i="116" s="1"/>
  <c r="H128" i="116" a="1"/>
  <c r="H128" i="116" s="1"/>
  <c r="G128" i="116" a="1"/>
  <c r="G128" i="116" s="1"/>
  <c r="F128" i="116" a="1"/>
  <c r="F128" i="116" s="1"/>
  <c r="M128" i="116" s="1"/>
  <c r="E128" i="116" a="1"/>
  <c r="E128" i="116" s="1"/>
  <c r="L128" i="116" s="1"/>
  <c r="D128" i="116" a="1"/>
  <c r="D128" i="116" s="1"/>
  <c r="I127" i="116" a="1"/>
  <c r="I127" i="116" s="1"/>
  <c r="H127" i="116" a="1"/>
  <c r="H127" i="116" s="1"/>
  <c r="G127" i="116" a="1"/>
  <c r="G127" i="116" s="1"/>
  <c r="F127" i="116" a="1"/>
  <c r="F127" i="116" s="1"/>
  <c r="M127" i="116" s="1"/>
  <c r="E127" i="116" a="1"/>
  <c r="E127" i="116" s="1"/>
  <c r="L127" i="116" s="1"/>
  <c r="D127" i="116" a="1"/>
  <c r="D127" i="116" s="1"/>
  <c r="I126" i="116" a="1"/>
  <c r="I126" i="116" s="1"/>
  <c r="H126" i="116" a="1"/>
  <c r="H126" i="116" s="1"/>
  <c r="G126" i="116" a="1"/>
  <c r="G126" i="116" s="1"/>
  <c r="F126" i="116" a="1"/>
  <c r="F126" i="116" s="1"/>
  <c r="M126" i="116" s="1"/>
  <c r="E126" i="116" a="1"/>
  <c r="E126" i="116" s="1"/>
  <c r="L126" i="116" s="1"/>
  <c r="D126" i="116" a="1"/>
  <c r="D126" i="116" s="1"/>
  <c r="I125" i="116" a="1"/>
  <c r="I125" i="116" s="1"/>
  <c r="H125" i="116" a="1"/>
  <c r="H125" i="116" s="1"/>
  <c r="G125" i="116" a="1"/>
  <c r="G125" i="116" s="1"/>
  <c r="F125" i="116" a="1"/>
  <c r="F125" i="116" s="1"/>
  <c r="M125" i="116" s="1"/>
  <c r="E125" i="116" a="1"/>
  <c r="E125" i="116" s="1"/>
  <c r="L125" i="116" s="1"/>
  <c r="N124" i="116" s="1"/>
  <c r="D125" i="116" a="1"/>
  <c r="D125" i="116" s="1"/>
  <c r="I124" i="116" a="1"/>
  <c r="I124" i="116" s="1"/>
  <c r="H124" i="116" a="1"/>
  <c r="H124" i="116" s="1"/>
  <c r="G124" i="116" a="1"/>
  <c r="G124" i="116" s="1"/>
  <c r="F124" i="116" a="1"/>
  <c r="F124" i="116" s="1"/>
  <c r="P124" i="116" s="1"/>
  <c r="E124" i="116" a="1"/>
  <c r="E124" i="116" s="1"/>
  <c r="O124" i="116" s="1"/>
  <c r="D124" i="116" a="1"/>
  <c r="D124" i="116" s="1"/>
  <c r="I123" i="116" a="1"/>
  <c r="I123" i="116" s="1"/>
  <c r="H123" i="116" a="1"/>
  <c r="H123" i="116" s="1"/>
  <c r="G123" i="116" a="1"/>
  <c r="G123" i="116" s="1"/>
  <c r="F123" i="116" a="1"/>
  <c r="F123" i="116" s="1"/>
  <c r="P123" i="116" s="1"/>
  <c r="E123" i="116" a="1"/>
  <c r="E123" i="116" s="1"/>
  <c r="O123" i="116" s="1"/>
  <c r="D123" i="116" a="1"/>
  <c r="D123" i="116" s="1"/>
  <c r="I122" i="116" a="1"/>
  <c r="I122" i="116" s="1"/>
  <c r="H122" i="116" a="1"/>
  <c r="H122" i="116" s="1"/>
  <c r="G122" i="116" a="1"/>
  <c r="G122" i="116" s="1"/>
  <c r="F122" i="116" a="1"/>
  <c r="F122" i="116" s="1"/>
  <c r="P122" i="116" s="1"/>
  <c r="E122" i="116" a="1"/>
  <c r="E122" i="116" s="1"/>
  <c r="O122" i="116" s="1"/>
  <c r="D122" i="116" a="1"/>
  <c r="D122" i="116" s="1"/>
  <c r="I121" i="116" a="1"/>
  <c r="I121" i="116" s="1"/>
  <c r="H121" i="116" a="1"/>
  <c r="H121" i="116" s="1"/>
  <c r="G121" i="116" a="1"/>
  <c r="G121" i="116" s="1"/>
  <c r="F121" i="116" a="1"/>
  <c r="F121" i="116" s="1"/>
  <c r="P121" i="116" s="1"/>
  <c r="E121" i="116" a="1"/>
  <c r="E121" i="116" s="1"/>
  <c r="O121" i="116" s="1"/>
  <c r="D121" i="116" a="1"/>
  <c r="D121" i="116" s="1"/>
  <c r="I120" i="116" a="1"/>
  <c r="I120" i="116" s="1"/>
  <c r="H120" i="116" a="1"/>
  <c r="H120" i="116" s="1"/>
  <c r="G120" i="116" a="1"/>
  <c r="G120" i="116" s="1"/>
  <c r="F120" i="116" a="1"/>
  <c r="F120" i="116" s="1"/>
  <c r="P120" i="116" s="1"/>
  <c r="E120" i="116" a="1"/>
  <c r="E120" i="116" s="1"/>
  <c r="O120" i="116" s="1"/>
  <c r="D120" i="116" a="1"/>
  <c r="D120" i="116" s="1"/>
  <c r="I119" i="116" a="1"/>
  <c r="I119" i="116" s="1"/>
  <c r="H119" i="116" a="1"/>
  <c r="H119" i="116" s="1"/>
  <c r="G119" i="116" a="1"/>
  <c r="G119" i="116" s="1"/>
  <c r="F119" i="116" a="1"/>
  <c r="F119" i="116" s="1"/>
  <c r="P119" i="116" s="1"/>
  <c r="E119" i="116" a="1"/>
  <c r="E119" i="116" s="1"/>
  <c r="O119" i="116" s="1"/>
  <c r="D119" i="116" a="1"/>
  <c r="D119" i="116" s="1"/>
  <c r="I118" i="116" a="1"/>
  <c r="I118" i="116" s="1"/>
  <c r="H118" i="116" a="1"/>
  <c r="H118" i="116" s="1"/>
  <c r="G118" i="116" a="1"/>
  <c r="G118" i="116" s="1"/>
  <c r="F118" i="116" a="1"/>
  <c r="F118" i="116" s="1"/>
  <c r="P118" i="116" s="1"/>
  <c r="E118" i="116" a="1"/>
  <c r="E118" i="116" s="1"/>
  <c r="O118" i="116" s="1"/>
  <c r="Q117" i="116" s="1"/>
  <c r="D118" i="116" a="1"/>
  <c r="D118" i="116" s="1"/>
  <c r="I117" i="116" a="1"/>
  <c r="I117" i="116" s="1"/>
  <c r="H117" i="116" a="1"/>
  <c r="H117" i="116" s="1"/>
  <c r="G117" i="116" a="1"/>
  <c r="G117" i="116" s="1"/>
  <c r="F117" i="116" a="1"/>
  <c r="F117" i="116" s="1"/>
  <c r="M117" i="116" s="1"/>
  <c r="E117" i="116" a="1"/>
  <c r="E117" i="116" s="1"/>
  <c r="L117" i="116" s="1"/>
  <c r="D117" i="116" a="1"/>
  <c r="D117" i="116" s="1"/>
  <c r="I116" i="116" a="1"/>
  <c r="I116" i="116" s="1"/>
  <c r="H116" i="116" a="1"/>
  <c r="H116" i="116" s="1"/>
  <c r="G116" i="116" a="1"/>
  <c r="G116" i="116" s="1"/>
  <c r="F116" i="116" a="1"/>
  <c r="F116" i="116" s="1"/>
  <c r="M116" i="116" s="1"/>
  <c r="E116" i="116" a="1"/>
  <c r="E116" i="116" s="1"/>
  <c r="L116" i="116" s="1"/>
  <c r="D116" i="116" a="1"/>
  <c r="D116" i="116" s="1"/>
  <c r="I115" i="116" a="1"/>
  <c r="I115" i="116" s="1"/>
  <c r="H115" i="116" a="1"/>
  <c r="H115" i="116" s="1"/>
  <c r="G115" i="116" a="1"/>
  <c r="G115" i="116" s="1"/>
  <c r="F115" i="116" a="1"/>
  <c r="F115" i="116" s="1"/>
  <c r="M115" i="116" s="1"/>
  <c r="E115" i="116" a="1"/>
  <c r="E115" i="116" s="1"/>
  <c r="L115" i="116" s="1"/>
  <c r="D115" i="116" a="1"/>
  <c r="D115" i="116" s="1"/>
  <c r="I114" i="116" a="1"/>
  <c r="I114" i="116" s="1"/>
  <c r="H114" i="116" a="1"/>
  <c r="H114" i="116" s="1"/>
  <c r="G114" i="116" a="1"/>
  <c r="G114" i="116" s="1"/>
  <c r="F114" i="116" a="1"/>
  <c r="F114" i="116" s="1"/>
  <c r="M114" i="116" s="1"/>
  <c r="E114" i="116" a="1"/>
  <c r="E114" i="116" s="1"/>
  <c r="L114" i="116" s="1"/>
  <c r="D114" i="116" a="1"/>
  <c r="D114" i="116" s="1"/>
  <c r="I113" i="116" a="1"/>
  <c r="I113" i="116" s="1"/>
  <c r="H113" i="116" a="1"/>
  <c r="H113" i="116" s="1"/>
  <c r="G113" i="116" a="1"/>
  <c r="G113" i="116" s="1"/>
  <c r="F113" i="116" a="1"/>
  <c r="F113" i="116" s="1"/>
  <c r="M113" i="116" s="1"/>
  <c r="E113" i="116" a="1"/>
  <c r="E113" i="116" s="1"/>
  <c r="L113" i="116" s="1"/>
  <c r="D113" i="116" a="1"/>
  <c r="D113" i="116" s="1"/>
  <c r="I112" i="116" a="1"/>
  <c r="I112" i="116" s="1"/>
  <c r="H112" i="116" a="1"/>
  <c r="H112" i="116" s="1"/>
  <c r="G112" i="116" a="1"/>
  <c r="G112" i="116" s="1"/>
  <c r="F112" i="116" a="1"/>
  <c r="F112" i="116" s="1"/>
  <c r="M112" i="116" s="1"/>
  <c r="E112" i="116" a="1"/>
  <c r="E112" i="116" s="1"/>
  <c r="L112" i="116" s="1"/>
  <c r="D112" i="116" a="1"/>
  <c r="D112" i="116" s="1"/>
  <c r="I111" i="116" a="1"/>
  <c r="I111" i="116" s="1"/>
  <c r="H111" i="116" a="1"/>
  <c r="H111" i="116" s="1"/>
  <c r="G111" i="116" a="1"/>
  <c r="G111" i="116" s="1"/>
  <c r="F111" i="116" a="1"/>
  <c r="F111" i="116" s="1"/>
  <c r="M111" i="116" s="1"/>
  <c r="E111" i="116" a="1"/>
  <c r="E111" i="116" s="1"/>
  <c r="L111" i="116" s="1"/>
  <c r="D111" i="116" a="1"/>
  <c r="D111" i="116" s="1"/>
  <c r="I110" i="116" a="1"/>
  <c r="I110" i="116" s="1"/>
  <c r="H110" i="116" a="1"/>
  <c r="H110" i="116" s="1"/>
  <c r="G110" i="116" a="1"/>
  <c r="G110" i="116" s="1"/>
  <c r="F110" i="116" a="1"/>
  <c r="F110" i="116" s="1"/>
  <c r="M110" i="116" s="1"/>
  <c r="E110" i="116" a="1"/>
  <c r="E110" i="116" s="1"/>
  <c r="L110" i="116" s="1"/>
  <c r="N109" i="116" s="1"/>
  <c r="D110" i="116" a="1"/>
  <c r="D110" i="116" s="1"/>
  <c r="I109" i="116" a="1"/>
  <c r="I109" i="116" s="1"/>
  <c r="H109" i="116" a="1"/>
  <c r="H109" i="116" s="1"/>
  <c r="G109" i="116" a="1"/>
  <c r="G109" i="116" s="1"/>
  <c r="F109" i="116" a="1"/>
  <c r="F109" i="116" s="1"/>
  <c r="P109" i="116" s="1"/>
  <c r="E109" i="116" a="1"/>
  <c r="E109" i="116" s="1"/>
  <c r="O109" i="116" s="1"/>
  <c r="D109" i="116" a="1"/>
  <c r="D109" i="116" s="1"/>
  <c r="I108" i="116" a="1"/>
  <c r="I108" i="116" s="1"/>
  <c r="H108" i="116" a="1"/>
  <c r="H108" i="116" s="1"/>
  <c r="G108" i="116" a="1"/>
  <c r="G108" i="116" s="1"/>
  <c r="F108" i="116" a="1"/>
  <c r="F108" i="116" s="1"/>
  <c r="P108" i="116" s="1"/>
  <c r="E108" i="116" a="1"/>
  <c r="E108" i="116" s="1"/>
  <c r="O108" i="116" s="1"/>
  <c r="D108" i="116" a="1"/>
  <c r="D108" i="116" s="1"/>
  <c r="I107" i="116"/>
  <c r="I107" i="116" a="1"/>
  <c r="H107" i="116" a="1"/>
  <c r="H107" i="116" s="1"/>
  <c r="G107" i="116" a="1"/>
  <c r="G107" i="116" s="1"/>
  <c r="F107" i="116" a="1"/>
  <c r="F107" i="116" s="1"/>
  <c r="P107" i="116" s="1"/>
  <c r="E107" i="116" a="1"/>
  <c r="E107" i="116" s="1"/>
  <c r="O107" i="116" s="1"/>
  <c r="D107" i="116" a="1"/>
  <c r="D107" i="116" s="1"/>
  <c r="I106" i="116" a="1"/>
  <c r="I106" i="116" s="1"/>
  <c r="H106" i="116" a="1"/>
  <c r="H106" i="116" s="1"/>
  <c r="G106" i="116" a="1"/>
  <c r="G106" i="116" s="1"/>
  <c r="F106" i="116" a="1"/>
  <c r="F106" i="116" s="1"/>
  <c r="P106" i="116" s="1"/>
  <c r="E106" i="116" a="1"/>
  <c r="E106" i="116" s="1"/>
  <c r="O106" i="116" s="1"/>
  <c r="D106" i="116" a="1"/>
  <c r="D106" i="116" s="1"/>
  <c r="I105" i="116" a="1"/>
  <c r="I105" i="116" s="1"/>
  <c r="H105" i="116" a="1"/>
  <c r="H105" i="116" s="1"/>
  <c r="G105" i="116" a="1"/>
  <c r="G105" i="116" s="1"/>
  <c r="F105" i="116" a="1"/>
  <c r="F105" i="116" s="1"/>
  <c r="P105" i="116" s="1"/>
  <c r="E105" i="116" a="1"/>
  <c r="E105" i="116" s="1"/>
  <c r="O105" i="116" s="1"/>
  <c r="Q104" i="116" s="1"/>
  <c r="D105" i="116" a="1"/>
  <c r="D105" i="116" s="1"/>
  <c r="I104" i="116" a="1"/>
  <c r="I104" i="116" s="1"/>
  <c r="H104" i="116" a="1"/>
  <c r="H104" i="116" s="1"/>
  <c r="G104" i="116" a="1"/>
  <c r="G104" i="116" s="1"/>
  <c r="F104" i="116" a="1"/>
  <c r="F104" i="116" s="1"/>
  <c r="M104" i="116" s="1"/>
  <c r="E104" i="116" a="1"/>
  <c r="E104" i="116" s="1"/>
  <c r="L104" i="116" s="1"/>
  <c r="D104" i="116" a="1"/>
  <c r="D104" i="116" s="1"/>
  <c r="I103" i="116" a="1"/>
  <c r="I103" i="116" s="1"/>
  <c r="H103" i="116" a="1"/>
  <c r="H103" i="116" s="1"/>
  <c r="G103" i="116" a="1"/>
  <c r="G103" i="116" s="1"/>
  <c r="F103" i="116" a="1"/>
  <c r="F103" i="116" s="1"/>
  <c r="M103" i="116" s="1"/>
  <c r="E103" i="116" a="1"/>
  <c r="E103" i="116" s="1"/>
  <c r="L103" i="116" s="1"/>
  <c r="D103" i="116" a="1"/>
  <c r="D103" i="116" s="1"/>
  <c r="I102" i="116" a="1"/>
  <c r="I102" i="116" s="1"/>
  <c r="H102" i="116" a="1"/>
  <c r="H102" i="116" s="1"/>
  <c r="G102" i="116" a="1"/>
  <c r="G102" i="116" s="1"/>
  <c r="F102" i="116" a="1"/>
  <c r="F102" i="116" s="1"/>
  <c r="M102" i="116" s="1"/>
  <c r="E102" i="116" a="1"/>
  <c r="E102" i="116" s="1"/>
  <c r="L102" i="116" s="1"/>
  <c r="D102" i="116" a="1"/>
  <c r="D102" i="116" s="1"/>
  <c r="I101" i="116" a="1"/>
  <c r="I101" i="116" s="1"/>
  <c r="H101" i="116" a="1"/>
  <c r="H101" i="116" s="1"/>
  <c r="G101" i="116" a="1"/>
  <c r="G101" i="116" s="1"/>
  <c r="F101" i="116" a="1"/>
  <c r="F101" i="116" s="1"/>
  <c r="M101" i="116" s="1"/>
  <c r="E101" i="116" a="1"/>
  <c r="E101" i="116" s="1"/>
  <c r="L101" i="116" s="1"/>
  <c r="D101" i="116" a="1"/>
  <c r="D101" i="116" s="1"/>
  <c r="I100" i="116" a="1"/>
  <c r="I100" i="116" s="1"/>
  <c r="H100" i="116"/>
  <c r="H100" i="116" a="1"/>
  <c r="G100" i="116" a="1"/>
  <c r="G100" i="116" s="1"/>
  <c r="F100" i="116" a="1"/>
  <c r="F100" i="116" s="1"/>
  <c r="M100" i="116" s="1"/>
  <c r="E100" i="116" a="1"/>
  <c r="E100" i="116" s="1"/>
  <c r="L100" i="116" s="1"/>
  <c r="D100" i="116" a="1"/>
  <c r="D100" i="116" s="1"/>
  <c r="I99" i="116" a="1"/>
  <c r="I99" i="116" s="1"/>
  <c r="H99" i="116" a="1"/>
  <c r="H99" i="116" s="1"/>
  <c r="G99" i="116" a="1"/>
  <c r="G99" i="116" s="1"/>
  <c r="F99" i="116" a="1"/>
  <c r="F99" i="116" s="1"/>
  <c r="M99" i="116" s="1"/>
  <c r="E99" i="116" a="1"/>
  <c r="E99" i="116" s="1"/>
  <c r="L99" i="116" s="1"/>
  <c r="D99" i="116" a="1"/>
  <c r="D99" i="116" s="1"/>
  <c r="I98" i="116" a="1"/>
  <c r="I98" i="116" s="1"/>
  <c r="H98" i="116" a="1"/>
  <c r="H98" i="116" s="1"/>
  <c r="G98" i="116" a="1"/>
  <c r="G98" i="116" s="1"/>
  <c r="F98" i="116" a="1"/>
  <c r="F98" i="116" s="1"/>
  <c r="M98" i="116" s="1"/>
  <c r="E98" i="116" a="1"/>
  <c r="E98" i="116" s="1"/>
  <c r="L98" i="116" s="1"/>
  <c r="N97" i="116" s="1"/>
  <c r="D98" i="116" a="1"/>
  <c r="D98" i="116" s="1"/>
  <c r="I97" i="116" a="1"/>
  <c r="I97" i="116" s="1"/>
  <c r="H97" i="116" a="1"/>
  <c r="H97" i="116" s="1"/>
  <c r="G97" i="116" a="1"/>
  <c r="G97" i="116" s="1"/>
  <c r="F97" i="116" a="1"/>
  <c r="F97" i="116" s="1"/>
  <c r="P97" i="116" s="1"/>
  <c r="E97" i="116" a="1"/>
  <c r="E97" i="116" s="1"/>
  <c r="O97" i="116" s="1"/>
  <c r="D97" i="116" a="1"/>
  <c r="D97" i="116" s="1"/>
  <c r="I96" i="116" a="1"/>
  <c r="I96" i="116" s="1"/>
  <c r="H96" i="116" a="1"/>
  <c r="H96" i="116" s="1"/>
  <c r="G96" i="116" a="1"/>
  <c r="G96" i="116" s="1"/>
  <c r="F96" i="116" a="1"/>
  <c r="F96" i="116" s="1"/>
  <c r="P96" i="116" s="1"/>
  <c r="E96" i="116" a="1"/>
  <c r="E96" i="116" s="1"/>
  <c r="O96" i="116" s="1"/>
  <c r="D96" i="116" a="1"/>
  <c r="D96" i="116" s="1"/>
  <c r="I95" i="116" a="1"/>
  <c r="I95" i="116" s="1"/>
  <c r="H95" i="116" a="1"/>
  <c r="H95" i="116" s="1"/>
  <c r="G95" i="116" a="1"/>
  <c r="G95" i="116" s="1"/>
  <c r="F95" i="116" a="1"/>
  <c r="F95" i="116" s="1"/>
  <c r="P95" i="116" s="1"/>
  <c r="E95" i="116" a="1"/>
  <c r="E95" i="116" s="1"/>
  <c r="O95" i="116" s="1"/>
  <c r="D95" i="116" a="1"/>
  <c r="D95" i="116" s="1"/>
  <c r="I94" i="116" a="1"/>
  <c r="I94" i="116" s="1"/>
  <c r="H94" i="116" a="1"/>
  <c r="H94" i="116" s="1"/>
  <c r="G94" i="116" a="1"/>
  <c r="G94" i="116" s="1"/>
  <c r="F94" i="116" a="1"/>
  <c r="F94" i="116" s="1"/>
  <c r="P94" i="116" s="1"/>
  <c r="E94" i="116" a="1"/>
  <c r="E94" i="116" s="1"/>
  <c r="O94" i="116" s="1"/>
  <c r="D94" i="116" a="1"/>
  <c r="D94" i="116" s="1"/>
  <c r="I93" i="116" a="1"/>
  <c r="I93" i="116" s="1"/>
  <c r="H93" i="116" a="1"/>
  <c r="H93" i="116" s="1"/>
  <c r="G93" i="116" a="1"/>
  <c r="G93" i="116" s="1"/>
  <c r="F93" i="116" a="1"/>
  <c r="F93" i="116" s="1"/>
  <c r="P93" i="116" s="1"/>
  <c r="E93" i="116" a="1"/>
  <c r="E93" i="116" s="1"/>
  <c r="O93" i="116" s="1"/>
  <c r="D93" i="116" a="1"/>
  <c r="D93" i="116" s="1"/>
  <c r="I92" i="116" a="1"/>
  <c r="I92" i="116" s="1"/>
  <c r="H92" i="116" a="1"/>
  <c r="H92" i="116" s="1"/>
  <c r="G92" i="116" a="1"/>
  <c r="G92" i="116" s="1"/>
  <c r="F92" i="116" a="1"/>
  <c r="F92" i="116" s="1"/>
  <c r="P92" i="116" s="1"/>
  <c r="E92" i="116" a="1"/>
  <c r="E92" i="116" s="1"/>
  <c r="O92" i="116" s="1"/>
  <c r="D92" i="116" a="1"/>
  <c r="D92" i="116" s="1"/>
  <c r="I91" i="116" a="1"/>
  <c r="I91" i="116" s="1"/>
  <c r="H91" i="116" a="1"/>
  <c r="H91" i="116" s="1"/>
  <c r="G91" i="116" a="1"/>
  <c r="G91" i="116" s="1"/>
  <c r="F91" i="116" a="1"/>
  <c r="F91" i="116" s="1"/>
  <c r="P91" i="116" s="1"/>
  <c r="E91" i="116" a="1"/>
  <c r="E91" i="116" s="1"/>
  <c r="O91" i="116" s="1"/>
  <c r="D91" i="116" a="1"/>
  <c r="D91" i="116" s="1"/>
  <c r="I90" i="116" a="1"/>
  <c r="I90" i="116" s="1"/>
  <c r="H90" i="116" a="1"/>
  <c r="H90" i="116" s="1"/>
  <c r="G90" i="116" a="1"/>
  <c r="G90" i="116" s="1"/>
  <c r="F90" i="116" a="1"/>
  <c r="F90" i="116" s="1"/>
  <c r="P90" i="116" s="1"/>
  <c r="E90" i="116" a="1"/>
  <c r="E90" i="116" s="1"/>
  <c r="D90" i="116" a="1"/>
  <c r="D90" i="116" s="1"/>
  <c r="I86" i="116" a="1"/>
  <c r="I86" i="116" s="1"/>
  <c r="H86" i="116" a="1"/>
  <c r="H86" i="116" s="1"/>
  <c r="G86" i="116" a="1"/>
  <c r="G86" i="116" s="1"/>
  <c r="F86" i="116" a="1"/>
  <c r="F86" i="116" s="1"/>
  <c r="E86" i="116"/>
  <c r="E86" i="116" a="1"/>
  <c r="D86" i="116" a="1"/>
  <c r="D86" i="116" s="1"/>
  <c r="I85" i="116" a="1"/>
  <c r="I85" i="116" s="1"/>
  <c r="H85" i="116" a="1"/>
  <c r="H85" i="116" s="1"/>
  <c r="G85" i="116" a="1"/>
  <c r="G85" i="116" s="1"/>
  <c r="F85" i="116" a="1"/>
  <c r="F85" i="116" s="1"/>
  <c r="E85" i="116" a="1"/>
  <c r="E85" i="116" s="1"/>
  <c r="D85" i="116" a="1"/>
  <c r="D85" i="116" s="1"/>
  <c r="I84" i="116" a="1"/>
  <c r="I84" i="116" s="1"/>
  <c r="H84" i="116" a="1"/>
  <c r="H84" i="116" s="1"/>
  <c r="G84" i="116" a="1"/>
  <c r="G84" i="116" s="1"/>
  <c r="F84" i="116" a="1"/>
  <c r="F84" i="116" s="1"/>
  <c r="E84" i="116" a="1"/>
  <c r="E84" i="116" s="1"/>
  <c r="D84" i="116"/>
  <c r="D84" i="116" a="1"/>
  <c r="I83" i="116" a="1"/>
  <c r="I83" i="116" s="1"/>
  <c r="H83" i="116" a="1"/>
  <c r="H83" i="116" s="1"/>
  <c r="G83" i="116" a="1"/>
  <c r="G83" i="116" s="1"/>
  <c r="F83" i="116" a="1"/>
  <c r="F83" i="116" s="1"/>
  <c r="E83" i="116" a="1"/>
  <c r="E83" i="116" s="1"/>
  <c r="G467" i="114" s="1" a="1"/>
  <c r="G467" i="114" s="1"/>
  <c r="D83" i="116" a="1"/>
  <c r="D83" i="116" s="1"/>
  <c r="I80" i="116" a="1"/>
  <c r="I80" i="116" s="1"/>
  <c r="H80" i="116" a="1"/>
  <c r="H80" i="116" s="1"/>
  <c r="G80" i="116" a="1"/>
  <c r="G80" i="116" s="1"/>
  <c r="F80" i="116" a="1"/>
  <c r="F80" i="116" s="1"/>
  <c r="E80" i="116" a="1"/>
  <c r="E80" i="116" s="1"/>
  <c r="D80" i="116" a="1"/>
  <c r="D80" i="116" s="1"/>
  <c r="I79" i="116" a="1"/>
  <c r="I79" i="116" s="1"/>
  <c r="H79" i="116" a="1"/>
  <c r="H79" i="116" s="1"/>
  <c r="G79" i="116" a="1"/>
  <c r="G79" i="116" s="1"/>
  <c r="F79" i="116" a="1"/>
  <c r="F79" i="116" s="1"/>
  <c r="E79" i="116" a="1"/>
  <c r="E79" i="116" s="1"/>
  <c r="D79" i="116" a="1"/>
  <c r="D79" i="116" s="1"/>
  <c r="I78" i="116" a="1"/>
  <c r="I78" i="116" s="1"/>
  <c r="H78" i="116" a="1"/>
  <c r="H78" i="116" s="1"/>
  <c r="G78" i="116" a="1"/>
  <c r="G78" i="116" s="1"/>
  <c r="F78" i="116" a="1"/>
  <c r="F78" i="116" s="1"/>
  <c r="E78" i="116" a="1"/>
  <c r="E78" i="116" s="1"/>
  <c r="G446" i="114" s="1" a="1"/>
  <c r="G446" i="114" s="1"/>
  <c r="D78" i="116" a="1"/>
  <c r="D78" i="116" s="1"/>
  <c r="I74" i="116" a="1"/>
  <c r="I74" i="116" s="1"/>
  <c r="H74" i="116"/>
  <c r="H74" i="116" a="1"/>
  <c r="G74" i="116" a="1"/>
  <c r="G74" i="116" s="1"/>
  <c r="F74" i="116" a="1"/>
  <c r="F74" i="116" s="1"/>
  <c r="E74" i="116" a="1"/>
  <c r="E74" i="116" s="1"/>
  <c r="D74" i="116" a="1"/>
  <c r="D74" i="116" s="1"/>
  <c r="I73" i="116" a="1"/>
  <c r="I73" i="116" s="1"/>
  <c r="H73" i="116" a="1"/>
  <c r="H73" i="116" s="1"/>
  <c r="G73" i="116" a="1"/>
  <c r="G73" i="116" s="1"/>
  <c r="F73" i="116" a="1"/>
  <c r="F73" i="116" s="1"/>
  <c r="E73" i="116" a="1"/>
  <c r="E73" i="116" s="1"/>
  <c r="D73" i="116" a="1"/>
  <c r="D73" i="116" s="1"/>
  <c r="I72" i="116" a="1"/>
  <c r="I72" i="116" s="1"/>
  <c r="H72" i="116" a="1"/>
  <c r="H72" i="116" s="1"/>
  <c r="G72" i="116" a="1"/>
  <c r="G72" i="116" s="1"/>
  <c r="F72" i="116" a="1"/>
  <c r="F72" i="116" s="1"/>
  <c r="E72" i="116" a="1"/>
  <c r="E72" i="116" s="1"/>
  <c r="D72" i="116" a="1"/>
  <c r="D72" i="116" s="1"/>
  <c r="I71" i="116"/>
  <c r="I71" i="116" a="1"/>
  <c r="H71" i="116" a="1"/>
  <c r="H71" i="116" s="1"/>
  <c r="G71" i="116" a="1"/>
  <c r="G71" i="116" s="1"/>
  <c r="F71" i="116" a="1"/>
  <c r="F71" i="116" s="1"/>
  <c r="E71" i="116" a="1"/>
  <c r="E71" i="116" s="1"/>
  <c r="D71" i="116" a="1"/>
  <c r="D71" i="116" s="1"/>
  <c r="I70" i="116" a="1"/>
  <c r="I70" i="116" s="1"/>
  <c r="H70" i="116" a="1"/>
  <c r="H70" i="116" s="1"/>
  <c r="G70" i="116" a="1"/>
  <c r="G70" i="116" s="1"/>
  <c r="F70" i="116" a="1"/>
  <c r="F70" i="116" s="1"/>
  <c r="E70" i="116" a="1"/>
  <c r="E70" i="116" s="1"/>
  <c r="D70" i="116" a="1"/>
  <c r="D70" i="116" s="1"/>
  <c r="I69" i="116"/>
  <c r="I69" i="116" a="1"/>
  <c r="H69" i="116" a="1"/>
  <c r="H69" i="116" s="1"/>
  <c r="G69" i="116" a="1"/>
  <c r="G69" i="116" s="1"/>
  <c r="F69" i="116" a="1"/>
  <c r="F69" i="116" s="1"/>
  <c r="E69" i="116" a="1"/>
  <c r="E69" i="116" s="1"/>
  <c r="D69" i="116" a="1"/>
  <c r="D69" i="116" s="1"/>
  <c r="I68" i="116" a="1"/>
  <c r="I68" i="116" s="1"/>
  <c r="H68" i="116" a="1"/>
  <c r="H68" i="116" s="1"/>
  <c r="G68" i="116" a="1"/>
  <c r="G68" i="116" s="1"/>
  <c r="F68" i="116" a="1"/>
  <c r="F68" i="116" s="1"/>
  <c r="E68" i="116" a="1"/>
  <c r="E68" i="116" s="1"/>
  <c r="D68" i="116" a="1"/>
  <c r="D68" i="116" s="1"/>
  <c r="I67" i="116" a="1"/>
  <c r="I67" i="116" s="1"/>
  <c r="H67" i="116"/>
  <c r="H67" i="116" a="1"/>
  <c r="G67" i="116"/>
  <c r="G67" i="116" a="1"/>
  <c r="F67" i="116" a="1"/>
  <c r="F67" i="116" s="1"/>
  <c r="E67" i="116" a="1"/>
  <c r="E67" i="116" s="1"/>
  <c r="D67" i="116" a="1"/>
  <c r="D67" i="116" s="1"/>
  <c r="I66" i="116" a="1"/>
  <c r="I66" i="116" s="1"/>
  <c r="H66" i="116" a="1"/>
  <c r="H66" i="116" s="1"/>
  <c r="G66" i="116" a="1"/>
  <c r="G66" i="116" s="1"/>
  <c r="F66" i="116" a="1"/>
  <c r="F66" i="116" s="1"/>
  <c r="E66" i="116" a="1"/>
  <c r="E66" i="116" s="1"/>
  <c r="D66" i="116" a="1"/>
  <c r="D66" i="116" s="1"/>
  <c r="I65" i="116" a="1"/>
  <c r="I65" i="116" s="1"/>
  <c r="H65" i="116" a="1"/>
  <c r="H65" i="116" s="1"/>
  <c r="G65" i="116" a="1"/>
  <c r="G65" i="116" s="1"/>
  <c r="F65" i="116" a="1"/>
  <c r="F65" i="116" s="1"/>
  <c r="E65" i="116" a="1"/>
  <c r="E65" i="116" s="1"/>
  <c r="D65" i="116" a="1"/>
  <c r="D65" i="116" s="1"/>
  <c r="I64" i="116" a="1"/>
  <c r="I64" i="116" s="1"/>
  <c r="H64" i="116" a="1"/>
  <c r="H64" i="116" s="1"/>
  <c r="G64" i="116" a="1"/>
  <c r="G64" i="116" s="1"/>
  <c r="F64" i="116" a="1"/>
  <c r="F64" i="116" s="1"/>
  <c r="E64" i="116" a="1"/>
  <c r="E64" i="116" s="1"/>
  <c r="D64" i="116" a="1"/>
  <c r="D64" i="116" s="1"/>
  <c r="I63" i="116" a="1"/>
  <c r="I63" i="116" s="1"/>
  <c r="H63" i="116" a="1"/>
  <c r="H63" i="116" s="1"/>
  <c r="G63" i="116" a="1"/>
  <c r="G63" i="116" s="1"/>
  <c r="F63" i="116" a="1"/>
  <c r="F63" i="116" s="1"/>
  <c r="E63" i="116" a="1"/>
  <c r="E63" i="116" s="1"/>
  <c r="D63" i="116" a="1"/>
  <c r="D63" i="116" s="1"/>
  <c r="I62" i="116" a="1"/>
  <c r="I62" i="116" s="1"/>
  <c r="H62" i="116" a="1"/>
  <c r="H62" i="116" s="1"/>
  <c r="G62" i="116"/>
  <c r="G62" i="116" a="1"/>
  <c r="F62" i="116" a="1"/>
  <c r="F62" i="116" s="1"/>
  <c r="E62" i="116" a="1"/>
  <c r="E62" i="116" s="1"/>
  <c r="D62" i="116" a="1"/>
  <c r="D62" i="116" s="1"/>
  <c r="I61" i="116" a="1"/>
  <c r="I61" i="116" s="1"/>
  <c r="H61" i="116" a="1"/>
  <c r="H61" i="116" s="1"/>
  <c r="G61" i="116" a="1"/>
  <c r="G61" i="116" s="1"/>
  <c r="F61" i="116" a="1"/>
  <c r="F61" i="116" s="1"/>
  <c r="E61" i="116" a="1"/>
  <c r="E61" i="116" s="1"/>
  <c r="D61" i="116" a="1"/>
  <c r="D61" i="116" s="1"/>
  <c r="I60" i="116" a="1"/>
  <c r="I60" i="116" s="1"/>
  <c r="H60" i="116" a="1"/>
  <c r="H60" i="116" s="1"/>
  <c r="G60" i="116" a="1"/>
  <c r="G60" i="116" s="1"/>
  <c r="F60" i="116" a="1"/>
  <c r="F60" i="116" s="1"/>
  <c r="E60" i="116" a="1"/>
  <c r="E60" i="116" s="1"/>
  <c r="D60" i="116" a="1"/>
  <c r="D60" i="116" s="1"/>
  <c r="I59" i="116" a="1"/>
  <c r="I59" i="116" s="1"/>
  <c r="H59" i="116" a="1"/>
  <c r="H59" i="116" s="1"/>
  <c r="G59" i="116" a="1"/>
  <c r="G59" i="116" s="1"/>
  <c r="F59" i="116" a="1"/>
  <c r="F59" i="116" s="1"/>
  <c r="E59" i="116" a="1"/>
  <c r="E59" i="116" s="1"/>
  <c r="D59" i="116" a="1"/>
  <c r="D59" i="116" s="1"/>
  <c r="I58" i="116" a="1"/>
  <c r="I58" i="116" s="1"/>
  <c r="H58" i="116" a="1"/>
  <c r="H58" i="116" s="1"/>
  <c r="G58" i="116" a="1"/>
  <c r="G58" i="116" s="1"/>
  <c r="F58" i="116" a="1"/>
  <c r="F58" i="116" s="1"/>
  <c r="E58" i="116" a="1"/>
  <c r="E58" i="116" s="1"/>
  <c r="D58" i="116"/>
  <c r="D58" i="116" a="1"/>
  <c r="I57" i="116" a="1"/>
  <c r="I57" i="116" s="1"/>
  <c r="H57" i="116" a="1"/>
  <c r="H57" i="116" s="1"/>
  <c r="G57" i="116" a="1"/>
  <c r="G57" i="116" s="1"/>
  <c r="F57" i="116" a="1"/>
  <c r="F57" i="116" s="1"/>
  <c r="E57" i="116" a="1"/>
  <c r="E57" i="116" s="1"/>
  <c r="D57" i="116" a="1"/>
  <c r="D57" i="116" s="1"/>
  <c r="I56" i="116" a="1"/>
  <c r="I56" i="116" s="1"/>
  <c r="H56" i="116" a="1"/>
  <c r="H56" i="116" s="1"/>
  <c r="G56" i="116" a="1"/>
  <c r="G56" i="116" s="1"/>
  <c r="F56" i="116" a="1"/>
  <c r="F56" i="116" s="1"/>
  <c r="E56" i="116" a="1"/>
  <c r="E56" i="116" s="1"/>
  <c r="D56" i="116" a="1"/>
  <c r="D56" i="116" s="1"/>
  <c r="I55" i="116" a="1"/>
  <c r="I55" i="116" s="1"/>
  <c r="H55" i="116" a="1"/>
  <c r="H55" i="116" s="1"/>
  <c r="G55" i="116" a="1"/>
  <c r="G55" i="116" s="1"/>
  <c r="F55" i="116" a="1"/>
  <c r="F55" i="116" s="1"/>
  <c r="E55" i="116" a="1"/>
  <c r="E55" i="116" s="1"/>
  <c r="D55" i="116" a="1"/>
  <c r="D55" i="116" s="1"/>
  <c r="I54" i="116" a="1"/>
  <c r="I54" i="116" s="1"/>
  <c r="H54" i="116" a="1"/>
  <c r="H54" i="116" s="1"/>
  <c r="G54" i="116" a="1"/>
  <c r="G54" i="116" s="1"/>
  <c r="F54" i="116" a="1"/>
  <c r="F54" i="116" s="1"/>
  <c r="E54" i="116" a="1"/>
  <c r="E54" i="116" s="1"/>
  <c r="D54" i="116" a="1"/>
  <c r="D54" i="116" s="1"/>
  <c r="I53" i="116" a="1"/>
  <c r="I53" i="116" s="1"/>
  <c r="H53" i="116" a="1"/>
  <c r="H53" i="116" s="1"/>
  <c r="G53" i="116" a="1"/>
  <c r="G53" i="116" s="1"/>
  <c r="F53" i="116" a="1"/>
  <c r="F53" i="116" s="1"/>
  <c r="E53" i="116" a="1"/>
  <c r="E53" i="116" s="1"/>
  <c r="D53" i="116" a="1"/>
  <c r="D53" i="116" s="1"/>
  <c r="I52" i="116" a="1"/>
  <c r="I52" i="116" s="1"/>
  <c r="H52" i="116" a="1"/>
  <c r="H52" i="116" s="1"/>
  <c r="G52" i="116" a="1"/>
  <c r="G52" i="116" s="1"/>
  <c r="F52" i="116" a="1"/>
  <c r="F52" i="116" s="1"/>
  <c r="E52" i="116" a="1"/>
  <c r="E52" i="116" s="1"/>
  <c r="D52" i="116" a="1"/>
  <c r="D52" i="116" s="1"/>
  <c r="I51" i="116" a="1"/>
  <c r="I51" i="116" s="1"/>
  <c r="H51" i="116" a="1"/>
  <c r="H51" i="116" s="1"/>
  <c r="G51" i="116" a="1"/>
  <c r="G51" i="116" s="1"/>
  <c r="F51" i="116" a="1"/>
  <c r="F51" i="116" s="1"/>
  <c r="E51" i="116" a="1"/>
  <c r="E51" i="116" s="1"/>
  <c r="D51" i="116" a="1"/>
  <c r="D51" i="116" s="1"/>
  <c r="I50" i="116" a="1"/>
  <c r="I50" i="116" s="1"/>
  <c r="H50" i="116" a="1"/>
  <c r="H50" i="116" s="1"/>
  <c r="G50" i="116" a="1"/>
  <c r="G50" i="116" s="1"/>
  <c r="F50" i="116" a="1"/>
  <c r="F50" i="116" s="1"/>
  <c r="E50" i="116" a="1"/>
  <c r="E50" i="116" s="1"/>
  <c r="D50" i="116" a="1"/>
  <c r="D50" i="116" s="1"/>
  <c r="I49" i="116" a="1"/>
  <c r="I49" i="116" s="1"/>
  <c r="H49" i="116" a="1"/>
  <c r="H49" i="116" s="1"/>
  <c r="G49" i="116" a="1"/>
  <c r="G49" i="116" s="1"/>
  <c r="F49" i="116" a="1"/>
  <c r="F49" i="116" s="1"/>
  <c r="E49" i="116" a="1"/>
  <c r="E49" i="116" s="1"/>
  <c r="D49" i="116" a="1"/>
  <c r="D49" i="116" s="1"/>
  <c r="I48" i="116" a="1"/>
  <c r="I48" i="116" s="1"/>
  <c r="H48" i="116" a="1"/>
  <c r="H48" i="116" s="1"/>
  <c r="G48" i="116" a="1"/>
  <c r="G48" i="116" s="1"/>
  <c r="F48" i="116" a="1"/>
  <c r="F48" i="116" s="1"/>
  <c r="E48" i="116" a="1"/>
  <c r="E48" i="116" s="1"/>
  <c r="D48" i="116" a="1"/>
  <c r="D48" i="116" s="1"/>
  <c r="I47" i="116" a="1"/>
  <c r="I47" i="116" s="1"/>
  <c r="H47" i="116" a="1"/>
  <c r="H47" i="116" s="1"/>
  <c r="G47" i="116" a="1"/>
  <c r="G47" i="116" s="1"/>
  <c r="F47" i="116" a="1"/>
  <c r="F47" i="116" s="1"/>
  <c r="E47" i="116" a="1"/>
  <c r="E47" i="116" s="1"/>
  <c r="D47" i="116" a="1"/>
  <c r="D47" i="116" s="1"/>
  <c r="I46" i="116" a="1"/>
  <c r="I46" i="116" s="1"/>
  <c r="H46" i="116" a="1"/>
  <c r="H46" i="116" s="1"/>
  <c r="G46" i="116" a="1"/>
  <c r="G46" i="116" s="1"/>
  <c r="F46" i="116" a="1"/>
  <c r="F46" i="116" s="1"/>
  <c r="E46" i="116" a="1"/>
  <c r="E46" i="116" s="1"/>
  <c r="D46" i="116" a="1"/>
  <c r="D46" i="116" s="1"/>
  <c r="I45" i="116" a="1"/>
  <c r="I45" i="116" s="1"/>
  <c r="H45" i="116" a="1"/>
  <c r="H45" i="116" s="1"/>
  <c r="G45" i="116" a="1"/>
  <c r="G45" i="116" s="1"/>
  <c r="F45" i="116" a="1"/>
  <c r="F45" i="116" s="1"/>
  <c r="E45" i="116" a="1"/>
  <c r="E45" i="116" s="1"/>
  <c r="D45" i="116" a="1"/>
  <c r="D45" i="116" s="1"/>
  <c r="I44" i="116" a="1"/>
  <c r="I44" i="116" s="1"/>
  <c r="H44" i="116" a="1"/>
  <c r="H44" i="116" s="1"/>
  <c r="G44" i="116" a="1"/>
  <c r="G44" i="116" s="1"/>
  <c r="F44" i="116" a="1"/>
  <c r="F44" i="116" s="1"/>
  <c r="E44" i="116" a="1"/>
  <c r="E44" i="116" s="1"/>
  <c r="D44" i="116" a="1"/>
  <c r="D44" i="116" s="1"/>
  <c r="I43" i="116" a="1"/>
  <c r="I43" i="116" s="1"/>
  <c r="H43" i="116" a="1"/>
  <c r="H43" i="116" s="1"/>
  <c r="G43" i="116" a="1"/>
  <c r="G43" i="116" s="1"/>
  <c r="F43" i="116" a="1"/>
  <c r="F43" i="116" s="1"/>
  <c r="E43" i="116" a="1"/>
  <c r="E43" i="116" s="1"/>
  <c r="D43" i="116" a="1"/>
  <c r="D43" i="116" s="1"/>
  <c r="I42" i="116" a="1"/>
  <c r="I42" i="116" s="1"/>
  <c r="H42" i="116" a="1"/>
  <c r="H42" i="116" s="1"/>
  <c r="G42" i="116" a="1"/>
  <c r="G42" i="116" s="1"/>
  <c r="F42" i="116" a="1"/>
  <c r="F42" i="116" s="1"/>
  <c r="E42" i="116" a="1"/>
  <c r="E42" i="116" s="1"/>
  <c r="D42" i="116" a="1"/>
  <c r="D42" i="116" s="1"/>
  <c r="I41" i="116" a="1"/>
  <c r="I41" i="116" s="1"/>
  <c r="H41" i="116" a="1"/>
  <c r="H41" i="116" s="1"/>
  <c r="G41" i="116" a="1"/>
  <c r="G41" i="116" s="1"/>
  <c r="F41" i="116" a="1"/>
  <c r="F41" i="116" s="1"/>
  <c r="E41" i="116" a="1"/>
  <c r="E41" i="116" s="1"/>
  <c r="D41" i="116" a="1"/>
  <c r="D41" i="116" s="1"/>
  <c r="I40" i="116" a="1"/>
  <c r="I40" i="116" s="1"/>
  <c r="H40" i="116" a="1"/>
  <c r="H40" i="116" s="1"/>
  <c r="G40" i="116" a="1"/>
  <c r="G40" i="116" s="1"/>
  <c r="F40" i="116" a="1"/>
  <c r="F40" i="116" s="1"/>
  <c r="E40" i="116" a="1"/>
  <c r="E40" i="116" s="1"/>
  <c r="D40" i="116" a="1"/>
  <c r="D40" i="116" s="1"/>
  <c r="I39" i="116" a="1"/>
  <c r="I39" i="116" s="1"/>
  <c r="H39" i="116" a="1"/>
  <c r="H39" i="116" s="1"/>
  <c r="G39" i="116" a="1"/>
  <c r="G39" i="116" s="1"/>
  <c r="F39" i="116" a="1"/>
  <c r="F39" i="116" s="1"/>
  <c r="E39" i="116" a="1"/>
  <c r="E39" i="116" s="1"/>
  <c r="D39" i="116" a="1"/>
  <c r="D39" i="116" s="1"/>
  <c r="I38" i="116" a="1"/>
  <c r="I38" i="116" s="1"/>
  <c r="H38" i="116" a="1"/>
  <c r="H38" i="116" s="1"/>
  <c r="G38" i="116" a="1"/>
  <c r="G38" i="116" s="1"/>
  <c r="F38" i="116" a="1"/>
  <c r="F38" i="116" s="1"/>
  <c r="E38" i="116" a="1"/>
  <c r="E38" i="116" s="1"/>
  <c r="D38" i="116" a="1"/>
  <c r="D38" i="116" s="1"/>
  <c r="I37" i="116"/>
  <c r="I37" i="116" a="1"/>
  <c r="H37" i="116" a="1"/>
  <c r="H37" i="116" s="1"/>
  <c r="G37" i="116" a="1"/>
  <c r="G37" i="116" s="1"/>
  <c r="F37" i="116" a="1"/>
  <c r="F37" i="116" s="1"/>
  <c r="E37" i="116" a="1"/>
  <c r="E37" i="116" s="1"/>
  <c r="D37" i="116" a="1"/>
  <c r="D37" i="116" s="1"/>
  <c r="I36" i="116" a="1"/>
  <c r="I36" i="116" s="1"/>
  <c r="H36" i="116" a="1"/>
  <c r="H36" i="116" s="1"/>
  <c r="G36" i="116" a="1"/>
  <c r="G36" i="116" s="1"/>
  <c r="F36" i="116" a="1"/>
  <c r="F36" i="116" s="1"/>
  <c r="E36" i="116" a="1"/>
  <c r="E36" i="116" s="1"/>
  <c r="D36" i="116" a="1"/>
  <c r="D36" i="116" s="1"/>
  <c r="I35" i="116" a="1"/>
  <c r="I35" i="116" s="1"/>
  <c r="H35" i="116" a="1"/>
  <c r="H35" i="116" s="1"/>
  <c r="G35" i="116" a="1"/>
  <c r="G35" i="116" s="1"/>
  <c r="F35" i="116" a="1"/>
  <c r="F35" i="116" s="1"/>
  <c r="E35" i="116" a="1"/>
  <c r="E35" i="116" s="1"/>
  <c r="D35" i="116" a="1"/>
  <c r="D35" i="116" s="1"/>
  <c r="I34" i="116" a="1"/>
  <c r="I34" i="116" s="1"/>
  <c r="H34" i="116" a="1"/>
  <c r="H34" i="116" s="1"/>
  <c r="G34" i="116" a="1"/>
  <c r="G34" i="116" s="1"/>
  <c r="F34" i="116" a="1"/>
  <c r="F34" i="116" s="1"/>
  <c r="E34" i="116" a="1"/>
  <c r="E34" i="116" s="1"/>
  <c r="D34" i="116" a="1"/>
  <c r="D34" i="116" s="1"/>
  <c r="R85" i="115" a="1"/>
  <c r="R85" i="115" s="1"/>
  <c r="N85" i="115" a="1"/>
  <c r="N85" i="115" s="1"/>
  <c r="H85" i="115" a="1"/>
  <c r="H85" i="115" s="1"/>
  <c r="D85" i="115" a="1"/>
  <c r="D85" i="115" s="1"/>
  <c r="O83" i="115" a="1"/>
  <c r="O83" i="115" s="1"/>
  <c r="E83" i="115" a="1"/>
  <c r="E83" i="115" s="1"/>
  <c r="O82" i="115" a="1"/>
  <c r="O82" i="115" s="1"/>
  <c r="E82" i="115" a="1"/>
  <c r="E82" i="115" s="1"/>
  <c r="N78" i="115" a="1"/>
  <c r="N78" i="115" s="1"/>
  <c r="D78" i="115" a="1"/>
  <c r="D78" i="115" s="1"/>
  <c r="N77" i="115" a="1"/>
  <c r="N77" i="115" s="1"/>
  <c r="D77" i="115" a="1"/>
  <c r="D77" i="115" s="1"/>
  <c r="I72" i="115"/>
  <c r="I71" i="115"/>
  <c r="I70" i="115"/>
  <c r="S67" i="115"/>
  <c r="Q67" i="115" a="1"/>
  <c r="Q67" i="115" s="1"/>
  <c r="N67" i="115" a="1"/>
  <c r="N67" i="115" s="1"/>
  <c r="I67" i="115"/>
  <c r="G67" i="115" a="1"/>
  <c r="G67" i="115" s="1"/>
  <c r="D67" i="115" a="1"/>
  <c r="D67" i="115" s="1"/>
  <c r="O65" i="115" a="1"/>
  <c r="O65" i="115" s="1"/>
  <c r="E65" i="115" a="1"/>
  <c r="E65" i="115" s="1"/>
  <c r="O64" i="115" a="1"/>
  <c r="O64" i="115" s="1"/>
  <c r="E64" i="115" a="1"/>
  <c r="E64" i="115" s="1"/>
  <c r="N60" i="115" a="1"/>
  <c r="N60" i="115" s="1"/>
  <c r="D60" i="115" a="1"/>
  <c r="D60" i="115" s="1"/>
  <c r="N59" i="115" a="1"/>
  <c r="N59" i="115" s="1"/>
  <c r="D59" i="115" a="1"/>
  <c r="D59" i="115" s="1"/>
  <c r="I52" i="115"/>
  <c r="I51" i="115"/>
  <c r="Q48" i="115" a="1"/>
  <c r="Q48" i="115" s="1"/>
  <c r="N48" i="115" a="1"/>
  <c r="N48" i="115" s="1"/>
  <c r="G48" i="115" a="1"/>
  <c r="G48" i="115" s="1"/>
  <c r="D48" i="115" a="1"/>
  <c r="D48" i="115" s="1"/>
  <c r="O46" i="115" a="1"/>
  <c r="O46" i="115" s="1"/>
  <c r="E46" i="115" a="1"/>
  <c r="E46" i="115" s="1"/>
  <c r="O45" i="115" a="1"/>
  <c r="O45" i="115" s="1"/>
  <c r="E45" i="115" a="1"/>
  <c r="E45" i="115" s="1"/>
  <c r="N41" i="115" a="1"/>
  <c r="N41" i="115" s="1"/>
  <c r="D41" i="115" a="1"/>
  <c r="D41" i="115" s="1"/>
  <c r="N40" i="115" a="1"/>
  <c r="N40" i="115" s="1"/>
  <c r="D40" i="115" a="1"/>
  <c r="D40" i="115" s="1"/>
  <c r="S32" i="115"/>
  <c r="Q32" i="115" a="1"/>
  <c r="Q32" i="115" s="1"/>
  <c r="N32" i="115" a="1"/>
  <c r="N32" i="115" s="1"/>
  <c r="I32" i="115"/>
  <c r="G32" i="115" a="1"/>
  <c r="G32" i="115" s="1"/>
  <c r="D32" i="115" a="1"/>
  <c r="D32" i="115" s="1"/>
  <c r="O30" i="115" a="1"/>
  <c r="O30" i="115" s="1"/>
  <c r="P35" i="115" s="1"/>
  <c r="E30" i="115" a="1"/>
  <c r="E30" i="115" s="1"/>
  <c r="F35" i="115" s="1"/>
  <c r="O29" i="115" a="1"/>
  <c r="O29" i="115" s="1"/>
  <c r="E29" i="115"/>
  <c r="E29" i="115" a="1"/>
  <c r="N25" i="115" a="1"/>
  <c r="N25" i="115" s="1"/>
  <c r="D25" i="115" a="1"/>
  <c r="D25" i="115" s="1"/>
  <c r="N24" i="115" a="1"/>
  <c r="N24" i="115" s="1"/>
  <c r="D24" i="115" a="1"/>
  <c r="D24" i="115" s="1"/>
  <c r="J16" i="115"/>
  <c r="T13" i="115"/>
  <c r="R13" i="115" a="1"/>
  <c r="R13" i="115" s="1"/>
  <c r="N13" i="115" a="1"/>
  <c r="N13" i="115" s="1"/>
  <c r="J13" i="115"/>
  <c r="H13" i="115" a="1"/>
  <c r="H13" i="115" s="1"/>
  <c r="D13" i="115" a="1"/>
  <c r="D13" i="115" s="1"/>
  <c r="O11" i="115" a="1"/>
  <c r="O11" i="115" s="1"/>
  <c r="E11" i="115"/>
  <c r="P19" i="115" s="1"/>
  <c r="E11" i="115" a="1"/>
  <c r="O10" i="115" a="1"/>
  <c r="O10" i="115" s="1"/>
  <c r="E10" i="115" a="1"/>
  <c r="E10" i="115" s="1"/>
  <c r="N6" i="115" a="1"/>
  <c r="N6" i="115" s="1"/>
  <c r="D6" i="115"/>
  <c r="D6" i="115" a="1"/>
  <c r="N5" i="115" a="1"/>
  <c r="N5" i="115" s="1"/>
  <c r="D5" i="115" a="1"/>
  <c r="D5" i="115" s="1"/>
  <c r="J650" i="114" a="1"/>
  <c r="J650" i="114" s="1"/>
  <c r="J648" i="114" a="1"/>
  <c r="J648" i="114" s="1"/>
  <c r="J645" i="114" a="1"/>
  <c r="J645" i="114" s="1"/>
  <c r="J644" i="114" a="1"/>
  <c r="J644" i="114" s="1"/>
  <c r="J643" i="114" a="1"/>
  <c r="J643" i="114" s="1"/>
  <c r="J633" i="114" a="1"/>
  <c r="J633" i="114" s="1"/>
  <c r="J632" i="114" a="1"/>
  <c r="J632" i="114" s="1"/>
  <c r="J631" i="114" a="1"/>
  <c r="J631" i="114" s="1"/>
  <c r="J628" i="114" a="1"/>
  <c r="J628" i="114" s="1"/>
  <c r="J627" i="114" a="1"/>
  <c r="J627" i="114" s="1"/>
  <c r="J626" i="114" a="1"/>
  <c r="J626" i="114" s="1"/>
  <c r="J625" i="114" a="1"/>
  <c r="J625" i="114" s="1"/>
  <c r="J630" i="114" a="1"/>
  <c r="J630" i="114" s="1"/>
  <c r="G616" i="114" a="1"/>
  <c r="G616" i="114" s="1"/>
  <c r="D616" i="114" a="1"/>
  <c r="D616" i="114" s="1"/>
  <c r="E614" i="114" a="1"/>
  <c r="E614" i="114" s="1"/>
  <c r="E613" i="114" a="1"/>
  <c r="E613" i="114" s="1"/>
  <c r="D608" i="114" a="1"/>
  <c r="D608" i="114" s="1"/>
  <c r="D607" i="114" a="1"/>
  <c r="D607" i="114" s="1"/>
  <c r="E601" i="114" a="1"/>
  <c r="E601" i="114" s="1"/>
  <c r="F603" i="114" s="1"/>
  <c r="E600" i="114" a="1"/>
  <c r="E600" i="114" s="1"/>
  <c r="D598" i="114" a="1"/>
  <c r="D598" i="114" s="1"/>
  <c r="D597" i="114" a="1"/>
  <c r="D597" i="114" s="1"/>
  <c r="N593" i="114" a="1"/>
  <c r="N593" i="114" s="1"/>
  <c r="F593" i="114" a="1"/>
  <c r="F593" i="114" s="1"/>
  <c r="L590" i="114" a="1"/>
  <c r="L590" i="114" s="1"/>
  <c r="D590" i="114" a="1"/>
  <c r="D590" i="114" s="1"/>
  <c r="P584" i="114" a="1"/>
  <c r="P584" i="114" s="1"/>
  <c r="L584" i="114" a="1"/>
  <c r="L584" i="114" s="1"/>
  <c r="H584" i="114" a="1"/>
  <c r="H584" i="114" s="1"/>
  <c r="D584" i="114" a="1"/>
  <c r="D584" i="114" s="1"/>
  <c r="E580" i="114" a="1"/>
  <c r="E580" i="114" s="1"/>
  <c r="E579" i="114" a="1"/>
  <c r="E579" i="114" s="1"/>
  <c r="D575" i="114" a="1"/>
  <c r="D575" i="114" s="1"/>
  <c r="D574" i="114" a="1"/>
  <c r="D574" i="114" s="1"/>
  <c r="I568" i="114"/>
  <c r="I564" i="114"/>
  <c r="I563" i="114"/>
  <c r="I562" i="114"/>
  <c r="G562" i="114" a="1"/>
  <c r="G562" i="114" s="1"/>
  <c r="D562" i="114" a="1"/>
  <c r="D562" i="114" s="1"/>
  <c r="E560" i="114" a="1"/>
  <c r="E560" i="114" s="1"/>
  <c r="E559" i="114" a="1"/>
  <c r="E559" i="114" s="1"/>
  <c r="D554" i="114" a="1"/>
  <c r="D554" i="114" s="1"/>
  <c r="D553" i="114" a="1"/>
  <c r="D553" i="114" s="1"/>
  <c r="D552" i="114"/>
  <c r="D552" i="114" a="1"/>
  <c r="I546" i="114"/>
  <c r="I544" i="114"/>
  <c r="G544" i="114" a="1"/>
  <c r="G544" i="114" s="1"/>
  <c r="D544" i="114" a="1"/>
  <c r="D544" i="114" s="1"/>
  <c r="E542" i="114" a="1"/>
  <c r="E542" i="114" s="1"/>
  <c r="E541" i="114" a="1"/>
  <c r="E541" i="114" s="1"/>
  <c r="D537" i="114" a="1"/>
  <c r="D537" i="114" s="1"/>
  <c r="D536" i="114" a="1"/>
  <c r="D536" i="114" s="1"/>
  <c r="G530" i="114" a="1"/>
  <c r="G530" i="114" s="1"/>
  <c r="D530" i="114" a="1"/>
  <c r="D530" i="114" s="1"/>
  <c r="E528" i="114" a="1"/>
  <c r="E528" i="114" s="1"/>
  <c r="E527" i="114" a="1"/>
  <c r="E527" i="114" s="1"/>
  <c r="D522" i="114" a="1"/>
  <c r="D522" i="114" s="1"/>
  <c r="D521" i="114" a="1"/>
  <c r="D521" i="114" s="1"/>
  <c r="K514" i="114" a="1"/>
  <c r="K514" i="114" s="1"/>
  <c r="K513" i="114" a="1"/>
  <c r="K513" i="114" s="1"/>
  <c r="K512" i="114" a="1"/>
  <c r="K512" i="114" s="1"/>
  <c r="K511" i="114" a="1"/>
  <c r="K511" i="114" s="1"/>
  <c r="K509" i="114" a="1"/>
  <c r="K509" i="114" s="1"/>
  <c r="K508" i="114" a="1"/>
  <c r="K508" i="114" s="1"/>
  <c r="K507" i="114" a="1"/>
  <c r="K507" i="114" s="1"/>
  <c r="K506" i="114" a="1"/>
  <c r="K506" i="114" s="1"/>
  <c r="K510" i="114" a="1"/>
  <c r="K510" i="114" s="1"/>
  <c r="E496" i="114"/>
  <c r="I496" i="114" s="1" a="1"/>
  <c r="I496" i="114" s="1"/>
  <c r="E495" i="114"/>
  <c r="E494" i="114"/>
  <c r="I494" i="114" s="1" a="1"/>
  <c r="I494" i="114" s="1"/>
  <c r="E485" i="114"/>
  <c r="I485" i="114" s="1" a="1"/>
  <c r="I485" i="114" s="1"/>
  <c r="E484" i="114"/>
  <c r="E483" i="114"/>
  <c r="I483" i="114" s="1" a="1"/>
  <c r="I483" i="114" s="1"/>
  <c r="E482" i="114"/>
  <c r="E481" i="114"/>
  <c r="I481" i="114" s="1" a="1"/>
  <c r="I481" i="114" s="1"/>
  <c r="J468" i="114" a="1"/>
  <c r="J468" i="114" s="1"/>
  <c r="J467" i="114" a="1"/>
  <c r="J467" i="114" s="1"/>
  <c r="J465" i="114" a="1"/>
  <c r="J465" i="114" s="1"/>
  <c r="J464" i="114" a="1"/>
  <c r="J464" i="114" s="1"/>
  <c r="J466" i="114" a="1"/>
  <c r="J466" i="114" s="1"/>
  <c r="J450" i="114" a="1"/>
  <c r="J450" i="114" s="1"/>
  <c r="J449" i="114" a="1"/>
  <c r="J449" i="114" s="1"/>
  <c r="J447" i="114" a="1"/>
  <c r="J447" i="114" s="1"/>
  <c r="J446" i="114" a="1"/>
  <c r="J446" i="114" s="1"/>
  <c r="J448" i="114" a="1"/>
  <c r="J448" i="114" s="1"/>
  <c r="G439" i="114" a="1"/>
  <c r="G439" i="114" s="1"/>
  <c r="D439" i="114" a="1"/>
  <c r="D439" i="114" s="1"/>
  <c r="E437" i="114" a="1"/>
  <c r="E437" i="114" s="1"/>
  <c r="E436" i="114" a="1"/>
  <c r="E436" i="114" s="1"/>
  <c r="D431" i="114" a="1"/>
  <c r="D431" i="114" s="1"/>
  <c r="D430" i="114" a="1"/>
  <c r="D430" i="114" s="1"/>
  <c r="K423" i="114"/>
  <c r="K418" i="114"/>
  <c r="K417" i="114"/>
  <c r="K416" i="114"/>
  <c r="F407" i="114" a="1"/>
  <c r="F407" i="114" s="1"/>
  <c r="D407" i="114" a="1"/>
  <c r="D407" i="114" s="1"/>
  <c r="E405" i="114" a="1"/>
  <c r="E405" i="114" s="1"/>
  <c r="E404" i="114" a="1"/>
  <c r="E404" i="114" s="1"/>
  <c r="D399" i="114" a="1"/>
  <c r="D399" i="114" s="1"/>
  <c r="D398" i="114" a="1"/>
  <c r="D398" i="114" s="1"/>
  <c r="F377" i="114" a="1"/>
  <c r="F377" i="114" s="1"/>
  <c r="D377" i="114" a="1"/>
  <c r="D377" i="114" s="1"/>
  <c r="E375" i="114" a="1"/>
  <c r="E375" i="114" s="1"/>
  <c r="E374" i="114" a="1"/>
  <c r="E374" i="114" s="1"/>
  <c r="D369" i="114" a="1"/>
  <c r="D369" i="114" s="1"/>
  <c r="D368" i="114" a="1"/>
  <c r="D368" i="114" s="1"/>
  <c r="D367" i="114" a="1"/>
  <c r="D367" i="114" s="1"/>
  <c r="L360" i="114"/>
  <c r="K360" i="114" a="1"/>
  <c r="K360" i="114" s="1"/>
  <c r="L359" i="114"/>
  <c r="L355" i="114"/>
  <c r="K355" i="114" a="1"/>
  <c r="K355" i="114" s="1"/>
  <c r="L354" i="114"/>
  <c r="K354" i="114" a="1"/>
  <c r="K354" i="114" s="1"/>
  <c r="K353" i="114" a="1"/>
  <c r="K353" i="114" s="1"/>
  <c r="L357" i="114"/>
  <c r="G344" i="114" a="1"/>
  <c r="G344" i="114" s="1"/>
  <c r="D344" i="114" a="1"/>
  <c r="D344" i="114" s="1"/>
  <c r="E342" i="114" a="1"/>
  <c r="E342" i="114" s="1"/>
  <c r="E341" i="114" a="1"/>
  <c r="E341" i="114" s="1"/>
  <c r="D337" i="114" a="1"/>
  <c r="D337" i="114" s="1"/>
  <c r="D336" i="114" a="1"/>
  <c r="D336" i="114" s="1"/>
  <c r="F311" i="114" a="1"/>
  <c r="G315" i="114" s="1"/>
  <c r="D311" i="114" a="1"/>
  <c r="D311" i="114" s="1"/>
  <c r="E309" i="114" a="1"/>
  <c r="E309" i="114" s="1"/>
  <c r="E308" i="114" a="1"/>
  <c r="E308" i="114" s="1"/>
  <c r="D304" i="114" a="1"/>
  <c r="D304" i="114" s="1"/>
  <c r="D303" i="114" a="1"/>
  <c r="D303" i="114" s="1"/>
  <c r="G280" i="114" a="1"/>
  <c r="G280" i="114" s="1"/>
  <c r="D280" i="114" a="1"/>
  <c r="D280" i="114" s="1"/>
  <c r="E278" i="114" a="1"/>
  <c r="E278" i="114" s="1"/>
  <c r="E277" i="114" a="1"/>
  <c r="E277" i="114" s="1"/>
  <c r="D272" i="114" a="1"/>
  <c r="D272" i="114" s="1"/>
  <c r="D271" i="114" a="1"/>
  <c r="D271" i="114" s="1"/>
  <c r="G224" i="114" a="1"/>
  <c r="G224" i="114" s="1"/>
  <c r="D224" i="114" a="1"/>
  <c r="D224" i="114" s="1"/>
  <c r="E222" i="114" a="1"/>
  <c r="E222" i="114" s="1"/>
  <c r="E221" i="114" a="1"/>
  <c r="E221" i="114" s="1"/>
  <c r="D217" i="114" a="1"/>
  <c r="D217" i="114" s="1"/>
  <c r="D216" i="114" a="1"/>
  <c r="D216" i="114" s="1"/>
  <c r="D215" i="114" a="1"/>
  <c r="D215" i="114" s="1"/>
  <c r="G209" i="114" a="1"/>
  <c r="G209" i="114" s="1"/>
  <c r="D209" i="114" a="1"/>
  <c r="D209" i="114" s="1"/>
  <c r="E207" i="114" a="1"/>
  <c r="E207" i="114" s="1"/>
  <c r="E206" i="114" a="1"/>
  <c r="E206" i="114" s="1"/>
  <c r="D202" i="114" a="1"/>
  <c r="D202" i="114" s="1"/>
  <c r="D201" i="114" a="1"/>
  <c r="D201" i="114" s="1"/>
  <c r="G195" i="114" a="1"/>
  <c r="G195" i="114" s="1"/>
  <c r="D195" i="114" a="1"/>
  <c r="D195" i="114" s="1"/>
  <c r="E193" i="114" a="1"/>
  <c r="E193" i="114" s="1"/>
  <c r="E192" i="114" a="1"/>
  <c r="E192" i="114" s="1"/>
  <c r="D188" i="114" a="1"/>
  <c r="D188" i="114" s="1"/>
  <c r="D187" i="114" a="1"/>
  <c r="D187" i="114" s="1"/>
  <c r="D186" i="114" a="1"/>
  <c r="D186" i="114" s="1"/>
  <c r="E179" i="114"/>
  <c r="I179" i="114" s="1" a="1"/>
  <c r="I179" i="114" s="1"/>
  <c r="E178" i="114"/>
  <c r="I178" i="114" s="1" a="1"/>
  <c r="I178" i="114" s="1"/>
  <c r="E177" i="114"/>
  <c r="I177" i="114" s="1" a="1"/>
  <c r="I177" i="114" s="1"/>
  <c r="G172" i="114" a="1"/>
  <c r="G172" i="114" s="1"/>
  <c r="D172" i="114" a="1"/>
  <c r="D172" i="114" s="1"/>
  <c r="E170" i="114" a="1"/>
  <c r="E170" i="114" s="1"/>
  <c r="E169" i="114" a="1"/>
  <c r="E169" i="114" s="1"/>
  <c r="F168" i="114" a="1"/>
  <c r="F168" i="114" s="1"/>
  <c r="D165" i="114" a="1"/>
  <c r="D165" i="114" s="1"/>
  <c r="D164" i="114" a="1"/>
  <c r="D164" i="114" s="1"/>
  <c r="E153" i="114"/>
  <c r="E152" i="114"/>
  <c r="E151" i="114"/>
  <c r="E150" i="114"/>
  <c r="E149" i="114"/>
  <c r="E148" i="114"/>
  <c r="I148" i="114" s="1" a="1"/>
  <c r="I148" i="114" s="1"/>
  <c r="E140" i="114"/>
  <c r="E139" i="114"/>
  <c r="E138" i="114"/>
  <c r="I138" i="114" s="1" a="1"/>
  <c r="I138" i="114" s="1"/>
  <c r="E137" i="114"/>
  <c r="I137" i="114" s="1" a="1"/>
  <c r="I137" i="114" s="1"/>
  <c r="I121" i="114" a="1"/>
  <c r="I121" i="114" s="1"/>
  <c r="G107" i="114" a="1"/>
  <c r="G107" i="114" s="1"/>
  <c r="D107" i="114" a="1"/>
  <c r="D107" i="114" s="1"/>
  <c r="E105" i="114" a="1"/>
  <c r="E105" i="114" s="1"/>
  <c r="F142" i="114" s="1"/>
  <c r="E104" i="114" a="1"/>
  <c r="E104" i="114" s="1"/>
  <c r="D100" i="114" a="1"/>
  <c r="D100" i="114" s="1"/>
  <c r="D99" i="114" a="1"/>
  <c r="D99" i="114" s="1"/>
  <c r="D98" i="114" a="1"/>
  <c r="D98" i="114" s="1"/>
  <c r="J42" i="114" a="1"/>
  <c r="J42" i="114" s="1"/>
  <c r="M24" i="114" a="1"/>
  <c r="M24" i="114" s="1"/>
  <c r="G13" i="114" a="1"/>
  <c r="G13" i="114" s="1"/>
  <c r="D13" i="114" a="1"/>
  <c r="D13" i="114" s="1"/>
  <c r="E11" i="114" a="1"/>
  <c r="E11" i="114" s="1"/>
  <c r="E10" i="114" a="1"/>
  <c r="E10" i="114" s="1"/>
  <c r="D6" i="114" a="1"/>
  <c r="D6" i="114" s="1"/>
  <c r="D5" i="114" a="1"/>
  <c r="D5" i="114"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E63" i="108" a="1"/>
  <c r="E63" i="108" s="1"/>
  <c r="D63" i="108" a="1"/>
  <c r="D63" i="108" s="1"/>
  <c r="E62" i="108" a="1"/>
  <c r="E62" i="108" s="1"/>
  <c r="D62" i="108" a="1"/>
  <c r="D62" i="108" s="1"/>
  <c r="E61" i="108" a="1"/>
  <c r="E61" i="108" s="1"/>
  <c r="D61" i="108" a="1"/>
  <c r="D61" i="108" s="1"/>
  <c r="E60" i="108" a="1"/>
  <c r="E60" i="108" s="1"/>
  <c r="D60" i="108" a="1"/>
  <c r="D60" i="108" s="1"/>
  <c r="E59" i="108" a="1"/>
  <c r="E59" i="108" s="1"/>
  <c r="D59" i="108" a="1"/>
  <c r="D59" i="108" s="1"/>
  <c r="E58" i="108" a="1"/>
  <c r="E58" i="108" s="1"/>
  <c r="D58" i="108" a="1"/>
  <c r="D58" i="108" s="1"/>
  <c r="D56" i="108" a="1"/>
  <c r="D56" i="108" s="1"/>
  <c r="D55" i="108" a="1"/>
  <c r="D55" i="108" s="1"/>
  <c r="D54" i="108" a="1"/>
  <c r="D54" i="108" s="1"/>
  <c r="D53" i="108" a="1"/>
  <c r="D53" i="108" s="1"/>
  <c r="D52" i="108" a="1"/>
  <c r="D52" i="108" s="1"/>
  <c r="G50" i="108" a="1"/>
  <c r="G50" i="108" s="1"/>
  <c r="F50" i="108" a="1"/>
  <c r="F50" i="108" s="1"/>
  <c r="E50" i="108" a="1"/>
  <c r="E50" i="108" s="1"/>
  <c r="O21" i="108" s="1"/>
  <c r="D50" i="108" a="1"/>
  <c r="D50" i="108" s="1"/>
  <c r="G49" i="108" a="1"/>
  <c r="G49" i="108" s="1"/>
  <c r="F49" i="108" a="1"/>
  <c r="F49" i="108" s="1"/>
  <c r="E49" i="108" a="1"/>
  <c r="E49" i="108" s="1"/>
  <c r="O20" i="108" s="1"/>
  <c r="D49" i="108" a="1"/>
  <c r="D49" i="108" s="1"/>
  <c r="G48" i="108" a="1"/>
  <c r="G48" i="108" s="1"/>
  <c r="F48" i="108" a="1"/>
  <c r="F48" i="108" s="1"/>
  <c r="E48" i="108" a="1"/>
  <c r="E48" i="108" s="1"/>
  <c r="O19" i="108" s="1"/>
  <c r="D48" i="108" a="1"/>
  <c r="D48" i="108" s="1"/>
  <c r="G47" i="108" a="1"/>
  <c r="G47" i="108" s="1"/>
  <c r="F47" i="108" a="1"/>
  <c r="F47" i="108" s="1"/>
  <c r="E47" i="108" a="1"/>
  <c r="E47" i="108" s="1"/>
  <c r="O18" i="108" s="1"/>
  <c r="D47" i="108" a="1"/>
  <c r="D47" i="108" s="1"/>
  <c r="G46" i="108" a="1"/>
  <c r="G46" i="108" s="1"/>
  <c r="F46" i="108" a="1"/>
  <c r="F46" i="108" s="1"/>
  <c r="E46" i="108" a="1"/>
  <c r="E46" i="108" s="1"/>
  <c r="O17" i="108" s="1"/>
  <c r="D46" i="108" a="1"/>
  <c r="D46" i="108" s="1"/>
  <c r="G45" i="108" a="1"/>
  <c r="G45" i="108" s="1"/>
  <c r="F45" i="108" a="1"/>
  <c r="F45" i="108" s="1"/>
  <c r="E45" i="108" a="1"/>
  <c r="E45" i="108" s="1"/>
  <c r="D45" i="108" a="1"/>
  <c r="D45" i="108" s="1"/>
  <c r="G44" i="108" a="1"/>
  <c r="G44" i="108" s="1"/>
  <c r="F44" i="108" a="1"/>
  <c r="F44" i="108" s="1"/>
  <c r="E44" i="108" a="1"/>
  <c r="E44" i="108" s="1"/>
  <c r="M21" i="108" s="1"/>
  <c r="D44" i="108" a="1"/>
  <c r="D44" i="108" s="1"/>
  <c r="G43" i="108" a="1"/>
  <c r="G43" i="108" s="1"/>
  <c r="F43" i="108" a="1"/>
  <c r="F43" i="108" s="1"/>
  <c r="E43" i="108" a="1"/>
  <c r="E43" i="108" s="1"/>
  <c r="M20" i="108" s="1"/>
  <c r="D43" i="108" a="1"/>
  <c r="D43" i="108" s="1"/>
  <c r="G42" i="108" a="1"/>
  <c r="G42" i="108" s="1"/>
  <c r="F42" i="108" a="1"/>
  <c r="F42" i="108" s="1"/>
  <c r="E42" i="108" a="1"/>
  <c r="E42" i="108" s="1"/>
  <c r="M19" i="108" s="1"/>
  <c r="D42" i="108" a="1"/>
  <c r="D42" i="108" s="1"/>
  <c r="G41" i="108" a="1"/>
  <c r="G41" i="108" s="1"/>
  <c r="F41" i="108" a="1"/>
  <c r="F41" i="108" s="1"/>
  <c r="E41" i="108" a="1"/>
  <c r="E41" i="108" s="1"/>
  <c r="M18" i="108" s="1"/>
  <c r="D41" i="108" a="1"/>
  <c r="D41" i="108" s="1"/>
  <c r="G40" i="108" a="1"/>
  <c r="G40" i="108" s="1"/>
  <c r="F40" i="108" a="1"/>
  <c r="F40" i="108" s="1"/>
  <c r="E40" i="108" a="1"/>
  <c r="E40" i="108" s="1"/>
  <c r="M17" i="108" s="1"/>
  <c r="D40" i="108" a="1"/>
  <c r="D40" i="108" s="1"/>
  <c r="G39" i="108" a="1"/>
  <c r="G39" i="108" s="1"/>
  <c r="F39" i="108" a="1"/>
  <c r="F39" i="108" s="1"/>
  <c r="E39" i="108" a="1"/>
  <c r="E39" i="108" s="1"/>
  <c r="D39" i="108" a="1"/>
  <c r="D39" i="108" s="1"/>
  <c r="G38" i="108" a="1"/>
  <c r="G38" i="108" s="1"/>
  <c r="F38" i="108" a="1"/>
  <c r="F38" i="108" s="1"/>
  <c r="E38" i="108" a="1"/>
  <c r="E38" i="108" s="1"/>
  <c r="K26" i="108" s="1"/>
  <c r="D38" i="108" a="1"/>
  <c r="D38" i="108" s="1"/>
  <c r="G37" i="108" a="1"/>
  <c r="G37" i="108" s="1"/>
  <c r="F37" i="108" a="1"/>
  <c r="F37" i="108" s="1"/>
  <c r="E37" i="108" a="1"/>
  <c r="E37" i="108" s="1"/>
  <c r="K25" i="108" s="1"/>
  <c r="D37" i="108" a="1"/>
  <c r="D37" i="108" s="1"/>
  <c r="G36" i="108" a="1"/>
  <c r="G36" i="108" s="1"/>
  <c r="F36" i="108" a="1"/>
  <c r="F36" i="108" s="1"/>
  <c r="E36" i="108" a="1"/>
  <c r="E36" i="108" s="1"/>
  <c r="K24" i="108" s="1"/>
  <c r="D36" i="108" a="1"/>
  <c r="D36" i="108" s="1"/>
  <c r="G35" i="108" a="1"/>
  <c r="G35" i="108" s="1"/>
  <c r="F35" i="108" a="1"/>
  <c r="F35" i="108" s="1"/>
  <c r="E35" i="108" a="1"/>
  <c r="E35" i="108" s="1"/>
  <c r="K23" i="108" s="1"/>
  <c r="D35" i="108" a="1"/>
  <c r="D35" i="108" s="1"/>
  <c r="G34" i="108" a="1"/>
  <c r="G34" i="108" s="1"/>
  <c r="F34" i="108" a="1"/>
  <c r="F34" i="108" s="1"/>
  <c r="E34" i="108" a="1"/>
  <c r="E34" i="108" s="1"/>
  <c r="K22" i="108" s="1"/>
  <c r="D34" i="108" a="1"/>
  <c r="D34" i="108" s="1"/>
  <c r="G33" i="108" a="1"/>
  <c r="G33" i="108" s="1"/>
  <c r="F33" i="108" a="1"/>
  <c r="F33" i="108" s="1"/>
  <c r="E33" i="108" a="1"/>
  <c r="E33" i="108" s="1"/>
  <c r="K21" i="108" s="1"/>
  <c r="D33" i="108" a="1"/>
  <c r="D33" i="108" s="1"/>
  <c r="G32" i="108" a="1"/>
  <c r="G32" i="108" s="1"/>
  <c r="F32" i="108" a="1"/>
  <c r="F32" i="108" s="1"/>
  <c r="E32" i="108" a="1"/>
  <c r="E32" i="108" s="1"/>
  <c r="K20" i="108" s="1"/>
  <c r="D32" i="108" a="1"/>
  <c r="D32" i="108" s="1"/>
  <c r="G31" i="108" a="1"/>
  <c r="G31" i="108" s="1"/>
  <c r="F31" i="108" a="1"/>
  <c r="F31" i="108" s="1"/>
  <c r="E31" i="108" a="1"/>
  <c r="E31" i="108" s="1"/>
  <c r="K19" i="108" s="1"/>
  <c r="D31" i="108" a="1"/>
  <c r="D31" i="108" s="1"/>
  <c r="G30" i="108" a="1"/>
  <c r="G30" i="108" s="1"/>
  <c r="F30" i="108" a="1"/>
  <c r="F30" i="108" s="1"/>
  <c r="E30" i="108" a="1"/>
  <c r="E30" i="108" s="1"/>
  <c r="K18" i="108" s="1"/>
  <c r="D30" i="108" a="1"/>
  <c r="D30" i="108" s="1"/>
  <c r="G29" i="108" a="1"/>
  <c r="G29" i="108" s="1"/>
  <c r="F29" i="108" a="1"/>
  <c r="F29" i="108" s="1"/>
  <c r="E29" i="108" a="1"/>
  <c r="E29" i="108" s="1"/>
  <c r="K17" i="108" s="1"/>
  <c r="D29" i="108" a="1"/>
  <c r="D29" i="108" s="1"/>
  <c r="G28" i="108" a="1"/>
  <c r="G28" i="108" s="1"/>
  <c r="F28" i="108" a="1"/>
  <c r="F28" i="108" s="1"/>
  <c r="E28" i="108" a="1"/>
  <c r="E28" i="108" s="1"/>
  <c r="D28" i="108" a="1"/>
  <c r="D28" i="108" s="1"/>
  <c r="G27" i="108" a="1"/>
  <c r="G27" i="108" s="1"/>
  <c r="F27" i="108" a="1"/>
  <c r="F27" i="108" s="1"/>
  <c r="E27" i="108" a="1"/>
  <c r="E27" i="108" s="1"/>
  <c r="I27" i="108" s="1"/>
  <c r="D27" i="108" a="1"/>
  <c r="D27" i="108" s="1"/>
  <c r="G26" i="108" a="1"/>
  <c r="G26" i="108" s="1"/>
  <c r="F26" i="108" a="1"/>
  <c r="F26" i="108" s="1"/>
  <c r="E26" i="108" a="1"/>
  <c r="E26" i="108" s="1"/>
  <c r="I26" i="108" s="1"/>
  <c r="D26" i="108" a="1"/>
  <c r="D26" i="108" s="1"/>
  <c r="G25" i="108" a="1"/>
  <c r="G25" i="108" s="1"/>
  <c r="F25" i="108" a="1"/>
  <c r="F25" i="108" s="1"/>
  <c r="E25" i="108" a="1"/>
  <c r="E25" i="108" s="1"/>
  <c r="I25" i="108" s="1"/>
  <c r="D25" i="108" a="1"/>
  <c r="D25" i="108" s="1"/>
  <c r="G24" i="108" a="1"/>
  <c r="G24" i="108" s="1"/>
  <c r="F24" i="108" a="1"/>
  <c r="F24" i="108" s="1"/>
  <c r="E24" i="108" a="1"/>
  <c r="E24" i="108" s="1"/>
  <c r="I24" i="108" s="1"/>
  <c r="D24" i="108" a="1"/>
  <c r="D24" i="108" s="1"/>
  <c r="G23" i="108" a="1"/>
  <c r="G23" i="108" s="1"/>
  <c r="F23" i="108" a="1"/>
  <c r="F23" i="108" s="1"/>
  <c r="E23" i="108" a="1"/>
  <c r="E23" i="108" s="1"/>
  <c r="I23" i="108" s="1"/>
  <c r="D23" i="108" a="1"/>
  <c r="D23" i="108" s="1"/>
  <c r="G22" i="108" a="1"/>
  <c r="G22" i="108" s="1"/>
  <c r="F22" i="108" a="1"/>
  <c r="F22" i="108" s="1"/>
  <c r="E22" i="108" a="1"/>
  <c r="E22" i="108" s="1"/>
  <c r="I22" i="108" s="1"/>
  <c r="D22" i="108" a="1"/>
  <c r="D22" i="108" s="1"/>
  <c r="G21" i="108" a="1"/>
  <c r="G21" i="108" s="1"/>
  <c r="F21" i="108" a="1"/>
  <c r="F21" i="108" s="1"/>
  <c r="E21" i="108" a="1"/>
  <c r="E21" i="108" s="1"/>
  <c r="I21" i="108" s="1"/>
  <c r="D21" i="108" a="1"/>
  <c r="D21" i="108" s="1"/>
  <c r="G20" i="108" a="1"/>
  <c r="G20" i="108" s="1"/>
  <c r="F20" i="108" a="1"/>
  <c r="F20" i="108" s="1"/>
  <c r="E20" i="108" a="1"/>
  <c r="E20" i="108" s="1"/>
  <c r="I20" i="108" s="1"/>
  <c r="D20" i="108" a="1"/>
  <c r="D20" i="108" s="1"/>
  <c r="G19" i="108" a="1"/>
  <c r="G19" i="108" s="1"/>
  <c r="F19" i="108" a="1"/>
  <c r="F19" i="108" s="1"/>
  <c r="E19" i="108" a="1"/>
  <c r="E19" i="108" s="1"/>
  <c r="I19" i="108" s="1"/>
  <c r="D19" i="108" a="1"/>
  <c r="D19" i="108" s="1"/>
  <c r="G18" i="108" a="1"/>
  <c r="G18" i="108" s="1"/>
  <c r="F18" i="108" a="1"/>
  <c r="F18" i="108" s="1"/>
  <c r="E18" i="108" a="1"/>
  <c r="E18" i="108" s="1"/>
  <c r="I18" i="108" s="1"/>
  <c r="D18" i="108" a="1"/>
  <c r="D18" i="108" s="1"/>
  <c r="G17" i="108" a="1"/>
  <c r="G17" i="108" s="1"/>
  <c r="F17" i="108" a="1"/>
  <c r="F17" i="108" s="1"/>
  <c r="E17" i="108" a="1"/>
  <c r="E17" i="108" s="1"/>
  <c r="D17" i="108" a="1"/>
  <c r="D17" i="108" s="1"/>
  <c r="D15" i="108" a="1"/>
  <c r="D15" i="108" s="1"/>
  <c r="D14" i="108" a="1"/>
  <c r="D14" i="108" s="1"/>
  <c r="D7" i="108" a="1"/>
  <c r="D7" i="108" s="1"/>
  <c r="D6" i="108" a="1"/>
  <c r="D6" i="108" s="1"/>
  <c r="D5" i="108" a="1"/>
  <c r="D5" i="108" s="1"/>
  <c r="H185" i="107"/>
  <c r="H179" i="107"/>
  <c r="H168" i="107"/>
  <c r="H144" i="107"/>
  <c r="H138" i="107"/>
  <c r="H127" i="107"/>
  <c r="H105" i="107" a="1"/>
  <c r="H105" i="107" s="1"/>
  <c r="D105" i="107" a="1"/>
  <c r="D105" i="107" s="1"/>
  <c r="E103" i="107" a="1"/>
  <c r="E103" i="107" s="1"/>
  <c r="E102" i="107" a="1"/>
  <c r="E102" i="107" s="1"/>
  <c r="D98" i="107" a="1"/>
  <c r="D98" i="107" s="1"/>
  <c r="D97" i="107" a="1"/>
  <c r="D97" i="107" s="1"/>
  <c r="D96" i="107" a="1"/>
  <c r="D96" i="107" s="1"/>
  <c r="J16" i="107" a="1"/>
  <c r="J16" i="107" s="1"/>
  <c r="I16" i="107" a="1"/>
  <c r="I16" i="107" s="1"/>
  <c r="J15" i="107" a="1"/>
  <c r="J15" i="107" s="1"/>
  <c r="I15" i="107" a="1"/>
  <c r="I15" i="107" s="1"/>
  <c r="J14" i="107" a="1"/>
  <c r="J14" i="107" s="1"/>
  <c r="I14" i="107" a="1"/>
  <c r="I14" i="107" s="1"/>
  <c r="J13" i="107" a="1"/>
  <c r="J13" i="107" s="1"/>
  <c r="I13" i="107" a="1"/>
  <c r="I13" i="107" s="1"/>
  <c r="G13" i="107" a="1"/>
  <c r="G13" i="107" s="1"/>
  <c r="D13" i="107" a="1"/>
  <c r="D13" i="107" s="1"/>
  <c r="E11" i="107" a="1"/>
  <c r="E11" i="107" s="1"/>
  <c r="E10" i="107" a="1"/>
  <c r="E10" i="107" s="1"/>
  <c r="D6" i="107" a="1"/>
  <c r="D6" i="107" s="1"/>
  <c r="D5" i="107" a="1"/>
  <c r="D5" i="107" s="1"/>
  <c r="AH223" i="105" a="1"/>
  <c r="AH223" i="105" s="1"/>
  <c r="AG223" i="105" a="1"/>
  <c r="AG223" i="105" s="1"/>
  <c r="AF223" i="105" a="1"/>
  <c r="AF223" i="105" s="1"/>
  <c r="AE223" i="105" a="1"/>
  <c r="AE223" i="105" s="1"/>
  <c r="AD223" i="105" a="1"/>
  <c r="AD223" i="105" s="1"/>
  <c r="AC223" i="105" a="1"/>
  <c r="AC223" i="105" s="1"/>
  <c r="AB223" i="105" a="1"/>
  <c r="AB223" i="105" s="1"/>
  <c r="AA223" i="105" a="1"/>
  <c r="AA223" i="105" s="1"/>
  <c r="Z223" i="105" a="1"/>
  <c r="Z223" i="105" s="1"/>
  <c r="Y223" i="105" a="1"/>
  <c r="Y223" i="105" s="1"/>
  <c r="X223" i="105" a="1"/>
  <c r="X223" i="105" s="1"/>
  <c r="W223" i="105" a="1"/>
  <c r="W223" i="105" s="1"/>
  <c r="V223" i="105" a="1"/>
  <c r="V223" i="105" s="1"/>
  <c r="U223" i="105" a="1"/>
  <c r="U223" i="105" s="1"/>
  <c r="T223" i="105" a="1"/>
  <c r="T223" i="105" s="1"/>
  <c r="S223" i="105" a="1"/>
  <c r="S223" i="105" s="1"/>
  <c r="R223" i="105" a="1"/>
  <c r="R223" i="105" s="1"/>
  <c r="Q223" i="105" a="1"/>
  <c r="Q223" i="105" s="1"/>
  <c r="P223" i="105" a="1"/>
  <c r="P223" i="105" s="1"/>
  <c r="O223" i="105" a="1"/>
  <c r="O223" i="105" s="1"/>
  <c r="N223" i="105" a="1"/>
  <c r="N223" i="105" s="1"/>
  <c r="M223" i="105" a="1"/>
  <c r="M223" i="105" s="1"/>
  <c r="L223" i="105" a="1"/>
  <c r="L223" i="105" s="1"/>
  <c r="K223" i="105" a="1"/>
  <c r="K223" i="105" s="1"/>
  <c r="J223" i="105" a="1"/>
  <c r="J223" i="105" s="1"/>
  <c r="I223" i="105" a="1"/>
  <c r="I223" i="105" s="1"/>
  <c r="H223" i="105" a="1"/>
  <c r="H223" i="105" s="1"/>
  <c r="G223" i="105" a="1"/>
  <c r="G223" i="105" s="1"/>
  <c r="F223" i="105" a="1"/>
  <c r="F223" i="105" s="1"/>
  <c r="E223" i="105" a="1"/>
  <c r="E223" i="105" s="1"/>
  <c r="D223" i="105" a="1"/>
  <c r="D223" i="105" s="1"/>
  <c r="AH222" i="105" a="1"/>
  <c r="AH222" i="105" s="1"/>
  <c r="AG222" i="105" a="1"/>
  <c r="AG222" i="105" s="1"/>
  <c r="AF222" i="105" a="1"/>
  <c r="AF222" i="105" s="1"/>
  <c r="AE222" i="105" a="1"/>
  <c r="AE222" i="105" s="1"/>
  <c r="AD222" i="105" a="1"/>
  <c r="AD222" i="105" s="1"/>
  <c r="AC222" i="105" a="1"/>
  <c r="AC222" i="105" s="1"/>
  <c r="AB222" i="105" a="1"/>
  <c r="AB222" i="105" s="1"/>
  <c r="AA222" i="105" a="1"/>
  <c r="AA222" i="105" s="1"/>
  <c r="Z222" i="105" a="1"/>
  <c r="Z222" i="105" s="1"/>
  <c r="Y222" i="105" a="1"/>
  <c r="Y222" i="105" s="1"/>
  <c r="X222" i="105" a="1"/>
  <c r="X222" i="105" s="1"/>
  <c r="W222" i="105" a="1"/>
  <c r="W222" i="105" s="1"/>
  <c r="V222" i="105" a="1"/>
  <c r="V222" i="105" s="1"/>
  <c r="U222" i="105" a="1"/>
  <c r="U222" i="105" s="1"/>
  <c r="T222" i="105" a="1"/>
  <c r="T222" i="105" s="1"/>
  <c r="S222" i="105" a="1"/>
  <c r="S222" i="105" s="1"/>
  <c r="R222" i="105" a="1"/>
  <c r="R222" i="105" s="1"/>
  <c r="Q222" i="105" a="1"/>
  <c r="Q222" i="105" s="1"/>
  <c r="P222" i="105" a="1"/>
  <c r="P222" i="105" s="1"/>
  <c r="O222" i="105" a="1"/>
  <c r="O222" i="105" s="1"/>
  <c r="N222" i="105" a="1"/>
  <c r="N222" i="105" s="1"/>
  <c r="M222" i="105" a="1"/>
  <c r="M222" i="105" s="1"/>
  <c r="L222" i="105" a="1"/>
  <c r="L222" i="105" s="1"/>
  <c r="K222" i="105" a="1"/>
  <c r="K222" i="105" s="1"/>
  <c r="J222" i="105" a="1"/>
  <c r="J222" i="105" s="1"/>
  <c r="I222" i="105" a="1"/>
  <c r="I222" i="105" s="1"/>
  <c r="H222" i="105" a="1"/>
  <c r="H222" i="105" s="1"/>
  <c r="G222" i="105" a="1"/>
  <c r="G222" i="105" s="1"/>
  <c r="F222" i="105" a="1"/>
  <c r="F222" i="105" s="1"/>
  <c r="E222" i="105" a="1"/>
  <c r="E222" i="105" s="1"/>
  <c r="D222" i="105" a="1"/>
  <c r="D222" i="105" s="1"/>
  <c r="AH221" i="105" a="1"/>
  <c r="AH221" i="105" s="1"/>
  <c r="AG221" i="105" a="1"/>
  <c r="AG221" i="105" s="1"/>
  <c r="AF221" i="105" a="1"/>
  <c r="AF221" i="105" s="1"/>
  <c r="AE221" i="105" a="1"/>
  <c r="AE221" i="105" s="1"/>
  <c r="AD221" i="105" a="1"/>
  <c r="AD221" i="105" s="1"/>
  <c r="AC221" i="105" a="1"/>
  <c r="AC221" i="105" s="1"/>
  <c r="AB221" i="105" a="1"/>
  <c r="AB221" i="105" s="1"/>
  <c r="AA221" i="105" a="1"/>
  <c r="AA221" i="105" s="1"/>
  <c r="Z221" i="105" a="1"/>
  <c r="Z221" i="105" s="1"/>
  <c r="Y221" i="105" a="1"/>
  <c r="Y221" i="105" s="1"/>
  <c r="X221" i="105" a="1"/>
  <c r="X221" i="105" s="1"/>
  <c r="W221" i="105" a="1"/>
  <c r="W221" i="105" s="1"/>
  <c r="V221" i="105" a="1"/>
  <c r="V221" i="105" s="1"/>
  <c r="U221" i="105" a="1"/>
  <c r="U221" i="105" s="1"/>
  <c r="T221" i="105" a="1"/>
  <c r="T221" i="105" s="1"/>
  <c r="S221" i="105" a="1"/>
  <c r="S221" i="105" s="1"/>
  <c r="R221" i="105" a="1"/>
  <c r="R221" i="105" s="1"/>
  <c r="Q221" i="105" a="1"/>
  <c r="Q221" i="105" s="1"/>
  <c r="P221" i="105" a="1"/>
  <c r="P221" i="105" s="1"/>
  <c r="O221" i="105" a="1"/>
  <c r="O221" i="105" s="1"/>
  <c r="N221" i="105" a="1"/>
  <c r="N221" i="105" s="1"/>
  <c r="M221" i="105" a="1"/>
  <c r="M221" i="105" s="1"/>
  <c r="L221" i="105" a="1"/>
  <c r="L221" i="105" s="1"/>
  <c r="K221" i="105" a="1"/>
  <c r="K221" i="105" s="1"/>
  <c r="J221" i="105" a="1"/>
  <c r="J221" i="105" s="1"/>
  <c r="I221" i="105" a="1"/>
  <c r="I221" i="105" s="1"/>
  <c r="H221" i="105" a="1"/>
  <c r="H221" i="105" s="1"/>
  <c r="G221" i="105" a="1"/>
  <c r="G221" i="105" s="1"/>
  <c r="F221" i="105" a="1"/>
  <c r="F221" i="105" s="1"/>
  <c r="E221" i="105" a="1"/>
  <c r="E221" i="105" s="1"/>
  <c r="D221" i="105" a="1"/>
  <c r="D221" i="105" s="1"/>
  <c r="AH220" i="105" a="1"/>
  <c r="AH220" i="105" s="1"/>
  <c r="AG220" i="105" a="1"/>
  <c r="AG220" i="105" s="1"/>
  <c r="AF220" i="105" a="1"/>
  <c r="AF220" i="105" s="1"/>
  <c r="AE220" i="105" a="1"/>
  <c r="AE220" i="105" s="1"/>
  <c r="AD220" i="105" a="1"/>
  <c r="AD220" i="105" s="1"/>
  <c r="AC220" i="105" a="1"/>
  <c r="AC220" i="105" s="1"/>
  <c r="AB220" i="105" a="1"/>
  <c r="AB220" i="105" s="1"/>
  <c r="AA220" i="105" a="1"/>
  <c r="AA220" i="105" s="1"/>
  <c r="Z220" i="105" a="1"/>
  <c r="Z220" i="105" s="1"/>
  <c r="Y220" i="105" a="1"/>
  <c r="Y220" i="105" s="1"/>
  <c r="X220" i="105" a="1"/>
  <c r="X220" i="105" s="1"/>
  <c r="W220" i="105" a="1"/>
  <c r="W220" i="105" s="1"/>
  <c r="V220" i="105" a="1"/>
  <c r="V220" i="105" s="1"/>
  <c r="U220" i="105" a="1"/>
  <c r="U220" i="105" s="1"/>
  <c r="T220" i="105" a="1"/>
  <c r="T220" i="105" s="1"/>
  <c r="S220" i="105" a="1"/>
  <c r="S220" i="105" s="1"/>
  <c r="R220" i="105" a="1"/>
  <c r="R220" i="105" s="1"/>
  <c r="Q220" i="105" a="1"/>
  <c r="Q220" i="105" s="1"/>
  <c r="P220" i="105" a="1"/>
  <c r="P220" i="105" s="1"/>
  <c r="O220" i="105" a="1"/>
  <c r="O220" i="105" s="1"/>
  <c r="N220" i="105" a="1"/>
  <c r="N220" i="105" s="1"/>
  <c r="M220" i="105" a="1"/>
  <c r="M220" i="105" s="1"/>
  <c r="L220" i="105" a="1"/>
  <c r="L220" i="105" s="1"/>
  <c r="K220" i="105" a="1"/>
  <c r="K220" i="105" s="1"/>
  <c r="J220" i="105" a="1"/>
  <c r="J220" i="105" s="1"/>
  <c r="I220" i="105" a="1"/>
  <c r="I220" i="105" s="1"/>
  <c r="H220" i="105" a="1"/>
  <c r="H220" i="105" s="1"/>
  <c r="G220" i="105" a="1"/>
  <c r="G220" i="105" s="1"/>
  <c r="F220" i="105" a="1"/>
  <c r="F220" i="105" s="1"/>
  <c r="E220" i="105" a="1"/>
  <c r="E220" i="105" s="1"/>
  <c r="D220" i="105" a="1"/>
  <c r="D220" i="105" s="1"/>
  <c r="AH219" i="105" a="1"/>
  <c r="AH219" i="105" s="1"/>
  <c r="AG219" i="105" a="1"/>
  <c r="AG219" i="105" s="1"/>
  <c r="AF219" i="105" a="1"/>
  <c r="AF219" i="105" s="1"/>
  <c r="AE219" i="105" a="1"/>
  <c r="AE219" i="105" s="1"/>
  <c r="AD219" i="105" a="1"/>
  <c r="AD219" i="105" s="1"/>
  <c r="AC219" i="105" a="1"/>
  <c r="AC219" i="105" s="1"/>
  <c r="AB219" i="105" a="1"/>
  <c r="AB219" i="105" s="1"/>
  <c r="AA219" i="105" a="1"/>
  <c r="AA219" i="105" s="1"/>
  <c r="Z219" i="105" a="1"/>
  <c r="Z219" i="105" s="1"/>
  <c r="Y219" i="105" a="1"/>
  <c r="Y219" i="105" s="1"/>
  <c r="X219" i="105" a="1"/>
  <c r="X219" i="105" s="1"/>
  <c r="W219" i="105" a="1"/>
  <c r="W219" i="105" s="1"/>
  <c r="V219" i="105" a="1"/>
  <c r="V219" i="105" s="1"/>
  <c r="U219" i="105" a="1"/>
  <c r="U219" i="105" s="1"/>
  <c r="T219" i="105" a="1"/>
  <c r="T219" i="105" s="1"/>
  <c r="S219" i="105" a="1"/>
  <c r="S219" i="105" s="1"/>
  <c r="R219" i="105" a="1"/>
  <c r="R219" i="105" s="1"/>
  <c r="Q219" i="105" a="1"/>
  <c r="Q219" i="105" s="1"/>
  <c r="P219" i="105" a="1"/>
  <c r="P219" i="105" s="1"/>
  <c r="O219" i="105" a="1"/>
  <c r="O219" i="105" s="1"/>
  <c r="N219" i="105" a="1"/>
  <c r="N219" i="105" s="1"/>
  <c r="M219" i="105" a="1"/>
  <c r="M219" i="105" s="1"/>
  <c r="L219" i="105" a="1"/>
  <c r="L219" i="105" s="1"/>
  <c r="K219" i="105" a="1"/>
  <c r="K219" i="105" s="1"/>
  <c r="J219" i="105" a="1"/>
  <c r="J219" i="105" s="1"/>
  <c r="I219" i="105" a="1"/>
  <c r="I219" i="105" s="1"/>
  <c r="H219" i="105" a="1"/>
  <c r="H219" i="105" s="1"/>
  <c r="G219" i="105" a="1"/>
  <c r="G219" i="105" s="1"/>
  <c r="F219" i="105" a="1"/>
  <c r="F219" i="105" s="1"/>
  <c r="E219" i="105" a="1"/>
  <c r="E219" i="105" s="1"/>
  <c r="D219" i="105" a="1"/>
  <c r="D219" i="105" s="1"/>
  <c r="AH218" i="105" a="1"/>
  <c r="AH218" i="105" s="1"/>
  <c r="AG218" i="105" a="1"/>
  <c r="AG218" i="105" s="1"/>
  <c r="AF218" i="105" a="1"/>
  <c r="AF218" i="105" s="1"/>
  <c r="AE218" i="105" a="1"/>
  <c r="AE218" i="105" s="1"/>
  <c r="AD218" i="105" a="1"/>
  <c r="AD218" i="105" s="1"/>
  <c r="AC218" i="105" a="1"/>
  <c r="AC218" i="105" s="1"/>
  <c r="AB218" i="105" a="1"/>
  <c r="AB218" i="105" s="1"/>
  <c r="AA218" i="105" a="1"/>
  <c r="AA218" i="105" s="1"/>
  <c r="Z218" i="105" a="1"/>
  <c r="Z218" i="105" s="1"/>
  <c r="Y218" i="105" a="1"/>
  <c r="Y218" i="105" s="1"/>
  <c r="X218" i="105" a="1"/>
  <c r="X218" i="105" s="1"/>
  <c r="W218" i="105" a="1"/>
  <c r="W218" i="105" s="1"/>
  <c r="V218" i="105" a="1"/>
  <c r="V218" i="105" s="1"/>
  <c r="U218" i="105" a="1"/>
  <c r="U218" i="105" s="1"/>
  <c r="T218" i="105" a="1"/>
  <c r="T218" i="105" s="1"/>
  <c r="S218" i="105" a="1"/>
  <c r="S218" i="105" s="1"/>
  <c r="R218" i="105" a="1"/>
  <c r="R218" i="105" s="1"/>
  <c r="Q218" i="105" a="1"/>
  <c r="Q218" i="105" s="1"/>
  <c r="P218" i="105" a="1"/>
  <c r="P218" i="105" s="1"/>
  <c r="O218" i="105" a="1"/>
  <c r="O218" i="105" s="1"/>
  <c r="N218" i="105" a="1"/>
  <c r="N218" i="105" s="1"/>
  <c r="M218" i="105" a="1"/>
  <c r="M218" i="105" s="1"/>
  <c r="L218" i="105" a="1"/>
  <c r="L218" i="105" s="1"/>
  <c r="K218" i="105" a="1"/>
  <c r="K218" i="105" s="1"/>
  <c r="J218" i="105" a="1"/>
  <c r="J218" i="105" s="1"/>
  <c r="I218" i="105" a="1"/>
  <c r="I218" i="105" s="1"/>
  <c r="H218" i="105" a="1"/>
  <c r="H218" i="105" s="1"/>
  <c r="G218" i="105" a="1"/>
  <c r="G218" i="105" s="1"/>
  <c r="F218" i="105" a="1"/>
  <c r="F218" i="105" s="1"/>
  <c r="E218" i="105" a="1"/>
  <c r="E218" i="105" s="1"/>
  <c r="D218" i="105" a="1"/>
  <c r="D218" i="105" s="1"/>
  <c r="AH217" i="105" a="1"/>
  <c r="AH217" i="105" s="1"/>
  <c r="AG217" i="105" a="1"/>
  <c r="AG217" i="105" s="1"/>
  <c r="AF217" i="105" a="1"/>
  <c r="AF217" i="105" s="1"/>
  <c r="AE217" i="105" a="1"/>
  <c r="AE217" i="105" s="1"/>
  <c r="AD217" i="105" a="1"/>
  <c r="AD217" i="105" s="1"/>
  <c r="AC217" i="105" a="1"/>
  <c r="AC217" i="105" s="1"/>
  <c r="AB217" i="105" a="1"/>
  <c r="AB217" i="105" s="1"/>
  <c r="AA217" i="105" a="1"/>
  <c r="AA217" i="105" s="1"/>
  <c r="Z217" i="105" a="1"/>
  <c r="Z217" i="105" s="1"/>
  <c r="Y217" i="105" a="1"/>
  <c r="Y217" i="105" s="1"/>
  <c r="X217" i="105" a="1"/>
  <c r="X217" i="105" s="1"/>
  <c r="W217" i="105" a="1"/>
  <c r="W217" i="105" s="1"/>
  <c r="V217" i="105" a="1"/>
  <c r="V217" i="105" s="1"/>
  <c r="U217" i="105" a="1"/>
  <c r="U217" i="105" s="1"/>
  <c r="T217" i="105" a="1"/>
  <c r="T217" i="105" s="1"/>
  <c r="S217" i="105" a="1"/>
  <c r="S217" i="105" s="1"/>
  <c r="R217" i="105" a="1"/>
  <c r="R217" i="105" s="1"/>
  <c r="Q217" i="105" a="1"/>
  <c r="Q217" i="105" s="1"/>
  <c r="P217" i="105" a="1"/>
  <c r="P217" i="105" s="1"/>
  <c r="O217" i="105" a="1"/>
  <c r="O217" i="105" s="1"/>
  <c r="N217" i="105" a="1"/>
  <c r="N217" i="105" s="1"/>
  <c r="M217" i="105" a="1"/>
  <c r="M217" i="105" s="1"/>
  <c r="L217" i="105" a="1"/>
  <c r="L217" i="105" s="1"/>
  <c r="K217" i="105" a="1"/>
  <c r="K217" i="105" s="1"/>
  <c r="J217" i="105" a="1"/>
  <c r="J217" i="105" s="1"/>
  <c r="I217" i="105" a="1"/>
  <c r="I217" i="105" s="1"/>
  <c r="H217" i="105" a="1"/>
  <c r="H217" i="105" s="1"/>
  <c r="G217" i="105" a="1"/>
  <c r="G217" i="105" s="1"/>
  <c r="F217" i="105" a="1"/>
  <c r="F217" i="105" s="1"/>
  <c r="E217" i="105" a="1"/>
  <c r="E217" i="105" s="1"/>
  <c r="D217" i="105" a="1"/>
  <c r="D217" i="105" s="1"/>
  <c r="AH216" i="105" a="1"/>
  <c r="AH216" i="105" s="1"/>
  <c r="AG216" i="105" a="1"/>
  <c r="AG216" i="105" s="1"/>
  <c r="AF216" i="105" a="1"/>
  <c r="AF216" i="105" s="1"/>
  <c r="AE216" i="105" a="1"/>
  <c r="AE216" i="105" s="1"/>
  <c r="AD216" i="105" a="1"/>
  <c r="AD216" i="105" s="1"/>
  <c r="AC216" i="105" a="1"/>
  <c r="AC216" i="105" s="1"/>
  <c r="AB216" i="105" a="1"/>
  <c r="AB216" i="105" s="1"/>
  <c r="AA216" i="105" a="1"/>
  <c r="AA216" i="105" s="1"/>
  <c r="Z216" i="105" a="1"/>
  <c r="Z216" i="105" s="1"/>
  <c r="Y216" i="105" a="1"/>
  <c r="Y216" i="105" s="1"/>
  <c r="X216" i="105" a="1"/>
  <c r="X216" i="105" s="1"/>
  <c r="W216" i="105" a="1"/>
  <c r="W216" i="105" s="1"/>
  <c r="V216" i="105" a="1"/>
  <c r="V216" i="105" s="1"/>
  <c r="U216" i="105" a="1"/>
  <c r="U216" i="105" s="1"/>
  <c r="T216" i="105" a="1"/>
  <c r="T216" i="105" s="1"/>
  <c r="S216" i="105" a="1"/>
  <c r="S216" i="105" s="1"/>
  <c r="R216" i="105" a="1"/>
  <c r="R216" i="105" s="1"/>
  <c r="Q216" i="105" a="1"/>
  <c r="Q216" i="105" s="1"/>
  <c r="P216" i="105" a="1"/>
  <c r="P216" i="105" s="1"/>
  <c r="O216" i="105" a="1"/>
  <c r="O216" i="105" s="1"/>
  <c r="N216" i="105" a="1"/>
  <c r="N216" i="105" s="1"/>
  <c r="M216" i="105" a="1"/>
  <c r="M216" i="105" s="1"/>
  <c r="L216" i="105" a="1"/>
  <c r="L216" i="105" s="1"/>
  <c r="K216" i="105" a="1"/>
  <c r="K216" i="105" s="1"/>
  <c r="J216" i="105" a="1"/>
  <c r="J216" i="105" s="1"/>
  <c r="I216" i="105" a="1"/>
  <c r="I216" i="105" s="1"/>
  <c r="H216" i="105" a="1"/>
  <c r="H216" i="105" s="1"/>
  <c r="G216" i="105" a="1"/>
  <c r="G216" i="105" s="1"/>
  <c r="F216" i="105" a="1"/>
  <c r="F216" i="105" s="1"/>
  <c r="E216" i="105" a="1"/>
  <c r="E216" i="105" s="1"/>
  <c r="D216" i="105" a="1"/>
  <c r="D216" i="105" s="1"/>
  <c r="AH215" i="105" a="1"/>
  <c r="AH215" i="105" s="1"/>
  <c r="AG215" i="105" a="1"/>
  <c r="AG215" i="105" s="1"/>
  <c r="AF215" i="105" a="1"/>
  <c r="AF215" i="105" s="1"/>
  <c r="AE215" i="105" a="1"/>
  <c r="AE215" i="105" s="1"/>
  <c r="AD215" i="105" a="1"/>
  <c r="AD215" i="105" s="1"/>
  <c r="AC215" i="105" a="1"/>
  <c r="AC215" i="105" s="1"/>
  <c r="AB215" i="105" a="1"/>
  <c r="AB215" i="105" s="1"/>
  <c r="AA215" i="105" a="1"/>
  <c r="AA215" i="105" s="1"/>
  <c r="Z215" i="105" a="1"/>
  <c r="Z215" i="105" s="1"/>
  <c r="Y215" i="105" a="1"/>
  <c r="Y215" i="105" s="1"/>
  <c r="X215" i="105" a="1"/>
  <c r="X215" i="105" s="1"/>
  <c r="W215" i="105" a="1"/>
  <c r="W215" i="105" s="1"/>
  <c r="V215" i="105" a="1"/>
  <c r="V215" i="105" s="1"/>
  <c r="U215" i="105" a="1"/>
  <c r="U215" i="105" s="1"/>
  <c r="T215" i="105" a="1"/>
  <c r="T215" i="105" s="1"/>
  <c r="S215" i="105" a="1"/>
  <c r="S215" i="105" s="1"/>
  <c r="R215" i="105" a="1"/>
  <c r="R215" i="105" s="1"/>
  <c r="Q215" i="105" a="1"/>
  <c r="Q215" i="105" s="1"/>
  <c r="P215" i="105" a="1"/>
  <c r="P215" i="105" s="1"/>
  <c r="O215" i="105" a="1"/>
  <c r="O215" i="105" s="1"/>
  <c r="N215" i="105" a="1"/>
  <c r="N215" i="105" s="1"/>
  <c r="M215" i="105" a="1"/>
  <c r="M215" i="105" s="1"/>
  <c r="L215" i="105" a="1"/>
  <c r="L215" i="105" s="1"/>
  <c r="K215" i="105" a="1"/>
  <c r="K215" i="105" s="1"/>
  <c r="J215" i="105" a="1"/>
  <c r="J215" i="105" s="1"/>
  <c r="I215" i="105" a="1"/>
  <c r="I215" i="105" s="1"/>
  <c r="H215" i="105" a="1"/>
  <c r="H215" i="105" s="1"/>
  <c r="G215" i="105" a="1"/>
  <c r="G215" i="105" s="1"/>
  <c r="F215" i="105" a="1"/>
  <c r="F215" i="105" s="1"/>
  <c r="E215" i="105" a="1"/>
  <c r="E215" i="105" s="1"/>
  <c r="D215" i="105" a="1"/>
  <c r="D215" i="105" s="1"/>
  <c r="AH214" i="105" a="1"/>
  <c r="AH214" i="105" s="1"/>
  <c r="AG214" i="105" a="1"/>
  <c r="AG214" i="105" s="1"/>
  <c r="AF214" i="105" a="1"/>
  <c r="AF214" i="105" s="1"/>
  <c r="AE214" i="105" a="1"/>
  <c r="AE214" i="105" s="1"/>
  <c r="AD214" i="105" a="1"/>
  <c r="AD214" i="105" s="1"/>
  <c r="AC214" i="105" a="1"/>
  <c r="AC214" i="105" s="1"/>
  <c r="AB214" i="105" a="1"/>
  <c r="AB214" i="105" s="1"/>
  <c r="AA214" i="105" a="1"/>
  <c r="AA214" i="105" s="1"/>
  <c r="Z214" i="105" a="1"/>
  <c r="Z214" i="105" s="1"/>
  <c r="Y214" i="105" a="1"/>
  <c r="Y214" i="105" s="1"/>
  <c r="X214" i="105" a="1"/>
  <c r="X214" i="105" s="1"/>
  <c r="W214" i="105" a="1"/>
  <c r="W214" i="105" s="1"/>
  <c r="V214" i="105" a="1"/>
  <c r="V214" i="105" s="1"/>
  <c r="U214" i="105" a="1"/>
  <c r="U214" i="105" s="1"/>
  <c r="T214" i="105" a="1"/>
  <c r="T214" i="105" s="1"/>
  <c r="S214" i="105" a="1"/>
  <c r="S214" i="105" s="1"/>
  <c r="R214" i="105" a="1"/>
  <c r="R214" i="105" s="1"/>
  <c r="Q214" i="105" a="1"/>
  <c r="Q214" i="105" s="1"/>
  <c r="P214" i="105" a="1"/>
  <c r="P214" i="105" s="1"/>
  <c r="O214" i="105" a="1"/>
  <c r="O214" i="105" s="1"/>
  <c r="N214" i="105" a="1"/>
  <c r="N214" i="105" s="1"/>
  <c r="M214" i="105" a="1"/>
  <c r="M214" i="105" s="1"/>
  <c r="L214" i="105" a="1"/>
  <c r="L214" i="105" s="1"/>
  <c r="K214" i="105" a="1"/>
  <c r="K214" i="105" s="1"/>
  <c r="J214" i="105" a="1"/>
  <c r="J214" i="105" s="1"/>
  <c r="I214" i="105" a="1"/>
  <c r="I214" i="105" s="1"/>
  <c r="H214" i="105" a="1"/>
  <c r="H214" i="105" s="1"/>
  <c r="G214" i="105" a="1"/>
  <c r="G214" i="105" s="1"/>
  <c r="F214" i="105" a="1"/>
  <c r="F214" i="105" s="1"/>
  <c r="E214" i="105" a="1"/>
  <c r="E214" i="105" s="1"/>
  <c r="D214" i="105" a="1"/>
  <c r="D214" i="105" s="1"/>
  <c r="AH213" i="105" a="1"/>
  <c r="AH213" i="105" s="1"/>
  <c r="AG213" i="105" a="1"/>
  <c r="AG213" i="105" s="1"/>
  <c r="AF213" i="105" a="1"/>
  <c r="AF213" i="105" s="1"/>
  <c r="AE213" i="105" a="1"/>
  <c r="AE213" i="105" s="1"/>
  <c r="AD213" i="105" a="1"/>
  <c r="AD213" i="105" s="1"/>
  <c r="AC213" i="105" a="1"/>
  <c r="AC213" i="105" s="1"/>
  <c r="AB213" i="105" a="1"/>
  <c r="AB213" i="105" s="1"/>
  <c r="AA213" i="105" a="1"/>
  <c r="AA213" i="105" s="1"/>
  <c r="Z213" i="105" a="1"/>
  <c r="Z213" i="105" s="1"/>
  <c r="Y213" i="105" a="1"/>
  <c r="Y213" i="105" s="1"/>
  <c r="X213" i="105" a="1"/>
  <c r="X213" i="105" s="1"/>
  <c r="W213" i="105" a="1"/>
  <c r="W213" i="105" s="1"/>
  <c r="V213" i="105" a="1"/>
  <c r="V213" i="105" s="1"/>
  <c r="U213" i="105" a="1"/>
  <c r="U213" i="105" s="1"/>
  <c r="T213" i="105" a="1"/>
  <c r="T213" i="105" s="1"/>
  <c r="S213" i="105" a="1"/>
  <c r="S213" i="105" s="1"/>
  <c r="R213" i="105" a="1"/>
  <c r="R213" i="105" s="1"/>
  <c r="Q213" i="105" a="1"/>
  <c r="Q213" i="105" s="1"/>
  <c r="P213" i="105" a="1"/>
  <c r="P213" i="105" s="1"/>
  <c r="O213" i="105" a="1"/>
  <c r="O213" i="105" s="1"/>
  <c r="N213" i="105" a="1"/>
  <c r="N213" i="105" s="1"/>
  <c r="M213" i="105" a="1"/>
  <c r="M213" i="105" s="1"/>
  <c r="L213" i="105" a="1"/>
  <c r="L213" i="105" s="1"/>
  <c r="K213" i="105" a="1"/>
  <c r="K213" i="105" s="1"/>
  <c r="J213" i="105" a="1"/>
  <c r="J213" i="105" s="1"/>
  <c r="I213" i="105" a="1"/>
  <c r="I213" i="105" s="1"/>
  <c r="H213" i="105" a="1"/>
  <c r="H213" i="105" s="1"/>
  <c r="G213" i="105" a="1"/>
  <c r="G213" i="105" s="1"/>
  <c r="F213" i="105" a="1"/>
  <c r="F213" i="105" s="1"/>
  <c r="E213" i="105" a="1"/>
  <c r="E213" i="105" s="1"/>
  <c r="D213" i="105" a="1"/>
  <c r="D213" i="105" s="1"/>
  <c r="AH212" i="105" a="1"/>
  <c r="AH212" i="105" s="1"/>
  <c r="AG212" i="105" a="1"/>
  <c r="AG212" i="105" s="1"/>
  <c r="AF212" i="105" a="1"/>
  <c r="AF212" i="105" s="1"/>
  <c r="AE212" i="105" a="1"/>
  <c r="AE212" i="105" s="1"/>
  <c r="AD212" i="105" a="1"/>
  <c r="AD212" i="105" s="1"/>
  <c r="AC212" i="105" a="1"/>
  <c r="AC212" i="105" s="1"/>
  <c r="AB212" i="105" a="1"/>
  <c r="AB212" i="105" s="1"/>
  <c r="AA212" i="105" a="1"/>
  <c r="AA212" i="105" s="1"/>
  <c r="Z212" i="105" a="1"/>
  <c r="Z212" i="105" s="1"/>
  <c r="Y212" i="105" a="1"/>
  <c r="Y212" i="105" s="1"/>
  <c r="X212" i="105" a="1"/>
  <c r="X212" i="105" s="1"/>
  <c r="W212" i="105" a="1"/>
  <c r="W212" i="105" s="1"/>
  <c r="V212" i="105" a="1"/>
  <c r="V212" i="105" s="1"/>
  <c r="U212" i="105" a="1"/>
  <c r="U212" i="105" s="1"/>
  <c r="T212" i="105" a="1"/>
  <c r="T212" i="105" s="1"/>
  <c r="S212" i="105" a="1"/>
  <c r="S212" i="105" s="1"/>
  <c r="R212" i="105" a="1"/>
  <c r="R212" i="105" s="1"/>
  <c r="Q212" i="105" a="1"/>
  <c r="Q212" i="105" s="1"/>
  <c r="P212" i="105" a="1"/>
  <c r="P212" i="105" s="1"/>
  <c r="O212" i="105" a="1"/>
  <c r="O212" i="105" s="1"/>
  <c r="N212" i="105" a="1"/>
  <c r="N212" i="105" s="1"/>
  <c r="M212" i="105" a="1"/>
  <c r="M212" i="105" s="1"/>
  <c r="L212" i="105" a="1"/>
  <c r="L212" i="105" s="1"/>
  <c r="K212" i="105" a="1"/>
  <c r="K212" i="105" s="1"/>
  <c r="J212" i="105" a="1"/>
  <c r="J212" i="105" s="1"/>
  <c r="I212" i="105" a="1"/>
  <c r="I212" i="105" s="1"/>
  <c r="H212" i="105" a="1"/>
  <c r="H212" i="105" s="1"/>
  <c r="G212" i="105" a="1"/>
  <c r="G212" i="105" s="1"/>
  <c r="F212" i="105" a="1"/>
  <c r="F212" i="105" s="1"/>
  <c r="E212" i="105" a="1"/>
  <c r="E212" i="105" s="1"/>
  <c r="D212" i="105" a="1"/>
  <c r="D212" i="105" s="1"/>
  <c r="AH211" i="105" a="1"/>
  <c r="AH211" i="105" s="1"/>
  <c r="AG211" i="105" a="1"/>
  <c r="AG211" i="105" s="1"/>
  <c r="AF211" i="105" a="1"/>
  <c r="AF211" i="105" s="1"/>
  <c r="AE211" i="105" a="1"/>
  <c r="AE211" i="105" s="1"/>
  <c r="AD211" i="105" a="1"/>
  <c r="AD211" i="105" s="1"/>
  <c r="AC211" i="105" a="1"/>
  <c r="AC211" i="105" s="1"/>
  <c r="AB211" i="105" a="1"/>
  <c r="AB211" i="105" s="1"/>
  <c r="AA211" i="105" a="1"/>
  <c r="AA211" i="105" s="1"/>
  <c r="Z211" i="105" a="1"/>
  <c r="Z211" i="105" s="1"/>
  <c r="Y211" i="105" a="1"/>
  <c r="Y211" i="105" s="1"/>
  <c r="X211" i="105" a="1"/>
  <c r="X211" i="105" s="1"/>
  <c r="W211" i="105" a="1"/>
  <c r="W211" i="105" s="1"/>
  <c r="V211" i="105" a="1"/>
  <c r="V211" i="105" s="1"/>
  <c r="U211" i="105" a="1"/>
  <c r="U211" i="105" s="1"/>
  <c r="T211" i="105" a="1"/>
  <c r="T211" i="105" s="1"/>
  <c r="S211" i="105" a="1"/>
  <c r="S211" i="105" s="1"/>
  <c r="R211" i="105" a="1"/>
  <c r="R211" i="105" s="1"/>
  <c r="Q211" i="105" a="1"/>
  <c r="Q211" i="105" s="1"/>
  <c r="P211" i="105" a="1"/>
  <c r="P211" i="105" s="1"/>
  <c r="O211" i="105" a="1"/>
  <c r="O211" i="105" s="1"/>
  <c r="N211" i="105" a="1"/>
  <c r="N211" i="105" s="1"/>
  <c r="M211" i="105" a="1"/>
  <c r="M211" i="105" s="1"/>
  <c r="L211" i="105" a="1"/>
  <c r="L211" i="105" s="1"/>
  <c r="K211" i="105" a="1"/>
  <c r="K211" i="105" s="1"/>
  <c r="J211" i="105" a="1"/>
  <c r="J211" i="105" s="1"/>
  <c r="I211" i="105" a="1"/>
  <c r="I211" i="105" s="1"/>
  <c r="H211" i="105" a="1"/>
  <c r="H211" i="105" s="1"/>
  <c r="G211" i="105" a="1"/>
  <c r="G211" i="105" s="1"/>
  <c r="F211" i="105" a="1"/>
  <c r="F211" i="105" s="1"/>
  <c r="E211" i="105" a="1"/>
  <c r="E211" i="105" s="1"/>
  <c r="D211" i="105" a="1"/>
  <c r="D211" i="105" s="1"/>
  <c r="AH210" i="105" a="1"/>
  <c r="AH210" i="105" s="1"/>
  <c r="AG210" i="105" a="1"/>
  <c r="AG210" i="105" s="1"/>
  <c r="AF210" i="105" a="1"/>
  <c r="AF210" i="105" s="1"/>
  <c r="AE210" i="105" a="1"/>
  <c r="AE210" i="105" s="1"/>
  <c r="AD210" i="105" a="1"/>
  <c r="AD210" i="105" s="1"/>
  <c r="AC210" i="105" a="1"/>
  <c r="AC210" i="105" s="1"/>
  <c r="AB210" i="105" a="1"/>
  <c r="AB210" i="105" s="1"/>
  <c r="AA210" i="105" a="1"/>
  <c r="AA210" i="105" s="1"/>
  <c r="Z210" i="105" a="1"/>
  <c r="Z210" i="105" s="1"/>
  <c r="Y210" i="105" a="1"/>
  <c r="Y210" i="105" s="1"/>
  <c r="X210" i="105" a="1"/>
  <c r="X210" i="105" s="1"/>
  <c r="W210" i="105" a="1"/>
  <c r="W210" i="105" s="1"/>
  <c r="V210" i="105" a="1"/>
  <c r="V210" i="105" s="1"/>
  <c r="U210" i="105" a="1"/>
  <c r="U210" i="105" s="1"/>
  <c r="T210" i="105" a="1"/>
  <c r="T210" i="105" s="1"/>
  <c r="S210" i="105" a="1"/>
  <c r="S210" i="105" s="1"/>
  <c r="R210" i="105" a="1"/>
  <c r="R210" i="105" s="1"/>
  <c r="Q210" i="105" a="1"/>
  <c r="Q210" i="105" s="1"/>
  <c r="P210" i="105" a="1"/>
  <c r="P210" i="105" s="1"/>
  <c r="O210" i="105" a="1"/>
  <c r="O210" i="105" s="1"/>
  <c r="N210" i="105" a="1"/>
  <c r="N210" i="105" s="1"/>
  <c r="M210" i="105" a="1"/>
  <c r="M210" i="105" s="1"/>
  <c r="L210" i="105" a="1"/>
  <c r="L210" i="105" s="1"/>
  <c r="K210" i="105" a="1"/>
  <c r="K210" i="105" s="1"/>
  <c r="J210" i="105" a="1"/>
  <c r="J210" i="105" s="1"/>
  <c r="I210" i="105" a="1"/>
  <c r="I210" i="105" s="1"/>
  <c r="H210" i="105" a="1"/>
  <c r="H210" i="105" s="1"/>
  <c r="G210" i="105" a="1"/>
  <c r="G210" i="105" s="1"/>
  <c r="F210" i="105" a="1"/>
  <c r="F210" i="105" s="1"/>
  <c r="E210" i="105" a="1"/>
  <c r="E210" i="105" s="1"/>
  <c r="D210" i="105" a="1"/>
  <c r="D210" i="105" s="1"/>
  <c r="AH209" i="105" a="1"/>
  <c r="AH209" i="105" s="1"/>
  <c r="AG209" i="105" a="1"/>
  <c r="AG209" i="105" s="1"/>
  <c r="AF209" i="105" a="1"/>
  <c r="AF209" i="105" s="1"/>
  <c r="AE209" i="105" a="1"/>
  <c r="AE209" i="105" s="1"/>
  <c r="AD209" i="105" a="1"/>
  <c r="AD209" i="105" s="1"/>
  <c r="AC209" i="105" a="1"/>
  <c r="AC209" i="105" s="1"/>
  <c r="AB209" i="105" a="1"/>
  <c r="AB209" i="105" s="1"/>
  <c r="AA209" i="105" a="1"/>
  <c r="AA209" i="105" s="1"/>
  <c r="Z209" i="105" a="1"/>
  <c r="Z209" i="105" s="1"/>
  <c r="Y209" i="105" a="1"/>
  <c r="Y209" i="105" s="1"/>
  <c r="X209" i="105" a="1"/>
  <c r="X209" i="105" s="1"/>
  <c r="W209" i="105" a="1"/>
  <c r="W209" i="105" s="1"/>
  <c r="V209" i="105" a="1"/>
  <c r="V209" i="105" s="1"/>
  <c r="U209" i="105" a="1"/>
  <c r="U209" i="105" s="1"/>
  <c r="T209" i="105" a="1"/>
  <c r="T209" i="105" s="1"/>
  <c r="S209" i="105" a="1"/>
  <c r="S209" i="105" s="1"/>
  <c r="R209" i="105" a="1"/>
  <c r="R209" i="105" s="1"/>
  <c r="Q209" i="105" a="1"/>
  <c r="Q209" i="105" s="1"/>
  <c r="P209" i="105" a="1"/>
  <c r="P209" i="105" s="1"/>
  <c r="O209" i="105" a="1"/>
  <c r="O209" i="105" s="1"/>
  <c r="N209" i="105" a="1"/>
  <c r="N209" i="105" s="1"/>
  <c r="M209" i="105" a="1"/>
  <c r="M209" i="105" s="1"/>
  <c r="L209" i="105" a="1"/>
  <c r="L209" i="105" s="1"/>
  <c r="K209" i="105" a="1"/>
  <c r="K209" i="105" s="1"/>
  <c r="J209" i="105" a="1"/>
  <c r="J209" i="105" s="1"/>
  <c r="I209" i="105" a="1"/>
  <c r="I209" i="105" s="1"/>
  <c r="H209" i="105" a="1"/>
  <c r="H209" i="105" s="1"/>
  <c r="G209" i="105" a="1"/>
  <c r="G209" i="105" s="1"/>
  <c r="F209" i="105" a="1"/>
  <c r="F209" i="105" s="1"/>
  <c r="E209" i="105" a="1"/>
  <c r="E209" i="105" s="1"/>
  <c r="D209" i="105" a="1"/>
  <c r="D209" i="105" s="1"/>
  <c r="AH208" i="105" a="1"/>
  <c r="AH208" i="105" s="1"/>
  <c r="AG208" i="105" a="1"/>
  <c r="AG208" i="105" s="1"/>
  <c r="AF208" i="105" a="1"/>
  <c r="AF208" i="105" s="1"/>
  <c r="AE208" i="105" a="1"/>
  <c r="AE208" i="105" s="1"/>
  <c r="AD208" i="105" a="1"/>
  <c r="AD208" i="105" s="1"/>
  <c r="AC208" i="105" a="1"/>
  <c r="AC208" i="105" s="1"/>
  <c r="AB208" i="105" a="1"/>
  <c r="AB208" i="105" s="1"/>
  <c r="AA208" i="105" a="1"/>
  <c r="AA208" i="105" s="1"/>
  <c r="Z208" i="105" a="1"/>
  <c r="Z208" i="105" s="1"/>
  <c r="Y208" i="105" a="1"/>
  <c r="Y208" i="105" s="1"/>
  <c r="X208" i="105" a="1"/>
  <c r="X208" i="105" s="1"/>
  <c r="W208" i="105" a="1"/>
  <c r="W208" i="105" s="1"/>
  <c r="V208" i="105" a="1"/>
  <c r="V208" i="105" s="1"/>
  <c r="U208" i="105" a="1"/>
  <c r="U208" i="105" s="1"/>
  <c r="T208" i="105" a="1"/>
  <c r="T208" i="105" s="1"/>
  <c r="S208" i="105" a="1"/>
  <c r="S208" i="105" s="1"/>
  <c r="R208" i="105" a="1"/>
  <c r="R208" i="105" s="1"/>
  <c r="Q208" i="105" a="1"/>
  <c r="Q208" i="105" s="1"/>
  <c r="P208" i="105" a="1"/>
  <c r="P208" i="105" s="1"/>
  <c r="O208" i="105" a="1"/>
  <c r="O208" i="105" s="1"/>
  <c r="N208" i="105" a="1"/>
  <c r="N208" i="105" s="1"/>
  <c r="M208" i="105" a="1"/>
  <c r="M208" i="105" s="1"/>
  <c r="L208" i="105" a="1"/>
  <c r="L208" i="105" s="1"/>
  <c r="K208" i="105" a="1"/>
  <c r="K208" i="105" s="1"/>
  <c r="J208" i="105" a="1"/>
  <c r="J208" i="105" s="1"/>
  <c r="I208" i="105" a="1"/>
  <c r="I208" i="105" s="1"/>
  <c r="H208" i="105" a="1"/>
  <c r="H208" i="105" s="1"/>
  <c r="G208" i="105" a="1"/>
  <c r="G208" i="105" s="1"/>
  <c r="F208" i="105" a="1"/>
  <c r="F208" i="105" s="1"/>
  <c r="E208" i="105" a="1"/>
  <c r="E208" i="105" s="1"/>
  <c r="D208" i="105" a="1"/>
  <c r="D208" i="105" s="1"/>
  <c r="AH207" i="105" a="1"/>
  <c r="AH207" i="105" s="1"/>
  <c r="AG207" i="105" a="1"/>
  <c r="AG207" i="105" s="1"/>
  <c r="AF207" i="105" a="1"/>
  <c r="AF207" i="105" s="1"/>
  <c r="AE207" i="105" a="1"/>
  <c r="AE207" i="105" s="1"/>
  <c r="AD207" i="105" a="1"/>
  <c r="AD207" i="105" s="1"/>
  <c r="AC207" i="105" a="1"/>
  <c r="AC207" i="105" s="1"/>
  <c r="AB207" i="105" a="1"/>
  <c r="AB207" i="105" s="1"/>
  <c r="AA207" i="105" a="1"/>
  <c r="AA207" i="105" s="1"/>
  <c r="Z207" i="105" a="1"/>
  <c r="Z207" i="105" s="1"/>
  <c r="Y207" i="105" a="1"/>
  <c r="Y207" i="105" s="1"/>
  <c r="X207" i="105" a="1"/>
  <c r="X207" i="105" s="1"/>
  <c r="W207" i="105" a="1"/>
  <c r="W207" i="105" s="1"/>
  <c r="V207" i="105" a="1"/>
  <c r="V207" i="105" s="1"/>
  <c r="U207" i="105" a="1"/>
  <c r="U207" i="105" s="1"/>
  <c r="T207" i="105" a="1"/>
  <c r="T207" i="105" s="1"/>
  <c r="S207" i="105" a="1"/>
  <c r="S207" i="105" s="1"/>
  <c r="R207" i="105" a="1"/>
  <c r="R207" i="105" s="1"/>
  <c r="Q207" i="105" a="1"/>
  <c r="Q207" i="105" s="1"/>
  <c r="P207" i="105" a="1"/>
  <c r="P207" i="105" s="1"/>
  <c r="O207" i="105" a="1"/>
  <c r="O207" i="105" s="1"/>
  <c r="N207" i="105" a="1"/>
  <c r="N207" i="105" s="1"/>
  <c r="M207" i="105" a="1"/>
  <c r="M207" i="105" s="1"/>
  <c r="L207" i="105" a="1"/>
  <c r="L207" i="105" s="1"/>
  <c r="K207" i="105" a="1"/>
  <c r="K207" i="105" s="1"/>
  <c r="J207" i="105" a="1"/>
  <c r="J207" i="105" s="1"/>
  <c r="I207" i="105" a="1"/>
  <c r="I207" i="105" s="1"/>
  <c r="H207" i="105" a="1"/>
  <c r="H207" i="105" s="1"/>
  <c r="G207" i="105" a="1"/>
  <c r="G207" i="105" s="1"/>
  <c r="F207" i="105" a="1"/>
  <c r="F207" i="105" s="1"/>
  <c r="E207" i="105" a="1"/>
  <c r="E207" i="105" s="1"/>
  <c r="D207" i="105" a="1"/>
  <c r="D207" i="105" s="1"/>
  <c r="AH206" i="105" a="1"/>
  <c r="AH206" i="105" s="1"/>
  <c r="AG206" i="105" a="1"/>
  <c r="AG206" i="105" s="1"/>
  <c r="AF206" i="105" a="1"/>
  <c r="AF206" i="105" s="1"/>
  <c r="AE206" i="105" a="1"/>
  <c r="AE206" i="105" s="1"/>
  <c r="AD206" i="105" a="1"/>
  <c r="AD206" i="105" s="1"/>
  <c r="AC206" i="105" a="1"/>
  <c r="AC206" i="105" s="1"/>
  <c r="AB206" i="105" a="1"/>
  <c r="AB206" i="105" s="1"/>
  <c r="AA206" i="105" a="1"/>
  <c r="AA206" i="105" s="1"/>
  <c r="Z206" i="105" a="1"/>
  <c r="Z206" i="105" s="1"/>
  <c r="Y206" i="105" a="1"/>
  <c r="Y206" i="105" s="1"/>
  <c r="X206" i="105" a="1"/>
  <c r="X206" i="105" s="1"/>
  <c r="W206" i="105" a="1"/>
  <c r="W206" i="105" s="1"/>
  <c r="V206" i="105" a="1"/>
  <c r="V206" i="105" s="1"/>
  <c r="U206" i="105" a="1"/>
  <c r="U206" i="105" s="1"/>
  <c r="T206" i="105" a="1"/>
  <c r="T206" i="105" s="1"/>
  <c r="S206" i="105" a="1"/>
  <c r="S206" i="105" s="1"/>
  <c r="R206" i="105" a="1"/>
  <c r="R206" i="105" s="1"/>
  <c r="Q206" i="105" a="1"/>
  <c r="Q206" i="105" s="1"/>
  <c r="P206" i="105" a="1"/>
  <c r="P206" i="105" s="1"/>
  <c r="O206" i="105" a="1"/>
  <c r="O206" i="105" s="1"/>
  <c r="N206" i="105" a="1"/>
  <c r="N206" i="105" s="1"/>
  <c r="M206" i="105" a="1"/>
  <c r="M206" i="105" s="1"/>
  <c r="L206" i="105" a="1"/>
  <c r="L206" i="105" s="1"/>
  <c r="K206" i="105" a="1"/>
  <c r="K206" i="105" s="1"/>
  <c r="J206" i="105" a="1"/>
  <c r="J206" i="105" s="1"/>
  <c r="I206" i="105" a="1"/>
  <c r="I206" i="105" s="1"/>
  <c r="H206" i="105" a="1"/>
  <c r="H206" i="105" s="1"/>
  <c r="G206" i="105" a="1"/>
  <c r="G206" i="105" s="1"/>
  <c r="F206" i="105" a="1"/>
  <c r="F206" i="105" s="1"/>
  <c r="E206" i="105" a="1"/>
  <c r="E206" i="105" s="1"/>
  <c r="D206" i="105" a="1"/>
  <c r="D206" i="105" s="1"/>
  <c r="AH205" i="105" a="1"/>
  <c r="AH205" i="105" s="1"/>
  <c r="AG205" i="105" a="1"/>
  <c r="AG205" i="105" s="1"/>
  <c r="AF205" i="105" a="1"/>
  <c r="AF205" i="105" s="1"/>
  <c r="AE205" i="105" a="1"/>
  <c r="AE205" i="105" s="1"/>
  <c r="AD205" i="105" a="1"/>
  <c r="AD205" i="105" s="1"/>
  <c r="AC205" i="105" a="1"/>
  <c r="AC205" i="105" s="1"/>
  <c r="AB205" i="105" a="1"/>
  <c r="AB205" i="105" s="1"/>
  <c r="AA205" i="105" a="1"/>
  <c r="AA205" i="105" s="1"/>
  <c r="Z205" i="105" a="1"/>
  <c r="Z205" i="105" s="1"/>
  <c r="Y205" i="105" a="1"/>
  <c r="Y205" i="105" s="1"/>
  <c r="X205" i="105" a="1"/>
  <c r="X205" i="105" s="1"/>
  <c r="W205" i="105" a="1"/>
  <c r="W205" i="105" s="1"/>
  <c r="V205" i="105" a="1"/>
  <c r="V205" i="105" s="1"/>
  <c r="U205" i="105" a="1"/>
  <c r="U205" i="105" s="1"/>
  <c r="T205" i="105" a="1"/>
  <c r="T205" i="105" s="1"/>
  <c r="S205" i="105" a="1"/>
  <c r="S205" i="105" s="1"/>
  <c r="R205" i="105" a="1"/>
  <c r="R205" i="105" s="1"/>
  <c r="Q205" i="105" a="1"/>
  <c r="Q205" i="105" s="1"/>
  <c r="P205" i="105" a="1"/>
  <c r="P205" i="105" s="1"/>
  <c r="O205" i="105" a="1"/>
  <c r="O205" i="105" s="1"/>
  <c r="N205" i="105" a="1"/>
  <c r="N205" i="105" s="1"/>
  <c r="M205" i="105" a="1"/>
  <c r="M205" i="105" s="1"/>
  <c r="L205" i="105" a="1"/>
  <c r="L205" i="105" s="1"/>
  <c r="K205" i="105" a="1"/>
  <c r="K205" i="105" s="1"/>
  <c r="J205" i="105" a="1"/>
  <c r="J205" i="105" s="1"/>
  <c r="I205" i="105" a="1"/>
  <c r="I205" i="105" s="1"/>
  <c r="H205" i="105" a="1"/>
  <c r="H205" i="105" s="1"/>
  <c r="G205" i="105" a="1"/>
  <c r="G205" i="105" s="1"/>
  <c r="F205" i="105" a="1"/>
  <c r="F205" i="105" s="1"/>
  <c r="E205" i="105" a="1"/>
  <c r="E205" i="105" s="1"/>
  <c r="D205" i="105" a="1"/>
  <c r="D205" i="105" s="1"/>
  <c r="AH204" i="105" a="1"/>
  <c r="AH204" i="105" s="1"/>
  <c r="AG204" i="105" a="1"/>
  <c r="AG204" i="105" s="1"/>
  <c r="AF204" i="105" a="1"/>
  <c r="AF204" i="105" s="1"/>
  <c r="AE204" i="105" a="1"/>
  <c r="AE204" i="105" s="1"/>
  <c r="AD204" i="105" a="1"/>
  <c r="AD204" i="105" s="1"/>
  <c r="AC204" i="105" a="1"/>
  <c r="AC204" i="105" s="1"/>
  <c r="AB204" i="105" a="1"/>
  <c r="AB204" i="105" s="1"/>
  <c r="AA204" i="105" a="1"/>
  <c r="AA204" i="105" s="1"/>
  <c r="Z204" i="105" a="1"/>
  <c r="Z204" i="105" s="1"/>
  <c r="Y204" i="105" a="1"/>
  <c r="Y204" i="105" s="1"/>
  <c r="X204" i="105" a="1"/>
  <c r="X204" i="105" s="1"/>
  <c r="W204" i="105" a="1"/>
  <c r="W204" i="105" s="1"/>
  <c r="V204" i="105" a="1"/>
  <c r="V204" i="105" s="1"/>
  <c r="U204" i="105" a="1"/>
  <c r="U204" i="105" s="1"/>
  <c r="T204" i="105" a="1"/>
  <c r="T204" i="105" s="1"/>
  <c r="S204" i="105" a="1"/>
  <c r="S204" i="105" s="1"/>
  <c r="R204" i="105" a="1"/>
  <c r="R204" i="105" s="1"/>
  <c r="Q204" i="105" a="1"/>
  <c r="Q204" i="105" s="1"/>
  <c r="P204" i="105" a="1"/>
  <c r="P204" i="105" s="1"/>
  <c r="O204" i="105" a="1"/>
  <c r="O204" i="105" s="1"/>
  <c r="N204" i="105" a="1"/>
  <c r="N204" i="105" s="1"/>
  <c r="M204" i="105" a="1"/>
  <c r="M204" i="105" s="1"/>
  <c r="L204" i="105" a="1"/>
  <c r="L204" i="105" s="1"/>
  <c r="K204" i="105" a="1"/>
  <c r="K204" i="105" s="1"/>
  <c r="J204" i="105" a="1"/>
  <c r="J204" i="105" s="1"/>
  <c r="I204" i="105" a="1"/>
  <c r="I204" i="105" s="1"/>
  <c r="H204" i="105" a="1"/>
  <c r="H204" i="105" s="1"/>
  <c r="G204" i="105" a="1"/>
  <c r="G204" i="105" s="1"/>
  <c r="F204" i="105" a="1"/>
  <c r="F204" i="105" s="1"/>
  <c r="E204" i="105" a="1"/>
  <c r="E204" i="105" s="1"/>
  <c r="D204" i="105" a="1"/>
  <c r="D204" i="105" s="1"/>
  <c r="AH203" i="105" a="1"/>
  <c r="AH203" i="105" s="1"/>
  <c r="AG203" i="105" a="1"/>
  <c r="AG203" i="105" s="1"/>
  <c r="AF203" i="105" a="1"/>
  <c r="AF203" i="105" s="1"/>
  <c r="AE203" i="105" a="1"/>
  <c r="AE203" i="105" s="1"/>
  <c r="AD203" i="105" a="1"/>
  <c r="AD203" i="105" s="1"/>
  <c r="AC203" i="105" a="1"/>
  <c r="AC203" i="105" s="1"/>
  <c r="AB203" i="105" a="1"/>
  <c r="AB203" i="105" s="1"/>
  <c r="AA203" i="105" a="1"/>
  <c r="AA203" i="105" s="1"/>
  <c r="Z203" i="105" a="1"/>
  <c r="Z203" i="105" s="1"/>
  <c r="Y203" i="105" a="1"/>
  <c r="Y203" i="105" s="1"/>
  <c r="X203" i="105" a="1"/>
  <c r="X203" i="105" s="1"/>
  <c r="W203" i="105" a="1"/>
  <c r="W203" i="105" s="1"/>
  <c r="V203" i="105" a="1"/>
  <c r="V203" i="105" s="1"/>
  <c r="U203" i="105" a="1"/>
  <c r="U203" i="105" s="1"/>
  <c r="T203" i="105" a="1"/>
  <c r="T203" i="105" s="1"/>
  <c r="S203" i="105" a="1"/>
  <c r="S203" i="105" s="1"/>
  <c r="R203" i="105" a="1"/>
  <c r="R203" i="105" s="1"/>
  <c r="Q203" i="105" a="1"/>
  <c r="Q203" i="105" s="1"/>
  <c r="P203" i="105" a="1"/>
  <c r="P203" i="105" s="1"/>
  <c r="O203" i="105" a="1"/>
  <c r="O203" i="105" s="1"/>
  <c r="N203" i="105" a="1"/>
  <c r="N203" i="105" s="1"/>
  <c r="M203" i="105" a="1"/>
  <c r="M203" i="105" s="1"/>
  <c r="L203" i="105" a="1"/>
  <c r="L203" i="105" s="1"/>
  <c r="K203" i="105" a="1"/>
  <c r="K203" i="105" s="1"/>
  <c r="J203" i="105" a="1"/>
  <c r="J203" i="105" s="1"/>
  <c r="I203" i="105" a="1"/>
  <c r="I203" i="105" s="1"/>
  <c r="H203" i="105" a="1"/>
  <c r="H203" i="105" s="1"/>
  <c r="G203" i="105" a="1"/>
  <c r="G203" i="105" s="1"/>
  <c r="F203" i="105" a="1"/>
  <c r="F203" i="105" s="1"/>
  <c r="E203" i="105" a="1"/>
  <c r="E203" i="105" s="1"/>
  <c r="D203" i="105" a="1"/>
  <c r="D203" i="105" s="1"/>
  <c r="AH202" i="105" a="1"/>
  <c r="AH202" i="105" s="1"/>
  <c r="AG202" i="105" a="1"/>
  <c r="AG202" i="105" s="1"/>
  <c r="AF202" i="105" a="1"/>
  <c r="AF202" i="105" s="1"/>
  <c r="AE202" i="105" a="1"/>
  <c r="AE202" i="105" s="1"/>
  <c r="AD202" i="105" a="1"/>
  <c r="AD202" i="105" s="1"/>
  <c r="AC202" i="105" a="1"/>
  <c r="AC202" i="105" s="1"/>
  <c r="AB202" i="105" a="1"/>
  <c r="AB202" i="105" s="1"/>
  <c r="AA202" i="105" a="1"/>
  <c r="AA202" i="105" s="1"/>
  <c r="Z202" i="105" a="1"/>
  <c r="Z202" i="105" s="1"/>
  <c r="Y202" i="105" a="1"/>
  <c r="Y202" i="105" s="1"/>
  <c r="X202" i="105" a="1"/>
  <c r="X202" i="105" s="1"/>
  <c r="W202" i="105" a="1"/>
  <c r="W202" i="105" s="1"/>
  <c r="V202" i="105" a="1"/>
  <c r="V202" i="105" s="1"/>
  <c r="U202" i="105" a="1"/>
  <c r="U202" i="105" s="1"/>
  <c r="T202" i="105" a="1"/>
  <c r="T202" i="105" s="1"/>
  <c r="S202" i="105" a="1"/>
  <c r="S202" i="105" s="1"/>
  <c r="R202" i="105" a="1"/>
  <c r="R202" i="105" s="1"/>
  <c r="Q202" i="105" a="1"/>
  <c r="Q202" i="105" s="1"/>
  <c r="P202" i="105" a="1"/>
  <c r="P202" i="105" s="1"/>
  <c r="O202" i="105" a="1"/>
  <c r="O202" i="105" s="1"/>
  <c r="N202" i="105" a="1"/>
  <c r="N202" i="105" s="1"/>
  <c r="M202" i="105" a="1"/>
  <c r="M202" i="105" s="1"/>
  <c r="L202" i="105" a="1"/>
  <c r="L202" i="105" s="1"/>
  <c r="K202" i="105" a="1"/>
  <c r="K202" i="105" s="1"/>
  <c r="J202" i="105" a="1"/>
  <c r="J202" i="105" s="1"/>
  <c r="I202" i="105" a="1"/>
  <c r="I202" i="105" s="1"/>
  <c r="H202" i="105" a="1"/>
  <c r="H202" i="105" s="1"/>
  <c r="G202" i="105" a="1"/>
  <c r="G202" i="105" s="1"/>
  <c r="F202" i="105" a="1"/>
  <c r="F202" i="105" s="1"/>
  <c r="E202" i="105" a="1"/>
  <c r="E202" i="105" s="1"/>
  <c r="D202" i="105" a="1"/>
  <c r="D202" i="105" s="1"/>
  <c r="AH201" i="105" a="1"/>
  <c r="AH201" i="105" s="1"/>
  <c r="AG201" i="105" a="1"/>
  <c r="AG201" i="105" s="1"/>
  <c r="AF201" i="105" a="1"/>
  <c r="AF201" i="105" s="1"/>
  <c r="AE201" i="105" a="1"/>
  <c r="AE201" i="105" s="1"/>
  <c r="AD201" i="105" a="1"/>
  <c r="AD201" i="105" s="1"/>
  <c r="AC201" i="105" a="1"/>
  <c r="AC201" i="105" s="1"/>
  <c r="AB201" i="105" a="1"/>
  <c r="AB201" i="105" s="1"/>
  <c r="AA201" i="105" a="1"/>
  <c r="AA201" i="105" s="1"/>
  <c r="Z201" i="105" a="1"/>
  <c r="Z201" i="105" s="1"/>
  <c r="Y201" i="105" a="1"/>
  <c r="Y201" i="105" s="1"/>
  <c r="X201" i="105" a="1"/>
  <c r="X201" i="105" s="1"/>
  <c r="W201" i="105" a="1"/>
  <c r="W201" i="105" s="1"/>
  <c r="V201" i="105" a="1"/>
  <c r="V201" i="105" s="1"/>
  <c r="U201" i="105" a="1"/>
  <c r="U201" i="105" s="1"/>
  <c r="T201" i="105" a="1"/>
  <c r="T201" i="105" s="1"/>
  <c r="S201" i="105" a="1"/>
  <c r="S201" i="105" s="1"/>
  <c r="R201" i="105" a="1"/>
  <c r="R201" i="105" s="1"/>
  <c r="Q201" i="105" a="1"/>
  <c r="Q201" i="105" s="1"/>
  <c r="P201" i="105" a="1"/>
  <c r="P201" i="105" s="1"/>
  <c r="O201" i="105" a="1"/>
  <c r="O201" i="105" s="1"/>
  <c r="N201" i="105" a="1"/>
  <c r="N201" i="105" s="1"/>
  <c r="M201" i="105" a="1"/>
  <c r="M201" i="105" s="1"/>
  <c r="L201" i="105" a="1"/>
  <c r="L201" i="105" s="1"/>
  <c r="K201" i="105" a="1"/>
  <c r="K201" i="105" s="1"/>
  <c r="J201" i="105" a="1"/>
  <c r="J201" i="105" s="1"/>
  <c r="I201" i="105" a="1"/>
  <c r="I201" i="105" s="1"/>
  <c r="H201" i="105" a="1"/>
  <c r="H201" i="105" s="1"/>
  <c r="G201" i="105" a="1"/>
  <c r="G201" i="105" s="1"/>
  <c r="F201" i="105" a="1"/>
  <c r="F201" i="105" s="1"/>
  <c r="E201" i="105" a="1"/>
  <c r="E201" i="105" s="1"/>
  <c r="D201" i="105" a="1"/>
  <c r="D201" i="105" s="1"/>
  <c r="AH200" i="105" a="1"/>
  <c r="AH200" i="105" s="1"/>
  <c r="AG200" i="105" a="1"/>
  <c r="AG200" i="105" s="1"/>
  <c r="AF200" i="105" a="1"/>
  <c r="AF200" i="105" s="1"/>
  <c r="AE200" i="105" a="1"/>
  <c r="AE200" i="105" s="1"/>
  <c r="AD200" i="105" a="1"/>
  <c r="AD200" i="105" s="1"/>
  <c r="AC200" i="105" a="1"/>
  <c r="AC200" i="105" s="1"/>
  <c r="AB200" i="105" a="1"/>
  <c r="AB200" i="105" s="1"/>
  <c r="AA200" i="105" a="1"/>
  <c r="AA200" i="105" s="1"/>
  <c r="Z200" i="105" a="1"/>
  <c r="Z200" i="105" s="1"/>
  <c r="Y200" i="105" a="1"/>
  <c r="Y200" i="105" s="1"/>
  <c r="X200" i="105" a="1"/>
  <c r="X200" i="105" s="1"/>
  <c r="W200" i="105" a="1"/>
  <c r="W200" i="105" s="1"/>
  <c r="V200" i="105" a="1"/>
  <c r="V200" i="105" s="1"/>
  <c r="U200" i="105" a="1"/>
  <c r="U200" i="105" s="1"/>
  <c r="T200" i="105" a="1"/>
  <c r="T200" i="105" s="1"/>
  <c r="S200" i="105" a="1"/>
  <c r="S200" i="105" s="1"/>
  <c r="R200" i="105" a="1"/>
  <c r="R200" i="105" s="1"/>
  <c r="Q200" i="105" a="1"/>
  <c r="Q200" i="105" s="1"/>
  <c r="P200" i="105" a="1"/>
  <c r="P200" i="105" s="1"/>
  <c r="O200" i="105" a="1"/>
  <c r="O200" i="105" s="1"/>
  <c r="N200" i="105" a="1"/>
  <c r="N200" i="105" s="1"/>
  <c r="M200" i="105" a="1"/>
  <c r="M200" i="105" s="1"/>
  <c r="L200" i="105" a="1"/>
  <c r="L200" i="105" s="1"/>
  <c r="K200" i="105" a="1"/>
  <c r="K200" i="105" s="1"/>
  <c r="J200" i="105" a="1"/>
  <c r="J200" i="105" s="1"/>
  <c r="I200" i="105" a="1"/>
  <c r="I200" i="105" s="1"/>
  <c r="H200" i="105" a="1"/>
  <c r="H200" i="105" s="1"/>
  <c r="G200" i="105" a="1"/>
  <c r="G200" i="105" s="1"/>
  <c r="F200" i="105" a="1"/>
  <c r="F200" i="105" s="1"/>
  <c r="E200" i="105" a="1"/>
  <c r="E200" i="105" s="1"/>
  <c r="D200" i="105" a="1"/>
  <c r="D200" i="105" s="1"/>
  <c r="AH199" i="105" a="1"/>
  <c r="AH199" i="105" s="1"/>
  <c r="AG199" i="105" a="1"/>
  <c r="AG199" i="105" s="1"/>
  <c r="AF199" i="105" a="1"/>
  <c r="AF199" i="105" s="1"/>
  <c r="AE199" i="105" a="1"/>
  <c r="AE199" i="105" s="1"/>
  <c r="AD199" i="105" a="1"/>
  <c r="AD199" i="105" s="1"/>
  <c r="AC199" i="105" a="1"/>
  <c r="AC199" i="105" s="1"/>
  <c r="AB199" i="105" a="1"/>
  <c r="AB199" i="105" s="1"/>
  <c r="AA199" i="105" a="1"/>
  <c r="AA199" i="105" s="1"/>
  <c r="Z199" i="105" a="1"/>
  <c r="Z199" i="105" s="1"/>
  <c r="Y199" i="105" a="1"/>
  <c r="Y199" i="105" s="1"/>
  <c r="X199" i="105" a="1"/>
  <c r="X199" i="105" s="1"/>
  <c r="W199" i="105" a="1"/>
  <c r="W199" i="105" s="1"/>
  <c r="V199" i="105" a="1"/>
  <c r="V199" i="105" s="1"/>
  <c r="U199" i="105" a="1"/>
  <c r="U199" i="105" s="1"/>
  <c r="T199" i="105" a="1"/>
  <c r="T199" i="105" s="1"/>
  <c r="S199" i="105" a="1"/>
  <c r="S199" i="105" s="1"/>
  <c r="R199" i="105" a="1"/>
  <c r="R199" i="105" s="1"/>
  <c r="Q199" i="105" a="1"/>
  <c r="Q199" i="105" s="1"/>
  <c r="P199" i="105" a="1"/>
  <c r="P199" i="105" s="1"/>
  <c r="O199" i="105" a="1"/>
  <c r="O199" i="105" s="1"/>
  <c r="N199" i="105" a="1"/>
  <c r="N199" i="105" s="1"/>
  <c r="M199" i="105" a="1"/>
  <c r="M199" i="105" s="1"/>
  <c r="L199" i="105" a="1"/>
  <c r="L199" i="105" s="1"/>
  <c r="K199" i="105" a="1"/>
  <c r="K199" i="105" s="1"/>
  <c r="J199" i="105" a="1"/>
  <c r="J199" i="105" s="1"/>
  <c r="I199" i="105" a="1"/>
  <c r="I199" i="105" s="1"/>
  <c r="H199" i="105" a="1"/>
  <c r="H199" i="105" s="1"/>
  <c r="G199" i="105" a="1"/>
  <c r="G199" i="105" s="1"/>
  <c r="F199" i="105" a="1"/>
  <c r="F199" i="105" s="1"/>
  <c r="E199" i="105" a="1"/>
  <c r="E199" i="105" s="1"/>
  <c r="D199" i="105" a="1"/>
  <c r="D199" i="105" s="1"/>
  <c r="AH198" i="105" a="1"/>
  <c r="AH198" i="105" s="1"/>
  <c r="AG198" i="105" a="1"/>
  <c r="AG198" i="105" s="1"/>
  <c r="AF198" i="105" a="1"/>
  <c r="AF198" i="105" s="1"/>
  <c r="AE198" i="105" a="1"/>
  <c r="AE198" i="105" s="1"/>
  <c r="AD198" i="105" a="1"/>
  <c r="AD198" i="105" s="1"/>
  <c r="AC198" i="105" a="1"/>
  <c r="AC198" i="105" s="1"/>
  <c r="AB198" i="105" a="1"/>
  <c r="AB198" i="105" s="1"/>
  <c r="AA198" i="105" a="1"/>
  <c r="AA198" i="105" s="1"/>
  <c r="Z198" i="105" a="1"/>
  <c r="Z198" i="105" s="1"/>
  <c r="Y198" i="105" a="1"/>
  <c r="Y198" i="105" s="1"/>
  <c r="X198" i="105" a="1"/>
  <c r="X198" i="105" s="1"/>
  <c r="W198" i="105" a="1"/>
  <c r="W198" i="105" s="1"/>
  <c r="V198" i="105" a="1"/>
  <c r="V198" i="105" s="1"/>
  <c r="U198" i="105" a="1"/>
  <c r="U198" i="105" s="1"/>
  <c r="T198" i="105" a="1"/>
  <c r="T198" i="105" s="1"/>
  <c r="S198" i="105" a="1"/>
  <c r="S198" i="105" s="1"/>
  <c r="R198" i="105" a="1"/>
  <c r="R198" i="105" s="1"/>
  <c r="Q198" i="105" a="1"/>
  <c r="Q198" i="105" s="1"/>
  <c r="P198" i="105" a="1"/>
  <c r="P198" i="105" s="1"/>
  <c r="O198" i="105" a="1"/>
  <c r="O198" i="105" s="1"/>
  <c r="N198" i="105" a="1"/>
  <c r="N198" i="105" s="1"/>
  <c r="M198" i="105" a="1"/>
  <c r="M198" i="105" s="1"/>
  <c r="L198" i="105" a="1"/>
  <c r="L198" i="105" s="1"/>
  <c r="K198" i="105" a="1"/>
  <c r="K198" i="105" s="1"/>
  <c r="J198" i="105" a="1"/>
  <c r="J198" i="105" s="1"/>
  <c r="I198" i="105" a="1"/>
  <c r="I198" i="105" s="1"/>
  <c r="H198" i="105" a="1"/>
  <c r="H198" i="105" s="1"/>
  <c r="G198" i="105" a="1"/>
  <c r="G198" i="105" s="1"/>
  <c r="F198" i="105" a="1"/>
  <c r="F198" i="105" s="1"/>
  <c r="E198" i="105" a="1"/>
  <c r="E198" i="105" s="1"/>
  <c r="D198" i="105" a="1"/>
  <c r="D198" i="105" s="1"/>
  <c r="AH197" i="105" a="1"/>
  <c r="AH197" i="105" s="1"/>
  <c r="AG197" i="105" a="1"/>
  <c r="AG197" i="105" s="1"/>
  <c r="AF197" i="105" a="1"/>
  <c r="AF197" i="105" s="1"/>
  <c r="AE197" i="105" a="1"/>
  <c r="AE197" i="105" s="1"/>
  <c r="AD197" i="105" a="1"/>
  <c r="AD197" i="105" s="1"/>
  <c r="AC197" i="105" a="1"/>
  <c r="AC197" i="105" s="1"/>
  <c r="AB197" i="105" a="1"/>
  <c r="AB197" i="105" s="1"/>
  <c r="AA197" i="105" a="1"/>
  <c r="AA197" i="105" s="1"/>
  <c r="Z197" i="105" a="1"/>
  <c r="Z197" i="105" s="1"/>
  <c r="Y197" i="105" a="1"/>
  <c r="Y197" i="105" s="1"/>
  <c r="X197" i="105" a="1"/>
  <c r="X197" i="105" s="1"/>
  <c r="W197" i="105" a="1"/>
  <c r="W197" i="105" s="1"/>
  <c r="V197" i="105" a="1"/>
  <c r="V197" i="105" s="1"/>
  <c r="U197" i="105" a="1"/>
  <c r="U197" i="105" s="1"/>
  <c r="T197" i="105" a="1"/>
  <c r="T197" i="105" s="1"/>
  <c r="S197" i="105" a="1"/>
  <c r="S197" i="105" s="1"/>
  <c r="R197" i="105" a="1"/>
  <c r="R197" i="105" s="1"/>
  <c r="Q197" i="105" a="1"/>
  <c r="Q197" i="105" s="1"/>
  <c r="P197" i="105" a="1"/>
  <c r="P197" i="105" s="1"/>
  <c r="O197" i="105" a="1"/>
  <c r="O197" i="105" s="1"/>
  <c r="N197" i="105" a="1"/>
  <c r="N197" i="105" s="1"/>
  <c r="M197" i="105" a="1"/>
  <c r="M197" i="105" s="1"/>
  <c r="L197" i="105" a="1"/>
  <c r="L197" i="105" s="1"/>
  <c r="K197" i="105" a="1"/>
  <c r="K197" i="105" s="1"/>
  <c r="J197" i="105" a="1"/>
  <c r="J197" i="105" s="1"/>
  <c r="I197" i="105" a="1"/>
  <c r="I197" i="105" s="1"/>
  <c r="H197" i="105" a="1"/>
  <c r="H197" i="105" s="1"/>
  <c r="G197" i="105" a="1"/>
  <c r="G197" i="105" s="1"/>
  <c r="F197" i="105" a="1"/>
  <c r="F197" i="105" s="1"/>
  <c r="E197" i="105" a="1"/>
  <c r="E197" i="105" s="1"/>
  <c r="D197" i="105" a="1"/>
  <c r="D197" i="105" s="1"/>
  <c r="AH196" i="105" a="1"/>
  <c r="AH196" i="105" s="1"/>
  <c r="AG196" i="105" a="1"/>
  <c r="AG196" i="105" s="1"/>
  <c r="AF196" i="105" a="1"/>
  <c r="AF196" i="105" s="1"/>
  <c r="AE196" i="105" a="1"/>
  <c r="AE196" i="105" s="1"/>
  <c r="AD196" i="105" a="1"/>
  <c r="AD196" i="105" s="1"/>
  <c r="AC196" i="105" a="1"/>
  <c r="AC196" i="105" s="1"/>
  <c r="AB196" i="105" a="1"/>
  <c r="AB196" i="105" s="1"/>
  <c r="AA196" i="105" a="1"/>
  <c r="AA196" i="105" s="1"/>
  <c r="Z196" i="105" a="1"/>
  <c r="Z196" i="105" s="1"/>
  <c r="Y196" i="105" a="1"/>
  <c r="Y196" i="105" s="1"/>
  <c r="X196" i="105" a="1"/>
  <c r="X196" i="105" s="1"/>
  <c r="W196" i="105" a="1"/>
  <c r="W196" i="105" s="1"/>
  <c r="V196" i="105" a="1"/>
  <c r="V196" i="105" s="1"/>
  <c r="U196" i="105" a="1"/>
  <c r="U196" i="105" s="1"/>
  <c r="T196" i="105" a="1"/>
  <c r="T196" i="105" s="1"/>
  <c r="S196" i="105" a="1"/>
  <c r="S196" i="105" s="1"/>
  <c r="R196" i="105" a="1"/>
  <c r="R196" i="105" s="1"/>
  <c r="Q196" i="105" a="1"/>
  <c r="Q196" i="105" s="1"/>
  <c r="P196" i="105" a="1"/>
  <c r="P196" i="105" s="1"/>
  <c r="O196" i="105" a="1"/>
  <c r="O196" i="105" s="1"/>
  <c r="N196" i="105" a="1"/>
  <c r="N196" i="105" s="1"/>
  <c r="M196" i="105" a="1"/>
  <c r="M196" i="105" s="1"/>
  <c r="L196" i="105" a="1"/>
  <c r="L196" i="105" s="1"/>
  <c r="K196" i="105" a="1"/>
  <c r="K196" i="105" s="1"/>
  <c r="J196" i="105" a="1"/>
  <c r="J196" i="105" s="1"/>
  <c r="I196" i="105" a="1"/>
  <c r="I196" i="105" s="1"/>
  <c r="H196" i="105" a="1"/>
  <c r="H196" i="105" s="1"/>
  <c r="G196" i="105" a="1"/>
  <c r="G196" i="105" s="1"/>
  <c r="F196" i="105" a="1"/>
  <c r="F196" i="105" s="1"/>
  <c r="E196" i="105" a="1"/>
  <c r="E196" i="105" s="1"/>
  <c r="D196" i="105" a="1"/>
  <c r="D196" i="105" s="1"/>
  <c r="AH195" i="105" a="1"/>
  <c r="AH195" i="105" s="1"/>
  <c r="AG195" i="105" a="1"/>
  <c r="AG195" i="105" s="1"/>
  <c r="AF195" i="105" a="1"/>
  <c r="AF195" i="105" s="1"/>
  <c r="AE195" i="105" a="1"/>
  <c r="AE195" i="105" s="1"/>
  <c r="AD195" i="105" a="1"/>
  <c r="AD195" i="105" s="1"/>
  <c r="AC195" i="105" a="1"/>
  <c r="AC195" i="105" s="1"/>
  <c r="AB195" i="105" a="1"/>
  <c r="AB195" i="105" s="1"/>
  <c r="AA195" i="105" a="1"/>
  <c r="AA195" i="105" s="1"/>
  <c r="Z195" i="105" a="1"/>
  <c r="Z195" i="105" s="1"/>
  <c r="Y195" i="105" a="1"/>
  <c r="Y195" i="105" s="1"/>
  <c r="X195" i="105" a="1"/>
  <c r="X195" i="105" s="1"/>
  <c r="W195" i="105" a="1"/>
  <c r="W195" i="105" s="1"/>
  <c r="V195" i="105" a="1"/>
  <c r="V195" i="105" s="1"/>
  <c r="U195" i="105" a="1"/>
  <c r="U195" i="105" s="1"/>
  <c r="T195" i="105" a="1"/>
  <c r="T195" i="105" s="1"/>
  <c r="S195" i="105" a="1"/>
  <c r="S195" i="105" s="1"/>
  <c r="R195" i="105" a="1"/>
  <c r="R195" i="105" s="1"/>
  <c r="Q195" i="105" a="1"/>
  <c r="Q195" i="105" s="1"/>
  <c r="P195" i="105" a="1"/>
  <c r="P195" i="105" s="1"/>
  <c r="O195" i="105" a="1"/>
  <c r="O195" i="105" s="1"/>
  <c r="N195" i="105" a="1"/>
  <c r="N195" i="105" s="1"/>
  <c r="M195" i="105" a="1"/>
  <c r="M195" i="105" s="1"/>
  <c r="L195" i="105" a="1"/>
  <c r="L195" i="105" s="1"/>
  <c r="K195" i="105" a="1"/>
  <c r="K195" i="105" s="1"/>
  <c r="J195" i="105" a="1"/>
  <c r="J195" i="105" s="1"/>
  <c r="I195" i="105" a="1"/>
  <c r="I195" i="105" s="1"/>
  <c r="H195" i="105" a="1"/>
  <c r="H195" i="105" s="1"/>
  <c r="G195" i="105" a="1"/>
  <c r="G195" i="105" s="1"/>
  <c r="F195" i="105" a="1"/>
  <c r="F195" i="105" s="1"/>
  <c r="E195" i="105" a="1"/>
  <c r="E195" i="105" s="1"/>
  <c r="D195" i="105" a="1"/>
  <c r="D195" i="105" s="1"/>
  <c r="AH194" i="105" a="1"/>
  <c r="AH194" i="105" s="1"/>
  <c r="AG194" i="105" a="1"/>
  <c r="AG194" i="105" s="1"/>
  <c r="AF194" i="105" a="1"/>
  <c r="AF194" i="105" s="1"/>
  <c r="AE194" i="105" a="1"/>
  <c r="AE194" i="105" s="1"/>
  <c r="AD194" i="105" a="1"/>
  <c r="AD194" i="105" s="1"/>
  <c r="AC194" i="105" a="1"/>
  <c r="AC194" i="105" s="1"/>
  <c r="AB194" i="105" a="1"/>
  <c r="AB194" i="105" s="1"/>
  <c r="AA194" i="105" a="1"/>
  <c r="AA194" i="105" s="1"/>
  <c r="Z194" i="105" a="1"/>
  <c r="Z194" i="105" s="1"/>
  <c r="Y194" i="105" a="1"/>
  <c r="Y194" i="105" s="1"/>
  <c r="X194" i="105" a="1"/>
  <c r="X194" i="105" s="1"/>
  <c r="W194" i="105" a="1"/>
  <c r="W194" i="105" s="1"/>
  <c r="V194" i="105" a="1"/>
  <c r="V194" i="105" s="1"/>
  <c r="U194" i="105" a="1"/>
  <c r="U194" i="105" s="1"/>
  <c r="T194" i="105" a="1"/>
  <c r="T194" i="105" s="1"/>
  <c r="S194" i="105" a="1"/>
  <c r="S194" i="105" s="1"/>
  <c r="R194" i="105" a="1"/>
  <c r="R194" i="105" s="1"/>
  <c r="Q194" i="105" a="1"/>
  <c r="Q194" i="105" s="1"/>
  <c r="P194" i="105" a="1"/>
  <c r="P194" i="105" s="1"/>
  <c r="O194" i="105" a="1"/>
  <c r="O194" i="105" s="1"/>
  <c r="N194" i="105" a="1"/>
  <c r="N194" i="105" s="1"/>
  <c r="M194" i="105" a="1"/>
  <c r="M194" i="105" s="1"/>
  <c r="L194" i="105" a="1"/>
  <c r="L194" i="105" s="1"/>
  <c r="K194" i="105" a="1"/>
  <c r="K194" i="105" s="1"/>
  <c r="J194" i="105" a="1"/>
  <c r="J194" i="105" s="1"/>
  <c r="I194" i="105" a="1"/>
  <c r="I194" i="105" s="1"/>
  <c r="H194" i="105" a="1"/>
  <c r="H194" i="105" s="1"/>
  <c r="G194" i="105" a="1"/>
  <c r="G194" i="105" s="1"/>
  <c r="F194" i="105" a="1"/>
  <c r="F194" i="105" s="1"/>
  <c r="E194" i="105" a="1"/>
  <c r="E194" i="105" s="1"/>
  <c r="D194" i="105" a="1"/>
  <c r="D194" i="105" s="1"/>
  <c r="AH193" i="105" a="1"/>
  <c r="AH193" i="105" s="1"/>
  <c r="AG193" i="105" a="1"/>
  <c r="AG193" i="105" s="1"/>
  <c r="AF193" i="105" a="1"/>
  <c r="AF193" i="105" s="1"/>
  <c r="AE193" i="105" a="1"/>
  <c r="AE193" i="105" s="1"/>
  <c r="AD193" i="105" a="1"/>
  <c r="AD193" i="105" s="1"/>
  <c r="AC193" i="105" a="1"/>
  <c r="AC193" i="105" s="1"/>
  <c r="AB193" i="105" a="1"/>
  <c r="AB193" i="105" s="1"/>
  <c r="AA193" i="105" a="1"/>
  <c r="AA193" i="105" s="1"/>
  <c r="Z193" i="105" a="1"/>
  <c r="Z193" i="105" s="1"/>
  <c r="Y193" i="105" a="1"/>
  <c r="Y193" i="105" s="1"/>
  <c r="X193" i="105" a="1"/>
  <c r="X193" i="105" s="1"/>
  <c r="W193" i="105" a="1"/>
  <c r="W193" i="105" s="1"/>
  <c r="V193" i="105" a="1"/>
  <c r="V193" i="105" s="1"/>
  <c r="U193" i="105" a="1"/>
  <c r="U193" i="105" s="1"/>
  <c r="T193" i="105" a="1"/>
  <c r="T193" i="105" s="1"/>
  <c r="S193" i="105" a="1"/>
  <c r="S193" i="105" s="1"/>
  <c r="R193" i="105" a="1"/>
  <c r="R193" i="105" s="1"/>
  <c r="Q193" i="105" a="1"/>
  <c r="Q193" i="105" s="1"/>
  <c r="P193" i="105" a="1"/>
  <c r="P193" i="105" s="1"/>
  <c r="O193" i="105" a="1"/>
  <c r="O193" i="105" s="1"/>
  <c r="N193" i="105" a="1"/>
  <c r="N193" i="105" s="1"/>
  <c r="M193" i="105" a="1"/>
  <c r="M193" i="105" s="1"/>
  <c r="L193" i="105" a="1"/>
  <c r="L193" i="105" s="1"/>
  <c r="K193" i="105" a="1"/>
  <c r="K193" i="105" s="1"/>
  <c r="J193" i="105" a="1"/>
  <c r="J193" i="105" s="1"/>
  <c r="I193" i="105" a="1"/>
  <c r="I193" i="105" s="1"/>
  <c r="H193" i="105" a="1"/>
  <c r="H193" i="105" s="1"/>
  <c r="G193" i="105" a="1"/>
  <c r="G193" i="105" s="1"/>
  <c r="F193" i="105" a="1"/>
  <c r="F193" i="105" s="1"/>
  <c r="E193" i="105" a="1"/>
  <c r="E193" i="105" s="1"/>
  <c r="D193" i="105" a="1"/>
  <c r="D193" i="105" s="1"/>
  <c r="AH192" i="105" a="1"/>
  <c r="AH192" i="105" s="1"/>
  <c r="AG192" i="105" a="1"/>
  <c r="AG192" i="105" s="1"/>
  <c r="AF192" i="105" a="1"/>
  <c r="AF192" i="105" s="1"/>
  <c r="AE192" i="105" a="1"/>
  <c r="AE192" i="105" s="1"/>
  <c r="AD192" i="105" a="1"/>
  <c r="AD192" i="105" s="1"/>
  <c r="AC192" i="105" a="1"/>
  <c r="AC192" i="105" s="1"/>
  <c r="AB192" i="105" a="1"/>
  <c r="AB192" i="105" s="1"/>
  <c r="AA192" i="105" a="1"/>
  <c r="AA192" i="105" s="1"/>
  <c r="Z192" i="105" a="1"/>
  <c r="Z192" i="105" s="1"/>
  <c r="Y192" i="105" a="1"/>
  <c r="Y192" i="105" s="1"/>
  <c r="X192" i="105" a="1"/>
  <c r="X192" i="105" s="1"/>
  <c r="W192" i="105" a="1"/>
  <c r="W192" i="105" s="1"/>
  <c r="V192" i="105" a="1"/>
  <c r="V192" i="105" s="1"/>
  <c r="U192" i="105" a="1"/>
  <c r="U192" i="105" s="1"/>
  <c r="T192" i="105" a="1"/>
  <c r="T192" i="105" s="1"/>
  <c r="S192" i="105" a="1"/>
  <c r="S192" i="105" s="1"/>
  <c r="R192" i="105" a="1"/>
  <c r="R192" i="105" s="1"/>
  <c r="Q192" i="105" a="1"/>
  <c r="Q192" i="105" s="1"/>
  <c r="P192" i="105" a="1"/>
  <c r="P192" i="105" s="1"/>
  <c r="O192" i="105" a="1"/>
  <c r="O192" i="105" s="1"/>
  <c r="N192" i="105" a="1"/>
  <c r="N192" i="105" s="1"/>
  <c r="M192" i="105" a="1"/>
  <c r="M192" i="105" s="1"/>
  <c r="L192" i="105" a="1"/>
  <c r="L192" i="105" s="1"/>
  <c r="K192" i="105" a="1"/>
  <c r="K192" i="105" s="1"/>
  <c r="J192" i="105" a="1"/>
  <c r="J192" i="105" s="1"/>
  <c r="I192" i="105" a="1"/>
  <c r="I192" i="105" s="1"/>
  <c r="H192" i="105" a="1"/>
  <c r="H192" i="105" s="1"/>
  <c r="G192" i="105" a="1"/>
  <c r="G192" i="105" s="1"/>
  <c r="F192" i="105" a="1"/>
  <c r="F192" i="105" s="1"/>
  <c r="E192" i="105" a="1"/>
  <c r="E192" i="105" s="1"/>
  <c r="D192" i="105" a="1"/>
  <c r="D192" i="105" s="1"/>
  <c r="AH191" i="105" a="1"/>
  <c r="AH191" i="105" s="1"/>
  <c r="AG191" i="105" a="1"/>
  <c r="AG191" i="105" s="1"/>
  <c r="AF191" i="105" a="1"/>
  <c r="AF191" i="105" s="1"/>
  <c r="AE191" i="105" a="1"/>
  <c r="AE191" i="105" s="1"/>
  <c r="AD191" i="105" a="1"/>
  <c r="AD191" i="105" s="1"/>
  <c r="AC191" i="105" a="1"/>
  <c r="AC191" i="105" s="1"/>
  <c r="AB191" i="105" a="1"/>
  <c r="AB191" i="105" s="1"/>
  <c r="AA191" i="105" a="1"/>
  <c r="AA191" i="105" s="1"/>
  <c r="Z191" i="105" a="1"/>
  <c r="Z191" i="105" s="1"/>
  <c r="Y191" i="105" a="1"/>
  <c r="Y191" i="105" s="1"/>
  <c r="X191" i="105" a="1"/>
  <c r="X191" i="105" s="1"/>
  <c r="W191" i="105" a="1"/>
  <c r="W191" i="105" s="1"/>
  <c r="V191" i="105" a="1"/>
  <c r="V191" i="105" s="1"/>
  <c r="U191" i="105" a="1"/>
  <c r="U191" i="105" s="1"/>
  <c r="T191" i="105" a="1"/>
  <c r="T191" i="105" s="1"/>
  <c r="S191" i="105" a="1"/>
  <c r="S191" i="105" s="1"/>
  <c r="R191" i="105" a="1"/>
  <c r="R191" i="105" s="1"/>
  <c r="Q191" i="105" a="1"/>
  <c r="Q191" i="105" s="1"/>
  <c r="P191" i="105" a="1"/>
  <c r="P191" i="105" s="1"/>
  <c r="O191" i="105" a="1"/>
  <c r="O191" i="105" s="1"/>
  <c r="N191" i="105" a="1"/>
  <c r="N191" i="105" s="1"/>
  <c r="M191" i="105" a="1"/>
  <c r="M191" i="105" s="1"/>
  <c r="L191" i="105" a="1"/>
  <c r="L191" i="105" s="1"/>
  <c r="K191" i="105" a="1"/>
  <c r="K191" i="105" s="1"/>
  <c r="J191" i="105" a="1"/>
  <c r="J191" i="105" s="1"/>
  <c r="I191" i="105" a="1"/>
  <c r="I191" i="105" s="1"/>
  <c r="H191" i="105" a="1"/>
  <c r="H191" i="105" s="1"/>
  <c r="G191" i="105" a="1"/>
  <c r="G191" i="105" s="1"/>
  <c r="F191" i="105" a="1"/>
  <c r="F191" i="105" s="1"/>
  <c r="E191" i="105" a="1"/>
  <c r="E191" i="105" s="1"/>
  <c r="D191" i="105" a="1"/>
  <c r="D191" i="105" s="1"/>
  <c r="AH190" i="105" a="1"/>
  <c r="AH190" i="105" s="1"/>
  <c r="AG190" i="105" a="1"/>
  <c r="AG190" i="105" s="1"/>
  <c r="AF190" i="105" a="1"/>
  <c r="AF190" i="105" s="1"/>
  <c r="AE190" i="105" a="1"/>
  <c r="AE190" i="105" s="1"/>
  <c r="AD190" i="105" a="1"/>
  <c r="AD190" i="105" s="1"/>
  <c r="AC190" i="105" a="1"/>
  <c r="AC190" i="105" s="1"/>
  <c r="AB190" i="105" a="1"/>
  <c r="AB190" i="105" s="1"/>
  <c r="AA190" i="105" a="1"/>
  <c r="AA190" i="105" s="1"/>
  <c r="Z190" i="105" a="1"/>
  <c r="Z190" i="105" s="1"/>
  <c r="Y190" i="105" a="1"/>
  <c r="Y190" i="105" s="1"/>
  <c r="X190" i="105" a="1"/>
  <c r="X190" i="105" s="1"/>
  <c r="W190" i="105" a="1"/>
  <c r="W190" i="105" s="1"/>
  <c r="V190" i="105" a="1"/>
  <c r="V190" i="105" s="1"/>
  <c r="U190" i="105" a="1"/>
  <c r="U190" i="105" s="1"/>
  <c r="T190" i="105" a="1"/>
  <c r="T190" i="105" s="1"/>
  <c r="S190" i="105" a="1"/>
  <c r="S190" i="105" s="1"/>
  <c r="R190" i="105" a="1"/>
  <c r="R190" i="105" s="1"/>
  <c r="Q190" i="105" a="1"/>
  <c r="Q190" i="105" s="1"/>
  <c r="P190" i="105" a="1"/>
  <c r="P190" i="105" s="1"/>
  <c r="O190" i="105" a="1"/>
  <c r="O190" i="105" s="1"/>
  <c r="N190" i="105" a="1"/>
  <c r="N190" i="105" s="1"/>
  <c r="M190" i="105" a="1"/>
  <c r="M190" i="105" s="1"/>
  <c r="L190" i="105" a="1"/>
  <c r="L190" i="105" s="1"/>
  <c r="K190" i="105" a="1"/>
  <c r="K190" i="105" s="1"/>
  <c r="J190" i="105" a="1"/>
  <c r="J190" i="105" s="1"/>
  <c r="I190" i="105" a="1"/>
  <c r="I190" i="105" s="1"/>
  <c r="H190" i="105" a="1"/>
  <c r="H190" i="105" s="1"/>
  <c r="G190" i="105" a="1"/>
  <c r="G190" i="105" s="1"/>
  <c r="F190" i="105" a="1"/>
  <c r="F190" i="105" s="1"/>
  <c r="E190" i="105" a="1"/>
  <c r="E190" i="105" s="1"/>
  <c r="D190" i="105" a="1"/>
  <c r="D190" i="105" s="1"/>
  <c r="AH189" i="105" a="1"/>
  <c r="AH189" i="105" s="1"/>
  <c r="AG189" i="105" a="1"/>
  <c r="AG189" i="105" s="1"/>
  <c r="AF189" i="105" a="1"/>
  <c r="AF189" i="105" s="1"/>
  <c r="AE189" i="105" a="1"/>
  <c r="AE189" i="105" s="1"/>
  <c r="AD189" i="105" a="1"/>
  <c r="AD189" i="105" s="1"/>
  <c r="AC189" i="105" a="1"/>
  <c r="AC189" i="105" s="1"/>
  <c r="AB189" i="105" a="1"/>
  <c r="AB189" i="105" s="1"/>
  <c r="AA189" i="105" a="1"/>
  <c r="AA189" i="105" s="1"/>
  <c r="Z189" i="105" a="1"/>
  <c r="Z189" i="105" s="1"/>
  <c r="Y189" i="105" a="1"/>
  <c r="Y189" i="105" s="1"/>
  <c r="X189" i="105" a="1"/>
  <c r="X189" i="105" s="1"/>
  <c r="W189" i="105" a="1"/>
  <c r="W189" i="105" s="1"/>
  <c r="V189" i="105" a="1"/>
  <c r="V189" i="105" s="1"/>
  <c r="U189" i="105" a="1"/>
  <c r="U189" i="105" s="1"/>
  <c r="T189" i="105" a="1"/>
  <c r="T189" i="105" s="1"/>
  <c r="S189" i="105" a="1"/>
  <c r="S189" i="105" s="1"/>
  <c r="R189" i="105" a="1"/>
  <c r="R189" i="105" s="1"/>
  <c r="Q189" i="105" a="1"/>
  <c r="Q189" i="105" s="1"/>
  <c r="P189" i="105" a="1"/>
  <c r="P189" i="105" s="1"/>
  <c r="O189" i="105" a="1"/>
  <c r="O189" i="105" s="1"/>
  <c r="N189" i="105" a="1"/>
  <c r="N189" i="105" s="1"/>
  <c r="M189" i="105" a="1"/>
  <c r="M189" i="105" s="1"/>
  <c r="L189" i="105" a="1"/>
  <c r="L189" i="105" s="1"/>
  <c r="K189" i="105" a="1"/>
  <c r="K189" i="105" s="1"/>
  <c r="J189" i="105" a="1"/>
  <c r="J189" i="105" s="1"/>
  <c r="I189" i="105" a="1"/>
  <c r="I189" i="105" s="1"/>
  <c r="H189" i="105" a="1"/>
  <c r="H189" i="105" s="1"/>
  <c r="G189" i="105" a="1"/>
  <c r="G189" i="105" s="1"/>
  <c r="F189" i="105" a="1"/>
  <c r="F189" i="105" s="1"/>
  <c r="E189" i="105" a="1"/>
  <c r="E189" i="105" s="1"/>
  <c r="D189" i="105" a="1"/>
  <c r="D189" i="105" s="1"/>
  <c r="AH188" i="105" a="1"/>
  <c r="AH188" i="105" s="1"/>
  <c r="AG188" i="105" a="1"/>
  <c r="AG188" i="105" s="1"/>
  <c r="AF188" i="105" a="1"/>
  <c r="AF188" i="105" s="1"/>
  <c r="AE188" i="105" a="1"/>
  <c r="AE188" i="105" s="1"/>
  <c r="AD188" i="105" a="1"/>
  <c r="AD188" i="105" s="1"/>
  <c r="AC188" i="105" a="1"/>
  <c r="AC188" i="105" s="1"/>
  <c r="AB188" i="105" a="1"/>
  <c r="AB188" i="105" s="1"/>
  <c r="AA188" i="105" a="1"/>
  <c r="AA188" i="105" s="1"/>
  <c r="Z188" i="105" a="1"/>
  <c r="Z188" i="105" s="1"/>
  <c r="Y188" i="105" a="1"/>
  <c r="Y188" i="105" s="1"/>
  <c r="X188" i="105" a="1"/>
  <c r="X188" i="105" s="1"/>
  <c r="W188" i="105" a="1"/>
  <c r="W188" i="105" s="1"/>
  <c r="V188" i="105" a="1"/>
  <c r="V188" i="105" s="1"/>
  <c r="U188" i="105" a="1"/>
  <c r="U188" i="105" s="1"/>
  <c r="T188" i="105" a="1"/>
  <c r="T188" i="105" s="1"/>
  <c r="S188" i="105" a="1"/>
  <c r="S188" i="105" s="1"/>
  <c r="R188" i="105" a="1"/>
  <c r="R188" i="105" s="1"/>
  <c r="Q188" i="105" a="1"/>
  <c r="Q188" i="105" s="1"/>
  <c r="P188" i="105" a="1"/>
  <c r="P188" i="105" s="1"/>
  <c r="O188" i="105" a="1"/>
  <c r="O188" i="105" s="1"/>
  <c r="N188" i="105" a="1"/>
  <c r="N188" i="105" s="1"/>
  <c r="M188" i="105" a="1"/>
  <c r="M188" i="105" s="1"/>
  <c r="L188" i="105" a="1"/>
  <c r="L188" i="105" s="1"/>
  <c r="K188" i="105" a="1"/>
  <c r="K188" i="105" s="1"/>
  <c r="J188" i="105" a="1"/>
  <c r="J188" i="105" s="1"/>
  <c r="I188" i="105" a="1"/>
  <c r="I188" i="105" s="1"/>
  <c r="H188" i="105" a="1"/>
  <c r="H188" i="105" s="1"/>
  <c r="G188" i="105" a="1"/>
  <c r="G188" i="105" s="1"/>
  <c r="F188" i="105" a="1"/>
  <c r="F188" i="105" s="1"/>
  <c r="E188" i="105" a="1"/>
  <c r="E188" i="105" s="1"/>
  <c r="D188" i="105" a="1"/>
  <c r="D188" i="105" s="1"/>
  <c r="AH187" i="105" a="1"/>
  <c r="AH187" i="105" s="1"/>
  <c r="AG187" i="105" a="1"/>
  <c r="AG187" i="105" s="1"/>
  <c r="AF187" i="105" a="1"/>
  <c r="AF187" i="105" s="1"/>
  <c r="AE187" i="105" a="1"/>
  <c r="AE187" i="105" s="1"/>
  <c r="AD187" i="105" a="1"/>
  <c r="AD187" i="105" s="1"/>
  <c r="AC187" i="105" a="1"/>
  <c r="AC187" i="105" s="1"/>
  <c r="AB187" i="105" a="1"/>
  <c r="AB187" i="105" s="1"/>
  <c r="AA187" i="105" a="1"/>
  <c r="AA187" i="105" s="1"/>
  <c r="Z187" i="105" a="1"/>
  <c r="Z187" i="105" s="1"/>
  <c r="Y187" i="105" a="1"/>
  <c r="Y187" i="105" s="1"/>
  <c r="X187" i="105" a="1"/>
  <c r="X187" i="105" s="1"/>
  <c r="W187" i="105" a="1"/>
  <c r="W187" i="105" s="1"/>
  <c r="V187" i="105" a="1"/>
  <c r="V187" i="105" s="1"/>
  <c r="U187" i="105" a="1"/>
  <c r="U187" i="105" s="1"/>
  <c r="T187" i="105" a="1"/>
  <c r="T187" i="105" s="1"/>
  <c r="S187" i="105" a="1"/>
  <c r="S187" i="105" s="1"/>
  <c r="R187" i="105" a="1"/>
  <c r="R187" i="105" s="1"/>
  <c r="Q187" i="105" a="1"/>
  <c r="Q187" i="105" s="1"/>
  <c r="P187" i="105" a="1"/>
  <c r="P187" i="105" s="1"/>
  <c r="O187" i="105" a="1"/>
  <c r="O187" i="105" s="1"/>
  <c r="N187" i="105" a="1"/>
  <c r="N187" i="105" s="1"/>
  <c r="M187" i="105" a="1"/>
  <c r="M187" i="105" s="1"/>
  <c r="L187" i="105" a="1"/>
  <c r="L187" i="105" s="1"/>
  <c r="K187" i="105" a="1"/>
  <c r="K187" i="105" s="1"/>
  <c r="J187" i="105" a="1"/>
  <c r="J187" i="105" s="1"/>
  <c r="I187" i="105" a="1"/>
  <c r="I187" i="105" s="1"/>
  <c r="H187" i="105" a="1"/>
  <c r="H187" i="105" s="1"/>
  <c r="G187" i="105" a="1"/>
  <c r="G187" i="105" s="1"/>
  <c r="F187" i="105" a="1"/>
  <c r="F187" i="105" s="1"/>
  <c r="E187" i="105" a="1"/>
  <c r="E187" i="105" s="1"/>
  <c r="D187" i="105" a="1"/>
  <c r="D187" i="105" s="1"/>
  <c r="AH186" i="105" a="1"/>
  <c r="AH186" i="105" s="1"/>
  <c r="AG186" i="105" a="1"/>
  <c r="AG186" i="105" s="1"/>
  <c r="AF186" i="105" a="1"/>
  <c r="AF186" i="105" s="1"/>
  <c r="AE186" i="105" a="1"/>
  <c r="AE186" i="105" s="1"/>
  <c r="AD186" i="105" a="1"/>
  <c r="AD186" i="105" s="1"/>
  <c r="AC186" i="105" a="1"/>
  <c r="AC186" i="105" s="1"/>
  <c r="AB186" i="105" a="1"/>
  <c r="AB186" i="105" s="1"/>
  <c r="AA186" i="105" a="1"/>
  <c r="AA186" i="105" s="1"/>
  <c r="Z186" i="105" a="1"/>
  <c r="Z186" i="105" s="1"/>
  <c r="Y186" i="105" a="1"/>
  <c r="Y186" i="105" s="1"/>
  <c r="X186" i="105" a="1"/>
  <c r="X186" i="105" s="1"/>
  <c r="W186" i="105" a="1"/>
  <c r="W186" i="105" s="1"/>
  <c r="V186" i="105" a="1"/>
  <c r="V186" i="105" s="1"/>
  <c r="U186" i="105" a="1"/>
  <c r="U186" i="105" s="1"/>
  <c r="T186" i="105" a="1"/>
  <c r="T186" i="105" s="1"/>
  <c r="S186" i="105" a="1"/>
  <c r="S186" i="105" s="1"/>
  <c r="R186" i="105" a="1"/>
  <c r="R186" i="105" s="1"/>
  <c r="Q186" i="105" a="1"/>
  <c r="Q186" i="105" s="1"/>
  <c r="P186" i="105" a="1"/>
  <c r="P186" i="105" s="1"/>
  <c r="O186" i="105" a="1"/>
  <c r="O186" i="105" s="1"/>
  <c r="N186" i="105" a="1"/>
  <c r="N186" i="105" s="1"/>
  <c r="M186" i="105" a="1"/>
  <c r="M186" i="105" s="1"/>
  <c r="L186" i="105" a="1"/>
  <c r="L186" i="105" s="1"/>
  <c r="K186" i="105" a="1"/>
  <c r="K186" i="105" s="1"/>
  <c r="J186" i="105" a="1"/>
  <c r="J186" i="105" s="1"/>
  <c r="I186" i="105" a="1"/>
  <c r="I186" i="105" s="1"/>
  <c r="H186" i="105" a="1"/>
  <c r="H186" i="105" s="1"/>
  <c r="G186" i="105" a="1"/>
  <c r="G186" i="105" s="1"/>
  <c r="F186" i="105" a="1"/>
  <c r="F186" i="105" s="1"/>
  <c r="E186" i="105" a="1"/>
  <c r="E186" i="105" s="1"/>
  <c r="D186" i="105" a="1"/>
  <c r="D186" i="105" s="1"/>
  <c r="AH185" i="105" a="1"/>
  <c r="AH185" i="105" s="1"/>
  <c r="AG185" i="105" a="1"/>
  <c r="AG185" i="105" s="1"/>
  <c r="AF185" i="105" a="1"/>
  <c r="AF185" i="105" s="1"/>
  <c r="AE185" i="105" a="1"/>
  <c r="AE185" i="105" s="1"/>
  <c r="AD185" i="105" a="1"/>
  <c r="AD185" i="105" s="1"/>
  <c r="AC185" i="105" a="1"/>
  <c r="AC185" i="105" s="1"/>
  <c r="AB185" i="105" a="1"/>
  <c r="AB185" i="105" s="1"/>
  <c r="AA185" i="105" a="1"/>
  <c r="AA185" i="105" s="1"/>
  <c r="Z185" i="105" a="1"/>
  <c r="Z185" i="105" s="1"/>
  <c r="Y185" i="105" a="1"/>
  <c r="Y185" i="105" s="1"/>
  <c r="X185" i="105" a="1"/>
  <c r="X185" i="105" s="1"/>
  <c r="W185" i="105" a="1"/>
  <c r="W185" i="105" s="1"/>
  <c r="V185" i="105" a="1"/>
  <c r="V185" i="105" s="1"/>
  <c r="U185" i="105" a="1"/>
  <c r="U185" i="105" s="1"/>
  <c r="T185" i="105" a="1"/>
  <c r="T185" i="105" s="1"/>
  <c r="S185" i="105" a="1"/>
  <c r="S185" i="105" s="1"/>
  <c r="R185" i="105" a="1"/>
  <c r="R185" i="105" s="1"/>
  <c r="Q185" i="105" a="1"/>
  <c r="Q185" i="105" s="1"/>
  <c r="P185" i="105" a="1"/>
  <c r="P185" i="105" s="1"/>
  <c r="O185" i="105" a="1"/>
  <c r="O185" i="105" s="1"/>
  <c r="N185" i="105" a="1"/>
  <c r="N185" i="105" s="1"/>
  <c r="M185" i="105" a="1"/>
  <c r="M185" i="105" s="1"/>
  <c r="L185" i="105" a="1"/>
  <c r="L185" i="105" s="1"/>
  <c r="K185" i="105" a="1"/>
  <c r="K185" i="105" s="1"/>
  <c r="J185" i="105" a="1"/>
  <c r="J185" i="105" s="1"/>
  <c r="I185" i="105" a="1"/>
  <c r="I185" i="105" s="1"/>
  <c r="H185" i="105" a="1"/>
  <c r="H185" i="105" s="1"/>
  <c r="G185" i="105" a="1"/>
  <c r="G185" i="105" s="1"/>
  <c r="F185" i="105" a="1"/>
  <c r="F185" i="105" s="1"/>
  <c r="E185" i="105" a="1"/>
  <c r="E185" i="105" s="1"/>
  <c r="D185" i="105" a="1"/>
  <c r="D185" i="105" s="1"/>
  <c r="AH184" i="105" a="1"/>
  <c r="AH184" i="105" s="1"/>
  <c r="AG184" i="105" a="1"/>
  <c r="AG184" i="105" s="1"/>
  <c r="AF184" i="105" a="1"/>
  <c r="AF184" i="105" s="1"/>
  <c r="AE184" i="105" a="1"/>
  <c r="AE184" i="105" s="1"/>
  <c r="AD184" i="105" a="1"/>
  <c r="AD184" i="105" s="1"/>
  <c r="AC184" i="105" a="1"/>
  <c r="AC184" i="105" s="1"/>
  <c r="AB184" i="105" a="1"/>
  <c r="AB184" i="105" s="1"/>
  <c r="AA184" i="105" a="1"/>
  <c r="AA184" i="105" s="1"/>
  <c r="Z184" i="105" a="1"/>
  <c r="Z184" i="105" s="1"/>
  <c r="Y184" i="105" a="1"/>
  <c r="Y184" i="105" s="1"/>
  <c r="X184" i="105" a="1"/>
  <c r="X184" i="105" s="1"/>
  <c r="W184" i="105" a="1"/>
  <c r="W184" i="105" s="1"/>
  <c r="V184" i="105" a="1"/>
  <c r="V184" i="105" s="1"/>
  <c r="U184" i="105" a="1"/>
  <c r="U184" i="105" s="1"/>
  <c r="T184" i="105" a="1"/>
  <c r="T184" i="105" s="1"/>
  <c r="S184" i="105" a="1"/>
  <c r="S184" i="105" s="1"/>
  <c r="R184" i="105" a="1"/>
  <c r="R184" i="105" s="1"/>
  <c r="Q184" i="105" a="1"/>
  <c r="Q184" i="105" s="1"/>
  <c r="P184" i="105" a="1"/>
  <c r="P184" i="105" s="1"/>
  <c r="O184" i="105" a="1"/>
  <c r="O184" i="105" s="1"/>
  <c r="N184" i="105" a="1"/>
  <c r="N184" i="105" s="1"/>
  <c r="M184" i="105" a="1"/>
  <c r="M184" i="105" s="1"/>
  <c r="L184" i="105" a="1"/>
  <c r="L184" i="105" s="1"/>
  <c r="K184" i="105" a="1"/>
  <c r="K184" i="105" s="1"/>
  <c r="J184" i="105" a="1"/>
  <c r="J184" i="105" s="1"/>
  <c r="I184" i="105" a="1"/>
  <c r="I184" i="105" s="1"/>
  <c r="H184" i="105" a="1"/>
  <c r="H184" i="105" s="1"/>
  <c r="G184" i="105" a="1"/>
  <c r="G184" i="105" s="1"/>
  <c r="F184" i="105" a="1"/>
  <c r="F184" i="105" s="1"/>
  <c r="E184" i="105" a="1"/>
  <c r="E184" i="105" s="1"/>
  <c r="D184" i="105" a="1"/>
  <c r="D184" i="105" s="1"/>
  <c r="AH183" i="105" a="1"/>
  <c r="AH183" i="105" s="1"/>
  <c r="AG183" i="105" a="1"/>
  <c r="AG183" i="105" s="1"/>
  <c r="AF183" i="105" a="1"/>
  <c r="AF183" i="105" s="1"/>
  <c r="AE183" i="105" a="1"/>
  <c r="AE183" i="105" s="1"/>
  <c r="AD183" i="105" a="1"/>
  <c r="AD183" i="105" s="1"/>
  <c r="AC183" i="105" a="1"/>
  <c r="AC183" i="105" s="1"/>
  <c r="AB183" i="105" a="1"/>
  <c r="AB183" i="105" s="1"/>
  <c r="AA183" i="105" a="1"/>
  <c r="AA183" i="105" s="1"/>
  <c r="Z183" i="105" a="1"/>
  <c r="Z183" i="105" s="1"/>
  <c r="Y183" i="105" a="1"/>
  <c r="Y183" i="105" s="1"/>
  <c r="X183" i="105" a="1"/>
  <c r="X183" i="105" s="1"/>
  <c r="W183" i="105" a="1"/>
  <c r="W183" i="105" s="1"/>
  <c r="V183" i="105" a="1"/>
  <c r="V183" i="105" s="1"/>
  <c r="U183" i="105" a="1"/>
  <c r="U183" i="105" s="1"/>
  <c r="T183" i="105" a="1"/>
  <c r="T183" i="105" s="1"/>
  <c r="S183" i="105" a="1"/>
  <c r="S183" i="105" s="1"/>
  <c r="R183" i="105" a="1"/>
  <c r="R183" i="105" s="1"/>
  <c r="Q183" i="105" a="1"/>
  <c r="Q183" i="105" s="1"/>
  <c r="P183" i="105" a="1"/>
  <c r="P183" i="105" s="1"/>
  <c r="O183" i="105" a="1"/>
  <c r="O183" i="105" s="1"/>
  <c r="N183" i="105" a="1"/>
  <c r="N183" i="105" s="1"/>
  <c r="M183" i="105" a="1"/>
  <c r="M183" i="105" s="1"/>
  <c r="L183" i="105" a="1"/>
  <c r="L183" i="105" s="1"/>
  <c r="K183" i="105" a="1"/>
  <c r="K183" i="105" s="1"/>
  <c r="J183" i="105" a="1"/>
  <c r="J183" i="105" s="1"/>
  <c r="I183" i="105" a="1"/>
  <c r="I183" i="105" s="1"/>
  <c r="H183" i="105" a="1"/>
  <c r="H183" i="105" s="1"/>
  <c r="G183" i="105" a="1"/>
  <c r="G183" i="105" s="1"/>
  <c r="F183" i="105" a="1"/>
  <c r="F183" i="105" s="1"/>
  <c r="E183" i="105" a="1"/>
  <c r="E183" i="105" s="1"/>
  <c r="D183" i="105" a="1"/>
  <c r="D183" i="105" s="1"/>
  <c r="AH182" i="105" a="1"/>
  <c r="AH182" i="105" s="1"/>
  <c r="AG182" i="105" a="1"/>
  <c r="AG182" i="105" s="1"/>
  <c r="AF182" i="105" a="1"/>
  <c r="AF182" i="105" s="1"/>
  <c r="AE182" i="105" a="1"/>
  <c r="AE182" i="105" s="1"/>
  <c r="AD182" i="105" a="1"/>
  <c r="AD182" i="105" s="1"/>
  <c r="AC182" i="105" a="1"/>
  <c r="AC182" i="105" s="1"/>
  <c r="AB182" i="105" a="1"/>
  <c r="AB182" i="105" s="1"/>
  <c r="AA182" i="105" a="1"/>
  <c r="AA182" i="105" s="1"/>
  <c r="Z182" i="105" a="1"/>
  <c r="Z182" i="105" s="1"/>
  <c r="Y182" i="105" a="1"/>
  <c r="Y182" i="105" s="1"/>
  <c r="X182" i="105" a="1"/>
  <c r="X182" i="105" s="1"/>
  <c r="W182" i="105" a="1"/>
  <c r="W182" i="105" s="1"/>
  <c r="V182" i="105" a="1"/>
  <c r="V182" i="105" s="1"/>
  <c r="U182" i="105" a="1"/>
  <c r="U182" i="105" s="1"/>
  <c r="T182" i="105" a="1"/>
  <c r="T182" i="105" s="1"/>
  <c r="S182" i="105" a="1"/>
  <c r="S182" i="105" s="1"/>
  <c r="R182" i="105" a="1"/>
  <c r="R182" i="105" s="1"/>
  <c r="Q182" i="105" a="1"/>
  <c r="Q182" i="105" s="1"/>
  <c r="P182" i="105" a="1"/>
  <c r="P182" i="105" s="1"/>
  <c r="O182" i="105" a="1"/>
  <c r="O182" i="105" s="1"/>
  <c r="N182" i="105" a="1"/>
  <c r="N182" i="105" s="1"/>
  <c r="M182" i="105" a="1"/>
  <c r="M182" i="105" s="1"/>
  <c r="L182" i="105" a="1"/>
  <c r="L182" i="105" s="1"/>
  <c r="K182" i="105" a="1"/>
  <c r="K182" i="105" s="1"/>
  <c r="J182" i="105" a="1"/>
  <c r="J182" i="105" s="1"/>
  <c r="I182" i="105" a="1"/>
  <c r="I182" i="105" s="1"/>
  <c r="H182" i="105" a="1"/>
  <c r="H182" i="105" s="1"/>
  <c r="G182" i="105" a="1"/>
  <c r="G182" i="105" s="1"/>
  <c r="F182" i="105" a="1"/>
  <c r="F182" i="105" s="1"/>
  <c r="E182" i="105" a="1"/>
  <c r="E182" i="105" s="1"/>
  <c r="D182" i="105" a="1"/>
  <c r="D182" i="105" s="1"/>
  <c r="AH181" i="105" a="1"/>
  <c r="AH181" i="105" s="1"/>
  <c r="AG181" i="105" a="1"/>
  <c r="AG181" i="105" s="1"/>
  <c r="AF181" i="105" a="1"/>
  <c r="AF181" i="105" s="1"/>
  <c r="AE181" i="105" a="1"/>
  <c r="AE181" i="105" s="1"/>
  <c r="AD181" i="105" a="1"/>
  <c r="AD181" i="105" s="1"/>
  <c r="AC181" i="105" a="1"/>
  <c r="AC181" i="105" s="1"/>
  <c r="AB181" i="105" a="1"/>
  <c r="AB181" i="105" s="1"/>
  <c r="AA181" i="105" a="1"/>
  <c r="AA181" i="105" s="1"/>
  <c r="Z181" i="105" a="1"/>
  <c r="Z181" i="105" s="1"/>
  <c r="Y181" i="105" a="1"/>
  <c r="Y181" i="105" s="1"/>
  <c r="X181" i="105" a="1"/>
  <c r="X181" i="105" s="1"/>
  <c r="W181" i="105" a="1"/>
  <c r="W181" i="105" s="1"/>
  <c r="V181" i="105" a="1"/>
  <c r="V181" i="105" s="1"/>
  <c r="U181" i="105" a="1"/>
  <c r="U181" i="105" s="1"/>
  <c r="T181" i="105" a="1"/>
  <c r="T181" i="105" s="1"/>
  <c r="S181" i="105" a="1"/>
  <c r="S181" i="105" s="1"/>
  <c r="R181" i="105" a="1"/>
  <c r="R181" i="105" s="1"/>
  <c r="Q181" i="105" a="1"/>
  <c r="Q181" i="105" s="1"/>
  <c r="P181" i="105" a="1"/>
  <c r="P181" i="105" s="1"/>
  <c r="O181" i="105" a="1"/>
  <c r="O181" i="105" s="1"/>
  <c r="N181" i="105" a="1"/>
  <c r="N181" i="105" s="1"/>
  <c r="M181" i="105" a="1"/>
  <c r="M181" i="105" s="1"/>
  <c r="L181" i="105" a="1"/>
  <c r="L181" i="105" s="1"/>
  <c r="K181" i="105" a="1"/>
  <c r="K181" i="105" s="1"/>
  <c r="J181" i="105" a="1"/>
  <c r="J181" i="105" s="1"/>
  <c r="I181" i="105" a="1"/>
  <c r="I181" i="105" s="1"/>
  <c r="H181" i="105" a="1"/>
  <c r="H181" i="105" s="1"/>
  <c r="G181" i="105" a="1"/>
  <c r="G181" i="105" s="1"/>
  <c r="F181" i="105" a="1"/>
  <c r="F181" i="105" s="1"/>
  <c r="E181" i="105" a="1"/>
  <c r="E181" i="105" s="1"/>
  <c r="D181" i="105" a="1"/>
  <c r="D181" i="105" s="1"/>
  <c r="AH180" i="105" a="1"/>
  <c r="AH180" i="105" s="1"/>
  <c r="AG180" i="105" a="1"/>
  <c r="AG180" i="105" s="1"/>
  <c r="AF180" i="105" a="1"/>
  <c r="AF180" i="105" s="1"/>
  <c r="AE180" i="105" a="1"/>
  <c r="AE180" i="105" s="1"/>
  <c r="AD180" i="105" a="1"/>
  <c r="AD180" i="105" s="1"/>
  <c r="AC180" i="105" a="1"/>
  <c r="AC180" i="105" s="1"/>
  <c r="AB180" i="105" a="1"/>
  <c r="AB180" i="105" s="1"/>
  <c r="AA180" i="105" a="1"/>
  <c r="AA180" i="105" s="1"/>
  <c r="Z180" i="105" a="1"/>
  <c r="Z180" i="105" s="1"/>
  <c r="Y180" i="105" a="1"/>
  <c r="Y180" i="105" s="1"/>
  <c r="X180" i="105" a="1"/>
  <c r="X180" i="105" s="1"/>
  <c r="W180" i="105" a="1"/>
  <c r="W180" i="105" s="1"/>
  <c r="V180" i="105" a="1"/>
  <c r="V180" i="105" s="1"/>
  <c r="U180" i="105" a="1"/>
  <c r="U180" i="105" s="1"/>
  <c r="T180" i="105" a="1"/>
  <c r="T180" i="105" s="1"/>
  <c r="S180" i="105" a="1"/>
  <c r="S180" i="105" s="1"/>
  <c r="R180" i="105" a="1"/>
  <c r="R180" i="105" s="1"/>
  <c r="Q180" i="105" a="1"/>
  <c r="Q180" i="105" s="1"/>
  <c r="P180" i="105" a="1"/>
  <c r="P180" i="105" s="1"/>
  <c r="O180" i="105" a="1"/>
  <c r="O180" i="105" s="1"/>
  <c r="N180" i="105" a="1"/>
  <c r="N180" i="105" s="1"/>
  <c r="M180" i="105" a="1"/>
  <c r="M180" i="105" s="1"/>
  <c r="L180" i="105" a="1"/>
  <c r="L180" i="105" s="1"/>
  <c r="K180" i="105" a="1"/>
  <c r="K180" i="105" s="1"/>
  <c r="J180" i="105" a="1"/>
  <c r="J180" i="105" s="1"/>
  <c r="I180" i="105" a="1"/>
  <c r="I180" i="105" s="1"/>
  <c r="H180" i="105" a="1"/>
  <c r="H180" i="105" s="1"/>
  <c r="G180" i="105" a="1"/>
  <c r="G180" i="105" s="1"/>
  <c r="F180" i="105" a="1"/>
  <c r="F180" i="105" s="1"/>
  <c r="E180" i="105" a="1"/>
  <c r="E180" i="105" s="1"/>
  <c r="D180" i="105" a="1"/>
  <c r="D180" i="105" s="1"/>
  <c r="AH179" i="105" a="1"/>
  <c r="AH179" i="105" s="1"/>
  <c r="AG179" i="105" a="1"/>
  <c r="AG179" i="105" s="1"/>
  <c r="AF179" i="105" a="1"/>
  <c r="AF179" i="105" s="1"/>
  <c r="AE179" i="105" a="1"/>
  <c r="AE179" i="105" s="1"/>
  <c r="AD179" i="105" a="1"/>
  <c r="AD179" i="105" s="1"/>
  <c r="AC179" i="105" a="1"/>
  <c r="AC179" i="105" s="1"/>
  <c r="AB179" i="105" a="1"/>
  <c r="AB179" i="105" s="1"/>
  <c r="AA179" i="105" a="1"/>
  <c r="AA179" i="105" s="1"/>
  <c r="Z179" i="105" a="1"/>
  <c r="Z179" i="105" s="1"/>
  <c r="Y179" i="105" a="1"/>
  <c r="Y179" i="105" s="1"/>
  <c r="X179" i="105" a="1"/>
  <c r="X179" i="105" s="1"/>
  <c r="W179" i="105" a="1"/>
  <c r="W179" i="105" s="1"/>
  <c r="V179" i="105" a="1"/>
  <c r="V179" i="105" s="1"/>
  <c r="U179" i="105" a="1"/>
  <c r="U179" i="105" s="1"/>
  <c r="T179" i="105" a="1"/>
  <c r="T179" i="105" s="1"/>
  <c r="S179" i="105" a="1"/>
  <c r="S179" i="105" s="1"/>
  <c r="R179" i="105" a="1"/>
  <c r="R179" i="105" s="1"/>
  <c r="Q179" i="105" a="1"/>
  <c r="Q179" i="105" s="1"/>
  <c r="P179" i="105" a="1"/>
  <c r="P179" i="105" s="1"/>
  <c r="O179" i="105" a="1"/>
  <c r="O179" i="105" s="1"/>
  <c r="N179" i="105" a="1"/>
  <c r="N179" i="105" s="1"/>
  <c r="M179" i="105" a="1"/>
  <c r="M179" i="105" s="1"/>
  <c r="L179" i="105" a="1"/>
  <c r="L179" i="105" s="1"/>
  <c r="K179" i="105" a="1"/>
  <c r="K179" i="105" s="1"/>
  <c r="J179" i="105" a="1"/>
  <c r="J179" i="105" s="1"/>
  <c r="I179" i="105" a="1"/>
  <c r="I179" i="105" s="1"/>
  <c r="H179" i="105" a="1"/>
  <c r="H179" i="105" s="1"/>
  <c r="G179" i="105" a="1"/>
  <c r="G179" i="105" s="1"/>
  <c r="F179" i="105" a="1"/>
  <c r="F179" i="105" s="1"/>
  <c r="E179" i="105" a="1"/>
  <c r="E179" i="105" s="1"/>
  <c r="D179" i="105" a="1"/>
  <c r="D179" i="105" s="1"/>
  <c r="AH178" i="105" a="1"/>
  <c r="AH178" i="105" s="1"/>
  <c r="AG178" i="105" a="1"/>
  <c r="AG178" i="105" s="1"/>
  <c r="AF178" i="105" a="1"/>
  <c r="AF178" i="105" s="1"/>
  <c r="AE178" i="105" a="1"/>
  <c r="AE178" i="105" s="1"/>
  <c r="AD178" i="105" a="1"/>
  <c r="AD178" i="105" s="1"/>
  <c r="AC178" i="105" a="1"/>
  <c r="AC178" i="105" s="1"/>
  <c r="AB178" i="105" a="1"/>
  <c r="AB178" i="105" s="1"/>
  <c r="AA178" i="105" a="1"/>
  <c r="AA178" i="105" s="1"/>
  <c r="Z178" i="105" a="1"/>
  <c r="Z178" i="105" s="1"/>
  <c r="Y178" i="105" a="1"/>
  <c r="Y178" i="105" s="1"/>
  <c r="X178" i="105" a="1"/>
  <c r="X178" i="105" s="1"/>
  <c r="W178" i="105" a="1"/>
  <c r="W178" i="105" s="1"/>
  <c r="V178" i="105" a="1"/>
  <c r="V178" i="105" s="1"/>
  <c r="U178" i="105" a="1"/>
  <c r="U178" i="105" s="1"/>
  <c r="T178" i="105" a="1"/>
  <c r="T178" i="105" s="1"/>
  <c r="S178" i="105" a="1"/>
  <c r="S178" i="105" s="1"/>
  <c r="R178" i="105" a="1"/>
  <c r="R178" i="105" s="1"/>
  <c r="Q178" i="105" a="1"/>
  <c r="Q178" i="105" s="1"/>
  <c r="P178" i="105" a="1"/>
  <c r="P178" i="105" s="1"/>
  <c r="O178" i="105" a="1"/>
  <c r="O178" i="105" s="1"/>
  <c r="N178" i="105" a="1"/>
  <c r="N178" i="105" s="1"/>
  <c r="M178" i="105" a="1"/>
  <c r="M178" i="105" s="1"/>
  <c r="L178" i="105" a="1"/>
  <c r="L178" i="105" s="1"/>
  <c r="K178" i="105" a="1"/>
  <c r="K178" i="105" s="1"/>
  <c r="J178" i="105" a="1"/>
  <c r="J178" i="105" s="1"/>
  <c r="I178" i="105" a="1"/>
  <c r="I178" i="105" s="1"/>
  <c r="H178" i="105" a="1"/>
  <c r="H178" i="105" s="1"/>
  <c r="G178" i="105" a="1"/>
  <c r="G178" i="105" s="1"/>
  <c r="F178" i="105" a="1"/>
  <c r="F178" i="105" s="1"/>
  <c r="E178" i="105" a="1"/>
  <c r="E178" i="105" s="1"/>
  <c r="D178" i="105" a="1"/>
  <c r="D178" i="105" s="1"/>
  <c r="AH177" i="105" a="1"/>
  <c r="AH177" i="105" s="1"/>
  <c r="AG177" i="105" a="1"/>
  <c r="AG177" i="105" s="1"/>
  <c r="AF177" i="105" a="1"/>
  <c r="AF177" i="105" s="1"/>
  <c r="AE177" i="105" a="1"/>
  <c r="AE177" i="105" s="1"/>
  <c r="AD177" i="105" a="1"/>
  <c r="AD177" i="105" s="1"/>
  <c r="AC177" i="105" a="1"/>
  <c r="AC177" i="105" s="1"/>
  <c r="AB177" i="105" a="1"/>
  <c r="AB177" i="105" s="1"/>
  <c r="AA177" i="105" a="1"/>
  <c r="AA177" i="105" s="1"/>
  <c r="Z177" i="105" a="1"/>
  <c r="Z177" i="105" s="1"/>
  <c r="Y177" i="105" a="1"/>
  <c r="Y177" i="105" s="1"/>
  <c r="X177" i="105" a="1"/>
  <c r="X177" i="105" s="1"/>
  <c r="W177" i="105" a="1"/>
  <c r="W177" i="105" s="1"/>
  <c r="V177" i="105" a="1"/>
  <c r="V177" i="105" s="1"/>
  <c r="U177" i="105" a="1"/>
  <c r="U177" i="105" s="1"/>
  <c r="T177" i="105" a="1"/>
  <c r="T177" i="105" s="1"/>
  <c r="S177" i="105" a="1"/>
  <c r="S177" i="105" s="1"/>
  <c r="R177" i="105" a="1"/>
  <c r="R177" i="105" s="1"/>
  <c r="Q177" i="105" a="1"/>
  <c r="Q177" i="105" s="1"/>
  <c r="P177" i="105" a="1"/>
  <c r="P177" i="105" s="1"/>
  <c r="O177" i="105" a="1"/>
  <c r="O177" i="105" s="1"/>
  <c r="N177" i="105" a="1"/>
  <c r="N177" i="105" s="1"/>
  <c r="M177" i="105" a="1"/>
  <c r="M177" i="105" s="1"/>
  <c r="L177" i="105" a="1"/>
  <c r="L177" i="105" s="1"/>
  <c r="K177" i="105" a="1"/>
  <c r="K177" i="105" s="1"/>
  <c r="J177" i="105" a="1"/>
  <c r="J177" i="105" s="1"/>
  <c r="I177" i="105" a="1"/>
  <c r="I177" i="105" s="1"/>
  <c r="H177" i="105" a="1"/>
  <c r="H177" i="105" s="1"/>
  <c r="G177" i="105" a="1"/>
  <c r="G177" i="105" s="1"/>
  <c r="F177" i="105" a="1"/>
  <c r="F177" i="105" s="1"/>
  <c r="E177" i="105" a="1"/>
  <c r="E177" i="105" s="1"/>
  <c r="D177" i="105" a="1"/>
  <c r="D177" i="105" s="1"/>
  <c r="AH176" i="105" a="1"/>
  <c r="AH176" i="105" s="1"/>
  <c r="AG176" i="105" a="1"/>
  <c r="AG176" i="105" s="1"/>
  <c r="AF176" i="105" a="1"/>
  <c r="AF176" i="105" s="1"/>
  <c r="AE176" i="105" a="1"/>
  <c r="AE176" i="105" s="1"/>
  <c r="AD176" i="105" a="1"/>
  <c r="AD176" i="105" s="1"/>
  <c r="AC176" i="105" a="1"/>
  <c r="AC176" i="105" s="1"/>
  <c r="AB176" i="105" a="1"/>
  <c r="AB176" i="105" s="1"/>
  <c r="AA176" i="105" a="1"/>
  <c r="AA176" i="105" s="1"/>
  <c r="Z176" i="105" a="1"/>
  <c r="Z176" i="105" s="1"/>
  <c r="Y176" i="105" a="1"/>
  <c r="Y176" i="105" s="1"/>
  <c r="X176" i="105" a="1"/>
  <c r="X176" i="105" s="1"/>
  <c r="W176" i="105" a="1"/>
  <c r="W176" i="105" s="1"/>
  <c r="V176" i="105" a="1"/>
  <c r="V176" i="105" s="1"/>
  <c r="U176" i="105" a="1"/>
  <c r="U176" i="105" s="1"/>
  <c r="T176" i="105" a="1"/>
  <c r="T176" i="105" s="1"/>
  <c r="S176" i="105" a="1"/>
  <c r="S176" i="105" s="1"/>
  <c r="R176" i="105" a="1"/>
  <c r="R176" i="105" s="1"/>
  <c r="Q176" i="105" a="1"/>
  <c r="Q176" i="105" s="1"/>
  <c r="P176" i="105" a="1"/>
  <c r="P176" i="105" s="1"/>
  <c r="O176" i="105" a="1"/>
  <c r="O176" i="105" s="1"/>
  <c r="N176" i="105" a="1"/>
  <c r="N176" i="105" s="1"/>
  <c r="M176" i="105" a="1"/>
  <c r="M176" i="105" s="1"/>
  <c r="L176" i="105" a="1"/>
  <c r="L176" i="105" s="1"/>
  <c r="K176" i="105" a="1"/>
  <c r="K176" i="105" s="1"/>
  <c r="J176" i="105" a="1"/>
  <c r="J176" i="105" s="1"/>
  <c r="I176" i="105" a="1"/>
  <c r="I176" i="105" s="1"/>
  <c r="H176" i="105" a="1"/>
  <c r="H176" i="105" s="1"/>
  <c r="G176" i="105" a="1"/>
  <c r="G176" i="105" s="1"/>
  <c r="F176" i="105" a="1"/>
  <c r="F176" i="105" s="1"/>
  <c r="E176" i="105" a="1"/>
  <c r="E176" i="105" s="1"/>
  <c r="D176" i="105" a="1"/>
  <c r="D176" i="105" s="1"/>
  <c r="AH175" i="105" a="1"/>
  <c r="AH175" i="105" s="1"/>
  <c r="AG175" i="105" a="1"/>
  <c r="AG175" i="105" s="1"/>
  <c r="AF175" i="105" a="1"/>
  <c r="AF175" i="105" s="1"/>
  <c r="AE175" i="105" a="1"/>
  <c r="AE175" i="105" s="1"/>
  <c r="AD175" i="105" a="1"/>
  <c r="AD175" i="105" s="1"/>
  <c r="AC175" i="105" a="1"/>
  <c r="AC175" i="105" s="1"/>
  <c r="AB175" i="105" a="1"/>
  <c r="AB175" i="105" s="1"/>
  <c r="AA175" i="105" a="1"/>
  <c r="AA175" i="105" s="1"/>
  <c r="Z175" i="105" a="1"/>
  <c r="Z175" i="105" s="1"/>
  <c r="Y175" i="105" a="1"/>
  <c r="Y175" i="105" s="1"/>
  <c r="X175" i="105" a="1"/>
  <c r="X175" i="105" s="1"/>
  <c r="W175" i="105" a="1"/>
  <c r="W175" i="105" s="1"/>
  <c r="V175" i="105" a="1"/>
  <c r="V175" i="105" s="1"/>
  <c r="U175" i="105" a="1"/>
  <c r="U175" i="105" s="1"/>
  <c r="T175" i="105" a="1"/>
  <c r="T175" i="105" s="1"/>
  <c r="S175" i="105" a="1"/>
  <c r="S175" i="105" s="1"/>
  <c r="R175" i="105" a="1"/>
  <c r="R175" i="105" s="1"/>
  <c r="Q175" i="105" a="1"/>
  <c r="Q175" i="105" s="1"/>
  <c r="P175" i="105" a="1"/>
  <c r="P175" i="105" s="1"/>
  <c r="O175" i="105" a="1"/>
  <c r="O175" i="105" s="1"/>
  <c r="N175" i="105" a="1"/>
  <c r="N175" i="105" s="1"/>
  <c r="M175" i="105" a="1"/>
  <c r="M175" i="105" s="1"/>
  <c r="L175" i="105" a="1"/>
  <c r="L175" i="105" s="1"/>
  <c r="K175" i="105" a="1"/>
  <c r="K175" i="105" s="1"/>
  <c r="J175" i="105" a="1"/>
  <c r="J175" i="105" s="1"/>
  <c r="I175" i="105" a="1"/>
  <c r="I175" i="105" s="1"/>
  <c r="H175" i="105" a="1"/>
  <c r="H175" i="105" s="1"/>
  <c r="G175" i="105" a="1"/>
  <c r="G175" i="105" s="1"/>
  <c r="F175" i="105" a="1"/>
  <c r="F175" i="105" s="1"/>
  <c r="E175" i="105" a="1"/>
  <c r="E175" i="105" s="1"/>
  <c r="D175" i="105" a="1"/>
  <c r="D175" i="105" s="1"/>
  <c r="AH174" i="105" a="1"/>
  <c r="AH174" i="105" s="1"/>
  <c r="AG174" i="105" a="1"/>
  <c r="AG174" i="105" s="1"/>
  <c r="AF174" i="105" a="1"/>
  <c r="AF174" i="105" s="1"/>
  <c r="AE174" i="105" a="1"/>
  <c r="AE174" i="105" s="1"/>
  <c r="AD174" i="105" a="1"/>
  <c r="AD174" i="105" s="1"/>
  <c r="AC174" i="105" a="1"/>
  <c r="AC174" i="105" s="1"/>
  <c r="AB174" i="105" a="1"/>
  <c r="AB174" i="105" s="1"/>
  <c r="AA174" i="105" a="1"/>
  <c r="AA174" i="105" s="1"/>
  <c r="Z174" i="105" a="1"/>
  <c r="Z174" i="105" s="1"/>
  <c r="Y174" i="105" a="1"/>
  <c r="Y174" i="105" s="1"/>
  <c r="X174" i="105" a="1"/>
  <c r="X174" i="105" s="1"/>
  <c r="W174" i="105" a="1"/>
  <c r="W174" i="105" s="1"/>
  <c r="V174" i="105" a="1"/>
  <c r="V174" i="105" s="1"/>
  <c r="U174" i="105" a="1"/>
  <c r="U174" i="105" s="1"/>
  <c r="T174" i="105" a="1"/>
  <c r="T174" i="105" s="1"/>
  <c r="S174" i="105" a="1"/>
  <c r="S174" i="105" s="1"/>
  <c r="R174" i="105" a="1"/>
  <c r="R174" i="105" s="1"/>
  <c r="Q174" i="105" a="1"/>
  <c r="Q174" i="105" s="1"/>
  <c r="P174" i="105" a="1"/>
  <c r="P174" i="105" s="1"/>
  <c r="O174" i="105" a="1"/>
  <c r="O174" i="105" s="1"/>
  <c r="N174" i="105" a="1"/>
  <c r="N174" i="105" s="1"/>
  <c r="M174" i="105" a="1"/>
  <c r="M174" i="105" s="1"/>
  <c r="L174" i="105" a="1"/>
  <c r="L174" i="105" s="1"/>
  <c r="K174" i="105" a="1"/>
  <c r="K174" i="105" s="1"/>
  <c r="J174" i="105" a="1"/>
  <c r="J174" i="105" s="1"/>
  <c r="I174" i="105" a="1"/>
  <c r="I174" i="105" s="1"/>
  <c r="H174" i="105" a="1"/>
  <c r="H174" i="105" s="1"/>
  <c r="G174" i="105" a="1"/>
  <c r="G174" i="105" s="1"/>
  <c r="F174" i="105" a="1"/>
  <c r="F174" i="105" s="1"/>
  <c r="E174" i="105" a="1"/>
  <c r="E174" i="105" s="1"/>
  <c r="D174" i="105" a="1"/>
  <c r="D174" i="105" s="1"/>
  <c r="AH173" i="105" a="1"/>
  <c r="AH173" i="105" s="1"/>
  <c r="AG173" i="105" a="1"/>
  <c r="AG173" i="105" s="1"/>
  <c r="AF173" i="105" a="1"/>
  <c r="AF173" i="105" s="1"/>
  <c r="AE173" i="105" a="1"/>
  <c r="AE173" i="105" s="1"/>
  <c r="AD173" i="105" a="1"/>
  <c r="AD173" i="105" s="1"/>
  <c r="AC173" i="105" a="1"/>
  <c r="AC173" i="105" s="1"/>
  <c r="AB173" i="105" a="1"/>
  <c r="AB173" i="105" s="1"/>
  <c r="AA173" i="105" a="1"/>
  <c r="AA173" i="105" s="1"/>
  <c r="Z173" i="105" a="1"/>
  <c r="Z173" i="105" s="1"/>
  <c r="Y173" i="105" a="1"/>
  <c r="Y173" i="105" s="1"/>
  <c r="X173" i="105" a="1"/>
  <c r="X173" i="105" s="1"/>
  <c r="W173" i="105" a="1"/>
  <c r="W173" i="105" s="1"/>
  <c r="V173" i="105" a="1"/>
  <c r="V173" i="105" s="1"/>
  <c r="U173" i="105" a="1"/>
  <c r="U173" i="105" s="1"/>
  <c r="T173" i="105" a="1"/>
  <c r="T173" i="105" s="1"/>
  <c r="S173" i="105" a="1"/>
  <c r="S173" i="105" s="1"/>
  <c r="R173" i="105" a="1"/>
  <c r="R173" i="105" s="1"/>
  <c r="Q173" i="105" a="1"/>
  <c r="Q173" i="105" s="1"/>
  <c r="P173" i="105" a="1"/>
  <c r="P173" i="105" s="1"/>
  <c r="O173" i="105" a="1"/>
  <c r="O173" i="105" s="1"/>
  <c r="N173" i="105" a="1"/>
  <c r="N173" i="105" s="1"/>
  <c r="M173" i="105" a="1"/>
  <c r="M173" i="105" s="1"/>
  <c r="L173" i="105" a="1"/>
  <c r="L173" i="105" s="1"/>
  <c r="K173" i="105" a="1"/>
  <c r="K173" i="105" s="1"/>
  <c r="J173" i="105" a="1"/>
  <c r="J173" i="105" s="1"/>
  <c r="I173" i="105" a="1"/>
  <c r="I173" i="105" s="1"/>
  <c r="H173" i="105" a="1"/>
  <c r="H173" i="105" s="1"/>
  <c r="G173" i="105" a="1"/>
  <c r="G173" i="105" s="1"/>
  <c r="F173" i="105" a="1"/>
  <c r="F173" i="105" s="1"/>
  <c r="E173" i="105" a="1"/>
  <c r="E173" i="105" s="1"/>
  <c r="D173" i="105" a="1"/>
  <c r="D173" i="105" s="1"/>
  <c r="AH172" i="105" a="1"/>
  <c r="AH172" i="105" s="1"/>
  <c r="AG172" i="105" a="1"/>
  <c r="AG172" i="105" s="1"/>
  <c r="AF172" i="105" a="1"/>
  <c r="AF172" i="105" s="1"/>
  <c r="AE172" i="105" a="1"/>
  <c r="AE172" i="105" s="1"/>
  <c r="AD172" i="105" a="1"/>
  <c r="AD172" i="105" s="1"/>
  <c r="AC172" i="105" a="1"/>
  <c r="AC172" i="105" s="1"/>
  <c r="AB172" i="105" a="1"/>
  <c r="AB172" i="105" s="1"/>
  <c r="AA172" i="105" a="1"/>
  <c r="AA172" i="105" s="1"/>
  <c r="Z172" i="105" a="1"/>
  <c r="Z172" i="105" s="1"/>
  <c r="Y172" i="105" a="1"/>
  <c r="Y172" i="105" s="1"/>
  <c r="X172" i="105" a="1"/>
  <c r="X172" i="105" s="1"/>
  <c r="W172" i="105" a="1"/>
  <c r="W172" i="105" s="1"/>
  <c r="V172" i="105" a="1"/>
  <c r="V172" i="105" s="1"/>
  <c r="U172" i="105" a="1"/>
  <c r="U172" i="105" s="1"/>
  <c r="T172" i="105" a="1"/>
  <c r="T172" i="105" s="1"/>
  <c r="S172" i="105" a="1"/>
  <c r="S172" i="105" s="1"/>
  <c r="R172" i="105" a="1"/>
  <c r="R172" i="105" s="1"/>
  <c r="Q172" i="105" a="1"/>
  <c r="Q172" i="105" s="1"/>
  <c r="P172" i="105" a="1"/>
  <c r="P172" i="105" s="1"/>
  <c r="O172" i="105" a="1"/>
  <c r="O172" i="105" s="1"/>
  <c r="N172" i="105" a="1"/>
  <c r="N172" i="105" s="1"/>
  <c r="M172" i="105" a="1"/>
  <c r="M172" i="105" s="1"/>
  <c r="L172" i="105" a="1"/>
  <c r="L172" i="105" s="1"/>
  <c r="K172" i="105" a="1"/>
  <c r="K172" i="105" s="1"/>
  <c r="J172" i="105" a="1"/>
  <c r="J172" i="105" s="1"/>
  <c r="I172" i="105" a="1"/>
  <c r="I172" i="105" s="1"/>
  <c r="H172" i="105" a="1"/>
  <c r="H172" i="105" s="1"/>
  <c r="G172" i="105" a="1"/>
  <c r="G172" i="105" s="1"/>
  <c r="F172" i="105" a="1"/>
  <c r="F172" i="105" s="1"/>
  <c r="E172" i="105" a="1"/>
  <c r="E172" i="105" s="1"/>
  <c r="D172" i="105" a="1"/>
  <c r="D172" i="105" s="1"/>
  <c r="AH171" i="105" a="1"/>
  <c r="AH171" i="105" s="1"/>
  <c r="AG171" i="105" a="1"/>
  <c r="AG171" i="105" s="1"/>
  <c r="AF171" i="105" a="1"/>
  <c r="AF171" i="105" s="1"/>
  <c r="AE171" i="105" a="1"/>
  <c r="AE171" i="105" s="1"/>
  <c r="AD171" i="105" a="1"/>
  <c r="AD171" i="105" s="1"/>
  <c r="AC171" i="105" a="1"/>
  <c r="AC171" i="105" s="1"/>
  <c r="AB171" i="105" a="1"/>
  <c r="AB171" i="105" s="1"/>
  <c r="AA171" i="105" a="1"/>
  <c r="AA171" i="105" s="1"/>
  <c r="Z171" i="105" a="1"/>
  <c r="Z171" i="105" s="1"/>
  <c r="Y171" i="105" a="1"/>
  <c r="Y171" i="105" s="1"/>
  <c r="X171" i="105" a="1"/>
  <c r="X171" i="105" s="1"/>
  <c r="W171" i="105" a="1"/>
  <c r="W171" i="105" s="1"/>
  <c r="V171" i="105" a="1"/>
  <c r="V171" i="105" s="1"/>
  <c r="U171" i="105" a="1"/>
  <c r="U171" i="105" s="1"/>
  <c r="T171" i="105" a="1"/>
  <c r="T171" i="105" s="1"/>
  <c r="S171" i="105" a="1"/>
  <c r="S171" i="105" s="1"/>
  <c r="R171" i="105" a="1"/>
  <c r="R171" i="105" s="1"/>
  <c r="Q171" i="105" a="1"/>
  <c r="Q171" i="105" s="1"/>
  <c r="P171" i="105" a="1"/>
  <c r="P171" i="105" s="1"/>
  <c r="O171" i="105" a="1"/>
  <c r="O171" i="105" s="1"/>
  <c r="N171" i="105" a="1"/>
  <c r="N171" i="105" s="1"/>
  <c r="M171" i="105" a="1"/>
  <c r="M171" i="105" s="1"/>
  <c r="L171" i="105" a="1"/>
  <c r="L171" i="105" s="1"/>
  <c r="K171" i="105" a="1"/>
  <c r="K171" i="105" s="1"/>
  <c r="J171" i="105" a="1"/>
  <c r="J171" i="105" s="1"/>
  <c r="I171" i="105" a="1"/>
  <c r="I171" i="105" s="1"/>
  <c r="H171" i="105" a="1"/>
  <c r="H171" i="105" s="1"/>
  <c r="G171" i="105" a="1"/>
  <c r="G171" i="105" s="1"/>
  <c r="F171" i="105" a="1"/>
  <c r="F171" i="105" s="1"/>
  <c r="E171" i="105" a="1"/>
  <c r="E171" i="105" s="1"/>
  <c r="D171" i="105" a="1"/>
  <c r="D171" i="105" s="1"/>
  <c r="AH170" i="105" a="1"/>
  <c r="AH170" i="105" s="1"/>
  <c r="AG170" i="105" a="1"/>
  <c r="AG170" i="105" s="1"/>
  <c r="AF170" i="105" a="1"/>
  <c r="AF170" i="105" s="1"/>
  <c r="AE170" i="105" a="1"/>
  <c r="AE170" i="105" s="1"/>
  <c r="AD170" i="105" a="1"/>
  <c r="AD170" i="105" s="1"/>
  <c r="AC170" i="105" a="1"/>
  <c r="AC170" i="105" s="1"/>
  <c r="AB170" i="105" a="1"/>
  <c r="AB170" i="105" s="1"/>
  <c r="AA170" i="105" a="1"/>
  <c r="AA170" i="105" s="1"/>
  <c r="Z170" i="105" a="1"/>
  <c r="Z170" i="105" s="1"/>
  <c r="Y170" i="105" a="1"/>
  <c r="Y170" i="105" s="1"/>
  <c r="X170" i="105" a="1"/>
  <c r="X170" i="105" s="1"/>
  <c r="W170" i="105" a="1"/>
  <c r="W170" i="105" s="1"/>
  <c r="V170" i="105" a="1"/>
  <c r="V170" i="105" s="1"/>
  <c r="U170" i="105" a="1"/>
  <c r="U170" i="105" s="1"/>
  <c r="T170" i="105" a="1"/>
  <c r="T170" i="105" s="1"/>
  <c r="S170" i="105" a="1"/>
  <c r="S170" i="105" s="1"/>
  <c r="R170" i="105" a="1"/>
  <c r="R170" i="105" s="1"/>
  <c r="Q170" i="105" a="1"/>
  <c r="Q170" i="105" s="1"/>
  <c r="P170" i="105" a="1"/>
  <c r="P170" i="105" s="1"/>
  <c r="O170" i="105" a="1"/>
  <c r="O170" i="105" s="1"/>
  <c r="N170" i="105" a="1"/>
  <c r="N170" i="105" s="1"/>
  <c r="M170" i="105" a="1"/>
  <c r="M170" i="105" s="1"/>
  <c r="L170" i="105" a="1"/>
  <c r="L170" i="105" s="1"/>
  <c r="K170" i="105" a="1"/>
  <c r="K170" i="105" s="1"/>
  <c r="J170" i="105" a="1"/>
  <c r="J170" i="105" s="1"/>
  <c r="I170" i="105" a="1"/>
  <c r="I170" i="105" s="1"/>
  <c r="H170" i="105" a="1"/>
  <c r="H170" i="105" s="1"/>
  <c r="G170" i="105" a="1"/>
  <c r="G170" i="105" s="1"/>
  <c r="F170" i="105" a="1"/>
  <c r="F170" i="105" s="1"/>
  <c r="E170" i="105" a="1"/>
  <c r="E170" i="105" s="1"/>
  <c r="D170" i="105" a="1"/>
  <c r="D170" i="105" s="1"/>
  <c r="AH169" i="105" a="1"/>
  <c r="AH169" i="105" s="1"/>
  <c r="AG169" i="105" a="1"/>
  <c r="AG169" i="105" s="1"/>
  <c r="AF169" i="105" a="1"/>
  <c r="AF169" i="105" s="1"/>
  <c r="AE169" i="105" a="1"/>
  <c r="AE169" i="105" s="1"/>
  <c r="AD169" i="105" a="1"/>
  <c r="AD169" i="105" s="1"/>
  <c r="AC169" i="105" a="1"/>
  <c r="AC169" i="105" s="1"/>
  <c r="AB169" i="105" a="1"/>
  <c r="AB169" i="105" s="1"/>
  <c r="AA169" i="105" a="1"/>
  <c r="AA169" i="105" s="1"/>
  <c r="Z169" i="105" a="1"/>
  <c r="Z169" i="105" s="1"/>
  <c r="Y169" i="105" a="1"/>
  <c r="Y169" i="105" s="1"/>
  <c r="X169" i="105" a="1"/>
  <c r="X169" i="105" s="1"/>
  <c r="W169" i="105" a="1"/>
  <c r="W169" i="105" s="1"/>
  <c r="V169" i="105" a="1"/>
  <c r="V169" i="105" s="1"/>
  <c r="U169" i="105" a="1"/>
  <c r="U169" i="105" s="1"/>
  <c r="T169" i="105" a="1"/>
  <c r="T169" i="105" s="1"/>
  <c r="S169" i="105" a="1"/>
  <c r="S169" i="105" s="1"/>
  <c r="R169" i="105" a="1"/>
  <c r="R169" i="105" s="1"/>
  <c r="Q169" i="105" a="1"/>
  <c r="Q169" i="105" s="1"/>
  <c r="P169" i="105" a="1"/>
  <c r="P169" i="105" s="1"/>
  <c r="O169" i="105" a="1"/>
  <c r="O169" i="105" s="1"/>
  <c r="N169" i="105" a="1"/>
  <c r="N169" i="105" s="1"/>
  <c r="M169" i="105" a="1"/>
  <c r="M169" i="105" s="1"/>
  <c r="L169" i="105" a="1"/>
  <c r="L169" i="105" s="1"/>
  <c r="K169" i="105" a="1"/>
  <c r="K169" i="105" s="1"/>
  <c r="J169" i="105" a="1"/>
  <c r="J169" i="105" s="1"/>
  <c r="I169" i="105" a="1"/>
  <c r="I169" i="105" s="1"/>
  <c r="H169" i="105" a="1"/>
  <c r="H169" i="105" s="1"/>
  <c r="G169" i="105" a="1"/>
  <c r="G169" i="105" s="1"/>
  <c r="F169" i="105" a="1"/>
  <c r="F169" i="105" s="1"/>
  <c r="E169" i="105" a="1"/>
  <c r="E169" i="105" s="1"/>
  <c r="D169" i="105" a="1"/>
  <c r="D169" i="105" s="1"/>
  <c r="AH168" i="105" a="1"/>
  <c r="AH168" i="105" s="1"/>
  <c r="AG168" i="105" a="1"/>
  <c r="AG168" i="105" s="1"/>
  <c r="AF168" i="105" a="1"/>
  <c r="AF168" i="105" s="1"/>
  <c r="AE168" i="105" a="1"/>
  <c r="AE168" i="105" s="1"/>
  <c r="AD168" i="105" a="1"/>
  <c r="AD168" i="105" s="1"/>
  <c r="AC168" i="105" a="1"/>
  <c r="AC168" i="105" s="1"/>
  <c r="AB168" i="105" a="1"/>
  <c r="AB168" i="105" s="1"/>
  <c r="AA168" i="105" a="1"/>
  <c r="AA168" i="105" s="1"/>
  <c r="Z168" i="105" a="1"/>
  <c r="Z168" i="105" s="1"/>
  <c r="Y168" i="105" a="1"/>
  <c r="Y168" i="105" s="1"/>
  <c r="X168" i="105" a="1"/>
  <c r="X168" i="105" s="1"/>
  <c r="W168" i="105" a="1"/>
  <c r="W168" i="105" s="1"/>
  <c r="V168" i="105" a="1"/>
  <c r="V168" i="105" s="1"/>
  <c r="U168" i="105" a="1"/>
  <c r="U168" i="105" s="1"/>
  <c r="T168" i="105" a="1"/>
  <c r="T168" i="105" s="1"/>
  <c r="S168" i="105" a="1"/>
  <c r="S168" i="105" s="1"/>
  <c r="R168" i="105" a="1"/>
  <c r="R168" i="105" s="1"/>
  <c r="Q168" i="105" a="1"/>
  <c r="Q168" i="105" s="1"/>
  <c r="P168" i="105" a="1"/>
  <c r="P168" i="105" s="1"/>
  <c r="O168" i="105" a="1"/>
  <c r="O168" i="105" s="1"/>
  <c r="N168" i="105" a="1"/>
  <c r="N168" i="105" s="1"/>
  <c r="M168" i="105" a="1"/>
  <c r="M168" i="105" s="1"/>
  <c r="L168" i="105" a="1"/>
  <c r="L168" i="105" s="1"/>
  <c r="K168" i="105" a="1"/>
  <c r="K168" i="105" s="1"/>
  <c r="J168" i="105" a="1"/>
  <c r="J168" i="105" s="1"/>
  <c r="I168" i="105" a="1"/>
  <c r="I168" i="105" s="1"/>
  <c r="H168" i="105" a="1"/>
  <c r="H168" i="105" s="1"/>
  <c r="G168" i="105" a="1"/>
  <c r="G168" i="105" s="1"/>
  <c r="F168" i="105" a="1"/>
  <c r="F168" i="105" s="1"/>
  <c r="E168" i="105" a="1"/>
  <c r="E168" i="105" s="1"/>
  <c r="D168" i="105" a="1"/>
  <c r="D168" i="105" s="1"/>
  <c r="AH167" i="105" a="1"/>
  <c r="AH167" i="105" s="1"/>
  <c r="AG167" i="105" a="1"/>
  <c r="AG167" i="105" s="1"/>
  <c r="AF167" i="105" a="1"/>
  <c r="AF167" i="105" s="1"/>
  <c r="AE167" i="105" a="1"/>
  <c r="AE167" i="105" s="1"/>
  <c r="AD167" i="105" a="1"/>
  <c r="AD167" i="105" s="1"/>
  <c r="AC167" i="105" a="1"/>
  <c r="AC167" i="105" s="1"/>
  <c r="AB167" i="105" a="1"/>
  <c r="AB167" i="105" s="1"/>
  <c r="AA167" i="105" a="1"/>
  <c r="AA167" i="105" s="1"/>
  <c r="Z167" i="105" a="1"/>
  <c r="Z167" i="105" s="1"/>
  <c r="Y167" i="105" a="1"/>
  <c r="Y167" i="105" s="1"/>
  <c r="X167" i="105" a="1"/>
  <c r="X167" i="105" s="1"/>
  <c r="W167" i="105" a="1"/>
  <c r="W167" i="105" s="1"/>
  <c r="V167" i="105" a="1"/>
  <c r="V167" i="105" s="1"/>
  <c r="U167" i="105" a="1"/>
  <c r="U167" i="105" s="1"/>
  <c r="T167" i="105" a="1"/>
  <c r="T167" i="105" s="1"/>
  <c r="S167" i="105" a="1"/>
  <c r="S167" i="105" s="1"/>
  <c r="R167" i="105" a="1"/>
  <c r="R167" i="105" s="1"/>
  <c r="Q167" i="105" a="1"/>
  <c r="Q167" i="105" s="1"/>
  <c r="P167" i="105" a="1"/>
  <c r="P167" i="105" s="1"/>
  <c r="O167" i="105" a="1"/>
  <c r="O167" i="105" s="1"/>
  <c r="N167" i="105" a="1"/>
  <c r="N167" i="105" s="1"/>
  <c r="M167" i="105" a="1"/>
  <c r="M167" i="105" s="1"/>
  <c r="L167" i="105" a="1"/>
  <c r="L167" i="105" s="1"/>
  <c r="K167" i="105" a="1"/>
  <c r="K167" i="105" s="1"/>
  <c r="J167" i="105" a="1"/>
  <c r="J167" i="105" s="1"/>
  <c r="I167" i="105" a="1"/>
  <c r="I167" i="105" s="1"/>
  <c r="H167" i="105" a="1"/>
  <c r="H167" i="105" s="1"/>
  <c r="G167" i="105" a="1"/>
  <c r="G167" i="105" s="1"/>
  <c r="F167" i="105" a="1"/>
  <c r="F167" i="105" s="1"/>
  <c r="E167" i="105" a="1"/>
  <c r="E167" i="105" s="1"/>
  <c r="D167" i="105" a="1"/>
  <c r="D167" i="105" s="1"/>
  <c r="AH166" i="105" a="1"/>
  <c r="AH166" i="105" s="1"/>
  <c r="AG166" i="105" a="1"/>
  <c r="AG166" i="105" s="1"/>
  <c r="AF166" i="105" a="1"/>
  <c r="AF166" i="105" s="1"/>
  <c r="AE166" i="105" a="1"/>
  <c r="AE166" i="105" s="1"/>
  <c r="AD166" i="105" a="1"/>
  <c r="AD166" i="105" s="1"/>
  <c r="AC166" i="105" a="1"/>
  <c r="AC166" i="105" s="1"/>
  <c r="AB166" i="105" a="1"/>
  <c r="AB166" i="105" s="1"/>
  <c r="AA166" i="105" a="1"/>
  <c r="AA166" i="105" s="1"/>
  <c r="Z166" i="105" a="1"/>
  <c r="Z166" i="105" s="1"/>
  <c r="Y166" i="105" a="1"/>
  <c r="Y166" i="105" s="1"/>
  <c r="X166" i="105" a="1"/>
  <c r="X166" i="105" s="1"/>
  <c r="W166" i="105" a="1"/>
  <c r="W166" i="105" s="1"/>
  <c r="V166" i="105" a="1"/>
  <c r="V166" i="105" s="1"/>
  <c r="U166" i="105" a="1"/>
  <c r="U166" i="105" s="1"/>
  <c r="T166" i="105" a="1"/>
  <c r="T166" i="105" s="1"/>
  <c r="S166" i="105" a="1"/>
  <c r="S166" i="105" s="1"/>
  <c r="R166" i="105" a="1"/>
  <c r="R166" i="105" s="1"/>
  <c r="Q166" i="105" a="1"/>
  <c r="Q166" i="105" s="1"/>
  <c r="P166" i="105" a="1"/>
  <c r="P166" i="105" s="1"/>
  <c r="O166" i="105" a="1"/>
  <c r="O166" i="105" s="1"/>
  <c r="N166" i="105" a="1"/>
  <c r="N166" i="105" s="1"/>
  <c r="M166" i="105" a="1"/>
  <c r="M166" i="105" s="1"/>
  <c r="L166" i="105" a="1"/>
  <c r="L166" i="105" s="1"/>
  <c r="K166" i="105" a="1"/>
  <c r="K166" i="105" s="1"/>
  <c r="J166" i="105" a="1"/>
  <c r="J166" i="105" s="1"/>
  <c r="I166" i="105" a="1"/>
  <c r="I166" i="105" s="1"/>
  <c r="H166" i="105" a="1"/>
  <c r="H166" i="105" s="1"/>
  <c r="G166" i="105" a="1"/>
  <c r="G166" i="105" s="1"/>
  <c r="F166" i="105" a="1"/>
  <c r="F166" i="105" s="1"/>
  <c r="E166" i="105" a="1"/>
  <c r="E166" i="105" s="1"/>
  <c r="D166" i="105" a="1"/>
  <c r="D166" i="105" s="1"/>
  <c r="AH165" i="105" a="1"/>
  <c r="AH165" i="105" s="1"/>
  <c r="AG165" i="105" a="1"/>
  <c r="AG165" i="105" s="1"/>
  <c r="AF165" i="105" a="1"/>
  <c r="AF165" i="105" s="1"/>
  <c r="AE165" i="105" a="1"/>
  <c r="AE165" i="105" s="1"/>
  <c r="AD165" i="105" a="1"/>
  <c r="AD165" i="105" s="1"/>
  <c r="AC165" i="105" a="1"/>
  <c r="AC165" i="105" s="1"/>
  <c r="AB165" i="105" a="1"/>
  <c r="AB165" i="105" s="1"/>
  <c r="AA165" i="105" a="1"/>
  <c r="AA165" i="105" s="1"/>
  <c r="Z165" i="105" a="1"/>
  <c r="Z165" i="105" s="1"/>
  <c r="Y165" i="105" a="1"/>
  <c r="Y165" i="105" s="1"/>
  <c r="X165" i="105" a="1"/>
  <c r="X165" i="105" s="1"/>
  <c r="W165" i="105" a="1"/>
  <c r="W165" i="105" s="1"/>
  <c r="V165" i="105" a="1"/>
  <c r="V165" i="105" s="1"/>
  <c r="U165" i="105" a="1"/>
  <c r="U165" i="105" s="1"/>
  <c r="T165" i="105" a="1"/>
  <c r="T165" i="105" s="1"/>
  <c r="S165" i="105" a="1"/>
  <c r="S165" i="105" s="1"/>
  <c r="R165" i="105" a="1"/>
  <c r="R165" i="105" s="1"/>
  <c r="Q165" i="105" a="1"/>
  <c r="Q165" i="105" s="1"/>
  <c r="P165" i="105" a="1"/>
  <c r="P165" i="105" s="1"/>
  <c r="O165" i="105" a="1"/>
  <c r="O165" i="105" s="1"/>
  <c r="N165" i="105" a="1"/>
  <c r="N165" i="105" s="1"/>
  <c r="M165" i="105" a="1"/>
  <c r="M165" i="105" s="1"/>
  <c r="L165" i="105" a="1"/>
  <c r="L165" i="105" s="1"/>
  <c r="K165" i="105" a="1"/>
  <c r="K165" i="105" s="1"/>
  <c r="J165" i="105" a="1"/>
  <c r="J165" i="105" s="1"/>
  <c r="I165" i="105" a="1"/>
  <c r="I165" i="105" s="1"/>
  <c r="H165" i="105" a="1"/>
  <c r="H165" i="105" s="1"/>
  <c r="G165" i="105" a="1"/>
  <c r="G165" i="105" s="1"/>
  <c r="F165" i="105" a="1"/>
  <c r="F165" i="105" s="1"/>
  <c r="E165" i="105" a="1"/>
  <c r="E165" i="105" s="1"/>
  <c r="D165" i="105" a="1"/>
  <c r="D165" i="105" s="1"/>
  <c r="AH164" i="105" a="1"/>
  <c r="AH164" i="105" s="1"/>
  <c r="AG164" i="105" a="1"/>
  <c r="AG164" i="105" s="1"/>
  <c r="AF164" i="105" a="1"/>
  <c r="AF164" i="105" s="1"/>
  <c r="AE164" i="105" a="1"/>
  <c r="AE164" i="105" s="1"/>
  <c r="AD164" i="105" a="1"/>
  <c r="AD164" i="105" s="1"/>
  <c r="AC164" i="105" a="1"/>
  <c r="AC164" i="105" s="1"/>
  <c r="AB164" i="105" a="1"/>
  <c r="AB164" i="105" s="1"/>
  <c r="AA164" i="105" a="1"/>
  <c r="AA164" i="105" s="1"/>
  <c r="Z164" i="105" a="1"/>
  <c r="Z164" i="105" s="1"/>
  <c r="Y164" i="105" a="1"/>
  <c r="Y164" i="105" s="1"/>
  <c r="X164" i="105" a="1"/>
  <c r="X164" i="105" s="1"/>
  <c r="W164" i="105" a="1"/>
  <c r="W164" i="105" s="1"/>
  <c r="V164" i="105" a="1"/>
  <c r="V164" i="105" s="1"/>
  <c r="U164" i="105" a="1"/>
  <c r="U164" i="105" s="1"/>
  <c r="T164" i="105" a="1"/>
  <c r="T164" i="105" s="1"/>
  <c r="S164" i="105" a="1"/>
  <c r="S164" i="105" s="1"/>
  <c r="R164" i="105" a="1"/>
  <c r="R164" i="105" s="1"/>
  <c r="Q164" i="105" a="1"/>
  <c r="Q164" i="105" s="1"/>
  <c r="P164" i="105" a="1"/>
  <c r="P164" i="105" s="1"/>
  <c r="O164" i="105" a="1"/>
  <c r="O164" i="105" s="1"/>
  <c r="N164" i="105" a="1"/>
  <c r="N164" i="105" s="1"/>
  <c r="M164" i="105" a="1"/>
  <c r="M164" i="105" s="1"/>
  <c r="L164" i="105" a="1"/>
  <c r="L164" i="105" s="1"/>
  <c r="K164" i="105" a="1"/>
  <c r="K164" i="105" s="1"/>
  <c r="J164" i="105" a="1"/>
  <c r="J164" i="105" s="1"/>
  <c r="I164" i="105" a="1"/>
  <c r="I164" i="105" s="1"/>
  <c r="H164" i="105" a="1"/>
  <c r="H164" i="105" s="1"/>
  <c r="G164" i="105" a="1"/>
  <c r="G164" i="105" s="1"/>
  <c r="F164" i="105" a="1"/>
  <c r="F164" i="105" s="1"/>
  <c r="E164" i="105" a="1"/>
  <c r="E164" i="105" s="1"/>
  <c r="D164" i="105" a="1"/>
  <c r="D164" i="105" s="1"/>
  <c r="AH163" i="105" a="1"/>
  <c r="AH163" i="105" s="1"/>
  <c r="AG163" i="105" a="1"/>
  <c r="AG163" i="105" s="1"/>
  <c r="AF163" i="105" a="1"/>
  <c r="AF163" i="105" s="1"/>
  <c r="AE163" i="105" a="1"/>
  <c r="AE163" i="105" s="1"/>
  <c r="AD163" i="105" a="1"/>
  <c r="AD163" i="105" s="1"/>
  <c r="AC163" i="105" a="1"/>
  <c r="AC163" i="105" s="1"/>
  <c r="AB163" i="105" a="1"/>
  <c r="AB163" i="105" s="1"/>
  <c r="AA163" i="105" a="1"/>
  <c r="AA163" i="105" s="1"/>
  <c r="Z163" i="105" a="1"/>
  <c r="Z163" i="105" s="1"/>
  <c r="Y163" i="105" a="1"/>
  <c r="Y163" i="105" s="1"/>
  <c r="X163" i="105" a="1"/>
  <c r="X163" i="105" s="1"/>
  <c r="W163" i="105" a="1"/>
  <c r="W163" i="105" s="1"/>
  <c r="V163" i="105" a="1"/>
  <c r="V163" i="105" s="1"/>
  <c r="U163" i="105" a="1"/>
  <c r="U163" i="105" s="1"/>
  <c r="T163" i="105" a="1"/>
  <c r="T163" i="105" s="1"/>
  <c r="S163" i="105" a="1"/>
  <c r="S163" i="105" s="1"/>
  <c r="R163" i="105" a="1"/>
  <c r="R163" i="105" s="1"/>
  <c r="Q163" i="105" a="1"/>
  <c r="Q163" i="105" s="1"/>
  <c r="P163" i="105" a="1"/>
  <c r="P163" i="105" s="1"/>
  <c r="O163" i="105" a="1"/>
  <c r="O163" i="105" s="1"/>
  <c r="N163" i="105" a="1"/>
  <c r="N163" i="105" s="1"/>
  <c r="M163" i="105" a="1"/>
  <c r="M163" i="105" s="1"/>
  <c r="L163" i="105" a="1"/>
  <c r="L163" i="105" s="1"/>
  <c r="K163" i="105" a="1"/>
  <c r="K163" i="105" s="1"/>
  <c r="J163" i="105" a="1"/>
  <c r="J163" i="105" s="1"/>
  <c r="I163" i="105" a="1"/>
  <c r="I163" i="105" s="1"/>
  <c r="H163" i="105" a="1"/>
  <c r="H163" i="105" s="1"/>
  <c r="G163" i="105" a="1"/>
  <c r="G163" i="105" s="1"/>
  <c r="F163" i="105" a="1"/>
  <c r="F163" i="105" s="1"/>
  <c r="E163" i="105" a="1"/>
  <c r="E163" i="105" s="1"/>
  <c r="D163" i="105" a="1"/>
  <c r="D163" i="105" s="1"/>
  <c r="AH162" i="105" a="1"/>
  <c r="AH162" i="105" s="1"/>
  <c r="AG162" i="105" a="1"/>
  <c r="AG162" i="105" s="1"/>
  <c r="AF162" i="105" a="1"/>
  <c r="AF162" i="105" s="1"/>
  <c r="AE162" i="105" a="1"/>
  <c r="AE162" i="105" s="1"/>
  <c r="AD162" i="105" a="1"/>
  <c r="AD162" i="105" s="1"/>
  <c r="AC162" i="105" a="1"/>
  <c r="AC162" i="105" s="1"/>
  <c r="AB162" i="105" a="1"/>
  <c r="AB162" i="105" s="1"/>
  <c r="AA162" i="105" a="1"/>
  <c r="AA162" i="105" s="1"/>
  <c r="Z162" i="105" a="1"/>
  <c r="Z162" i="105" s="1"/>
  <c r="Y162" i="105" a="1"/>
  <c r="Y162" i="105" s="1"/>
  <c r="X162" i="105" a="1"/>
  <c r="X162" i="105" s="1"/>
  <c r="W162" i="105" a="1"/>
  <c r="W162" i="105" s="1"/>
  <c r="V162" i="105" a="1"/>
  <c r="V162" i="105" s="1"/>
  <c r="U162" i="105" a="1"/>
  <c r="U162" i="105" s="1"/>
  <c r="T162" i="105" a="1"/>
  <c r="T162" i="105" s="1"/>
  <c r="S162" i="105" a="1"/>
  <c r="S162" i="105" s="1"/>
  <c r="R162" i="105" a="1"/>
  <c r="R162" i="105" s="1"/>
  <c r="Q162" i="105" a="1"/>
  <c r="Q162" i="105" s="1"/>
  <c r="P162" i="105" a="1"/>
  <c r="P162" i="105" s="1"/>
  <c r="O162" i="105" a="1"/>
  <c r="O162" i="105" s="1"/>
  <c r="N162" i="105" a="1"/>
  <c r="N162" i="105" s="1"/>
  <c r="M162" i="105" a="1"/>
  <c r="M162" i="105" s="1"/>
  <c r="L162" i="105" a="1"/>
  <c r="L162" i="105" s="1"/>
  <c r="K162" i="105" a="1"/>
  <c r="K162" i="105" s="1"/>
  <c r="J162" i="105" a="1"/>
  <c r="J162" i="105" s="1"/>
  <c r="I162" i="105" a="1"/>
  <c r="I162" i="105" s="1"/>
  <c r="H162" i="105" a="1"/>
  <c r="H162" i="105" s="1"/>
  <c r="G162" i="105" a="1"/>
  <c r="G162" i="105" s="1"/>
  <c r="F162" i="105" a="1"/>
  <c r="F162" i="105" s="1"/>
  <c r="E162" i="105" a="1"/>
  <c r="E162" i="105" s="1"/>
  <c r="D162" i="105" a="1"/>
  <c r="D162" i="105" s="1"/>
  <c r="AH161" i="105" a="1"/>
  <c r="AH161" i="105" s="1"/>
  <c r="AG161" i="105" a="1"/>
  <c r="AG161" i="105" s="1"/>
  <c r="AF161" i="105" a="1"/>
  <c r="AF161" i="105" s="1"/>
  <c r="AE161" i="105" a="1"/>
  <c r="AE161" i="105" s="1"/>
  <c r="AD161" i="105" a="1"/>
  <c r="AD161" i="105" s="1"/>
  <c r="AC161" i="105" a="1"/>
  <c r="AC161" i="105" s="1"/>
  <c r="AB161" i="105" a="1"/>
  <c r="AB161" i="105" s="1"/>
  <c r="AA161" i="105" a="1"/>
  <c r="AA161" i="105" s="1"/>
  <c r="Z161" i="105" a="1"/>
  <c r="Z161" i="105" s="1"/>
  <c r="Y161" i="105" a="1"/>
  <c r="Y161" i="105" s="1"/>
  <c r="X161" i="105" a="1"/>
  <c r="X161" i="105" s="1"/>
  <c r="W161" i="105" a="1"/>
  <c r="W161" i="105" s="1"/>
  <c r="V161" i="105" a="1"/>
  <c r="V161" i="105" s="1"/>
  <c r="U161" i="105" a="1"/>
  <c r="U161" i="105" s="1"/>
  <c r="T161" i="105" a="1"/>
  <c r="T161" i="105" s="1"/>
  <c r="S161" i="105" a="1"/>
  <c r="S161" i="105" s="1"/>
  <c r="R161" i="105" a="1"/>
  <c r="R161" i="105" s="1"/>
  <c r="Q161" i="105" a="1"/>
  <c r="Q161" i="105" s="1"/>
  <c r="P161" i="105" a="1"/>
  <c r="P161" i="105" s="1"/>
  <c r="O161" i="105" a="1"/>
  <c r="O161" i="105" s="1"/>
  <c r="N161" i="105" a="1"/>
  <c r="N161" i="105" s="1"/>
  <c r="M161" i="105" a="1"/>
  <c r="M161" i="105" s="1"/>
  <c r="L161" i="105" a="1"/>
  <c r="L161" i="105" s="1"/>
  <c r="K161" i="105" a="1"/>
  <c r="K161" i="105" s="1"/>
  <c r="J161" i="105" a="1"/>
  <c r="J161" i="105" s="1"/>
  <c r="I161" i="105" a="1"/>
  <c r="I161" i="105" s="1"/>
  <c r="H161" i="105" a="1"/>
  <c r="H161" i="105" s="1"/>
  <c r="G161" i="105" a="1"/>
  <c r="G161" i="105" s="1"/>
  <c r="F161" i="105" a="1"/>
  <c r="F161" i="105" s="1"/>
  <c r="E161" i="105" a="1"/>
  <c r="E161" i="105" s="1"/>
  <c r="D161" i="105" a="1"/>
  <c r="D161" i="105" s="1"/>
  <c r="AH160" i="105" a="1"/>
  <c r="AH160" i="105" s="1"/>
  <c r="AG160" i="105" a="1"/>
  <c r="AG160" i="105" s="1"/>
  <c r="AF160" i="105" a="1"/>
  <c r="AF160" i="105" s="1"/>
  <c r="AE160" i="105" a="1"/>
  <c r="AE160" i="105" s="1"/>
  <c r="AD160" i="105" a="1"/>
  <c r="AD160" i="105" s="1"/>
  <c r="AC160" i="105" a="1"/>
  <c r="AC160" i="105" s="1"/>
  <c r="AB160" i="105" a="1"/>
  <c r="AB160" i="105" s="1"/>
  <c r="AA160" i="105" a="1"/>
  <c r="AA160" i="105" s="1"/>
  <c r="Z160" i="105" a="1"/>
  <c r="Z160" i="105" s="1"/>
  <c r="Y160" i="105" a="1"/>
  <c r="Y160" i="105" s="1"/>
  <c r="X160" i="105" a="1"/>
  <c r="X160" i="105" s="1"/>
  <c r="W160" i="105" a="1"/>
  <c r="W160" i="105" s="1"/>
  <c r="V160" i="105" a="1"/>
  <c r="V160" i="105" s="1"/>
  <c r="U160" i="105" a="1"/>
  <c r="U160" i="105" s="1"/>
  <c r="T160" i="105" a="1"/>
  <c r="T160" i="105" s="1"/>
  <c r="S160" i="105" a="1"/>
  <c r="S160" i="105" s="1"/>
  <c r="R160" i="105" a="1"/>
  <c r="R160" i="105" s="1"/>
  <c r="Q160" i="105" a="1"/>
  <c r="Q160" i="105" s="1"/>
  <c r="P160" i="105" a="1"/>
  <c r="P160" i="105" s="1"/>
  <c r="O160" i="105" a="1"/>
  <c r="O160" i="105" s="1"/>
  <c r="N160" i="105" a="1"/>
  <c r="N160" i="105" s="1"/>
  <c r="M160" i="105" a="1"/>
  <c r="M160" i="105" s="1"/>
  <c r="L160" i="105" a="1"/>
  <c r="L160" i="105" s="1"/>
  <c r="K160" i="105" a="1"/>
  <c r="K160" i="105" s="1"/>
  <c r="J160" i="105" a="1"/>
  <c r="J160" i="105" s="1"/>
  <c r="I160" i="105" a="1"/>
  <c r="I160" i="105" s="1"/>
  <c r="H160" i="105" a="1"/>
  <c r="H160" i="105" s="1"/>
  <c r="G160" i="105" a="1"/>
  <c r="G160" i="105" s="1"/>
  <c r="F160" i="105" a="1"/>
  <c r="F160" i="105" s="1"/>
  <c r="E160" i="105" a="1"/>
  <c r="E160" i="105" s="1"/>
  <c r="D160" i="105" a="1"/>
  <c r="D160" i="105" s="1"/>
  <c r="AH159" i="105" a="1"/>
  <c r="AH159" i="105" s="1"/>
  <c r="AG159" i="105" a="1"/>
  <c r="AG159" i="105" s="1"/>
  <c r="AF159" i="105" a="1"/>
  <c r="AF159" i="105" s="1"/>
  <c r="AE159" i="105" a="1"/>
  <c r="AE159" i="105" s="1"/>
  <c r="AD159" i="105" a="1"/>
  <c r="AD159" i="105" s="1"/>
  <c r="AC159" i="105" a="1"/>
  <c r="AC159" i="105" s="1"/>
  <c r="AB159" i="105" a="1"/>
  <c r="AB159" i="105" s="1"/>
  <c r="AA159" i="105" a="1"/>
  <c r="AA159" i="105" s="1"/>
  <c r="Z159" i="105" a="1"/>
  <c r="Z159" i="105" s="1"/>
  <c r="Y159" i="105" a="1"/>
  <c r="Y159" i="105" s="1"/>
  <c r="X159" i="105" a="1"/>
  <c r="X159" i="105" s="1"/>
  <c r="W159" i="105" a="1"/>
  <c r="W159" i="105" s="1"/>
  <c r="V159" i="105" a="1"/>
  <c r="V159" i="105" s="1"/>
  <c r="U159" i="105" a="1"/>
  <c r="U159" i="105" s="1"/>
  <c r="T159" i="105" a="1"/>
  <c r="T159" i="105" s="1"/>
  <c r="S159" i="105" a="1"/>
  <c r="S159" i="105" s="1"/>
  <c r="R159" i="105" a="1"/>
  <c r="R159" i="105" s="1"/>
  <c r="Q159" i="105" a="1"/>
  <c r="Q159" i="105" s="1"/>
  <c r="P159" i="105" a="1"/>
  <c r="P159" i="105" s="1"/>
  <c r="O159" i="105" a="1"/>
  <c r="O159" i="105" s="1"/>
  <c r="N159" i="105" a="1"/>
  <c r="N159" i="105" s="1"/>
  <c r="M159" i="105" a="1"/>
  <c r="M159" i="105" s="1"/>
  <c r="L159" i="105" a="1"/>
  <c r="L159" i="105" s="1"/>
  <c r="K159" i="105" a="1"/>
  <c r="K159" i="105" s="1"/>
  <c r="J159" i="105" a="1"/>
  <c r="J159" i="105" s="1"/>
  <c r="I159" i="105" a="1"/>
  <c r="I159" i="105" s="1"/>
  <c r="H159" i="105" a="1"/>
  <c r="H159" i="105" s="1"/>
  <c r="G159" i="105" a="1"/>
  <c r="G159" i="105" s="1"/>
  <c r="F159" i="105" a="1"/>
  <c r="F159" i="105" s="1"/>
  <c r="E159" i="105" a="1"/>
  <c r="E159" i="105" s="1"/>
  <c r="D159" i="105" a="1"/>
  <c r="D159" i="105" s="1"/>
  <c r="AH158" i="105" a="1"/>
  <c r="AH158" i="105" s="1"/>
  <c r="AG158" i="105" a="1"/>
  <c r="AG158" i="105" s="1"/>
  <c r="AF158" i="105" a="1"/>
  <c r="AF158" i="105" s="1"/>
  <c r="AE158" i="105" a="1"/>
  <c r="AE158" i="105" s="1"/>
  <c r="AD158" i="105" a="1"/>
  <c r="AD158" i="105" s="1"/>
  <c r="AC158" i="105" a="1"/>
  <c r="AC158" i="105" s="1"/>
  <c r="AB158" i="105" a="1"/>
  <c r="AB158" i="105" s="1"/>
  <c r="AA158" i="105" a="1"/>
  <c r="AA158" i="105" s="1"/>
  <c r="Z158" i="105" a="1"/>
  <c r="Z158" i="105" s="1"/>
  <c r="Y158" i="105" a="1"/>
  <c r="Y158" i="105" s="1"/>
  <c r="X158" i="105" a="1"/>
  <c r="X158" i="105" s="1"/>
  <c r="W158" i="105" a="1"/>
  <c r="W158" i="105" s="1"/>
  <c r="V158" i="105" a="1"/>
  <c r="V158" i="105" s="1"/>
  <c r="U158" i="105" a="1"/>
  <c r="U158" i="105" s="1"/>
  <c r="T158" i="105" a="1"/>
  <c r="T158" i="105" s="1"/>
  <c r="S158" i="105" a="1"/>
  <c r="S158" i="105" s="1"/>
  <c r="R158" i="105" a="1"/>
  <c r="R158" i="105" s="1"/>
  <c r="Q158" i="105" a="1"/>
  <c r="Q158" i="105" s="1"/>
  <c r="P158" i="105" a="1"/>
  <c r="P158" i="105" s="1"/>
  <c r="O158" i="105" a="1"/>
  <c r="O158" i="105" s="1"/>
  <c r="N158" i="105" a="1"/>
  <c r="N158" i="105" s="1"/>
  <c r="M158" i="105" a="1"/>
  <c r="M158" i="105" s="1"/>
  <c r="L158" i="105" a="1"/>
  <c r="L158" i="105" s="1"/>
  <c r="K158" i="105" a="1"/>
  <c r="K158" i="105" s="1"/>
  <c r="J158" i="105" a="1"/>
  <c r="J158" i="105" s="1"/>
  <c r="I158" i="105" a="1"/>
  <c r="I158" i="105" s="1"/>
  <c r="H158" i="105" a="1"/>
  <c r="H158" i="105" s="1"/>
  <c r="G158" i="105" a="1"/>
  <c r="G158" i="105" s="1"/>
  <c r="F158" i="105" a="1"/>
  <c r="F158" i="105" s="1"/>
  <c r="E158" i="105" a="1"/>
  <c r="E158" i="105" s="1"/>
  <c r="D158" i="105" a="1"/>
  <c r="D158" i="105" s="1"/>
  <c r="AH157" i="105" a="1"/>
  <c r="AH157" i="105" s="1"/>
  <c r="AG157" i="105" a="1"/>
  <c r="AG157" i="105" s="1"/>
  <c r="AF157" i="105" a="1"/>
  <c r="AF157" i="105" s="1"/>
  <c r="AE157" i="105" a="1"/>
  <c r="AE157" i="105" s="1"/>
  <c r="AD157" i="105" a="1"/>
  <c r="AD157" i="105" s="1"/>
  <c r="AC157" i="105" a="1"/>
  <c r="AC157" i="105" s="1"/>
  <c r="AB157" i="105" a="1"/>
  <c r="AB157" i="105" s="1"/>
  <c r="AA157" i="105" a="1"/>
  <c r="AA157" i="105" s="1"/>
  <c r="Z157" i="105" a="1"/>
  <c r="Z157" i="105" s="1"/>
  <c r="Y157" i="105" a="1"/>
  <c r="Y157" i="105" s="1"/>
  <c r="X157" i="105" a="1"/>
  <c r="X157" i="105" s="1"/>
  <c r="W157" i="105" a="1"/>
  <c r="W157" i="105" s="1"/>
  <c r="V157" i="105" a="1"/>
  <c r="V157" i="105" s="1"/>
  <c r="U157" i="105" a="1"/>
  <c r="U157" i="105" s="1"/>
  <c r="T157" i="105" a="1"/>
  <c r="T157" i="105" s="1"/>
  <c r="S157" i="105" a="1"/>
  <c r="S157" i="105" s="1"/>
  <c r="R157" i="105" a="1"/>
  <c r="R157" i="105" s="1"/>
  <c r="Q157" i="105" a="1"/>
  <c r="Q157" i="105" s="1"/>
  <c r="P157" i="105" a="1"/>
  <c r="P157" i="105" s="1"/>
  <c r="O157" i="105" a="1"/>
  <c r="O157" i="105" s="1"/>
  <c r="N157" i="105" a="1"/>
  <c r="N157" i="105" s="1"/>
  <c r="M157" i="105" a="1"/>
  <c r="M157" i="105" s="1"/>
  <c r="L157" i="105" a="1"/>
  <c r="L157" i="105" s="1"/>
  <c r="K157" i="105" a="1"/>
  <c r="K157" i="105" s="1"/>
  <c r="J157" i="105" a="1"/>
  <c r="J157" i="105" s="1"/>
  <c r="I157" i="105" a="1"/>
  <c r="I157" i="105" s="1"/>
  <c r="H157" i="105" a="1"/>
  <c r="H157" i="105" s="1"/>
  <c r="G157" i="105" a="1"/>
  <c r="G157" i="105" s="1"/>
  <c r="F157" i="105" a="1"/>
  <c r="F157" i="105" s="1"/>
  <c r="E157" i="105" a="1"/>
  <c r="E157" i="105" s="1"/>
  <c r="D157" i="105" a="1"/>
  <c r="D157" i="105" s="1"/>
  <c r="AH156" i="105" a="1"/>
  <c r="AH156" i="105" s="1"/>
  <c r="AG156" i="105" a="1"/>
  <c r="AG156" i="105" s="1"/>
  <c r="AF156" i="105" a="1"/>
  <c r="AF156" i="105" s="1"/>
  <c r="AE156" i="105" a="1"/>
  <c r="AE156" i="105" s="1"/>
  <c r="AD156" i="105" a="1"/>
  <c r="AD156" i="105" s="1"/>
  <c r="AC156" i="105" a="1"/>
  <c r="AC156" i="105" s="1"/>
  <c r="AB156" i="105" a="1"/>
  <c r="AB156" i="105" s="1"/>
  <c r="AA156" i="105" a="1"/>
  <c r="AA156" i="105" s="1"/>
  <c r="Z156" i="105" a="1"/>
  <c r="Z156" i="105" s="1"/>
  <c r="Y156" i="105" a="1"/>
  <c r="Y156" i="105" s="1"/>
  <c r="X156" i="105" a="1"/>
  <c r="X156" i="105" s="1"/>
  <c r="W156" i="105" a="1"/>
  <c r="W156" i="105" s="1"/>
  <c r="V156" i="105" a="1"/>
  <c r="V156" i="105" s="1"/>
  <c r="U156" i="105" a="1"/>
  <c r="U156" i="105" s="1"/>
  <c r="T156" i="105" a="1"/>
  <c r="T156" i="105" s="1"/>
  <c r="S156" i="105" a="1"/>
  <c r="S156" i="105" s="1"/>
  <c r="R156" i="105" a="1"/>
  <c r="R156" i="105" s="1"/>
  <c r="Q156" i="105" a="1"/>
  <c r="Q156" i="105" s="1"/>
  <c r="P156" i="105" a="1"/>
  <c r="P156" i="105" s="1"/>
  <c r="O156" i="105" a="1"/>
  <c r="O156" i="105" s="1"/>
  <c r="N156" i="105" a="1"/>
  <c r="N156" i="105" s="1"/>
  <c r="M156" i="105" a="1"/>
  <c r="M156" i="105" s="1"/>
  <c r="L156" i="105" a="1"/>
  <c r="L156" i="105" s="1"/>
  <c r="K156" i="105" a="1"/>
  <c r="K156" i="105" s="1"/>
  <c r="J156" i="105" a="1"/>
  <c r="J156" i="105" s="1"/>
  <c r="I156" i="105" a="1"/>
  <c r="I156" i="105" s="1"/>
  <c r="H156" i="105" a="1"/>
  <c r="H156" i="105" s="1"/>
  <c r="G156" i="105" a="1"/>
  <c r="G156" i="105" s="1"/>
  <c r="F156" i="105" a="1"/>
  <c r="F156" i="105" s="1"/>
  <c r="E156" i="105" a="1"/>
  <c r="E156" i="105" s="1"/>
  <c r="D156" i="105" a="1"/>
  <c r="D156" i="105" s="1"/>
  <c r="AH155" i="105" a="1"/>
  <c r="AH155" i="105" s="1"/>
  <c r="AG155" i="105" a="1"/>
  <c r="AG155" i="105" s="1"/>
  <c r="AF155" i="105" a="1"/>
  <c r="AF155" i="105" s="1"/>
  <c r="AE155" i="105" a="1"/>
  <c r="AE155" i="105" s="1"/>
  <c r="AD155" i="105" a="1"/>
  <c r="AD155" i="105" s="1"/>
  <c r="AC155" i="105" a="1"/>
  <c r="AC155" i="105" s="1"/>
  <c r="AB155" i="105" a="1"/>
  <c r="AB155" i="105" s="1"/>
  <c r="AA155" i="105" a="1"/>
  <c r="AA155" i="105" s="1"/>
  <c r="Z155" i="105" a="1"/>
  <c r="Z155" i="105" s="1"/>
  <c r="Y155" i="105" a="1"/>
  <c r="Y155" i="105" s="1"/>
  <c r="X155" i="105" a="1"/>
  <c r="X155" i="105" s="1"/>
  <c r="W155" i="105" a="1"/>
  <c r="W155" i="105" s="1"/>
  <c r="V155" i="105" a="1"/>
  <c r="V155" i="105" s="1"/>
  <c r="U155" i="105" a="1"/>
  <c r="U155" i="105" s="1"/>
  <c r="T155" i="105" a="1"/>
  <c r="T155" i="105" s="1"/>
  <c r="S155" i="105" a="1"/>
  <c r="S155" i="105" s="1"/>
  <c r="R155" i="105" a="1"/>
  <c r="R155" i="105" s="1"/>
  <c r="Q155" i="105" a="1"/>
  <c r="Q155" i="105" s="1"/>
  <c r="P155" i="105" a="1"/>
  <c r="P155" i="105" s="1"/>
  <c r="O155" i="105" a="1"/>
  <c r="O155" i="105" s="1"/>
  <c r="N155" i="105" a="1"/>
  <c r="N155" i="105" s="1"/>
  <c r="M155" i="105" a="1"/>
  <c r="M155" i="105" s="1"/>
  <c r="L155" i="105" a="1"/>
  <c r="L155" i="105" s="1"/>
  <c r="K155" i="105" a="1"/>
  <c r="K155" i="105" s="1"/>
  <c r="J155" i="105" a="1"/>
  <c r="J155" i="105" s="1"/>
  <c r="I155" i="105" a="1"/>
  <c r="I155" i="105" s="1"/>
  <c r="H155" i="105" a="1"/>
  <c r="H155" i="105" s="1"/>
  <c r="G155" i="105" a="1"/>
  <c r="G155" i="105" s="1"/>
  <c r="F155" i="105" a="1"/>
  <c r="F155" i="105" s="1"/>
  <c r="E155" i="105" a="1"/>
  <c r="E155" i="105" s="1"/>
  <c r="D155" i="105" a="1"/>
  <c r="D155" i="105" s="1"/>
  <c r="AH154" i="105" a="1"/>
  <c r="AH154" i="105" s="1"/>
  <c r="AG154" i="105" a="1"/>
  <c r="AG154" i="105" s="1"/>
  <c r="AF154" i="105" a="1"/>
  <c r="AF154" i="105" s="1"/>
  <c r="AE154" i="105" a="1"/>
  <c r="AE154" i="105" s="1"/>
  <c r="AD154" i="105" a="1"/>
  <c r="AD154" i="105" s="1"/>
  <c r="AC154" i="105" a="1"/>
  <c r="AC154" i="105" s="1"/>
  <c r="AB154" i="105" a="1"/>
  <c r="AB154" i="105" s="1"/>
  <c r="AA154" i="105" a="1"/>
  <c r="AA154" i="105" s="1"/>
  <c r="Z154" i="105" a="1"/>
  <c r="Z154" i="105" s="1"/>
  <c r="Y154" i="105" a="1"/>
  <c r="Y154" i="105" s="1"/>
  <c r="X154" i="105" a="1"/>
  <c r="X154" i="105" s="1"/>
  <c r="W154" i="105" a="1"/>
  <c r="W154" i="105" s="1"/>
  <c r="V154" i="105" a="1"/>
  <c r="V154" i="105" s="1"/>
  <c r="U154" i="105" a="1"/>
  <c r="U154" i="105" s="1"/>
  <c r="T154" i="105" a="1"/>
  <c r="T154" i="105" s="1"/>
  <c r="S154" i="105" a="1"/>
  <c r="S154" i="105" s="1"/>
  <c r="R154" i="105" a="1"/>
  <c r="R154" i="105" s="1"/>
  <c r="Q154" i="105" a="1"/>
  <c r="Q154" i="105" s="1"/>
  <c r="P154" i="105" a="1"/>
  <c r="P154" i="105" s="1"/>
  <c r="O154" i="105" a="1"/>
  <c r="O154" i="105" s="1"/>
  <c r="N154" i="105" a="1"/>
  <c r="N154" i="105" s="1"/>
  <c r="M154" i="105" a="1"/>
  <c r="M154" i="105" s="1"/>
  <c r="L154" i="105" a="1"/>
  <c r="L154" i="105" s="1"/>
  <c r="K154" i="105" a="1"/>
  <c r="K154" i="105" s="1"/>
  <c r="J154" i="105" a="1"/>
  <c r="J154" i="105" s="1"/>
  <c r="I154" i="105" a="1"/>
  <c r="I154" i="105" s="1"/>
  <c r="H154" i="105" a="1"/>
  <c r="H154" i="105" s="1"/>
  <c r="G154" i="105" a="1"/>
  <c r="G154" i="105" s="1"/>
  <c r="F154" i="105" a="1"/>
  <c r="F154" i="105" s="1"/>
  <c r="E154" i="105" a="1"/>
  <c r="E154" i="105" s="1"/>
  <c r="D154" i="105" a="1"/>
  <c r="D154" i="105" s="1"/>
  <c r="AH153" i="105" a="1"/>
  <c r="AH153" i="105" s="1"/>
  <c r="AG153" i="105" a="1"/>
  <c r="AG153" i="105" s="1"/>
  <c r="AF153" i="105" a="1"/>
  <c r="AF153" i="105" s="1"/>
  <c r="AE153" i="105" a="1"/>
  <c r="AE153" i="105" s="1"/>
  <c r="AD153" i="105" a="1"/>
  <c r="AD153" i="105" s="1"/>
  <c r="AC153" i="105" a="1"/>
  <c r="AC153" i="105" s="1"/>
  <c r="AB153" i="105" a="1"/>
  <c r="AB153" i="105" s="1"/>
  <c r="AA153" i="105" a="1"/>
  <c r="AA153" i="105" s="1"/>
  <c r="Z153" i="105" a="1"/>
  <c r="Z153" i="105" s="1"/>
  <c r="Y153" i="105" a="1"/>
  <c r="Y153" i="105" s="1"/>
  <c r="X153" i="105" a="1"/>
  <c r="X153" i="105" s="1"/>
  <c r="W153" i="105" a="1"/>
  <c r="W153" i="105" s="1"/>
  <c r="V153" i="105" a="1"/>
  <c r="V153" i="105" s="1"/>
  <c r="U153" i="105" a="1"/>
  <c r="U153" i="105" s="1"/>
  <c r="T153" i="105" a="1"/>
  <c r="T153" i="105" s="1"/>
  <c r="S153" i="105" a="1"/>
  <c r="S153" i="105" s="1"/>
  <c r="R153" i="105" a="1"/>
  <c r="R153" i="105" s="1"/>
  <c r="Q153" i="105" a="1"/>
  <c r="Q153" i="105" s="1"/>
  <c r="P153" i="105" a="1"/>
  <c r="P153" i="105" s="1"/>
  <c r="O153" i="105" a="1"/>
  <c r="O153" i="105" s="1"/>
  <c r="N153" i="105" a="1"/>
  <c r="N153" i="105" s="1"/>
  <c r="M153" i="105" a="1"/>
  <c r="M153" i="105" s="1"/>
  <c r="L153" i="105" a="1"/>
  <c r="L153" i="105" s="1"/>
  <c r="K153" i="105" a="1"/>
  <c r="K153" i="105" s="1"/>
  <c r="J153" i="105" a="1"/>
  <c r="J153" i="105" s="1"/>
  <c r="I153" i="105" a="1"/>
  <c r="I153" i="105" s="1"/>
  <c r="H153" i="105" a="1"/>
  <c r="H153" i="105" s="1"/>
  <c r="G153" i="105" a="1"/>
  <c r="G153" i="105" s="1"/>
  <c r="F153" i="105" a="1"/>
  <c r="F153" i="105" s="1"/>
  <c r="E153" i="105" a="1"/>
  <c r="E153" i="105" s="1"/>
  <c r="D153" i="105" a="1"/>
  <c r="D153" i="105" s="1"/>
  <c r="AH152" i="105" a="1"/>
  <c r="AH152" i="105" s="1"/>
  <c r="AG152" i="105" a="1"/>
  <c r="AG152" i="105" s="1"/>
  <c r="AF152" i="105" a="1"/>
  <c r="AF152" i="105" s="1"/>
  <c r="AE152" i="105" a="1"/>
  <c r="AE152" i="105" s="1"/>
  <c r="AD152" i="105" a="1"/>
  <c r="AD152" i="105" s="1"/>
  <c r="AC152" i="105" a="1"/>
  <c r="AC152" i="105" s="1"/>
  <c r="AB152" i="105" a="1"/>
  <c r="AB152" i="105" s="1"/>
  <c r="AA152" i="105" a="1"/>
  <c r="AA152" i="105" s="1"/>
  <c r="Z152" i="105" a="1"/>
  <c r="Z152" i="105" s="1"/>
  <c r="Y152" i="105" a="1"/>
  <c r="Y152" i="105" s="1"/>
  <c r="X152" i="105" a="1"/>
  <c r="X152" i="105" s="1"/>
  <c r="W152" i="105" a="1"/>
  <c r="W152" i="105" s="1"/>
  <c r="V152" i="105" a="1"/>
  <c r="V152" i="105" s="1"/>
  <c r="U152" i="105" a="1"/>
  <c r="U152" i="105" s="1"/>
  <c r="T152" i="105" a="1"/>
  <c r="T152" i="105" s="1"/>
  <c r="S152" i="105" a="1"/>
  <c r="S152" i="105" s="1"/>
  <c r="R152" i="105" a="1"/>
  <c r="R152" i="105" s="1"/>
  <c r="Q152" i="105" a="1"/>
  <c r="Q152" i="105" s="1"/>
  <c r="P152" i="105" a="1"/>
  <c r="P152" i="105" s="1"/>
  <c r="O152" i="105" a="1"/>
  <c r="O152" i="105" s="1"/>
  <c r="N152" i="105" a="1"/>
  <c r="N152" i="105" s="1"/>
  <c r="M152" i="105" a="1"/>
  <c r="M152" i="105" s="1"/>
  <c r="L152" i="105" a="1"/>
  <c r="L152" i="105" s="1"/>
  <c r="K152" i="105" a="1"/>
  <c r="K152" i="105" s="1"/>
  <c r="J152" i="105" a="1"/>
  <c r="J152" i="105" s="1"/>
  <c r="I152" i="105" a="1"/>
  <c r="I152" i="105" s="1"/>
  <c r="H152" i="105" a="1"/>
  <c r="H152" i="105" s="1"/>
  <c r="G152" i="105" a="1"/>
  <c r="G152" i="105" s="1"/>
  <c r="F152" i="105" a="1"/>
  <c r="F152" i="105" s="1"/>
  <c r="E152" i="105" a="1"/>
  <c r="E152" i="105" s="1"/>
  <c r="D152" i="105" a="1"/>
  <c r="D152" i="105" s="1"/>
  <c r="AH151" i="105" a="1"/>
  <c r="AH151" i="105" s="1"/>
  <c r="AG151" i="105" a="1"/>
  <c r="AG151" i="105" s="1"/>
  <c r="AF151" i="105" a="1"/>
  <c r="AF151" i="105" s="1"/>
  <c r="AE151" i="105" a="1"/>
  <c r="AE151" i="105" s="1"/>
  <c r="AD151" i="105" a="1"/>
  <c r="AD151" i="105" s="1"/>
  <c r="AC151" i="105" a="1"/>
  <c r="AC151" i="105" s="1"/>
  <c r="AB151" i="105" a="1"/>
  <c r="AB151" i="105" s="1"/>
  <c r="AA151" i="105" a="1"/>
  <c r="AA151" i="105" s="1"/>
  <c r="Z151" i="105" a="1"/>
  <c r="Z151" i="105" s="1"/>
  <c r="Y151" i="105" a="1"/>
  <c r="Y151" i="105" s="1"/>
  <c r="X151" i="105" a="1"/>
  <c r="X151" i="105" s="1"/>
  <c r="W151" i="105" a="1"/>
  <c r="W151" i="105" s="1"/>
  <c r="V151" i="105" a="1"/>
  <c r="V151" i="105" s="1"/>
  <c r="U151" i="105" a="1"/>
  <c r="U151" i="105" s="1"/>
  <c r="T151" i="105" a="1"/>
  <c r="T151" i="105" s="1"/>
  <c r="S151" i="105" a="1"/>
  <c r="S151" i="105" s="1"/>
  <c r="R151" i="105" a="1"/>
  <c r="R151" i="105" s="1"/>
  <c r="Q151" i="105" a="1"/>
  <c r="Q151" i="105" s="1"/>
  <c r="P151" i="105" a="1"/>
  <c r="P151" i="105" s="1"/>
  <c r="O151" i="105" a="1"/>
  <c r="O151" i="105" s="1"/>
  <c r="N151" i="105" a="1"/>
  <c r="N151" i="105" s="1"/>
  <c r="M151" i="105" a="1"/>
  <c r="M151" i="105" s="1"/>
  <c r="L151" i="105" a="1"/>
  <c r="L151" i="105" s="1"/>
  <c r="K151" i="105" a="1"/>
  <c r="K151" i="105" s="1"/>
  <c r="J151" i="105" a="1"/>
  <c r="J151" i="105" s="1"/>
  <c r="I151" i="105" a="1"/>
  <c r="I151" i="105" s="1"/>
  <c r="H151" i="105" a="1"/>
  <c r="H151" i="105" s="1"/>
  <c r="G151" i="105" a="1"/>
  <c r="G151" i="105" s="1"/>
  <c r="F151" i="105" a="1"/>
  <c r="F151" i="105" s="1"/>
  <c r="E151" i="105" a="1"/>
  <c r="E151" i="105" s="1"/>
  <c r="D151" i="105" a="1"/>
  <c r="D151" i="105" s="1"/>
  <c r="AH150" i="105" a="1"/>
  <c r="AH150" i="105" s="1"/>
  <c r="AG150" i="105" a="1"/>
  <c r="AG150" i="105" s="1"/>
  <c r="AF150" i="105" a="1"/>
  <c r="AF150" i="105" s="1"/>
  <c r="AE150" i="105" a="1"/>
  <c r="AE150" i="105" s="1"/>
  <c r="AD150" i="105" a="1"/>
  <c r="AD150" i="105" s="1"/>
  <c r="AC150" i="105" a="1"/>
  <c r="AC150" i="105" s="1"/>
  <c r="AB150" i="105" a="1"/>
  <c r="AB150" i="105" s="1"/>
  <c r="AA150" i="105" a="1"/>
  <c r="AA150" i="105" s="1"/>
  <c r="Z150" i="105" a="1"/>
  <c r="Z150" i="105" s="1"/>
  <c r="Y150" i="105" a="1"/>
  <c r="Y150" i="105" s="1"/>
  <c r="X150" i="105" a="1"/>
  <c r="X150" i="105" s="1"/>
  <c r="W150" i="105" a="1"/>
  <c r="W150" i="105" s="1"/>
  <c r="V150" i="105" a="1"/>
  <c r="V150" i="105" s="1"/>
  <c r="U150" i="105" a="1"/>
  <c r="U150" i="105" s="1"/>
  <c r="T150" i="105" a="1"/>
  <c r="T150" i="105" s="1"/>
  <c r="S150" i="105" a="1"/>
  <c r="S150" i="105" s="1"/>
  <c r="R150" i="105" a="1"/>
  <c r="R150" i="105" s="1"/>
  <c r="Q150" i="105" a="1"/>
  <c r="Q150" i="105" s="1"/>
  <c r="P150" i="105" a="1"/>
  <c r="P150" i="105" s="1"/>
  <c r="O150" i="105" a="1"/>
  <c r="O150" i="105" s="1"/>
  <c r="N150" i="105" a="1"/>
  <c r="N150" i="105" s="1"/>
  <c r="M150" i="105" a="1"/>
  <c r="M150" i="105" s="1"/>
  <c r="L150" i="105" a="1"/>
  <c r="L150" i="105" s="1"/>
  <c r="K150" i="105" a="1"/>
  <c r="K150" i="105" s="1"/>
  <c r="J150" i="105" a="1"/>
  <c r="J150" i="105" s="1"/>
  <c r="I150" i="105" a="1"/>
  <c r="I150" i="105" s="1"/>
  <c r="H150" i="105" a="1"/>
  <c r="H150" i="105" s="1"/>
  <c r="G150" i="105" a="1"/>
  <c r="G150" i="105" s="1"/>
  <c r="F150" i="105" a="1"/>
  <c r="F150" i="105" s="1"/>
  <c r="E150" i="105" a="1"/>
  <c r="E150" i="105" s="1"/>
  <c r="D150" i="105" a="1"/>
  <c r="D150" i="105" s="1"/>
  <c r="AH149" i="105" a="1"/>
  <c r="AH149" i="105" s="1"/>
  <c r="AG149" i="105" a="1"/>
  <c r="AG149" i="105" s="1"/>
  <c r="AF149" i="105" a="1"/>
  <c r="AF149" i="105" s="1"/>
  <c r="AE149" i="105" a="1"/>
  <c r="AE149" i="105" s="1"/>
  <c r="AD149" i="105" a="1"/>
  <c r="AD149" i="105" s="1"/>
  <c r="AC149" i="105" a="1"/>
  <c r="AC149" i="105" s="1"/>
  <c r="AB149" i="105" a="1"/>
  <c r="AB149" i="105" s="1"/>
  <c r="AA149" i="105" a="1"/>
  <c r="AA149" i="105" s="1"/>
  <c r="Z149" i="105" a="1"/>
  <c r="Z149" i="105" s="1"/>
  <c r="Y149" i="105" a="1"/>
  <c r="Y149" i="105" s="1"/>
  <c r="X149" i="105" a="1"/>
  <c r="X149" i="105" s="1"/>
  <c r="W149" i="105" a="1"/>
  <c r="W149" i="105" s="1"/>
  <c r="V149" i="105" a="1"/>
  <c r="V149" i="105" s="1"/>
  <c r="U149" i="105" a="1"/>
  <c r="U149" i="105" s="1"/>
  <c r="T149" i="105" a="1"/>
  <c r="T149" i="105" s="1"/>
  <c r="S149" i="105" a="1"/>
  <c r="S149" i="105" s="1"/>
  <c r="R149" i="105" a="1"/>
  <c r="R149" i="105" s="1"/>
  <c r="Q149" i="105" a="1"/>
  <c r="Q149" i="105" s="1"/>
  <c r="P149" i="105" a="1"/>
  <c r="P149" i="105" s="1"/>
  <c r="O149" i="105" a="1"/>
  <c r="O149" i="105" s="1"/>
  <c r="N149" i="105" a="1"/>
  <c r="N149" i="105" s="1"/>
  <c r="M149" i="105" a="1"/>
  <c r="M149" i="105" s="1"/>
  <c r="L149" i="105" a="1"/>
  <c r="L149" i="105" s="1"/>
  <c r="K149" i="105" a="1"/>
  <c r="K149" i="105" s="1"/>
  <c r="J149" i="105" a="1"/>
  <c r="J149" i="105" s="1"/>
  <c r="I149" i="105" a="1"/>
  <c r="I149" i="105" s="1"/>
  <c r="H149" i="105" a="1"/>
  <c r="H149" i="105" s="1"/>
  <c r="G149" i="105" a="1"/>
  <c r="G149" i="105" s="1"/>
  <c r="F149" i="105" a="1"/>
  <c r="F149" i="105" s="1"/>
  <c r="E149" i="105" a="1"/>
  <c r="E149" i="105" s="1"/>
  <c r="D149" i="105" a="1"/>
  <c r="D149" i="105" s="1"/>
  <c r="AH148" i="105" a="1"/>
  <c r="AH148" i="105" s="1"/>
  <c r="AG148" i="105" a="1"/>
  <c r="AG148" i="105" s="1"/>
  <c r="AF148" i="105" a="1"/>
  <c r="AF148" i="105" s="1"/>
  <c r="AE148" i="105" a="1"/>
  <c r="AE148" i="105" s="1"/>
  <c r="AD148" i="105" a="1"/>
  <c r="AD148" i="105" s="1"/>
  <c r="AC148" i="105" a="1"/>
  <c r="AC148" i="105" s="1"/>
  <c r="AB148" i="105" a="1"/>
  <c r="AB148" i="105" s="1"/>
  <c r="AA148" i="105" a="1"/>
  <c r="AA148" i="105" s="1"/>
  <c r="Z148" i="105" a="1"/>
  <c r="Z148" i="105" s="1"/>
  <c r="Y148" i="105" a="1"/>
  <c r="Y148" i="105" s="1"/>
  <c r="X148" i="105" a="1"/>
  <c r="X148" i="105" s="1"/>
  <c r="W148" i="105" a="1"/>
  <c r="W148" i="105" s="1"/>
  <c r="V148" i="105" a="1"/>
  <c r="V148" i="105" s="1"/>
  <c r="U148" i="105" a="1"/>
  <c r="U148" i="105" s="1"/>
  <c r="T148" i="105" a="1"/>
  <c r="T148" i="105" s="1"/>
  <c r="S148" i="105" a="1"/>
  <c r="S148" i="105" s="1"/>
  <c r="R148" i="105" a="1"/>
  <c r="R148" i="105" s="1"/>
  <c r="Q148" i="105" a="1"/>
  <c r="Q148" i="105" s="1"/>
  <c r="P148" i="105" a="1"/>
  <c r="P148" i="105" s="1"/>
  <c r="O148" i="105" a="1"/>
  <c r="O148" i="105" s="1"/>
  <c r="N148" i="105" a="1"/>
  <c r="N148" i="105" s="1"/>
  <c r="M148" i="105" a="1"/>
  <c r="M148" i="105" s="1"/>
  <c r="L148" i="105" a="1"/>
  <c r="L148" i="105" s="1"/>
  <c r="K148" i="105" a="1"/>
  <c r="K148" i="105" s="1"/>
  <c r="J148" i="105" a="1"/>
  <c r="J148" i="105" s="1"/>
  <c r="I148" i="105" a="1"/>
  <c r="I148" i="105" s="1"/>
  <c r="H148" i="105" a="1"/>
  <c r="H148" i="105" s="1"/>
  <c r="G148" i="105" a="1"/>
  <c r="G148" i="105" s="1"/>
  <c r="F148" i="105" a="1"/>
  <c r="F148" i="105" s="1"/>
  <c r="E148" i="105" a="1"/>
  <c r="E148" i="105" s="1"/>
  <c r="D148" i="105" a="1"/>
  <c r="D148" i="105" s="1"/>
  <c r="AH147" i="105" a="1"/>
  <c r="AH147" i="105" s="1"/>
  <c r="AG147" i="105" a="1"/>
  <c r="AG147" i="105" s="1"/>
  <c r="AF147" i="105" a="1"/>
  <c r="AF147" i="105" s="1"/>
  <c r="AE147" i="105" a="1"/>
  <c r="AE147" i="105" s="1"/>
  <c r="AD147" i="105" a="1"/>
  <c r="AD147" i="105" s="1"/>
  <c r="AC147" i="105" a="1"/>
  <c r="AC147" i="105" s="1"/>
  <c r="AB147" i="105" a="1"/>
  <c r="AB147" i="105" s="1"/>
  <c r="AA147" i="105" a="1"/>
  <c r="AA147" i="105" s="1"/>
  <c r="Z147" i="105" a="1"/>
  <c r="Z147" i="105" s="1"/>
  <c r="Y147" i="105" a="1"/>
  <c r="Y147" i="105" s="1"/>
  <c r="X147" i="105" a="1"/>
  <c r="X147" i="105" s="1"/>
  <c r="W147" i="105" a="1"/>
  <c r="W147" i="105" s="1"/>
  <c r="V147" i="105" a="1"/>
  <c r="V147" i="105" s="1"/>
  <c r="U147" i="105" a="1"/>
  <c r="U147" i="105" s="1"/>
  <c r="T147" i="105" a="1"/>
  <c r="T147" i="105" s="1"/>
  <c r="S147" i="105" a="1"/>
  <c r="S147" i="105" s="1"/>
  <c r="R147" i="105" a="1"/>
  <c r="R147" i="105" s="1"/>
  <c r="Q147" i="105" a="1"/>
  <c r="Q147" i="105" s="1"/>
  <c r="P147" i="105" a="1"/>
  <c r="P147" i="105" s="1"/>
  <c r="O147" i="105" a="1"/>
  <c r="O147" i="105" s="1"/>
  <c r="N147" i="105" a="1"/>
  <c r="N147" i="105" s="1"/>
  <c r="M147" i="105" a="1"/>
  <c r="M147" i="105" s="1"/>
  <c r="L147" i="105" a="1"/>
  <c r="L147" i="105" s="1"/>
  <c r="K147" i="105" a="1"/>
  <c r="K147" i="105" s="1"/>
  <c r="J147" i="105" a="1"/>
  <c r="J147" i="105" s="1"/>
  <c r="I147" i="105" a="1"/>
  <c r="I147" i="105" s="1"/>
  <c r="H147" i="105" a="1"/>
  <c r="H147" i="105" s="1"/>
  <c r="G147" i="105" a="1"/>
  <c r="G147" i="105" s="1"/>
  <c r="F147" i="105" a="1"/>
  <c r="F147" i="105" s="1"/>
  <c r="E147" i="105" a="1"/>
  <c r="E147" i="105" s="1"/>
  <c r="D147" i="105" a="1"/>
  <c r="D147" i="105" s="1"/>
  <c r="AH146" i="105" a="1"/>
  <c r="AH146" i="105" s="1"/>
  <c r="AG146" i="105" a="1"/>
  <c r="AG146" i="105" s="1"/>
  <c r="AF146" i="105" a="1"/>
  <c r="AF146" i="105" s="1"/>
  <c r="AE146" i="105" a="1"/>
  <c r="AE146" i="105" s="1"/>
  <c r="AD146" i="105" a="1"/>
  <c r="AD146" i="105" s="1"/>
  <c r="AC146" i="105" a="1"/>
  <c r="AC146" i="105" s="1"/>
  <c r="AB146" i="105" a="1"/>
  <c r="AB146" i="105" s="1"/>
  <c r="AA146" i="105" a="1"/>
  <c r="AA146" i="105" s="1"/>
  <c r="Z146" i="105" a="1"/>
  <c r="Z146" i="105" s="1"/>
  <c r="Y146" i="105" a="1"/>
  <c r="Y146" i="105" s="1"/>
  <c r="X146" i="105" a="1"/>
  <c r="X146" i="105" s="1"/>
  <c r="W146" i="105" a="1"/>
  <c r="W146" i="105" s="1"/>
  <c r="V146" i="105" a="1"/>
  <c r="V146" i="105" s="1"/>
  <c r="U146" i="105" a="1"/>
  <c r="U146" i="105" s="1"/>
  <c r="T146" i="105" a="1"/>
  <c r="T146" i="105" s="1"/>
  <c r="S146" i="105" a="1"/>
  <c r="S146" i="105" s="1"/>
  <c r="R146" i="105" a="1"/>
  <c r="R146" i="105" s="1"/>
  <c r="Q146" i="105" a="1"/>
  <c r="Q146" i="105" s="1"/>
  <c r="P146" i="105" a="1"/>
  <c r="P146" i="105" s="1"/>
  <c r="O146" i="105" a="1"/>
  <c r="O146" i="105" s="1"/>
  <c r="N146" i="105" a="1"/>
  <c r="N146" i="105" s="1"/>
  <c r="M146" i="105" a="1"/>
  <c r="M146" i="105" s="1"/>
  <c r="L146" i="105" a="1"/>
  <c r="L146" i="105" s="1"/>
  <c r="K146" i="105" a="1"/>
  <c r="K146" i="105" s="1"/>
  <c r="J146" i="105" a="1"/>
  <c r="J146" i="105" s="1"/>
  <c r="I146" i="105" a="1"/>
  <c r="I146" i="105" s="1"/>
  <c r="H146" i="105" a="1"/>
  <c r="H146" i="105" s="1"/>
  <c r="G146" i="105" a="1"/>
  <c r="G146" i="105" s="1"/>
  <c r="F146" i="105" a="1"/>
  <c r="F146" i="105" s="1"/>
  <c r="E146" i="105" a="1"/>
  <c r="E146" i="105" s="1"/>
  <c r="D146" i="105" a="1"/>
  <c r="D146" i="105" s="1"/>
  <c r="AH145" i="105" a="1"/>
  <c r="AH145" i="105" s="1"/>
  <c r="AG145" i="105" a="1"/>
  <c r="AG145" i="105" s="1"/>
  <c r="AF145" i="105" a="1"/>
  <c r="AF145" i="105" s="1"/>
  <c r="AE145" i="105" a="1"/>
  <c r="AE145" i="105" s="1"/>
  <c r="AD145" i="105" a="1"/>
  <c r="AD145" i="105" s="1"/>
  <c r="AC145" i="105" a="1"/>
  <c r="AC145" i="105" s="1"/>
  <c r="AB145" i="105" a="1"/>
  <c r="AB145" i="105" s="1"/>
  <c r="AA145" i="105" a="1"/>
  <c r="AA145" i="105" s="1"/>
  <c r="Z145" i="105" a="1"/>
  <c r="Z145" i="105" s="1"/>
  <c r="Y145" i="105" a="1"/>
  <c r="Y145" i="105" s="1"/>
  <c r="X145" i="105" a="1"/>
  <c r="X145" i="105" s="1"/>
  <c r="W145" i="105" a="1"/>
  <c r="W145" i="105" s="1"/>
  <c r="V145" i="105" a="1"/>
  <c r="V145" i="105" s="1"/>
  <c r="U145" i="105" a="1"/>
  <c r="U145" i="105" s="1"/>
  <c r="T145" i="105" a="1"/>
  <c r="T145" i="105" s="1"/>
  <c r="S145" i="105" a="1"/>
  <c r="S145" i="105" s="1"/>
  <c r="R145" i="105" a="1"/>
  <c r="R145" i="105" s="1"/>
  <c r="Q145" i="105" a="1"/>
  <c r="Q145" i="105" s="1"/>
  <c r="P145" i="105" a="1"/>
  <c r="P145" i="105" s="1"/>
  <c r="O145" i="105" a="1"/>
  <c r="O145" i="105" s="1"/>
  <c r="N145" i="105" a="1"/>
  <c r="N145" i="105" s="1"/>
  <c r="M145" i="105" a="1"/>
  <c r="M145" i="105" s="1"/>
  <c r="L145" i="105" a="1"/>
  <c r="L145" i="105" s="1"/>
  <c r="K145" i="105" a="1"/>
  <c r="K145" i="105" s="1"/>
  <c r="J145" i="105" a="1"/>
  <c r="J145" i="105" s="1"/>
  <c r="I145" i="105" a="1"/>
  <c r="I145" i="105" s="1"/>
  <c r="H145" i="105" a="1"/>
  <c r="H145" i="105" s="1"/>
  <c r="G145" i="105" a="1"/>
  <c r="G145" i="105" s="1"/>
  <c r="F145" i="105" a="1"/>
  <c r="F145" i="105" s="1"/>
  <c r="E145" i="105" a="1"/>
  <c r="E145" i="105" s="1"/>
  <c r="D145" i="105" a="1"/>
  <c r="D145" i="105" s="1"/>
  <c r="AH144" i="105" a="1"/>
  <c r="AH144" i="105" s="1"/>
  <c r="AG144" i="105" a="1"/>
  <c r="AG144" i="105" s="1"/>
  <c r="AF144" i="105" a="1"/>
  <c r="AF144" i="105" s="1"/>
  <c r="AE144" i="105" a="1"/>
  <c r="AE144" i="105" s="1"/>
  <c r="AD144" i="105" a="1"/>
  <c r="AD144" i="105" s="1"/>
  <c r="AC144" i="105" a="1"/>
  <c r="AC144" i="105" s="1"/>
  <c r="AB144" i="105" a="1"/>
  <c r="AB144" i="105" s="1"/>
  <c r="AA144" i="105" a="1"/>
  <c r="AA144" i="105" s="1"/>
  <c r="Z144" i="105" a="1"/>
  <c r="Z144" i="105" s="1"/>
  <c r="Y144" i="105" a="1"/>
  <c r="Y144" i="105" s="1"/>
  <c r="X144" i="105" a="1"/>
  <c r="X144" i="105" s="1"/>
  <c r="W144" i="105" a="1"/>
  <c r="W144" i="105" s="1"/>
  <c r="V144" i="105" a="1"/>
  <c r="V144" i="105" s="1"/>
  <c r="U144" i="105" a="1"/>
  <c r="U144" i="105" s="1"/>
  <c r="T144" i="105" a="1"/>
  <c r="T144" i="105" s="1"/>
  <c r="S144" i="105" a="1"/>
  <c r="S144" i="105" s="1"/>
  <c r="R144" i="105" a="1"/>
  <c r="R144" i="105" s="1"/>
  <c r="Q144" i="105" a="1"/>
  <c r="Q144" i="105" s="1"/>
  <c r="P144" i="105" a="1"/>
  <c r="P144" i="105" s="1"/>
  <c r="O144" i="105" a="1"/>
  <c r="O144" i="105" s="1"/>
  <c r="N144" i="105" a="1"/>
  <c r="N144" i="105" s="1"/>
  <c r="M144" i="105" a="1"/>
  <c r="M144" i="105" s="1"/>
  <c r="L144" i="105" a="1"/>
  <c r="L144" i="105" s="1"/>
  <c r="K144" i="105" a="1"/>
  <c r="K144" i="105" s="1"/>
  <c r="J144" i="105" a="1"/>
  <c r="J144" i="105" s="1"/>
  <c r="I144" i="105" a="1"/>
  <c r="I144" i="105" s="1"/>
  <c r="H144" i="105" a="1"/>
  <c r="H144" i="105" s="1"/>
  <c r="G144" i="105" a="1"/>
  <c r="G144" i="105" s="1"/>
  <c r="F144" i="105" a="1"/>
  <c r="F144" i="105" s="1"/>
  <c r="E144" i="105" a="1"/>
  <c r="E144" i="105" s="1"/>
  <c r="D144" i="105" a="1"/>
  <c r="D144" i="105" s="1"/>
  <c r="AH143" i="105" a="1"/>
  <c r="AH143" i="105" s="1"/>
  <c r="AG143" i="105" a="1"/>
  <c r="AG143" i="105" s="1"/>
  <c r="AF143" i="105" a="1"/>
  <c r="AF143" i="105" s="1"/>
  <c r="AE143" i="105" a="1"/>
  <c r="AE143" i="105" s="1"/>
  <c r="AD143" i="105" a="1"/>
  <c r="AD143" i="105" s="1"/>
  <c r="AC143" i="105" a="1"/>
  <c r="AC143" i="105" s="1"/>
  <c r="AB143" i="105" a="1"/>
  <c r="AB143" i="105" s="1"/>
  <c r="AA143" i="105" a="1"/>
  <c r="AA143" i="105" s="1"/>
  <c r="Z143" i="105" a="1"/>
  <c r="Z143" i="105" s="1"/>
  <c r="Y143" i="105" a="1"/>
  <c r="Y143" i="105" s="1"/>
  <c r="X143" i="105" a="1"/>
  <c r="X143" i="105" s="1"/>
  <c r="W143" i="105" a="1"/>
  <c r="W143" i="105" s="1"/>
  <c r="V143" i="105" a="1"/>
  <c r="V143" i="105" s="1"/>
  <c r="U143" i="105" a="1"/>
  <c r="U143" i="105" s="1"/>
  <c r="T143" i="105" a="1"/>
  <c r="T143" i="105" s="1"/>
  <c r="S143" i="105" a="1"/>
  <c r="S143" i="105" s="1"/>
  <c r="R143" i="105" a="1"/>
  <c r="R143" i="105" s="1"/>
  <c r="Q143" i="105" a="1"/>
  <c r="Q143" i="105" s="1"/>
  <c r="P143" i="105" a="1"/>
  <c r="P143" i="105" s="1"/>
  <c r="O143" i="105" a="1"/>
  <c r="O143" i="105" s="1"/>
  <c r="N143" i="105" a="1"/>
  <c r="N143" i="105" s="1"/>
  <c r="M143" i="105" a="1"/>
  <c r="M143" i="105" s="1"/>
  <c r="L143" i="105" a="1"/>
  <c r="L143" i="105" s="1"/>
  <c r="K143" i="105" a="1"/>
  <c r="K143" i="105" s="1"/>
  <c r="J143" i="105" a="1"/>
  <c r="J143" i="105" s="1"/>
  <c r="I143" i="105" a="1"/>
  <c r="I143" i="105" s="1"/>
  <c r="H143" i="105" a="1"/>
  <c r="H143" i="105" s="1"/>
  <c r="G143" i="105" a="1"/>
  <c r="G143" i="105" s="1"/>
  <c r="F143" i="105" a="1"/>
  <c r="F143" i="105" s="1"/>
  <c r="E143" i="105" a="1"/>
  <c r="E143" i="105" s="1"/>
  <c r="D143" i="105" a="1"/>
  <c r="D143" i="105" s="1"/>
  <c r="AH142" i="105" a="1"/>
  <c r="AH142" i="105" s="1"/>
  <c r="AG142" i="105" a="1"/>
  <c r="AG142" i="105" s="1"/>
  <c r="AF142" i="105" a="1"/>
  <c r="AF142" i="105" s="1"/>
  <c r="AE142" i="105" a="1"/>
  <c r="AE142" i="105" s="1"/>
  <c r="AD142" i="105" a="1"/>
  <c r="AD142" i="105" s="1"/>
  <c r="AC142" i="105" a="1"/>
  <c r="AC142" i="105" s="1"/>
  <c r="AB142" i="105" a="1"/>
  <c r="AB142" i="105" s="1"/>
  <c r="AA142" i="105" a="1"/>
  <c r="AA142" i="105" s="1"/>
  <c r="Z142" i="105" a="1"/>
  <c r="Z142" i="105" s="1"/>
  <c r="Y142" i="105" a="1"/>
  <c r="Y142" i="105" s="1"/>
  <c r="X142" i="105" a="1"/>
  <c r="X142" i="105" s="1"/>
  <c r="W142" i="105" a="1"/>
  <c r="W142" i="105" s="1"/>
  <c r="V142" i="105" a="1"/>
  <c r="V142" i="105" s="1"/>
  <c r="U142" i="105" a="1"/>
  <c r="U142" i="105" s="1"/>
  <c r="T142" i="105" a="1"/>
  <c r="T142" i="105" s="1"/>
  <c r="S142" i="105" a="1"/>
  <c r="S142" i="105" s="1"/>
  <c r="R142" i="105" a="1"/>
  <c r="R142" i="105" s="1"/>
  <c r="Q142" i="105" a="1"/>
  <c r="Q142" i="105" s="1"/>
  <c r="P142" i="105" a="1"/>
  <c r="P142" i="105" s="1"/>
  <c r="O142" i="105" a="1"/>
  <c r="O142" i="105" s="1"/>
  <c r="N142" i="105" a="1"/>
  <c r="N142" i="105" s="1"/>
  <c r="M142" i="105" a="1"/>
  <c r="M142" i="105" s="1"/>
  <c r="L142" i="105" a="1"/>
  <c r="L142" i="105" s="1"/>
  <c r="K142" i="105" a="1"/>
  <c r="K142" i="105" s="1"/>
  <c r="J142" i="105" a="1"/>
  <c r="J142" i="105" s="1"/>
  <c r="I142" i="105" a="1"/>
  <c r="I142" i="105" s="1"/>
  <c r="H142" i="105" a="1"/>
  <c r="H142" i="105" s="1"/>
  <c r="G142" i="105" a="1"/>
  <c r="G142" i="105" s="1"/>
  <c r="F142" i="105" a="1"/>
  <c r="F142" i="105" s="1"/>
  <c r="E142" i="105" a="1"/>
  <c r="E142" i="105" s="1"/>
  <c r="D142" i="105" a="1"/>
  <c r="D142" i="105" s="1"/>
  <c r="AH141" i="105" a="1"/>
  <c r="AH141" i="105" s="1"/>
  <c r="AG141" i="105" a="1"/>
  <c r="AG141" i="105" s="1"/>
  <c r="AF141" i="105" a="1"/>
  <c r="AF141" i="105" s="1"/>
  <c r="AE141" i="105" a="1"/>
  <c r="AE141" i="105" s="1"/>
  <c r="AD141" i="105" a="1"/>
  <c r="AD141" i="105" s="1"/>
  <c r="AC141" i="105" a="1"/>
  <c r="AC141" i="105" s="1"/>
  <c r="AB141" i="105" a="1"/>
  <c r="AB141" i="105" s="1"/>
  <c r="AA141" i="105" a="1"/>
  <c r="AA141" i="105" s="1"/>
  <c r="Z141" i="105" a="1"/>
  <c r="Z141" i="105" s="1"/>
  <c r="Y141" i="105" a="1"/>
  <c r="Y141" i="105" s="1"/>
  <c r="X141" i="105" a="1"/>
  <c r="X141" i="105" s="1"/>
  <c r="W141" i="105" a="1"/>
  <c r="W141" i="105" s="1"/>
  <c r="V141" i="105" a="1"/>
  <c r="V141" i="105" s="1"/>
  <c r="U141" i="105" a="1"/>
  <c r="U141" i="105" s="1"/>
  <c r="T141" i="105" a="1"/>
  <c r="T141" i="105" s="1"/>
  <c r="S141" i="105" a="1"/>
  <c r="S141" i="105" s="1"/>
  <c r="R141" i="105" a="1"/>
  <c r="R141" i="105" s="1"/>
  <c r="Q141" i="105" a="1"/>
  <c r="Q141" i="105" s="1"/>
  <c r="P141" i="105" a="1"/>
  <c r="P141" i="105" s="1"/>
  <c r="O141" i="105" a="1"/>
  <c r="O141" i="105" s="1"/>
  <c r="N141" i="105" a="1"/>
  <c r="N141" i="105" s="1"/>
  <c r="M141" i="105" a="1"/>
  <c r="M141" i="105" s="1"/>
  <c r="L141" i="105" a="1"/>
  <c r="L141" i="105" s="1"/>
  <c r="K141" i="105" a="1"/>
  <c r="K141" i="105" s="1"/>
  <c r="J141" i="105" a="1"/>
  <c r="J141" i="105" s="1"/>
  <c r="I141" i="105" a="1"/>
  <c r="I141" i="105" s="1"/>
  <c r="H141" i="105" a="1"/>
  <c r="H141" i="105" s="1"/>
  <c r="G141" i="105" a="1"/>
  <c r="G141" i="105" s="1"/>
  <c r="F141" i="105" a="1"/>
  <c r="F141" i="105" s="1"/>
  <c r="E141" i="105" a="1"/>
  <c r="E141" i="105" s="1"/>
  <c r="D141" i="105" a="1"/>
  <c r="D141" i="105" s="1"/>
  <c r="AH140" i="105" a="1"/>
  <c r="AH140" i="105" s="1"/>
  <c r="AG140" i="105" a="1"/>
  <c r="AG140" i="105" s="1"/>
  <c r="AF140" i="105" a="1"/>
  <c r="AF140" i="105" s="1"/>
  <c r="AE140" i="105" a="1"/>
  <c r="AE140" i="105" s="1"/>
  <c r="AD140" i="105" a="1"/>
  <c r="AD140" i="105" s="1"/>
  <c r="AC140" i="105" a="1"/>
  <c r="AC140" i="105" s="1"/>
  <c r="AB140" i="105" a="1"/>
  <c r="AB140" i="105" s="1"/>
  <c r="AA140" i="105" a="1"/>
  <c r="AA140" i="105" s="1"/>
  <c r="Z140" i="105" a="1"/>
  <c r="Z140" i="105" s="1"/>
  <c r="Y140" i="105" a="1"/>
  <c r="Y140" i="105" s="1"/>
  <c r="X140" i="105" a="1"/>
  <c r="X140" i="105" s="1"/>
  <c r="W140" i="105" a="1"/>
  <c r="W140" i="105" s="1"/>
  <c r="V140" i="105" a="1"/>
  <c r="V140" i="105" s="1"/>
  <c r="U140" i="105" a="1"/>
  <c r="U140" i="105" s="1"/>
  <c r="T140" i="105" a="1"/>
  <c r="T140" i="105" s="1"/>
  <c r="S140" i="105" a="1"/>
  <c r="S140" i="105" s="1"/>
  <c r="R140" i="105" a="1"/>
  <c r="R140" i="105" s="1"/>
  <c r="Q140" i="105" a="1"/>
  <c r="Q140" i="105" s="1"/>
  <c r="P140" i="105" a="1"/>
  <c r="P140" i="105" s="1"/>
  <c r="O140" i="105" a="1"/>
  <c r="O140" i="105" s="1"/>
  <c r="N140" i="105" a="1"/>
  <c r="N140" i="105" s="1"/>
  <c r="M140" i="105" a="1"/>
  <c r="M140" i="105" s="1"/>
  <c r="L140" i="105" a="1"/>
  <c r="L140" i="105" s="1"/>
  <c r="K140" i="105" a="1"/>
  <c r="K140" i="105" s="1"/>
  <c r="J140" i="105" a="1"/>
  <c r="J140" i="105" s="1"/>
  <c r="I140" i="105" a="1"/>
  <c r="I140" i="105" s="1"/>
  <c r="H140" i="105" a="1"/>
  <c r="H140" i="105" s="1"/>
  <c r="G140" i="105" a="1"/>
  <c r="G140" i="105" s="1"/>
  <c r="F140" i="105" a="1"/>
  <c r="F140" i="105" s="1"/>
  <c r="E140" i="105" a="1"/>
  <c r="E140" i="105" s="1"/>
  <c r="D140" i="105" a="1"/>
  <c r="D140" i="105" s="1"/>
  <c r="AH139" i="105" a="1"/>
  <c r="AH139" i="105" s="1"/>
  <c r="AG139" i="105" a="1"/>
  <c r="AG139" i="105" s="1"/>
  <c r="AF139" i="105" a="1"/>
  <c r="AF139" i="105" s="1"/>
  <c r="AE139" i="105" a="1"/>
  <c r="AE139" i="105" s="1"/>
  <c r="AD139" i="105" a="1"/>
  <c r="AD139" i="105" s="1"/>
  <c r="AC139" i="105" a="1"/>
  <c r="AC139" i="105" s="1"/>
  <c r="AB139" i="105" a="1"/>
  <c r="AB139" i="105" s="1"/>
  <c r="AA139" i="105" a="1"/>
  <c r="AA139" i="105" s="1"/>
  <c r="Z139" i="105" a="1"/>
  <c r="Z139" i="105" s="1"/>
  <c r="Y139" i="105" a="1"/>
  <c r="Y139" i="105" s="1"/>
  <c r="X139" i="105" a="1"/>
  <c r="X139" i="105" s="1"/>
  <c r="W139" i="105" a="1"/>
  <c r="W139" i="105" s="1"/>
  <c r="V139" i="105" a="1"/>
  <c r="V139" i="105" s="1"/>
  <c r="U139" i="105" a="1"/>
  <c r="U139" i="105" s="1"/>
  <c r="T139" i="105" a="1"/>
  <c r="T139" i="105" s="1"/>
  <c r="S139" i="105" a="1"/>
  <c r="S139" i="105" s="1"/>
  <c r="R139" i="105" a="1"/>
  <c r="R139" i="105" s="1"/>
  <c r="Q139" i="105" a="1"/>
  <c r="Q139" i="105" s="1"/>
  <c r="P139" i="105" a="1"/>
  <c r="P139" i="105" s="1"/>
  <c r="O139" i="105" a="1"/>
  <c r="O139" i="105" s="1"/>
  <c r="N139" i="105" a="1"/>
  <c r="N139" i="105" s="1"/>
  <c r="M139" i="105" a="1"/>
  <c r="M139" i="105" s="1"/>
  <c r="L139" i="105" a="1"/>
  <c r="L139" i="105" s="1"/>
  <c r="K139" i="105" a="1"/>
  <c r="K139" i="105" s="1"/>
  <c r="J139" i="105" a="1"/>
  <c r="J139" i="105" s="1"/>
  <c r="I139" i="105" a="1"/>
  <c r="I139" i="105" s="1"/>
  <c r="H139" i="105" a="1"/>
  <c r="H139" i="105" s="1"/>
  <c r="G139" i="105" a="1"/>
  <c r="G139" i="105" s="1"/>
  <c r="F139" i="105" a="1"/>
  <c r="F139" i="105" s="1"/>
  <c r="E139" i="105" a="1"/>
  <c r="E139" i="105" s="1"/>
  <c r="D139" i="105" a="1"/>
  <c r="D139" i="105" s="1"/>
  <c r="AH138" i="105" a="1"/>
  <c r="AH138" i="105" s="1"/>
  <c r="AG138" i="105" a="1"/>
  <c r="AG138" i="105" s="1"/>
  <c r="AF138" i="105" a="1"/>
  <c r="AF138" i="105" s="1"/>
  <c r="AE138" i="105" a="1"/>
  <c r="AE138" i="105" s="1"/>
  <c r="AD138" i="105" a="1"/>
  <c r="AD138" i="105" s="1"/>
  <c r="AC138" i="105" a="1"/>
  <c r="AC138" i="105" s="1"/>
  <c r="AB138" i="105" a="1"/>
  <c r="AB138" i="105" s="1"/>
  <c r="AA138" i="105" a="1"/>
  <c r="AA138" i="105" s="1"/>
  <c r="Z138" i="105" a="1"/>
  <c r="Z138" i="105" s="1"/>
  <c r="Y138" i="105" a="1"/>
  <c r="Y138" i="105" s="1"/>
  <c r="X138" i="105" a="1"/>
  <c r="X138" i="105" s="1"/>
  <c r="W138" i="105" a="1"/>
  <c r="W138" i="105" s="1"/>
  <c r="V138" i="105" a="1"/>
  <c r="V138" i="105" s="1"/>
  <c r="U138" i="105" a="1"/>
  <c r="U138" i="105" s="1"/>
  <c r="T138" i="105" a="1"/>
  <c r="T138" i="105" s="1"/>
  <c r="S138" i="105" a="1"/>
  <c r="S138" i="105" s="1"/>
  <c r="R138" i="105" a="1"/>
  <c r="R138" i="105" s="1"/>
  <c r="Q138" i="105" a="1"/>
  <c r="Q138" i="105" s="1"/>
  <c r="P138" i="105" a="1"/>
  <c r="P138" i="105" s="1"/>
  <c r="O138" i="105" a="1"/>
  <c r="O138" i="105" s="1"/>
  <c r="N138" i="105" a="1"/>
  <c r="N138" i="105" s="1"/>
  <c r="M138" i="105" a="1"/>
  <c r="M138" i="105" s="1"/>
  <c r="L138" i="105" a="1"/>
  <c r="L138" i="105" s="1"/>
  <c r="K138" i="105" a="1"/>
  <c r="K138" i="105" s="1"/>
  <c r="J138" i="105" a="1"/>
  <c r="J138" i="105" s="1"/>
  <c r="I138" i="105" a="1"/>
  <c r="I138" i="105" s="1"/>
  <c r="H138" i="105" a="1"/>
  <c r="H138" i="105" s="1"/>
  <c r="G138" i="105" a="1"/>
  <c r="G138" i="105" s="1"/>
  <c r="F138" i="105" a="1"/>
  <c r="F138" i="105" s="1"/>
  <c r="E138" i="105" a="1"/>
  <c r="E138" i="105" s="1"/>
  <c r="D138" i="105" a="1"/>
  <c r="D138" i="105" s="1"/>
  <c r="AH137" i="105" a="1"/>
  <c r="AH137" i="105" s="1"/>
  <c r="AG137" i="105" a="1"/>
  <c r="AG137" i="105" s="1"/>
  <c r="AF137" i="105" a="1"/>
  <c r="AF137" i="105" s="1"/>
  <c r="AE137" i="105" a="1"/>
  <c r="AE137" i="105" s="1"/>
  <c r="AD137" i="105" a="1"/>
  <c r="AD137" i="105" s="1"/>
  <c r="AC137" i="105" a="1"/>
  <c r="AC137" i="105" s="1"/>
  <c r="AB137" i="105" a="1"/>
  <c r="AB137" i="105" s="1"/>
  <c r="AA137" i="105" a="1"/>
  <c r="AA137" i="105" s="1"/>
  <c r="Z137" i="105" a="1"/>
  <c r="Z137" i="105" s="1"/>
  <c r="Y137" i="105" a="1"/>
  <c r="Y137" i="105" s="1"/>
  <c r="X137" i="105" a="1"/>
  <c r="X137" i="105" s="1"/>
  <c r="W137" i="105" a="1"/>
  <c r="W137" i="105" s="1"/>
  <c r="V137" i="105" a="1"/>
  <c r="V137" i="105" s="1"/>
  <c r="U137" i="105" a="1"/>
  <c r="U137" i="105" s="1"/>
  <c r="T137" i="105" a="1"/>
  <c r="T137" i="105" s="1"/>
  <c r="S137" i="105" a="1"/>
  <c r="S137" i="105" s="1"/>
  <c r="R137" i="105" a="1"/>
  <c r="R137" i="105" s="1"/>
  <c r="Q137" i="105" a="1"/>
  <c r="Q137" i="105" s="1"/>
  <c r="P137" i="105" a="1"/>
  <c r="P137" i="105" s="1"/>
  <c r="O137" i="105" a="1"/>
  <c r="O137" i="105" s="1"/>
  <c r="N137" i="105" a="1"/>
  <c r="N137" i="105" s="1"/>
  <c r="M137" i="105" a="1"/>
  <c r="M137" i="105" s="1"/>
  <c r="L137" i="105" a="1"/>
  <c r="L137" i="105" s="1"/>
  <c r="K137" i="105" a="1"/>
  <c r="K137" i="105" s="1"/>
  <c r="J137" i="105" a="1"/>
  <c r="J137" i="105" s="1"/>
  <c r="I137" i="105" a="1"/>
  <c r="I137" i="105" s="1"/>
  <c r="H137" i="105" a="1"/>
  <c r="H137" i="105" s="1"/>
  <c r="G137" i="105" a="1"/>
  <c r="G137" i="105" s="1"/>
  <c r="F137" i="105" a="1"/>
  <c r="F137" i="105" s="1"/>
  <c r="E137" i="105" a="1"/>
  <c r="E137" i="105" s="1"/>
  <c r="D137" i="105" a="1"/>
  <c r="D137" i="105" s="1"/>
  <c r="AH136" i="105" a="1"/>
  <c r="AH136" i="105" s="1"/>
  <c r="AG136" i="105" a="1"/>
  <c r="AG136" i="105" s="1"/>
  <c r="AF136" i="105" a="1"/>
  <c r="AF136" i="105" s="1"/>
  <c r="AE136" i="105" a="1"/>
  <c r="AE136" i="105" s="1"/>
  <c r="AD136" i="105" a="1"/>
  <c r="AD136" i="105" s="1"/>
  <c r="AC136" i="105" a="1"/>
  <c r="AC136" i="105" s="1"/>
  <c r="AB136" i="105" a="1"/>
  <c r="AB136" i="105" s="1"/>
  <c r="AA136" i="105" a="1"/>
  <c r="AA136" i="105" s="1"/>
  <c r="Z136" i="105" a="1"/>
  <c r="Z136" i="105" s="1"/>
  <c r="Y136" i="105" a="1"/>
  <c r="Y136" i="105" s="1"/>
  <c r="X136" i="105" a="1"/>
  <c r="X136" i="105" s="1"/>
  <c r="W136" i="105" a="1"/>
  <c r="W136" i="105" s="1"/>
  <c r="V136" i="105" a="1"/>
  <c r="V136" i="105" s="1"/>
  <c r="U136" i="105" a="1"/>
  <c r="U136" i="105" s="1"/>
  <c r="T136" i="105" a="1"/>
  <c r="T136" i="105" s="1"/>
  <c r="S136" i="105" a="1"/>
  <c r="S136" i="105" s="1"/>
  <c r="R136" i="105" a="1"/>
  <c r="R136" i="105" s="1"/>
  <c r="Q136" i="105" a="1"/>
  <c r="Q136" i="105" s="1"/>
  <c r="P136" i="105" a="1"/>
  <c r="P136" i="105" s="1"/>
  <c r="O136" i="105" a="1"/>
  <c r="O136" i="105" s="1"/>
  <c r="N136" i="105" a="1"/>
  <c r="N136" i="105" s="1"/>
  <c r="M136" i="105" a="1"/>
  <c r="M136" i="105" s="1"/>
  <c r="L136" i="105" a="1"/>
  <c r="L136" i="105" s="1"/>
  <c r="K136" i="105" a="1"/>
  <c r="K136" i="105" s="1"/>
  <c r="J136" i="105" a="1"/>
  <c r="J136" i="105" s="1"/>
  <c r="I136" i="105" a="1"/>
  <c r="I136" i="105" s="1"/>
  <c r="H136" i="105" a="1"/>
  <c r="H136" i="105" s="1"/>
  <c r="G136" i="105" a="1"/>
  <c r="G136" i="105" s="1"/>
  <c r="F136" i="105" a="1"/>
  <c r="F136" i="105" s="1"/>
  <c r="E136" i="105" a="1"/>
  <c r="E136" i="105" s="1"/>
  <c r="D136" i="105" a="1"/>
  <c r="D136" i="105" s="1"/>
  <c r="AH135" i="105" a="1"/>
  <c r="AH135" i="105" s="1"/>
  <c r="AG135" i="105" a="1"/>
  <c r="AG135" i="105" s="1"/>
  <c r="AF135" i="105" a="1"/>
  <c r="AF135" i="105" s="1"/>
  <c r="AE135" i="105" a="1"/>
  <c r="AE135" i="105" s="1"/>
  <c r="AD135" i="105" a="1"/>
  <c r="AD135" i="105" s="1"/>
  <c r="AC135" i="105" a="1"/>
  <c r="AC135" i="105" s="1"/>
  <c r="AB135" i="105" a="1"/>
  <c r="AB135" i="105" s="1"/>
  <c r="AA135" i="105" a="1"/>
  <c r="AA135" i="105" s="1"/>
  <c r="Z135" i="105" a="1"/>
  <c r="Z135" i="105" s="1"/>
  <c r="Y135" i="105" a="1"/>
  <c r="Y135" i="105" s="1"/>
  <c r="X135" i="105" a="1"/>
  <c r="X135" i="105" s="1"/>
  <c r="W135" i="105" a="1"/>
  <c r="W135" i="105" s="1"/>
  <c r="V135" i="105" a="1"/>
  <c r="V135" i="105" s="1"/>
  <c r="U135" i="105" a="1"/>
  <c r="U135" i="105" s="1"/>
  <c r="T135" i="105" a="1"/>
  <c r="T135" i="105" s="1"/>
  <c r="S135" i="105" a="1"/>
  <c r="S135" i="105" s="1"/>
  <c r="R135" i="105" a="1"/>
  <c r="R135" i="105" s="1"/>
  <c r="Q135" i="105" a="1"/>
  <c r="Q135" i="105" s="1"/>
  <c r="P135" i="105" a="1"/>
  <c r="P135" i="105" s="1"/>
  <c r="O135" i="105" a="1"/>
  <c r="O135" i="105" s="1"/>
  <c r="N135" i="105" a="1"/>
  <c r="N135" i="105" s="1"/>
  <c r="M135" i="105" a="1"/>
  <c r="M135" i="105" s="1"/>
  <c r="L135" i="105" a="1"/>
  <c r="L135" i="105" s="1"/>
  <c r="K135" i="105" a="1"/>
  <c r="K135" i="105" s="1"/>
  <c r="J135" i="105" a="1"/>
  <c r="J135" i="105" s="1"/>
  <c r="I135" i="105" a="1"/>
  <c r="I135" i="105" s="1"/>
  <c r="H135" i="105" a="1"/>
  <c r="H135" i="105" s="1"/>
  <c r="G135" i="105" a="1"/>
  <c r="G135" i="105" s="1"/>
  <c r="F135" i="105" a="1"/>
  <c r="F135" i="105" s="1"/>
  <c r="E135" i="105" a="1"/>
  <c r="E135" i="105" s="1"/>
  <c r="D135" i="105" a="1"/>
  <c r="D135" i="105" s="1"/>
  <c r="AH134" i="105" a="1"/>
  <c r="AH134" i="105" s="1"/>
  <c r="AG134" i="105" a="1"/>
  <c r="AG134" i="105" s="1"/>
  <c r="AF134" i="105" a="1"/>
  <c r="AF134" i="105" s="1"/>
  <c r="AE134" i="105" a="1"/>
  <c r="AE134" i="105" s="1"/>
  <c r="AD134" i="105" a="1"/>
  <c r="AD134" i="105" s="1"/>
  <c r="AC134" i="105" a="1"/>
  <c r="AC134" i="105" s="1"/>
  <c r="AB134" i="105" a="1"/>
  <c r="AB134" i="105" s="1"/>
  <c r="AA134" i="105" a="1"/>
  <c r="AA134" i="105" s="1"/>
  <c r="Z134" i="105" a="1"/>
  <c r="Z134" i="105" s="1"/>
  <c r="Y134" i="105" a="1"/>
  <c r="Y134" i="105" s="1"/>
  <c r="X134" i="105" a="1"/>
  <c r="X134" i="105" s="1"/>
  <c r="W134" i="105" a="1"/>
  <c r="W134" i="105" s="1"/>
  <c r="V134" i="105" a="1"/>
  <c r="V134" i="105" s="1"/>
  <c r="U134" i="105" a="1"/>
  <c r="U134" i="105" s="1"/>
  <c r="T134" i="105" a="1"/>
  <c r="T134" i="105" s="1"/>
  <c r="S134" i="105" a="1"/>
  <c r="S134" i="105" s="1"/>
  <c r="R134" i="105" a="1"/>
  <c r="R134" i="105" s="1"/>
  <c r="Q134" i="105" a="1"/>
  <c r="Q134" i="105" s="1"/>
  <c r="P134" i="105" a="1"/>
  <c r="P134" i="105" s="1"/>
  <c r="O134" i="105" a="1"/>
  <c r="O134" i="105" s="1"/>
  <c r="N134" i="105" a="1"/>
  <c r="N134" i="105" s="1"/>
  <c r="M134" i="105" a="1"/>
  <c r="M134" i="105" s="1"/>
  <c r="L134" i="105" a="1"/>
  <c r="L134" i="105" s="1"/>
  <c r="K134" i="105" a="1"/>
  <c r="K134" i="105" s="1"/>
  <c r="J134" i="105" a="1"/>
  <c r="J134" i="105" s="1"/>
  <c r="I134" i="105" a="1"/>
  <c r="I134" i="105" s="1"/>
  <c r="H134" i="105" a="1"/>
  <c r="H134" i="105" s="1"/>
  <c r="G134" i="105" a="1"/>
  <c r="G134" i="105" s="1"/>
  <c r="F134" i="105" a="1"/>
  <c r="F134" i="105" s="1"/>
  <c r="E134" i="105" a="1"/>
  <c r="E134" i="105" s="1"/>
  <c r="D134" i="105" a="1"/>
  <c r="D134" i="105" s="1"/>
  <c r="AH133" i="105" a="1"/>
  <c r="AH133" i="105" s="1"/>
  <c r="AG133" i="105" a="1"/>
  <c r="AG133" i="105" s="1"/>
  <c r="AF133" i="105" a="1"/>
  <c r="AF133" i="105" s="1"/>
  <c r="AE133" i="105" a="1"/>
  <c r="AE133" i="105" s="1"/>
  <c r="AD133" i="105" a="1"/>
  <c r="AD133" i="105" s="1"/>
  <c r="AC133" i="105" a="1"/>
  <c r="AC133" i="105" s="1"/>
  <c r="AB133" i="105" a="1"/>
  <c r="AB133" i="105" s="1"/>
  <c r="AA133" i="105" a="1"/>
  <c r="AA133" i="105" s="1"/>
  <c r="Z133" i="105" a="1"/>
  <c r="Z133" i="105" s="1"/>
  <c r="Y133" i="105" a="1"/>
  <c r="Y133" i="105" s="1"/>
  <c r="X133" i="105" a="1"/>
  <c r="X133" i="105" s="1"/>
  <c r="W133" i="105" a="1"/>
  <c r="W133" i="105" s="1"/>
  <c r="V133" i="105" a="1"/>
  <c r="V133" i="105" s="1"/>
  <c r="U133" i="105" a="1"/>
  <c r="U133" i="105" s="1"/>
  <c r="T133" i="105" a="1"/>
  <c r="T133" i="105" s="1"/>
  <c r="S133" i="105" a="1"/>
  <c r="S133" i="105" s="1"/>
  <c r="R133" i="105" a="1"/>
  <c r="R133" i="105" s="1"/>
  <c r="Q133" i="105" a="1"/>
  <c r="Q133" i="105" s="1"/>
  <c r="P133" i="105" a="1"/>
  <c r="P133" i="105" s="1"/>
  <c r="O133" i="105" a="1"/>
  <c r="O133" i="105" s="1"/>
  <c r="N133" i="105" a="1"/>
  <c r="N133" i="105" s="1"/>
  <c r="M133" i="105" a="1"/>
  <c r="M133" i="105" s="1"/>
  <c r="L133" i="105" a="1"/>
  <c r="L133" i="105" s="1"/>
  <c r="K133" i="105" a="1"/>
  <c r="K133" i="105" s="1"/>
  <c r="J133" i="105" a="1"/>
  <c r="J133" i="105" s="1"/>
  <c r="I133" i="105" a="1"/>
  <c r="I133" i="105" s="1"/>
  <c r="H133" i="105" a="1"/>
  <c r="H133" i="105" s="1"/>
  <c r="G133" i="105" a="1"/>
  <c r="G133" i="105" s="1"/>
  <c r="F133" i="105" a="1"/>
  <c r="F133" i="105" s="1"/>
  <c r="E133" i="105" a="1"/>
  <c r="E133" i="105" s="1"/>
  <c r="D133" i="105" a="1"/>
  <c r="D133" i="105" s="1"/>
  <c r="AH132" i="105" a="1"/>
  <c r="AH132" i="105" s="1"/>
  <c r="AG132" i="105" a="1"/>
  <c r="AG132" i="105" s="1"/>
  <c r="AF132" i="105" a="1"/>
  <c r="AF132" i="105" s="1"/>
  <c r="AE132" i="105" a="1"/>
  <c r="AE132" i="105" s="1"/>
  <c r="AD132" i="105" a="1"/>
  <c r="AD132" i="105" s="1"/>
  <c r="AC132" i="105" a="1"/>
  <c r="AC132" i="105" s="1"/>
  <c r="AB132" i="105" a="1"/>
  <c r="AB132" i="105" s="1"/>
  <c r="AA132" i="105" a="1"/>
  <c r="AA132" i="105" s="1"/>
  <c r="Z132" i="105" a="1"/>
  <c r="Z132" i="105" s="1"/>
  <c r="Y132" i="105" a="1"/>
  <c r="Y132" i="105" s="1"/>
  <c r="X132" i="105" a="1"/>
  <c r="X132" i="105" s="1"/>
  <c r="W132" i="105" a="1"/>
  <c r="W132" i="105" s="1"/>
  <c r="V132" i="105" a="1"/>
  <c r="V132" i="105" s="1"/>
  <c r="U132" i="105" a="1"/>
  <c r="U132" i="105" s="1"/>
  <c r="T132" i="105" a="1"/>
  <c r="T132" i="105" s="1"/>
  <c r="S132" i="105" a="1"/>
  <c r="S132" i="105" s="1"/>
  <c r="R132" i="105" a="1"/>
  <c r="R132" i="105" s="1"/>
  <c r="Q132" i="105" a="1"/>
  <c r="Q132" i="105" s="1"/>
  <c r="P132" i="105" a="1"/>
  <c r="P132" i="105" s="1"/>
  <c r="O132" i="105" a="1"/>
  <c r="O132" i="105" s="1"/>
  <c r="N132" i="105" a="1"/>
  <c r="N132" i="105" s="1"/>
  <c r="M132" i="105" a="1"/>
  <c r="M132" i="105" s="1"/>
  <c r="L132" i="105" a="1"/>
  <c r="L132" i="105" s="1"/>
  <c r="K132" i="105" a="1"/>
  <c r="K132" i="105" s="1"/>
  <c r="J132" i="105" a="1"/>
  <c r="J132" i="105" s="1"/>
  <c r="I132" i="105" a="1"/>
  <c r="I132" i="105" s="1"/>
  <c r="H132" i="105" a="1"/>
  <c r="H132" i="105" s="1"/>
  <c r="G132" i="105" a="1"/>
  <c r="G132" i="105" s="1"/>
  <c r="F132" i="105" a="1"/>
  <c r="F132" i="105" s="1"/>
  <c r="E132" i="105" a="1"/>
  <c r="E132" i="105" s="1"/>
  <c r="D132" i="105" a="1"/>
  <c r="D132" i="105" s="1"/>
  <c r="AH131" i="105" a="1"/>
  <c r="AH131" i="105" s="1"/>
  <c r="AG131" i="105" a="1"/>
  <c r="AG131" i="105" s="1"/>
  <c r="AF131" i="105" a="1"/>
  <c r="AF131" i="105" s="1"/>
  <c r="AE131" i="105" a="1"/>
  <c r="AE131" i="105" s="1"/>
  <c r="AD131" i="105" a="1"/>
  <c r="AD131" i="105" s="1"/>
  <c r="AC131" i="105" a="1"/>
  <c r="AC131" i="105" s="1"/>
  <c r="AB131" i="105" a="1"/>
  <c r="AB131" i="105" s="1"/>
  <c r="AA131" i="105" a="1"/>
  <c r="AA131" i="105" s="1"/>
  <c r="Z131" i="105" a="1"/>
  <c r="Z131" i="105" s="1"/>
  <c r="Y131" i="105" a="1"/>
  <c r="Y131" i="105" s="1"/>
  <c r="X131" i="105" a="1"/>
  <c r="X131" i="105" s="1"/>
  <c r="W131" i="105" a="1"/>
  <c r="W131" i="105" s="1"/>
  <c r="V131" i="105" a="1"/>
  <c r="V131" i="105" s="1"/>
  <c r="U131" i="105" a="1"/>
  <c r="U131" i="105" s="1"/>
  <c r="T131" i="105" a="1"/>
  <c r="T131" i="105" s="1"/>
  <c r="S131" i="105" a="1"/>
  <c r="S131" i="105" s="1"/>
  <c r="R131" i="105" a="1"/>
  <c r="R131" i="105" s="1"/>
  <c r="Q131" i="105" a="1"/>
  <c r="Q131" i="105" s="1"/>
  <c r="P131" i="105" a="1"/>
  <c r="P131" i="105" s="1"/>
  <c r="O131" i="105" a="1"/>
  <c r="O131" i="105" s="1"/>
  <c r="N131" i="105" a="1"/>
  <c r="N131" i="105" s="1"/>
  <c r="M131" i="105" a="1"/>
  <c r="M131" i="105" s="1"/>
  <c r="L131" i="105" a="1"/>
  <c r="L131" i="105" s="1"/>
  <c r="K131" i="105" a="1"/>
  <c r="K131" i="105" s="1"/>
  <c r="J131" i="105" a="1"/>
  <c r="J131" i="105" s="1"/>
  <c r="I131" i="105" a="1"/>
  <c r="I131" i="105" s="1"/>
  <c r="H131" i="105" a="1"/>
  <c r="H131" i="105" s="1"/>
  <c r="G131" i="105" a="1"/>
  <c r="G131" i="105" s="1"/>
  <c r="F131" i="105" a="1"/>
  <c r="F131" i="105" s="1"/>
  <c r="E131" i="105" a="1"/>
  <c r="E131" i="105" s="1"/>
  <c r="D131" i="105" a="1"/>
  <c r="D131" i="105" s="1"/>
  <c r="AH130" i="105" a="1"/>
  <c r="AH130" i="105" s="1"/>
  <c r="AG130" i="105" a="1"/>
  <c r="AG130" i="105" s="1"/>
  <c r="AF130" i="105" a="1"/>
  <c r="AF130" i="105" s="1"/>
  <c r="AE130" i="105" a="1"/>
  <c r="AE130" i="105" s="1"/>
  <c r="AD130" i="105" a="1"/>
  <c r="AD130" i="105" s="1"/>
  <c r="AC130" i="105" a="1"/>
  <c r="AC130" i="105" s="1"/>
  <c r="AB130" i="105" a="1"/>
  <c r="AB130" i="105" s="1"/>
  <c r="AA130" i="105" a="1"/>
  <c r="AA130" i="105" s="1"/>
  <c r="Z130" i="105" a="1"/>
  <c r="Z130" i="105" s="1"/>
  <c r="Y130" i="105" a="1"/>
  <c r="Y130" i="105" s="1"/>
  <c r="X130" i="105" a="1"/>
  <c r="X130" i="105" s="1"/>
  <c r="W130" i="105" a="1"/>
  <c r="W130" i="105" s="1"/>
  <c r="V130" i="105" a="1"/>
  <c r="V130" i="105" s="1"/>
  <c r="U130" i="105" a="1"/>
  <c r="U130" i="105" s="1"/>
  <c r="T130" i="105" a="1"/>
  <c r="T130" i="105" s="1"/>
  <c r="S130" i="105" a="1"/>
  <c r="S130" i="105" s="1"/>
  <c r="R130" i="105" a="1"/>
  <c r="R130" i="105" s="1"/>
  <c r="Q130" i="105" a="1"/>
  <c r="Q130" i="105" s="1"/>
  <c r="P130" i="105" a="1"/>
  <c r="P130" i="105" s="1"/>
  <c r="O130" i="105" a="1"/>
  <c r="O130" i="105" s="1"/>
  <c r="N130" i="105" a="1"/>
  <c r="N130" i="105" s="1"/>
  <c r="M130" i="105" a="1"/>
  <c r="M130" i="105" s="1"/>
  <c r="L130" i="105" a="1"/>
  <c r="L130" i="105" s="1"/>
  <c r="K130" i="105" a="1"/>
  <c r="K130" i="105" s="1"/>
  <c r="J130" i="105" a="1"/>
  <c r="J130" i="105" s="1"/>
  <c r="I130" i="105" a="1"/>
  <c r="I130" i="105" s="1"/>
  <c r="H130" i="105" a="1"/>
  <c r="H130" i="105" s="1"/>
  <c r="G130" i="105" a="1"/>
  <c r="G130" i="105" s="1"/>
  <c r="F130" i="105" a="1"/>
  <c r="F130" i="105" s="1"/>
  <c r="E130" i="105" a="1"/>
  <c r="E130" i="105" s="1"/>
  <c r="D130" i="105" a="1"/>
  <c r="D130" i="105" s="1"/>
  <c r="AH129" i="105" a="1"/>
  <c r="AH129" i="105" s="1"/>
  <c r="AG129" i="105" a="1"/>
  <c r="AG129" i="105" s="1"/>
  <c r="AF129" i="105" a="1"/>
  <c r="AF129" i="105" s="1"/>
  <c r="AE129" i="105" a="1"/>
  <c r="AE129" i="105" s="1"/>
  <c r="AD129" i="105" a="1"/>
  <c r="AD129" i="105" s="1"/>
  <c r="AC129" i="105" a="1"/>
  <c r="AC129" i="105" s="1"/>
  <c r="AB129" i="105" a="1"/>
  <c r="AB129" i="105" s="1"/>
  <c r="AA129" i="105" a="1"/>
  <c r="AA129" i="105" s="1"/>
  <c r="Z129" i="105" a="1"/>
  <c r="Z129" i="105" s="1"/>
  <c r="Y129" i="105" a="1"/>
  <c r="Y129" i="105" s="1"/>
  <c r="X129" i="105" a="1"/>
  <c r="X129" i="105" s="1"/>
  <c r="W129" i="105" a="1"/>
  <c r="W129" i="105" s="1"/>
  <c r="V129" i="105" a="1"/>
  <c r="V129" i="105" s="1"/>
  <c r="U129" i="105" a="1"/>
  <c r="U129" i="105" s="1"/>
  <c r="T129" i="105" a="1"/>
  <c r="T129" i="105" s="1"/>
  <c r="S129" i="105" a="1"/>
  <c r="S129" i="105" s="1"/>
  <c r="R129" i="105" a="1"/>
  <c r="R129" i="105" s="1"/>
  <c r="Q129" i="105" a="1"/>
  <c r="Q129" i="105" s="1"/>
  <c r="P129" i="105" a="1"/>
  <c r="P129" i="105" s="1"/>
  <c r="O129" i="105" a="1"/>
  <c r="O129" i="105" s="1"/>
  <c r="N129" i="105" a="1"/>
  <c r="N129" i="105" s="1"/>
  <c r="M129" i="105" a="1"/>
  <c r="M129" i="105" s="1"/>
  <c r="L129" i="105" a="1"/>
  <c r="L129" i="105" s="1"/>
  <c r="K129" i="105" a="1"/>
  <c r="K129" i="105" s="1"/>
  <c r="J129" i="105" a="1"/>
  <c r="J129" i="105" s="1"/>
  <c r="I129" i="105" a="1"/>
  <c r="I129" i="105" s="1"/>
  <c r="H129" i="105" a="1"/>
  <c r="H129" i="105" s="1"/>
  <c r="G129" i="105" a="1"/>
  <c r="G129" i="105" s="1"/>
  <c r="F129" i="105" a="1"/>
  <c r="F129" i="105" s="1"/>
  <c r="E129" i="105" a="1"/>
  <c r="E129" i="105" s="1"/>
  <c r="D129" i="105" a="1"/>
  <c r="D129" i="105" s="1"/>
  <c r="AH128" i="105" a="1"/>
  <c r="AH128" i="105" s="1"/>
  <c r="AG128" i="105" a="1"/>
  <c r="AG128" i="105" s="1"/>
  <c r="AF128" i="105" a="1"/>
  <c r="AF128" i="105" s="1"/>
  <c r="AE128" i="105" a="1"/>
  <c r="AE128" i="105" s="1"/>
  <c r="AD128" i="105" a="1"/>
  <c r="AD128" i="105" s="1"/>
  <c r="AC128" i="105" a="1"/>
  <c r="AC128" i="105" s="1"/>
  <c r="AB128" i="105" a="1"/>
  <c r="AB128" i="105" s="1"/>
  <c r="AA128" i="105" a="1"/>
  <c r="AA128" i="105" s="1"/>
  <c r="Z128" i="105" a="1"/>
  <c r="Z128" i="105" s="1"/>
  <c r="Y128" i="105" a="1"/>
  <c r="Y128" i="105" s="1"/>
  <c r="X128" i="105" a="1"/>
  <c r="X128" i="105" s="1"/>
  <c r="W128" i="105" a="1"/>
  <c r="W128" i="105" s="1"/>
  <c r="V128" i="105" a="1"/>
  <c r="V128" i="105" s="1"/>
  <c r="U128" i="105" a="1"/>
  <c r="U128" i="105" s="1"/>
  <c r="T128" i="105" a="1"/>
  <c r="T128" i="105" s="1"/>
  <c r="S128" i="105" a="1"/>
  <c r="S128" i="105" s="1"/>
  <c r="R128" i="105" a="1"/>
  <c r="R128" i="105" s="1"/>
  <c r="Q128" i="105" a="1"/>
  <c r="Q128" i="105" s="1"/>
  <c r="P128" i="105" a="1"/>
  <c r="P128" i="105" s="1"/>
  <c r="O128" i="105" a="1"/>
  <c r="O128" i="105" s="1"/>
  <c r="N128" i="105" a="1"/>
  <c r="N128" i="105" s="1"/>
  <c r="M128" i="105" a="1"/>
  <c r="M128" i="105" s="1"/>
  <c r="L128" i="105" a="1"/>
  <c r="L128" i="105" s="1"/>
  <c r="K128" i="105" a="1"/>
  <c r="K128" i="105" s="1"/>
  <c r="J128" i="105" a="1"/>
  <c r="J128" i="105" s="1"/>
  <c r="I128" i="105" a="1"/>
  <c r="I128" i="105" s="1"/>
  <c r="H128" i="105" a="1"/>
  <c r="H128" i="105" s="1"/>
  <c r="G128" i="105" a="1"/>
  <c r="G128" i="105" s="1"/>
  <c r="F128" i="105" a="1"/>
  <c r="F128" i="105" s="1"/>
  <c r="E128" i="105" a="1"/>
  <c r="E128" i="105" s="1"/>
  <c r="D128" i="105" a="1"/>
  <c r="D128" i="105" s="1"/>
  <c r="AH127" i="105" a="1"/>
  <c r="AH127" i="105" s="1"/>
  <c r="AG127" i="105" a="1"/>
  <c r="AG127" i="105" s="1"/>
  <c r="AF127" i="105" a="1"/>
  <c r="AF127" i="105" s="1"/>
  <c r="AE127" i="105" a="1"/>
  <c r="AE127" i="105" s="1"/>
  <c r="AD127" i="105" a="1"/>
  <c r="AD127" i="105" s="1"/>
  <c r="AC127" i="105" a="1"/>
  <c r="AC127" i="105" s="1"/>
  <c r="AB127" i="105" a="1"/>
  <c r="AB127" i="105" s="1"/>
  <c r="AA127" i="105" a="1"/>
  <c r="AA127" i="105" s="1"/>
  <c r="Z127" i="105" a="1"/>
  <c r="Z127" i="105" s="1"/>
  <c r="Y127" i="105" a="1"/>
  <c r="Y127" i="105" s="1"/>
  <c r="X127" i="105" a="1"/>
  <c r="X127" i="105" s="1"/>
  <c r="W127" i="105" a="1"/>
  <c r="W127" i="105" s="1"/>
  <c r="V127" i="105" a="1"/>
  <c r="V127" i="105" s="1"/>
  <c r="U127" i="105" a="1"/>
  <c r="U127" i="105" s="1"/>
  <c r="T127" i="105" a="1"/>
  <c r="T127" i="105" s="1"/>
  <c r="S127" i="105" a="1"/>
  <c r="S127" i="105" s="1"/>
  <c r="R127" i="105" a="1"/>
  <c r="R127" i="105" s="1"/>
  <c r="Q127" i="105" a="1"/>
  <c r="Q127" i="105" s="1"/>
  <c r="P127" i="105" a="1"/>
  <c r="P127" i="105" s="1"/>
  <c r="O127" i="105" a="1"/>
  <c r="O127" i="105" s="1"/>
  <c r="N127" i="105" a="1"/>
  <c r="N127" i="105" s="1"/>
  <c r="M127" i="105" a="1"/>
  <c r="M127" i="105" s="1"/>
  <c r="L127" i="105" a="1"/>
  <c r="L127" i="105" s="1"/>
  <c r="K127" i="105" a="1"/>
  <c r="K127" i="105" s="1"/>
  <c r="J127" i="105" a="1"/>
  <c r="J127" i="105" s="1"/>
  <c r="I127" i="105" a="1"/>
  <c r="I127" i="105" s="1"/>
  <c r="H127" i="105" a="1"/>
  <c r="H127" i="105" s="1"/>
  <c r="G127" i="105" a="1"/>
  <c r="G127" i="105" s="1"/>
  <c r="F127" i="105" a="1"/>
  <c r="F127" i="105" s="1"/>
  <c r="E127" i="105" a="1"/>
  <c r="E127" i="105" s="1"/>
  <c r="D127" i="105" a="1"/>
  <c r="D127" i="105" s="1"/>
  <c r="AH126" i="105" a="1"/>
  <c r="AH126" i="105" s="1"/>
  <c r="AG126" i="105" a="1"/>
  <c r="AG126" i="105" s="1"/>
  <c r="AF126" i="105" a="1"/>
  <c r="AF126" i="105" s="1"/>
  <c r="AE126" i="105" a="1"/>
  <c r="AE126" i="105" s="1"/>
  <c r="AD126" i="105" a="1"/>
  <c r="AD126" i="105" s="1"/>
  <c r="AC126" i="105" a="1"/>
  <c r="AC126" i="105" s="1"/>
  <c r="AB126" i="105" a="1"/>
  <c r="AB126" i="105" s="1"/>
  <c r="AA126" i="105" a="1"/>
  <c r="AA126" i="105" s="1"/>
  <c r="Z126" i="105" a="1"/>
  <c r="Z126" i="105" s="1"/>
  <c r="Y126" i="105" a="1"/>
  <c r="Y126" i="105" s="1"/>
  <c r="X126" i="105" a="1"/>
  <c r="X126" i="105" s="1"/>
  <c r="W126" i="105" a="1"/>
  <c r="W126" i="105" s="1"/>
  <c r="V126" i="105" a="1"/>
  <c r="V126" i="105" s="1"/>
  <c r="U126" i="105" a="1"/>
  <c r="U126" i="105" s="1"/>
  <c r="T126" i="105" a="1"/>
  <c r="T126" i="105" s="1"/>
  <c r="S126" i="105" a="1"/>
  <c r="S126" i="105" s="1"/>
  <c r="R126" i="105" a="1"/>
  <c r="R126" i="105" s="1"/>
  <c r="Q126" i="105" a="1"/>
  <c r="Q126" i="105" s="1"/>
  <c r="P126" i="105" a="1"/>
  <c r="P126" i="105" s="1"/>
  <c r="O126" i="105" a="1"/>
  <c r="O126" i="105" s="1"/>
  <c r="N126" i="105" a="1"/>
  <c r="N126" i="105" s="1"/>
  <c r="M126" i="105" a="1"/>
  <c r="M126" i="105" s="1"/>
  <c r="L126" i="105" a="1"/>
  <c r="L126" i="105" s="1"/>
  <c r="K126" i="105" a="1"/>
  <c r="K126" i="105" s="1"/>
  <c r="J126" i="105" a="1"/>
  <c r="J126" i="105" s="1"/>
  <c r="I126" i="105" a="1"/>
  <c r="I126" i="105" s="1"/>
  <c r="H126" i="105" a="1"/>
  <c r="H126" i="105" s="1"/>
  <c r="G126" i="105" a="1"/>
  <c r="G126" i="105" s="1"/>
  <c r="F126" i="105" a="1"/>
  <c r="F126" i="105" s="1"/>
  <c r="E126" i="105" a="1"/>
  <c r="E126" i="105" s="1"/>
  <c r="D126" i="105" a="1"/>
  <c r="D126" i="105" s="1"/>
  <c r="AH125" i="105" a="1"/>
  <c r="AH125" i="105" s="1"/>
  <c r="AG125" i="105" a="1"/>
  <c r="AG125" i="105" s="1"/>
  <c r="AF125" i="105" a="1"/>
  <c r="AF125" i="105" s="1"/>
  <c r="AE125" i="105" a="1"/>
  <c r="AE125" i="105" s="1"/>
  <c r="AD125" i="105" a="1"/>
  <c r="AD125" i="105" s="1"/>
  <c r="AC125" i="105" a="1"/>
  <c r="AC125" i="105" s="1"/>
  <c r="AB125" i="105" a="1"/>
  <c r="AB125" i="105" s="1"/>
  <c r="AA125" i="105" a="1"/>
  <c r="AA125" i="105" s="1"/>
  <c r="Z125" i="105" a="1"/>
  <c r="Z125" i="105" s="1"/>
  <c r="Y125" i="105" a="1"/>
  <c r="Y125" i="105" s="1"/>
  <c r="X125" i="105" a="1"/>
  <c r="X125" i="105" s="1"/>
  <c r="W125" i="105" a="1"/>
  <c r="W125" i="105" s="1"/>
  <c r="V125" i="105" a="1"/>
  <c r="V125" i="105" s="1"/>
  <c r="U125" i="105" a="1"/>
  <c r="U125" i="105" s="1"/>
  <c r="T125" i="105" a="1"/>
  <c r="T125" i="105" s="1"/>
  <c r="S125" i="105" a="1"/>
  <c r="S125" i="105" s="1"/>
  <c r="R125" i="105" a="1"/>
  <c r="R125" i="105" s="1"/>
  <c r="Q125" i="105" a="1"/>
  <c r="Q125" i="105" s="1"/>
  <c r="P125" i="105" a="1"/>
  <c r="P125" i="105" s="1"/>
  <c r="O125" i="105" a="1"/>
  <c r="O125" i="105" s="1"/>
  <c r="N125" i="105" a="1"/>
  <c r="N125" i="105" s="1"/>
  <c r="M125" i="105" a="1"/>
  <c r="M125" i="105" s="1"/>
  <c r="L125" i="105" a="1"/>
  <c r="L125" i="105" s="1"/>
  <c r="K125" i="105" a="1"/>
  <c r="K125" i="105" s="1"/>
  <c r="J125" i="105" a="1"/>
  <c r="J125" i="105" s="1"/>
  <c r="I125" i="105" a="1"/>
  <c r="I125" i="105" s="1"/>
  <c r="H125" i="105" a="1"/>
  <c r="H125" i="105" s="1"/>
  <c r="G125" i="105" a="1"/>
  <c r="G125" i="105" s="1"/>
  <c r="F125" i="105" a="1"/>
  <c r="F125" i="105" s="1"/>
  <c r="E125" i="105" a="1"/>
  <c r="E125" i="105" s="1"/>
  <c r="D125" i="105" a="1"/>
  <c r="D125" i="105" s="1"/>
  <c r="AH124" i="105" a="1"/>
  <c r="AH124" i="105" s="1"/>
  <c r="AG124" i="105" a="1"/>
  <c r="AG124" i="105" s="1"/>
  <c r="AF124" i="105" a="1"/>
  <c r="AF124" i="105" s="1"/>
  <c r="AE124" i="105" a="1"/>
  <c r="AE124" i="105" s="1"/>
  <c r="AD124" i="105" a="1"/>
  <c r="AD124" i="105" s="1"/>
  <c r="AC124" i="105" a="1"/>
  <c r="AC124" i="105" s="1"/>
  <c r="AB124" i="105" a="1"/>
  <c r="AB124" i="105" s="1"/>
  <c r="AA124" i="105" a="1"/>
  <c r="AA124" i="105" s="1"/>
  <c r="Z124" i="105" a="1"/>
  <c r="Z124" i="105" s="1"/>
  <c r="Y124" i="105" a="1"/>
  <c r="Y124" i="105" s="1"/>
  <c r="X124" i="105" a="1"/>
  <c r="X124" i="105" s="1"/>
  <c r="W124" i="105" a="1"/>
  <c r="W124" i="105" s="1"/>
  <c r="V124" i="105" a="1"/>
  <c r="V124" i="105" s="1"/>
  <c r="U124" i="105" a="1"/>
  <c r="U124" i="105" s="1"/>
  <c r="T124" i="105" a="1"/>
  <c r="T124" i="105" s="1"/>
  <c r="S124" i="105" a="1"/>
  <c r="S124" i="105" s="1"/>
  <c r="R124" i="105" a="1"/>
  <c r="R124" i="105" s="1"/>
  <c r="Q124" i="105" a="1"/>
  <c r="Q124" i="105" s="1"/>
  <c r="P124" i="105" a="1"/>
  <c r="P124" i="105" s="1"/>
  <c r="O124" i="105" a="1"/>
  <c r="O124" i="105" s="1"/>
  <c r="N124" i="105" a="1"/>
  <c r="N124" i="105" s="1"/>
  <c r="M124" i="105" a="1"/>
  <c r="M124" i="105" s="1"/>
  <c r="L124" i="105" a="1"/>
  <c r="L124" i="105" s="1"/>
  <c r="K124" i="105" a="1"/>
  <c r="K124" i="105" s="1"/>
  <c r="J124" i="105" a="1"/>
  <c r="J124" i="105" s="1"/>
  <c r="I124" i="105" a="1"/>
  <c r="I124" i="105" s="1"/>
  <c r="H124" i="105" a="1"/>
  <c r="H124" i="105" s="1"/>
  <c r="G124" i="105" a="1"/>
  <c r="G124" i="105" s="1"/>
  <c r="F124" i="105" a="1"/>
  <c r="F124" i="105" s="1"/>
  <c r="E124" i="105" a="1"/>
  <c r="E124" i="105" s="1"/>
  <c r="D124" i="105" a="1"/>
  <c r="D124" i="105" s="1"/>
  <c r="AH123" i="105" a="1"/>
  <c r="AH123" i="105" s="1"/>
  <c r="AG123" i="105" a="1"/>
  <c r="AG123" i="105" s="1"/>
  <c r="AF123" i="105" a="1"/>
  <c r="AF123" i="105" s="1"/>
  <c r="AE123" i="105" a="1"/>
  <c r="AE123" i="105" s="1"/>
  <c r="AD123" i="105" a="1"/>
  <c r="AD123" i="105" s="1"/>
  <c r="AC123" i="105" a="1"/>
  <c r="AC123" i="105" s="1"/>
  <c r="AB123" i="105" a="1"/>
  <c r="AB123" i="105" s="1"/>
  <c r="AA123" i="105" a="1"/>
  <c r="AA123" i="105" s="1"/>
  <c r="Z123" i="105" a="1"/>
  <c r="Z123" i="105" s="1"/>
  <c r="Y123" i="105" a="1"/>
  <c r="Y123" i="105" s="1"/>
  <c r="X123" i="105" a="1"/>
  <c r="X123" i="105" s="1"/>
  <c r="W123" i="105" a="1"/>
  <c r="W123" i="105" s="1"/>
  <c r="V123" i="105" a="1"/>
  <c r="V123" i="105" s="1"/>
  <c r="U123" i="105" a="1"/>
  <c r="U123" i="105" s="1"/>
  <c r="T123" i="105" a="1"/>
  <c r="T123" i="105" s="1"/>
  <c r="S123" i="105" a="1"/>
  <c r="S123" i="105" s="1"/>
  <c r="R123" i="105" a="1"/>
  <c r="R123" i="105" s="1"/>
  <c r="Q123" i="105" a="1"/>
  <c r="Q123" i="105" s="1"/>
  <c r="P123" i="105" a="1"/>
  <c r="P123" i="105" s="1"/>
  <c r="O123" i="105" a="1"/>
  <c r="O123" i="105" s="1"/>
  <c r="N123" i="105" a="1"/>
  <c r="N123" i="105" s="1"/>
  <c r="M123" i="105" a="1"/>
  <c r="M123" i="105" s="1"/>
  <c r="L123" i="105" a="1"/>
  <c r="L123" i="105" s="1"/>
  <c r="K123" i="105" a="1"/>
  <c r="K123" i="105" s="1"/>
  <c r="J123" i="105" a="1"/>
  <c r="J123" i="105" s="1"/>
  <c r="I123" i="105" a="1"/>
  <c r="I123" i="105" s="1"/>
  <c r="H123" i="105" a="1"/>
  <c r="H123" i="105" s="1"/>
  <c r="G123" i="105" a="1"/>
  <c r="G123" i="105" s="1"/>
  <c r="F123" i="105" a="1"/>
  <c r="F123" i="105" s="1"/>
  <c r="E123" i="105" a="1"/>
  <c r="E123" i="105" s="1"/>
  <c r="D123" i="105" a="1"/>
  <c r="D123" i="105" s="1"/>
  <c r="AH122" i="105" a="1"/>
  <c r="AH122" i="105" s="1"/>
  <c r="AG122" i="105" a="1"/>
  <c r="AG122" i="105" s="1"/>
  <c r="AF122" i="105" a="1"/>
  <c r="AF122" i="105" s="1"/>
  <c r="AE122" i="105" a="1"/>
  <c r="AE122" i="105" s="1"/>
  <c r="AD122" i="105" a="1"/>
  <c r="AD122" i="105" s="1"/>
  <c r="AC122" i="105" a="1"/>
  <c r="AC122" i="105" s="1"/>
  <c r="AB122" i="105" a="1"/>
  <c r="AB122" i="105" s="1"/>
  <c r="AA122" i="105" a="1"/>
  <c r="AA122" i="105" s="1"/>
  <c r="Z122" i="105" a="1"/>
  <c r="Z122" i="105" s="1"/>
  <c r="Y122" i="105" a="1"/>
  <c r="Y122" i="105" s="1"/>
  <c r="X122" i="105" a="1"/>
  <c r="X122" i="105" s="1"/>
  <c r="W122" i="105" a="1"/>
  <c r="W122" i="105" s="1"/>
  <c r="V122" i="105" a="1"/>
  <c r="V122" i="105" s="1"/>
  <c r="U122" i="105" a="1"/>
  <c r="U122" i="105" s="1"/>
  <c r="T122" i="105" a="1"/>
  <c r="T122" i="105" s="1"/>
  <c r="S122" i="105" a="1"/>
  <c r="S122" i="105" s="1"/>
  <c r="R122" i="105" a="1"/>
  <c r="R122" i="105" s="1"/>
  <c r="Q122" i="105" a="1"/>
  <c r="Q122" i="105" s="1"/>
  <c r="P122" i="105" a="1"/>
  <c r="P122" i="105" s="1"/>
  <c r="O122" i="105" a="1"/>
  <c r="O122" i="105" s="1"/>
  <c r="N122" i="105" a="1"/>
  <c r="N122" i="105" s="1"/>
  <c r="M122" i="105" a="1"/>
  <c r="M122" i="105" s="1"/>
  <c r="L122" i="105" a="1"/>
  <c r="L122" i="105" s="1"/>
  <c r="K122" i="105" a="1"/>
  <c r="K122" i="105" s="1"/>
  <c r="J122" i="105" a="1"/>
  <c r="J122" i="105" s="1"/>
  <c r="I122" i="105" a="1"/>
  <c r="I122" i="105" s="1"/>
  <c r="H122" i="105" a="1"/>
  <c r="H122" i="105" s="1"/>
  <c r="G122" i="105" a="1"/>
  <c r="G122" i="105" s="1"/>
  <c r="F122" i="105" a="1"/>
  <c r="F122" i="105" s="1"/>
  <c r="E122" i="105" a="1"/>
  <c r="E122" i="105" s="1"/>
  <c r="D122" i="105" a="1"/>
  <c r="D122" i="105" s="1"/>
  <c r="AH121" i="105" a="1"/>
  <c r="AH121" i="105" s="1"/>
  <c r="AG121" i="105" a="1"/>
  <c r="AG121" i="105" s="1"/>
  <c r="AF121" i="105" a="1"/>
  <c r="AF121" i="105" s="1"/>
  <c r="AE121" i="105" a="1"/>
  <c r="AE121" i="105" s="1"/>
  <c r="AD121" i="105" a="1"/>
  <c r="AD121" i="105" s="1"/>
  <c r="AC121" i="105" a="1"/>
  <c r="AC121" i="105" s="1"/>
  <c r="AB121" i="105" a="1"/>
  <c r="AB121" i="105" s="1"/>
  <c r="AA121" i="105" a="1"/>
  <c r="AA121" i="105" s="1"/>
  <c r="Z121" i="105" a="1"/>
  <c r="Z121" i="105" s="1"/>
  <c r="Y121" i="105" a="1"/>
  <c r="Y121" i="105" s="1"/>
  <c r="X121" i="105" a="1"/>
  <c r="X121" i="105" s="1"/>
  <c r="W121" i="105" a="1"/>
  <c r="W121" i="105" s="1"/>
  <c r="V121" i="105" a="1"/>
  <c r="V121" i="105" s="1"/>
  <c r="U121" i="105" a="1"/>
  <c r="U121" i="105" s="1"/>
  <c r="T121" i="105" a="1"/>
  <c r="T121" i="105" s="1"/>
  <c r="S121" i="105" a="1"/>
  <c r="S121" i="105" s="1"/>
  <c r="R121" i="105" a="1"/>
  <c r="R121" i="105" s="1"/>
  <c r="Q121" i="105" a="1"/>
  <c r="Q121" i="105" s="1"/>
  <c r="P121" i="105" a="1"/>
  <c r="P121" i="105" s="1"/>
  <c r="O121" i="105" a="1"/>
  <c r="O121" i="105" s="1"/>
  <c r="N121" i="105" a="1"/>
  <c r="N121" i="105" s="1"/>
  <c r="M121" i="105" a="1"/>
  <c r="M121" i="105" s="1"/>
  <c r="L121" i="105" a="1"/>
  <c r="L121" i="105" s="1"/>
  <c r="K121" i="105" a="1"/>
  <c r="K121" i="105" s="1"/>
  <c r="J121" i="105" a="1"/>
  <c r="J121" i="105" s="1"/>
  <c r="I121" i="105" a="1"/>
  <c r="I121" i="105" s="1"/>
  <c r="H121" i="105" a="1"/>
  <c r="H121" i="105" s="1"/>
  <c r="G121" i="105" a="1"/>
  <c r="G121" i="105" s="1"/>
  <c r="F121" i="105" a="1"/>
  <c r="F121" i="105" s="1"/>
  <c r="E121" i="105" a="1"/>
  <c r="E121" i="105" s="1"/>
  <c r="D121" i="105" a="1"/>
  <c r="D121" i="105" s="1"/>
  <c r="AH120" i="105" a="1"/>
  <c r="AH120" i="105" s="1"/>
  <c r="AG120" i="105" a="1"/>
  <c r="AG120" i="105" s="1"/>
  <c r="AF120" i="105" a="1"/>
  <c r="AF120" i="105" s="1"/>
  <c r="AE120" i="105" a="1"/>
  <c r="AE120" i="105" s="1"/>
  <c r="AD120" i="105" a="1"/>
  <c r="AD120" i="105" s="1"/>
  <c r="AC120" i="105" a="1"/>
  <c r="AC120" i="105" s="1"/>
  <c r="AB120" i="105" a="1"/>
  <c r="AB120" i="105" s="1"/>
  <c r="AA120" i="105" a="1"/>
  <c r="AA120" i="105" s="1"/>
  <c r="Z120" i="105" a="1"/>
  <c r="Z120" i="105" s="1"/>
  <c r="Y120" i="105" a="1"/>
  <c r="Y120" i="105" s="1"/>
  <c r="X120" i="105" a="1"/>
  <c r="X120" i="105" s="1"/>
  <c r="W120" i="105" a="1"/>
  <c r="W120" i="105" s="1"/>
  <c r="V120" i="105" a="1"/>
  <c r="V120" i="105" s="1"/>
  <c r="U120" i="105" a="1"/>
  <c r="U120" i="105" s="1"/>
  <c r="T120" i="105" a="1"/>
  <c r="T120" i="105" s="1"/>
  <c r="S120" i="105" a="1"/>
  <c r="S120" i="105" s="1"/>
  <c r="R120" i="105" a="1"/>
  <c r="R120" i="105" s="1"/>
  <c r="Q120" i="105" a="1"/>
  <c r="Q120" i="105" s="1"/>
  <c r="P120" i="105" a="1"/>
  <c r="P120" i="105" s="1"/>
  <c r="O120" i="105" a="1"/>
  <c r="O120" i="105" s="1"/>
  <c r="N120" i="105" a="1"/>
  <c r="N120" i="105" s="1"/>
  <c r="M120" i="105" a="1"/>
  <c r="M120" i="105" s="1"/>
  <c r="L120" i="105" a="1"/>
  <c r="L120" i="105" s="1"/>
  <c r="K120" i="105" a="1"/>
  <c r="K120" i="105" s="1"/>
  <c r="J120" i="105" a="1"/>
  <c r="J120" i="105" s="1"/>
  <c r="I120" i="105" a="1"/>
  <c r="I120" i="105" s="1"/>
  <c r="H120" i="105" a="1"/>
  <c r="H120" i="105" s="1"/>
  <c r="G120" i="105" a="1"/>
  <c r="G120" i="105" s="1"/>
  <c r="F120" i="105" a="1"/>
  <c r="F120" i="105" s="1"/>
  <c r="E120" i="105" a="1"/>
  <c r="E120" i="105" s="1"/>
  <c r="D120" i="105" a="1"/>
  <c r="D120" i="105" s="1"/>
  <c r="AH119" i="105" a="1"/>
  <c r="AH119" i="105" s="1"/>
  <c r="AG119" i="105" a="1"/>
  <c r="AG119" i="105" s="1"/>
  <c r="AF119" i="105" a="1"/>
  <c r="AF119" i="105" s="1"/>
  <c r="AE119" i="105" a="1"/>
  <c r="AE119" i="105" s="1"/>
  <c r="AD119" i="105" a="1"/>
  <c r="AD119" i="105" s="1"/>
  <c r="AC119" i="105" a="1"/>
  <c r="AC119" i="105" s="1"/>
  <c r="AB119" i="105" a="1"/>
  <c r="AB119" i="105" s="1"/>
  <c r="AA119" i="105" a="1"/>
  <c r="AA119" i="105" s="1"/>
  <c r="Z119" i="105" a="1"/>
  <c r="Z119" i="105" s="1"/>
  <c r="Y119" i="105" a="1"/>
  <c r="Y119" i="105" s="1"/>
  <c r="X119" i="105" a="1"/>
  <c r="X119" i="105" s="1"/>
  <c r="W119" i="105" a="1"/>
  <c r="W119" i="105" s="1"/>
  <c r="V119" i="105" a="1"/>
  <c r="V119" i="105" s="1"/>
  <c r="U119" i="105" a="1"/>
  <c r="U119" i="105" s="1"/>
  <c r="T119" i="105" a="1"/>
  <c r="T119" i="105" s="1"/>
  <c r="S119" i="105" a="1"/>
  <c r="S119" i="105" s="1"/>
  <c r="R119" i="105" a="1"/>
  <c r="R119" i="105" s="1"/>
  <c r="Q119" i="105" a="1"/>
  <c r="Q119" i="105" s="1"/>
  <c r="P119" i="105" a="1"/>
  <c r="P119" i="105" s="1"/>
  <c r="O119" i="105" a="1"/>
  <c r="O119" i="105" s="1"/>
  <c r="N119" i="105" a="1"/>
  <c r="N119" i="105" s="1"/>
  <c r="M119" i="105" a="1"/>
  <c r="M119" i="105" s="1"/>
  <c r="L119" i="105" a="1"/>
  <c r="L119" i="105" s="1"/>
  <c r="K119" i="105" a="1"/>
  <c r="K119" i="105" s="1"/>
  <c r="J119" i="105" a="1"/>
  <c r="J119" i="105" s="1"/>
  <c r="I119" i="105" a="1"/>
  <c r="I119" i="105" s="1"/>
  <c r="H119" i="105" a="1"/>
  <c r="H119" i="105" s="1"/>
  <c r="G119" i="105" a="1"/>
  <c r="G119" i="105" s="1"/>
  <c r="F119" i="105" a="1"/>
  <c r="F119" i="105" s="1"/>
  <c r="E119" i="105" a="1"/>
  <c r="E119" i="105" s="1"/>
  <c r="D119" i="105" a="1"/>
  <c r="D119" i="105" s="1"/>
  <c r="AH118" i="105" a="1"/>
  <c r="AH118" i="105" s="1"/>
  <c r="AG118" i="105" a="1"/>
  <c r="AG118" i="105" s="1"/>
  <c r="AF118" i="105" a="1"/>
  <c r="AF118" i="105" s="1"/>
  <c r="AE118" i="105" a="1"/>
  <c r="AE118" i="105" s="1"/>
  <c r="AD118" i="105" a="1"/>
  <c r="AD118" i="105" s="1"/>
  <c r="AC118" i="105" a="1"/>
  <c r="AC118" i="105" s="1"/>
  <c r="AB118" i="105" a="1"/>
  <c r="AB118" i="105" s="1"/>
  <c r="AA118" i="105" a="1"/>
  <c r="AA118" i="105" s="1"/>
  <c r="Z118" i="105" a="1"/>
  <c r="Z118" i="105" s="1"/>
  <c r="Y118" i="105" a="1"/>
  <c r="Y118" i="105" s="1"/>
  <c r="X118" i="105" a="1"/>
  <c r="X118" i="105" s="1"/>
  <c r="W118" i="105" a="1"/>
  <c r="W118" i="105" s="1"/>
  <c r="V118" i="105" a="1"/>
  <c r="V118" i="105" s="1"/>
  <c r="U118" i="105" a="1"/>
  <c r="U118" i="105" s="1"/>
  <c r="T118" i="105" a="1"/>
  <c r="T118" i="105" s="1"/>
  <c r="S118" i="105" a="1"/>
  <c r="S118" i="105" s="1"/>
  <c r="R118" i="105" a="1"/>
  <c r="R118" i="105" s="1"/>
  <c r="Q118" i="105" a="1"/>
  <c r="Q118" i="105" s="1"/>
  <c r="P118" i="105" a="1"/>
  <c r="P118" i="105" s="1"/>
  <c r="O118" i="105" a="1"/>
  <c r="O118" i="105" s="1"/>
  <c r="N118" i="105" a="1"/>
  <c r="N118" i="105" s="1"/>
  <c r="M118" i="105" a="1"/>
  <c r="M118" i="105" s="1"/>
  <c r="L118" i="105" a="1"/>
  <c r="L118" i="105" s="1"/>
  <c r="K118" i="105" a="1"/>
  <c r="K118" i="105" s="1"/>
  <c r="J118" i="105" a="1"/>
  <c r="J118" i="105" s="1"/>
  <c r="I118" i="105" a="1"/>
  <c r="I118" i="105" s="1"/>
  <c r="H118" i="105" a="1"/>
  <c r="H118" i="105" s="1"/>
  <c r="G118" i="105" a="1"/>
  <c r="G118" i="105" s="1"/>
  <c r="F118" i="105" a="1"/>
  <c r="F118" i="105" s="1"/>
  <c r="E118" i="105" a="1"/>
  <c r="E118" i="105" s="1"/>
  <c r="D118" i="105" a="1"/>
  <c r="D118" i="105" s="1"/>
  <c r="AH117" i="105" a="1"/>
  <c r="AH117" i="105" s="1"/>
  <c r="AG117" i="105" a="1"/>
  <c r="AG117" i="105" s="1"/>
  <c r="AF117" i="105" a="1"/>
  <c r="AF117" i="105" s="1"/>
  <c r="AE117" i="105" a="1"/>
  <c r="AE117" i="105" s="1"/>
  <c r="AD117" i="105" a="1"/>
  <c r="AD117" i="105" s="1"/>
  <c r="AC117" i="105" a="1"/>
  <c r="AC117" i="105" s="1"/>
  <c r="AB117" i="105" a="1"/>
  <c r="AB117" i="105" s="1"/>
  <c r="AA117" i="105" a="1"/>
  <c r="AA117" i="105" s="1"/>
  <c r="Z117" i="105" a="1"/>
  <c r="Z117" i="105" s="1"/>
  <c r="Y117" i="105" a="1"/>
  <c r="Y117" i="105" s="1"/>
  <c r="X117" i="105" a="1"/>
  <c r="X117" i="105" s="1"/>
  <c r="W117" i="105" a="1"/>
  <c r="W117" i="105" s="1"/>
  <c r="V117" i="105" a="1"/>
  <c r="V117" i="105" s="1"/>
  <c r="U117" i="105" a="1"/>
  <c r="U117" i="105" s="1"/>
  <c r="T117" i="105" a="1"/>
  <c r="T117" i="105" s="1"/>
  <c r="S117" i="105" a="1"/>
  <c r="S117" i="105" s="1"/>
  <c r="R117" i="105" a="1"/>
  <c r="R117" i="105" s="1"/>
  <c r="Q117" i="105" a="1"/>
  <c r="Q117" i="105" s="1"/>
  <c r="P117" i="105" a="1"/>
  <c r="P117" i="105" s="1"/>
  <c r="O117" i="105" a="1"/>
  <c r="O117" i="105" s="1"/>
  <c r="N117" i="105" a="1"/>
  <c r="N117" i="105" s="1"/>
  <c r="M117" i="105" a="1"/>
  <c r="M117" i="105" s="1"/>
  <c r="L117" i="105" a="1"/>
  <c r="L117" i="105" s="1"/>
  <c r="K117" i="105" a="1"/>
  <c r="K117" i="105" s="1"/>
  <c r="J117" i="105" a="1"/>
  <c r="J117" i="105" s="1"/>
  <c r="I117" i="105" a="1"/>
  <c r="I117" i="105" s="1"/>
  <c r="H117" i="105" a="1"/>
  <c r="H117" i="105" s="1"/>
  <c r="G117" i="105" a="1"/>
  <c r="G117" i="105" s="1"/>
  <c r="F117" i="105" a="1"/>
  <c r="F117" i="105" s="1"/>
  <c r="E117" i="105" a="1"/>
  <c r="E117" i="105" s="1"/>
  <c r="D117" i="105" a="1"/>
  <c r="D117" i="105" s="1"/>
  <c r="AH116" i="105" a="1"/>
  <c r="AH116" i="105" s="1"/>
  <c r="AG116" i="105" a="1"/>
  <c r="AG116" i="105" s="1"/>
  <c r="AF116" i="105" a="1"/>
  <c r="AF116" i="105" s="1"/>
  <c r="AE116" i="105" a="1"/>
  <c r="AE116" i="105" s="1"/>
  <c r="AD116" i="105" a="1"/>
  <c r="AD116" i="105" s="1"/>
  <c r="AC116" i="105" a="1"/>
  <c r="AC116" i="105" s="1"/>
  <c r="AB116" i="105" a="1"/>
  <c r="AB116" i="105" s="1"/>
  <c r="AA116" i="105" a="1"/>
  <c r="AA116" i="105" s="1"/>
  <c r="Z116" i="105" a="1"/>
  <c r="Z116" i="105" s="1"/>
  <c r="Y116" i="105" a="1"/>
  <c r="Y116" i="105" s="1"/>
  <c r="X116" i="105" a="1"/>
  <c r="X116" i="105" s="1"/>
  <c r="W116" i="105" a="1"/>
  <c r="W116" i="105" s="1"/>
  <c r="V116" i="105" a="1"/>
  <c r="V116" i="105" s="1"/>
  <c r="U116" i="105" a="1"/>
  <c r="U116" i="105" s="1"/>
  <c r="T116" i="105" a="1"/>
  <c r="T116" i="105" s="1"/>
  <c r="S116" i="105" a="1"/>
  <c r="S116" i="105" s="1"/>
  <c r="R116" i="105" a="1"/>
  <c r="R116" i="105" s="1"/>
  <c r="Q116" i="105" a="1"/>
  <c r="Q116" i="105" s="1"/>
  <c r="P116" i="105" a="1"/>
  <c r="P116" i="105" s="1"/>
  <c r="O116" i="105" a="1"/>
  <c r="O116" i="105" s="1"/>
  <c r="N116" i="105" a="1"/>
  <c r="N116" i="105" s="1"/>
  <c r="M116" i="105" a="1"/>
  <c r="M116" i="105" s="1"/>
  <c r="L116" i="105" a="1"/>
  <c r="L116" i="105" s="1"/>
  <c r="K116" i="105" a="1"/>
  <c r="K116" i="105" s="1"/>
  <c r="J116" i="105" a="1"/>
  <c r="J116" i="105" s="1"/>
  <c r="I116" i="105" a="1"/>
  <c r="I116" i="105" s="1"/>
  <c r="H116" i="105" a="1"/>
  <c r="H116" i="105" s="1"/>
  <c r="G116" i="105" a="1"/>
  <c r="G116" i="105" s="1"/>
  <c r="F116" i="105" a="1"/>
  <c r="F116" i="105" s="1"/>
  <c r="E116" i="105" a="1"/>
  <c r="E116" i="105" s="1"/>
  <c r="D116" i="105" a="1"/>
  <c r="D116" i="105" s="1"/>
  <c r="AH115" i="105" a="1"/>
  <c r="AH115" i="105" s="1"/>
  <c r="AG115" i="105" a="1"/>
  <c r="AG115" i="105" s="1"/>
  <c r="AF115" i="105" a="1"/>
  <c r="AF115" i="105" s="1"/>
  <c r="AE115" i="105" a="1"/>
  <c r="AE115" i="105" s="1"/>
  <c r="AD115" i="105" a="1"/>
  <c r="AD115" i="105" s="1"/>
  <c r="AC115" i="105" a="1"/>
  <c r="AC115" i="105" s="1"/>
  <c r="AB115" i="105" a="1"/>
  <c r="AB115" i="105" s="1"/>
  <c r="AA115" i="105" a="1"/>
  <c r="AA115" i="105" s="1"/>
  <c r="Z115" i="105" a="1"/>
  <c r="Z115" i="105" s="1"/>
  <c r="Y115" i="105" a="1"/>
  <c r="Y115" i="105" s="1"/>
  <c r="X115" i="105" a="1"/>
  <c r="X115" i="105" s="1"/>
  <c r="W115" i="105" a="1"/>
  <c r="W115" i="105" s="1"/>
  <c r="V115" i="105" a="1"/>
  <c r="V115" i="105" s="1"/>
  <c r="U115" i="105" a="1"/>
  <c r="U115" i="105" s="1"/>
  <c r="T115" i="105" a="1"/>
  <c r="T115" i="105" s="1"/>
  <c r="S115" i="105" a="1"/>
  <c r="S115" i="105" s="1"/>
  <c r="R115" i="105" a="1"/>
  <c r="R115" i="105" s="1"/>
  <c r="Q115" i="105" a="1"/>
  <c r="Q115" i="105" s="1"/>
  <c r="P115" i="105" a="1"/>
  <c r="P115" i="105" s="1"/>
  <c r="O115" i="105" a="1"/>
  <c r="O115" i="105" s="1"/>
  <c r="N115" i="105" a="1"/>
  <c r="N115" i="105" s="1"/>
  <c r="M115" i="105" a="1"/>
  <c r="M115" i="105" s="1"/>
  <c r="L115" i="105" a="1"/>
  <c r="L115" i="105" s="1"/>
  <c r="K115" i="105" a="1"/>
  <c r="K115" i="105" s="1"/>
  <c r="J115" i="105" a="1"/>
  <c r="J115" i="105" s="1"/>
  <c r="I115" i="105" a="1"/>
  <c r="I115" i="105" s="1"/>
  <c r="H115" i="105" a="1"/>
  <c r="H115" i="105" s="1"/>
  <c r="G115" i="105" a="1"/>
  <c r="G115" i="105" s="1"/>
  <c r="F115" i="105" a="1"/>
  <c r="F115" i="105" s="1"/>
  <c r="E115" i="105" a="1"/>
  <c r="E115" i="105" s="1"/>
  <c r="D115" i="105" a="1"/>
  <c r="D115" i="105" s="1"/>
  <c r="AH114" i="105" a="1"/>
  <c r="AH114" i="105" s="1"/>
  <c r="AG114" i="105" a="1"/>
  <c r="AG114" i="105" s="1"/>
  <c r="AF114" i="105" a="1"/>
  <c r="AF114" i="105" s="1"/>
  <c r="AE114" i="105" a="1"/>
  <c r="AE114" i="105" s="1"/>
  <c r="AD114" i="105" a="1"/>
  <c r="AD114" i="105" s="1"/>
  <c r="AC114" i="105" a="1"/>
  <c r="AC114" i="105" s="1"/>
  <c r="AB114" i="105" a="1"/>
  <c r="AB114" i="105" s="1"/>
  <c r="AA114" i="105" a="1"/>
  <c r="AA114" i="105" s="1"/>
  <c r="Z114" i="105" a="1"/>
  <c r="Z114" i="105" s="1"/>
  <c r="Y114" i="105" a="1"/>
  <c r="Y114" i="105" s="1"/>
  <c r="X114" i="105" a="1"/>
  <c r="X114" i="105" s="1"/>
  <c r="W114" i="105" a="1"/>
  <c r="W114" i="105" s="1"/>
  <c r="V114" i="105" a="1"/>
  <c r="V114" i="105" s="1"/>
  <c r="U114" i="105" a="1"/>
  <c r="U114" i="105" s="1"/>
  <c r="T114" i="105" a="1"/>
  <c r="T114" i="105" s="1"/>
  <c r="S114" i="105" a="1"/>
  <c r="S114" i="105" s="1"/>
  <c r="R114" i="105" a="1"/>
  <c r="R114" i="105" s="1"/>
  <c r="Q114" i="105" a="1"/>
  <c r="Q114" i="105" s="1"/>
  <c r="P114" i="105" a="1"/>
  <c r="P114" i="105" s="1"/>
  <c r="O114" i="105" a="1"/>
  <c r="O114" i="105" s="1"/>
  <c r="N114" i="105" a="1"/>
  <c r="N114" i="105" s="1"/>
  <c r="M114" i="105" a="1"/>
  <c r="M114" i="105" s="1"/>
  <c r="L114" i="105" a="1"/>
  <c r="L114" i="105" s="1"/>
  <c r="K114" i="105" a="1"/>
  <c r="K114" i="105" s="1"/>
  <c r="J114" i="105" a="1"/>
  <c r="J114" i="105" s="1"/>
  <c r="I114" i="105" a="1"/>
  <c r="I114" i="105" s="1"/>
  <c r="H114" i="105" a="1"/>
  <c r="H114" i="105" s="1"/>
  <c r="G114" i="105" a="1"/>
  <c r="G114" i="105" s="1"/>
  <c r="F114" i="105" a="1"/>
  <c r="F114" i="105" s="1"/>
  <c r="E114" i="105" a="1"/>
  <c r="E114" i="105" s="1"/>
  <c r="D114" i="105" a="1"/>
  <c r="D114" i="105" s="1"/>
  <c r="AH113" i="105" a="1"/>
  <c r="AH113" i="105" s="1"/>
  <c r="AG113" i="105" a="1"/>
  <c r="AG113" i="105" s="1"/>
  <c r="AF113" i="105" a="1"/>
  <c r="AF113" i="105" s="1"/>
  <c r="AE113" i="105" a="1"/>
  <c r="AE113" i="105" s="1"/>
  <c r="AD113" i="105" a="1"/>
  <c r="AD113" i="105" s="1"/>
  <c r="AC113" i="105" a="1"/>
  <c r="AC113" i="105" s="1"/>
  <c r="AB113" i="105" a="1"/>
  <c r="AB113" i="105" s="1"/>
  <c r="AA113" i="105" a="1"/>
  <c r="AA113" i="105" s="1"/>
  <c r="Z113" i="105" a="1"/>
  <c r="Z113" i="105" s="1"/>
  <c r="Y113" i="105" a="1"/>
  <c r="Y113" i="105" s="1"/>
  <c r="X113" i="105" a="1"/>
  <c r="X113" i="105" s="1"/>
  <c r="W113" i="105" a="1"/>
  <c r="W113" i="105" s="1"/>
  <c r="V113" i="105" a="1"/>
  <c r="V113" i="105" s="1"/>
  <c r="U113" i="105" a="1"/>
  <c r="U113" i="105" s="1"/>
  <c r="T113" i="105" a="1"/>
  <c r="T113" i="105" s="1"/>
  <c r="S113" i="105" a="1"/>
  <c r="S113" i="105" s="1"/>
  <c r="R113" i="105" a="1"/>
  <c r="R113" i="105" s="1"/>
  <c r="Q113" i="105" a="1"/>
  <c r="Q113" i="105" s="1"/>
  <c r="P113" i="105" a="1"/>
  <c r="P113" i="105" s="1"/>
  <c r="O113" i="105" a="1"/>
  <c r="O113" i="105" s="1"/>
  <c r="N113" i="105" a="1"/>
  <c r="N113" i="105" s="1"/>
  <c r="M113" i="105" a="1"/>
  <c r="M113" i="105" s="1"/>
  <c r="L113" i="105" a="1"/>
  <c r="L113" i="105" s="1"/>
  <c r="K113" i="105" a="1"/>
  <c r="K113" i="105" s="1"/>
  <c r="J113" i="105" a="1"/>
  <c r="J113" i="105" s="1"/>
  <c r="I113" i="105" a="1"/>
  <c r="I113" i="105" s="1"/>
  <c r="H113" i="105" a="1"/>
  <c r="H113" i="105" s="1"/>
  <c r="G113" i="105" a="1"/>
  <c r="G113" i="105" s="1"/>
  <c r="F113" i="105" a="1"/>
  <c r="F113" i="105" s="1"/>
  <c r="E113" i="105" a="1"/>
  <c r="E113" i="105" s="1"/>
  <c r="D113" i="105" a="1"/>
  <c r="D113" i="105" s="1"/>
  <c r="AH112" i="105" a="1"/>
  <c r="AH112" i="105" s="1"/>
  <c r="AG112" i="105" a="1"/>
  <c r="AG112" i="105" s="1"/>
  <c r="AF112" i="105" a="1"/>
  <c r="AF112" i="105" s="1"/>
  <c r="AE112" i="105" a="1"/>
  <c r="AE112" i="105" s="1"/>
  <c r="AD112" i="105" a="1"/>
  <c r="AD112" i="105" s="1"/>
  <c r="AC112" i="105" a="1"/>
  <c r="AC112" i="105" s="1"/>
  <c r="AB112" i="105" a="1"/>
  <c r="AB112" i="105" s="1"/>
  <c r="AA112" i="105" a="1"/>
  <c r="AA112" i="105" s="1"/>
  <c r="Z112" i="105" a="1"/>
  <c r="Z112" i="105" s="1"/>
  <c r="Y112" i="105" a="1"/>
  <c r="Y112" i="105" s="1"/>
  <c r="X112" i="105" a="1"/>
  <c r="X112" i="105" s="1"/>
  <c r="W112" i="105" a="1"/>
  <c r="W112" i="105" s="1"/>
  <c r="V112" i="105" a="1"/>
  <c r="V112" i="105" s="1"/>
  <c r="U112" i="105" a="1"/>
  <c r="U112" i="105" s="1"/>
  <c r="T112" i="105" a="1"/>
  <c r="T112" i="105" s="1"/>
  <c r="S112" i="105" a="1"/>
  <c r="S112" i="105" s="1"/>
  <c r="R112" i="105" a="1"/>
  <c r="R112" i="105" s="1"/>
  <c r="Q112" i="105" a="1"/>
  <c r="Q112" i="105" s="1"/>
  <c r="P112" i="105" a="1"/>
  <c r="P112" i="105" s="1"/>
  <c r="O112" i="105" a="1"/>
  <c r="O112" i="105" s="1"/>
  <c r="N112" i="105" a="1"/>
  <c r="N112" i="105" s="1"/>
  <c r="M112" i="105" a="1"/>
  <c r="M112" i="105" s="1"/>
  <c r="L112" i="105" a="1"/>
  <c r="L112" i="105" s="1"/>
  <c r="K112" i="105" a="1"/>
  <c r="K112" i="105" s="1"/>
  <c r="J112" i="105" a="1"/>
  <c r="J112" i="105" s="1"/>
  <c r="I112" i="105" a="1"/>
  <c r="I112" i="105" s="1"/>
  <c r="H112" i="105" a="1"/>
  <c r="H112" i="105" s="1"/>
  <c r="G112" i="105" a="1"/>
  <c r="G112" i="105" s="1"/>
  <c r="F112" i="105" a="1"/>
  <c r="F112" i="105" s="1"/>
  <c r="E112" i="105" a="1"/>
  <c r="E112" i="105" s="1"/>
  <c r="D112" i="105" a="1"/>
  <c r="D112" i="105" s="1"/>
  <c r="AH111" i="105" a="1"/>
  <c r="AH111" i="105" s="1"/>
  <c r="AG111" i="105" a="1"/>
  <c r="AG111" i="105" s="1"/>
  <c r="AF111" i="105" a="1"/>
  <c r="AF111" i="105" s="1"/>
  <c r="AE111" i="105" a="1"/>
  <c r="AE111" i="105" s="1"/>
  <c r="AD111" i="105" a="1"/>
  <c r="AD111" i="105" s="1"/>
  <c r="AC111" i="105" a="1"/>
  <c r="AC111" i="105" s="1"/>
  <c r="AB111" i="105" a="1"/>
  <c r="AB111" i="105" s="1"/>
  <c r="AA111" i="105" a="1"/>
  <c r="AA111" i="105" s="1"/>
  <c r="Z111" i="105" a="1"/>
  <c r="Z111" i="105" s="1"/>
  <c r="Y111" i="105" a="1"/>
  <c r="Y111" i="105" s="1"/>
  <c r="X111" i="105" a="1"/>
  <c r="X111" i="105" s="1"/>
  <c r="W111" i="105" a="1"/>
  <c r="W111" i="105" s="1"/>
  <c r="V111" i="105" a="1"/>
  <c r="V111" i="105" s="1"/>
  <c r="U111" i="105" a="1"/>
  <c r="U111" i="105" s="1"/>
  <c r="T111" i="105" a="1"/>
  <c r="T111" i="105" s="1"/>
  <c r="S111" i="105" a="1"/>
  <c r="S111" i="105" s="1"/>
  <c r="R111" i="105" a="1"/>
  <c r="R111" i="105" s="1"/>
  <c r="Q111" i="105" a="1"/>
  <c r="Q111" i="105" s="1"/>
  <c r="P111" i="105" a="1"/>
  <c r="P111" i="105" s="1"/>
  <c r="O111" i="105" a="1"/>
  <c r="O111" i="105" s="1"/>
  <c r="N111" i="105" a="1"/>
  <c r="N111" i="105" s="1"/>
  <c r="M111" i="105" a="1"/>
  <c r="M111" i="105" s="1"/>
  <c r="L111" i="105" a="1"/>
  <c r="L111" i="105" s="1"/>
  <c r="K111" i="105" a="1"/>
  <c r="K111" i="105" s="1"/>
  <c r="J111" i="105" a="1"/>
  <c r="J111" i="105" s="1"/>
  <c r="I111" i="105" a="1"/>
  <c r="I111" i="105" s="1"/>
  <c r="H111" i="105" a="1"/>
  <c r="H111" i="105" s="1"/>
  <c r="G111" i="105" a="1"/>
  <c r="G111" i="105" s="1"/>
  <c r="F111" i="105" a="1"/>
  <c r="F111" i="105" s="1"/>
  <c r="E111" i="105" a="1"/>
  <c r="E111" i="105" s="1"/>
  <c r="D111" i="105" a="1"/>
  <c r="D111" i="105" s="1"/>
  <c r="AH110" i="105" a="1"/>
  <c r="AH110" i="105" s="1"/>
  <c r="AG110" i="105" a="1"/>
  <c r="AG110" i="105" s="1"/>
  <c r="AF110" i="105" a="1"/>
  <c r="AF110" i="105" s="1"/>
  <c r="AE110" i="105" a="1"/>
  <c r="AE110" i="105" s="1"/>
  <c r="AD110" i="105" a="1"/>
  <c r="AD110" i="105" s="1"/>
  <c r="AC110" i="105" a="1"/>
  <c r="AC110" i="105" s="1"/>
  <c r="AB110" i="105" a="1"/>
  <c r="AB110" i="105" s="1"/>
  <c r="AA110" i="105" a="1"/>
  <c r="AA110" i="105" s="1"/>
  <c r="Z110" i="105" a="1"/>
  <c r="Z110" i="105" s="1"/>
  <c r="Y110" i="105" a="1"/>
  <c r="Y110" i="105" s="1"/>
  <c r="X110" i="105" a="1"/>
  <c r="X110" i="105" s="1"/>
  <c r="W110" i="105" a="1"/>
  <c r="W110" i="105" s="1"/>
  <c r="V110" i="105" a="1"/>
  <c r="V110" i="105" s="1"/>
  <c r="U110" i="105" a="1"/>
  <c r="U110" i="105" s="1"/>
  <c r="T110" i="105" a="1"/>
  <c r="T110" i="105" s="1"/>
  <c r="S110" i="105" a="1"/>
  <c r="S110" i="105" s="1"/>
  <c r="R110" i="105" a="1"/>
  <c r="R110" i="105" s="1"/>
  <c r="Q110" i="105" a="1"/>
  <c r="Q110" i="105" s="1"/>
  <c r="P110" i="105" a="1"/>
  <c r="P110" i="105" s="1"/>
  <c r="O110" i="105" a="1"/>
  <c r="O110" i="105" s="1"/>
  <c r="N110" i="105" a="1"/>
  <c r="N110" i="105" s="1"/>
  <c r="M110" i="105" a="1"/>
  <c r="M110" i="105" s="1"/>
  <c r="L110" i="105" a="1"/>
  <c r="L110" i="105" s="1"/>
  <c r="K110" i="105" a="1"/>
  <c r="K110" i="105" s="1"/>
  <c r="J110" i="105" a="1"/>
  <c r="J110" i="105" s="1"/>
  <c r="I110" i="105" a="1"/>
  <c r="I110" i="105" s="1"/>
  <c r="H110" i="105" a="1"/>
  <c r="H110" i="105" s="1"/>
  <c r="G110" i="105" a="1"/>
  <c r="G110" i="105" s="1"/>
  <c r="F110" i="105" a="1"/>
  <c r="F110" i="105" s="1"/>
  <c r="E110" i="105" a="1"/>
  <c r="E110" i="105" s="1"/>
  <c r="D110" i="105" a="1"/>
  <c r="D110" i="105" s="1"/>
  <c r="AH109" i="105" a="1"/>
  <c r="AH109" i="105" s="1"/>
  <c r="AG109" i="105" a="1"/>
  <c r="AG109" i="105" s="1"/>
  <c r="AF109" i="105" a="1"/>
  <c r="AF109" i="105" s="1"/>
  <c r="AE109" i="105" a="1"/>
  <c r="AE109" i="105" s="1"/>
  <c r="AD109" i="105" a="1"/>
  <c r="AD109" i="105" s="1"/>
  <c r="AC109" i="105" a="1"/>
  <c r="AC109" i="105" s="1"/>
  <c r="AB109" i="105" a="1"/>
  <c r="AB109" i="105" s="1"/>
  <c r="AA109" i="105" a="1"/>
  <c r="AA109" i="105" s="1"/>
  <c r="Z109" i="105" a="1"/>
  <c r="Z109" i="105" s="1"/>
  <c r="Y109" i="105" a="1"/>
  <c r="Y109" i="105" s="1"/>
  <c r="X109" i="105" a="1"/>
  <c r="X109" i="105" s="1"/>
  <c r="W109" i="105" a="1"/>
  <c r="W109" i="105" s="1"/>
  <c r="V109" i="105" a="1"/>
  <c r="V109" i="105" s="1"/>
  <c r="U109" i="105" a="1"/>
  <c r="U109" i="105" s="1"/>
  <c r="T109" i="105" a="1"/>
  <c r="T109" i="105" s="1"/>
  <c r="S109" i="105" a="1"/>
  <c r="S109" i="105" s="1"/>
  <c r="R109" i="105" a="1"/>
  <c r="R109" i="105" s="1"/>
  <c r="Q109" i="105" a="1"/>
  <c r="Q109" i="105" s="1"/>
  <c r="P109" i="105" a="1"/>
  <c r="P109" i="105" s="1"/>
  <c r="O109" i="105" a="1"/>
  <c r="O109" i="105" s="1"/>
  <c r="N109" i="105" a="1"/>
  <c r="N109" i="105" s="1"/>
  <c r="M109" i="105" a="1"/>
  <c r="M109" i="105" s="1"/>
  <c r="L109" i="105" a="1"/>
  <c r="L109" i="105" s="1"/>
  <c r="K109" i="105" a="1"/>
  <c r="K109" i="105" s="1"/>
  <c r="J109" i="105" a="1"/>
  <c r="J109" i="105" s="1"/>
  <c r="I109" i="105" a="1"/>
  <c r="I109" i="105" s="1"/>
  <c r="H109" i="105" a="1"/>
  <c r="H109" i="105" s="1"/>
  <c r="G109" i="105" a="1"/>
  <c r="G109" i="105" s="1"/>
  <c r="F109" i="105" a="1"/>
  <c r="F109" i="105" s="1"/>
  <c r="E109" i="105" a="1"/>
  <c r="E109" i="105" s="1"/>
  <c r="D109" i="105" a="1"/>
  <c r="D109" i="105" s="1"/>
  <c r="AH108" i="105" a="1"/>
  <c r="AH108" i="105" s="1"/>
  <c r="AG108" i="105" a="1"/>
  <c r="AG108" i="105" s="1"/>
  <c r="AF108" i="105" a="1"/>
  <c r="AF108" i="105" s="1"/>
  <c r="AE108" i="105" a="1"/>
  <c r="AE108" i="105" s="1"/>
  <c r="AD108" i="105" a="1"/>
  <c r="AD108" i="105" s="1"/>
  <c r="AC108" i="105" a="1"/>
  <c r="AC108" i="105" s="1"/>
  <c r="AB108" i="105" a="1"/>
  <c r="AB108" i="105" s="1"/>
  <c r="AA108" i="105" a="1"/>
  <c r="AA108" i="105" s="1"/>
  <c r="Z108" i="105" a="1"/>
  <c r="Z108" i="105" s="1"/>
  <c r="Y108" i="105" a="1"/>
  <c r="Y108" i="105" s="1"/>
  <c r="X108" i="105" a="1"/>
  <c r="X108" i="105" s="1"/>
  <c r="W108" i="105" a="1"/>
  <c r="W108" i="105" s="1"/>
  <c r="V108" i="105" a="1"/>
  <c r="V108" i="105" s="1"/>
  <c r="U108" i="105" a="1"/>
  <c r="U108" i="105" s="1"/>
  <c r="T108" i="105" a="1"/>
  <c r="T108" i="105" s="1"/>
  <c r="S108" i="105" a="1"/>
  <c r="S108" i="105" s="1"/>
  <c r="R108" i="105" a="1"/>
  <c r="R108" i="105" s="1"/>
  <c r="Q108" i="105" a="1"/>
  <c r="Q108" i="105" s="1"/>
  <c r="P108" i="105" a="1"/>
  <c r="P108" i="105" s="1"/>
  <c r="O108" i="105" a="1"/>
  <c r="O108" i="105" s="1"/>
  <c r="N108" i="105" a="1"/>
  <c r="N108" i="105" s="1"/>
  <c r="M108" i="105" a="1"/>
  <c r="M108" i="105" s="1"/>
  <c r="L108" i="105" a="1"/>
  <c r="L108" i="105" s="1"/>
  <c r="K108" i="105" a="1"/>
  <c r="K108" i="105" s="1"/>
  <c r="J108" i="105" a="1"/>
  <c r="J108" i="105" s="1"/>
  <c r="I108" i="105" a="1"/>
  <c r="I108" i="105" s="1"/>
  <c r="H108" i="105" a="1"/>
  <c r="H108" i="105" s="1"/>
  <c r="G108" i="105" a="1"/>
  <c r="G108" i="105" s="1"/>
  <c r="F108" i="105" a="1"/>
  <c r="F108" i="105" s="1"/>
  <c r="E108" i="105" a="1"/>
  <c r="E108" i="105" s="1"/>
  <c r="D108" i="105" a="1"/>
  <c r="D108" i="105" s="1"/>
  <c r="AH107" i="105" a="1"/>
  <c r="AH107" i="105" s="1"/>
  <c r="AG107" i="105" a="1"/>
  <c r="AG107" i="105" s="1"/>
  <c r="AF107" i="105" a="1"/>
  <c r="AF107" i="105" s="1"/>
  <c r="AE107" i="105" a="1"/>
  <c r="AE107" i="105" s="1"/>
  <c r="AD107" i="105" a="1"/>
  <c r="AD107" i="105" s="1"/>
  <c r="AC107" i="105" a="1"/>
  <c r="AC107" i="105" s="1"/>
  <c r="AB107" i="105" a="1"/>
  <c r="AB107" i="105" s="1"/>
  <c r="AA107" i="105" a="1"/>
  <c r="AA107" i="105" s="1"/>
  <c r="Z107" i="105" a="1"/>
  <c r="Z107" i="105" s="1"/>
  <c r="Y107" i="105" a="1"/>
  <c r="Y107" i="105" s="1"/>
  <c r="X107" i="105" a="1"/>
  <c r="X107" i="105" s="1"/>
  <c r="W107" i="105" a="1"/>
  <c r="W107" i="105" s="1"/>
  <c r="V107" i="105" a="1"/>
  <c r="V107" i="105" s="1"/>
  <c r="U107" i="105" a="1"/>
  <c r="U107" i="105" s="1"/>
  <c r="T107" i="105" a="1"/>
  <c r="T107" i="105" s="1"/>
  <c r="S107" i="105" a="1"/>
  <c r="S107" i="105" s="1"/>
  <c r="R107" i="105" a="1"/>
  <c r="R107" i="105" s="1"/>
  <c r="Q107" i="105" a="1"/>
  <c r="Q107" i="105" s="1"/>
  <c r="P107" i="105" a="1"/>
  <c r="P107" i="105" s="1"/>
  <c r="O107" i="105" a="1"/>
  <c r="O107" i="105" s="1"/>
  <c r="N107" i="105" a="1"/>
  <c r="N107" i="105" s="1"/>
  <c r="M107" i="105" a="1"/>
  <c r="M107" i="105" s="1"/>
  <c r="L107" i="105" a="1"/>
  <c r="L107" i="105" s="1"/>
  <c r="K107" i="105" a="1"/>
  <c r="K107" i="105" s="1"/>
  <c r="J107" i="105" a="1"/>
  <c r="J107" i="105" s="1"/>
  <c r="I107" i="105" a="1"/>
  <c r="I107" i="105" s="1"/>
  <c r="H107" i="105" a="1"/>
  <c r="H107" i="105" s="1"/>
  <c r="G107" i="105" a="1"/>
  <c r="G107" i="105" s="1"/>
  <c r="F107" i="105" a="1"/>
  <c r="F107" i="105" s="1"/>
  <c r="E107" i="105" a="1"/>
  <c r="E107" i="105" s="1"/>
  <c r="D107" i="105" a="1"/>
  <c r="D107" i="105" s="1"/>
  <c r="AH106" i="105" a="1"/>
  <c r="AH106" i="105" s="1"/>
  <c r="AG106" i="105" a="1"/>
  <c r="AG106" i="105" s="1"/>
  <c r="AF106" i="105" a="1"/>
  <c r="AF106" i="105" s="1"/>
  <c r="AE106" i="105" a="1"/>
  <c r="AE106" i="105" s="1"/>
  <c r="AD106" i="105" a="1"/>
  <c r="AD106" i="105" s="1"/>
  <c r="AC106" i="105" a="1"/>
  <c r="AC106" i="105" s="1"/>
  <c r="AB106" i="105" a="1"/>
  <c r="AB106" i="105" s="1"/>
  <c r="AA106" i="105" a="1"/>
  <c r="AA106" i="105" s="1"/>
  <c r="Z106" i="105" a="1"/>
  <c r="Z106" i="105" s="1"/>
  <c r="Y106" i="105" a="1"/>
  <c r="Y106" i="105" s="1"/>
  <c r="X106" i="105" a="1"/>
  <c r="X106" i="105" s="1"/>
  <c r="W106" i="105" a="1"/>
  <c r="W106" i="105" s="1"/>
  <c r="V106" i="105" a="1"/>
  <c r="V106" i="105" s="1"/>
  <c r="U106" i="105" a="1"/>
  <c r="U106" i="105" s="1"/>
  <c r="T106" i="105" a="1"/>
  <c r="T106" i="105" s="1"/>
  <c r="S106" i="105" a="1"/>
  <c r="S106" i="105" s="1"/>
  <c r="R106" i="105" a="1"/>
  <c r="R106" i="105" s="1"/>
  <c r="Q106" i="105" a="1"/>
  <c r="Q106" i="105" s="1"/>
  <c r="P106" i="105" a="1"/>
  <c r="P106" i="105" s="1"/>
  <c r="O106" i="105" a="1"/>
  <c r="O106" i="105" s="1"/>
  <c r="N106" i="105" a="1"/>
  <c r="N106" i="105" s="1"/>
  <c r="M106" i="105" a="1"/>
  <c r="M106" i="105" s="1"/>
  <c r="L106" i="105" a="1"/>
  <c r="L106" i="105" s="1"/>
  <c r="K106" i="105" a="1"/>
  <c r="K106" i="105" s="1"/>
  <c r="J106" i="105" a="1"/>
  <c r="J106" i="105" s="1"/>
  <c r="I106" i="105" a="1"/>
  <c r="I106" i="105" s="1"/>
  <c r="H106" i="105" a="1"/>
  <c r="H106" i="105" s="1"/>
  <c r="G106" i="105" a="1"/>
  <c r="G106" i="105" s="1"/>
  <c r="F106" i="105" a="1"/>
  <c r="F106" i="105" s="1"/>
  <c r="E106" i="105" a="1"/>
  <c r="E106" i="105" s="1"/>
  <c r="D106" i="105" a="1"/>
  <c r="D106" i="105" s="1"/>
  <c r="AH105" i="105" a="1"/>
  <c r="AH105" i="105" s="1"/>
  <c r="AG105" i="105" a="1"/>
  <c r="AG105" i="105" s="1"/>
  <c r="AF105" i="105" a="1"/>
  <c r="AF105" i="105" s="1"/>
  <c r="AE105" i="105" a="1"/>
  <c r="AE105" i="105" s="1"/>
  <c r="AD105" i="105" a="1"/>
  <c r="AD105" i="105" s="1"/>
  <c r="AC105" i="105" a="1"/>
  <c r="AC105" i="105" s="1"/>
  <c r="AB105" i="105" a="1"/>
  <c r="AB105" i="105" s="1"/>
  <c r="AA105" i="105" a="1"/>
  <c r="AA105" i="105" s="1"/>
  <c r="Z105" i="105" a="1"/>
  <c r="Z105" i="105" s="1"/>
  <c r="Y105" i="105" a="1"/>
  <c r="Y105" i="105" s="1"/>
  <c r="X105" i="105" a="1"/>
  <c r="X105" i="105" s="1"/>
  <c r="W105" i="105" a="1"/>
  <c r="W105" i="105" s="1"/>
  <c r="V105" i="105" a="1"/>
  <c r="V105" i="105" s="1"/>
  <c r="U105" i="105" a="1"/>
  <c r="U105" i="105" s="1"/>
  <c r="T105" i="105" a="1"/>
  <c r="T105" i="105" s="1"/>
  <c r="S105" i="105" a="1"/>
  <c r="S105" i="105" s="1"/>
  <c r="R105" i="105" a="1"/>
  <c r="R105" i="105" s="1"/>
  <c r="Q105" i="105" a="1"/>
  <c r="Q105" i="105" s="1"/>
  <c r="P105" i="105" a="1"/>
  <c r="P105" i="105" s="1"/>
  <c r="O105" i="105" a="1"/>
  <c r="O105" i="105" s="1"/>
  <c r="N105" i="105" a="1"/>
  <c r="N105" i="105" s="1"/>
  <c r="M105" i="105" a="1"/>
  <c r="M105" i="105" s="1"/>
  <c r="L105" i="105" a="1"/>
  <c r="L105" i="105" s="1"/>
  <c r="K105" i="105" a="1"/>
  <c r="K105" i="105" s="1"/>
  <c r="J105" i="105" a="1"/>
  <c r="J105" i="105" s="1"/>
  <c r="I105" i="105" a="1"/>
  <c r="I105" i="105" s="1"/>
  <c r="H105" i="105" a="1"/>
  <c r="H105" i="105" s="1"/>
  <c r="G105" i="105" a="1"/>
  <c r="G105" i="105" s="1"/>
  <c r="F105" i="105" a="1"/>
  <c r="F105" i="105" s="1"/>
  <c r="E105" i="105" a="1"/>
  <c r="E105" i="105" s="1"/>
  <c r="D105" i="105" a="1"/>
  <c r="D105" i="105" s="1"/>
  <c r="AH104" i="105" a="1"/>
  <c r="AH104" i="105" s="1"/>
  <c r="AG104" i="105" a="1"/>
  <c r="AG104" i="105" s="1"/>
  <c r="AF104" i="105" a="1"/>
  <c r="AF104" i="105" s="1"/>
  <c r="AE104" i="105" a="1"/>
  <c r="AE104" i="105" s="1"/>
  <c r="AD104" i="105" a="1"/>
  <c r="AD104" i="105" s="1"/>
  <c r="AC104" i="105" a="1"/>
  <c r="AC104" i="105" s="1"/>
  <c r="AB104" i="105" a="1"/>
  <c r="AB104" i="105" s="1"/>
  <c r="AA104" i="105" a="1"/>
  <c r="AA104" i="105" s="1"/>
  <c r="Z104" i="105" a="1"/>
  <c r="Z104" i="105" s="1"/>
  <c r="Y104" i="105" a="1"/>
  <c r="Y104" i="105" s="1"/>
  <c r="X104" i="105" a="1"/>
  <c r="X104" i="105" s="1"/>
  <c r="W104" i="105" a="1"/>
  <c r="W104" i="105" s="1"/>
  <c r="V104" i="105" a="1"/>
  <c r="V104" i="105" s="1"/>
  <c r="U104" i="105" a="1"/>
  <c r="U104" i="105" s="1"/>
  <c r="T104" i="105" a="1"/>
  <c r="T104" i="105" s="1"/>
  <c r="S104" i="105" a="1"/>
  <c r="S104" i="105" s="1"/>
  <c r="R104" i="105" a="1"/>
  <c r="R104" i="105" s="1"/>
  <c r="Q104" i="105" a="1"/>
  <c r="Q104" i="105" s="1"/>
  <c r="P104" i="105" a="1"/>
  <c r="P104" i="105" s="1"/>
  <c r="O104" i="105" a="1"/>
  <c r="O104" i="105" s="1"/>
  <c r="N104" i="105" a="1"/>
  <c r="N104" i="105" s="1"/>
  <c r="M104" i="105" a="1"/>
  <c r="M104" i="105" s="1"/>
  <c r="L104" i="105" a="1"/>
  <c r="L104" i="105" s="1"/>
  <c r="K104" i="105" a="1"/>
  <c r="K104" i="105" s="1"/>
  <c r="J104" i="105" a="1"/>
  <c r="J104" i="105" s="1"/>
  <c r="I104" i="105" a="1"/>
  <c r="I104" i="105" s="1"/>
  <c r="H104" i="105" a="1"/>
  <c r="H104" i="105" s="1"/>
  <c r="G104" i="105" a="1"/>
  <c r="G104" i="105" s="1"/>
  <c r="F104" i="105" a="1"/>
  <c r="F104" i="105" s="1"/>
  <c r="E104" i="105" a="1"/>
  <c r="E104" i="105" s="1"/>
  <c r="D104" i="105" a="1"/>
  <c r="D104" i="105" s="1"/>
  <c r="AH103" i="105" a="1"/>
  <c r="AH103" i="105" s="1"/>
  <c r="AG103" i="105" a="1"/>
  <c r="AG103" i="105" s="1"/>
  <c r="AF103" i="105" a="1"/>
  <c r="AF103" i="105" s="1"/>
  <c r="AE103" i="105" a="1"/>
  <c r="AE103" i="105" s="1"/>
  <c r="AD103" i="105" a="1"/>
  <c r="AD103" i="105" s="1"/>
  <c r="AC103" i="105" a="1"/>
  <c r="AC103" i="105" s="1"/>
  <c r="AB103" i="105" a="1"/>
  <c r="AB103" i="105" s="1"/>
  <c r="AA103" i="105" a="1"/>
  <c r="AA103" i="105" s="1"/>
  <c r="Z103" i="105" a="1"/>
  <c r="Z103" i="105" s="1"/>
  <c r="Y103" i="105" a="1"/>
  <c r="Y103" i="105" s="1"/>
  <c r="X103" i="105" a="1"/>
  <c r="X103" i="105" s="1"/>
  <c r="W103" i="105" a="1"/>
  <c r="W103" i="105" s="1"/>
  <c r="V103" i="105" a="1"/>
  <c r="V103" i="105" s="1"/>
  <c r="U103" i="105" a="1"/>
  <c r="U103" i="105" s="1"/>
  <c r="T103" i="105" a="1"/>
  <c r="T103" i="105" s="1"/>
  <c r="S103" i="105" a="1"/>
  <c r="S103" i="105" s="1"/>
  <c r="R103" i="105" a="1"/>
  <c r="R103" i="105" s="1"/>
  <c r="Q103" i="105" a="1"/>
  <c r="Q103" i="105" s="1"/>
  <c r="P103" i="105" a="1"/>
  <c r="P103" i="105" s="1"/>
  <c r="O103" i="105" a="1"/>
  <c r="O103" i="105" s="1"/>
  <c r="N103" i="105" a="1"/>
  <c r="N103" i="105" s="1"/>
  <c r="M103" i="105" a="1"/>
  <c r="M103" i="105" s="1"/>
  <c r="L103" i="105" a="1"/>
  <c r="L103" i="105" s="1"/>
  <c r="K103" i="105" a="1"/>
  <c r="K103" i="105" s="1"/>
  <c r="J103" i="105" a="1"/>
  <c r="J103" i="105" s="1"/>
  <c r="I103" i="105" a="1"/>
  <c r="I103" i="105" s="1"/>
  <c r="H103" i="105" a="1"/>
  <c r="H103" i="105" s="1"/>
  <c r="G103" i="105" a="1"/>
  <c r="G103" i="105" s="1"/>
  <c r="F103" i="105" a="1"/>
  <c r="F103" i="105" s="1"/>
  <c r="E103" i="105" a="1"/>
  <c r="E103" i="105" s="1"/>
  <c r="D103" i="105" a="1"/>
  <c r="D103" i="105" s="1"/>
  <c r="AH102" i="105" a="1"/>
  <c r="AH102" i="105" s="1"/>
  <c r="AG102" i="105" a="1"/>
  <c r="AG102" i="105" s="1"/>
  <c r="AF102" i="105" a="1"/>
  <c r="AF102" i="105" s="1"/>
  <c r="AE102" i="105" a="1"/>
  <c r="AE102" i="105" s="1"/>
  <c r="AD102" i="105" a="1"/>
  <c r="AD102" i="105" s="1"/>
  <c r="AC102" i="105" a="1"/>
  <c r="AC102" i="105" s="1"/>
  <c r="AB102" i="105" a="1"/>
  <c r="AB102" i="105" s="1"/>
  <c r="AA102" i="105" a="1"/>
  <c r="AA102" i="105" s="1"/>
  <c r="Z102" i="105" a="1"/>
  <c r="Z102" i="105" s="1"/>
  <c r="Y102" i="105" a="1"/>
  <c r="Y102" i="105" s="1"/>
  <c r="X102" i="105" a="1"/>
  <c r="X102" i="105" s="1"/>
  <c r="W102" i="105" a="1"/>
  <c r="W102" i="105" s="1"/>
  <c r="V102" i="105" a="1"/>
  <c r="V102" i="105" s="1"/>
  <c r="U102" i="105" a="1"/>
  <c r="U102" i="105" s="1"/>
  <c r="T102" i="105" a="1"/>
  <c r="T102" i="105" s="1"/>
  <c r="S102" i="105" a="1"/>
  <c r="S102" i="105" s="1"/>
  <c r="R102" i="105" a="1"/>
  <c r="R102" i="105" s="1"/>
  <c r="Q102" i="105" a="1"/>
  <c r="Q102" i="105" s="1"/>
  <c r="P102" i="105" a="1"/>
  <c r="P102" i="105" s="1"/>
  <c r="O102" i="105" a="1"/>
  <c r="O102" i="105" s="1"/>
  <c r="N102" i="105" a="1"/>
  <c r="N102" i="105" s="1"/>
  <c r="M102" i="105" a="1"/>
  <c r="M102" i="105" s="1"/>
  <c r="L102" i="105" a="1"/>
  <c r="L102" i="105" s="1"/>
  <c r="K102" i="105" a="1"/>
  <c r="K102" i="105" s="1"/>
  <c r="J102" i="105" a="1"/>
  <c r="J102" i="105" s="1"/>
  <c r="I102" i="105" a="1"/>
  <c r="I102" i="105" s="1"/>
  <c r="H102" i="105" a="1"/>
  <c r="H102" i="105" s="1"/>
  <c r="G102" i="105" a="1"/>
  <c r="G102" i="105" s="1"/>
  <c r="F102" i="105" a="1"/>
  <c r="F102" i="105" s="1"/>
  <c r="E102" i="105" a="1"/>
  <c r="E102" i="105" s="1"/>
  <c r="D102" i="105" a="1"/>
  <c r="D102" i="105" s="1"/>
  <c r="AH101" i="105" a="1"/>
  <c r="AH101" i="105" s="1"/>
  <c r="AG101" i="105" a="1"/>
  <c r="AG101" i="105" s="1"/>
  <c r="AF101" i="105" a="1"/>
  <c r="AF101" i="105" s="1"/>
  <c r="AE101" i="105" a="1"/>
  <c r="AE101" i="105" s="1"/>
  <c r="AD101" i="105" a="1"/>
  <c r="AD101" i="105" s="1"/>
  <c r="AC101" i="105" a="1"/>
  <c r="AC101" i="105" s="1"/>
  <c r="AB101" i="105" a="1"/>
  <c r="AB101" i="105" s="1"/>
  <c r="AA101" i="105" a="1"/>
  <c r="AA101" i="105" s="1"/>
  <c r="Z101" i="105" a="1"/>
  <c r="Z101" i="105" s="1"/>
  <c r="Y101" i="105" a="1"/>
  <c r="Y101" i="105" s="1"/>
  <c r="X101" i="105" a="1"/>
  <c r="X101" i="105" s="1"/>
  <c r="W101" i="105" a="1"/>
  <c r="W101" i="105" s="1"/>
  <c r="V101" i="105" a="1"/>
  <c r="V101" i="105" s="1"/>
  <c r="U101" i="105" a="1"/>
  <c r="U101" i="105" s="1"/>
  <c r="T101" i="105" a="1"/>
  <c r="T101" i="105" s="1"/>
  <c r="S101" i="105" a="1"/>
  <c r="S101" i="105" s="1"/>
  <c r="R101" i="105" a="1"/>
  <c r="R101" i="105" s="1"/>
  <c r="Q101" i="105" a="1"/>
  <c r="Q101" i="105" s="1"/>
  <c r="P101" i="105" a="1"/>
  <c r="P101" i="105" s="1"/>
  <c r="O101" i="105" a="1"/>
  <c r="O101" i="105" s="1"/>
  <c r="N101" i="105" a="1"/>
  <c r="N101" i="105" s="1"/>
  <c r="M101" i="105" a="1"/>
  <c r="M101" i="105" s="1"/>
  <c r="L101" i="105" a="1"/>
  <c r="L101" i="105" s="1"/>
  <c r="K101" i="105" a="1"/>
  <c r="K101" i="105" s="1"/>
  <c r="J101" i="105" a="1"/>
  <c r="J101" i="105" s="1"/>
  <c r="I101" i="105" a="1"/>
  <c r="I101" i="105" s="1"/>
  <c r="H101" i="105" a="1"/>
  <c r="H101" i="105" s="1"/>
  <c r="G101" i="105" a="1"/>
  <c r="G101" i="105" s="1"/>
  <c r="F101" i="105" a="1"/>
  <c r="F101" i="105" s="1"/>
  <c r="E101" i="105" a="1"/>
  <c r="E101" i="105" s="1"/>
  <c r="D101" i="105" a="1"/>
  <c r="D101" i="105" s="1"/>
  <c r="AH100" i="105" a="1"/>
  <c r="AH100" i="105" s="1"/>
  <c r="AG100" i="105" a="1"/>
  <c r="AG100" i="105" s="1"/>
  <c r="AF100" i="105" a="1"/>
  <c r="AF100" i="105" s="1"/>
  <c r="AE100" i="105" a="1"/>
  <c r="AE100" i="105" s="1"/>
  <c r="AD100" i="105" a="1"/>
  <c r="AD100" i="105" s="1"/>
  <c r="AC100" i="105" a="1"/>
  <c r="AC100" i="105" s="1"/>
  <c r="AB100" i="105" a="1"/>
  <c r="AB100" i="105" s="1"/>
  <c r="AA100" i="105" a="1"/>
  <c r="AA100" i="105" s="1"/>
  <c r="Z100" i="105" a="1"/>
  <c r="Z100" i="105" s="1"/>
  <c r="Y100" i="105" a="1"/>
  <c r="Y100" i="105" s="1"/>
  <c r="X100" i="105" a="1"/>
  <c r="X100" i="105" s="1"/>
  <c r="W100" i="105" a="1"/>
  <c r="W100" i="105" s="1"/>
  <c r="V100" i="105" a="1"/>
  <c r="V100" i="105" s="1"/>
  <c r="U100" i="105" a="1"/>
  <c r="U100" i="105" s="1"/>
  <c r="T100" i="105" a="1"/>
  <c r="T100" i="105" s="1"/>
  <c r="S100" i="105" a="1"/>
  <c r="S100" i="105" s="1"/>
  <c r="R100" i="105" a="1"/>
  <c r="R100" i="105" s="1"/>
  <c r="Q100" i="105" a="1"/>
  <c r="Q100" i="105" s="1"/>
  <c r="P100" i="105" a="1"/>
  <c r="P100" i="105" s="1"/>
  <c r="O100" i="105" a="1"/>
  <c r="O100" i="105" s="1"/>
  <c r="N100" i="105" a="1"/>
  <c r="N100" i="105" s="1"/>
  <c r="M100" i="105" a="1"/>
  <c r="M100" i="105" s="1"/>
  <c r="L100" i="105" a="1"/>
  <c r="L100" i="105" s="1"/>
  <c r="K100" i="105" a="1"/>
  <c r="K100" i="105" s="1"/>
  <c r="J100" i="105" a="1"/>
  <c r="J100" i="105" s="1"/>
  <c r="I100" i="105" a="1"/>
  <c r="I100" i="105" s="1"/>
  <c r="H100" i="105" a="1"/>
  <c r="H100" i="105" s="1"/>
  <c r="G100" i="105" a="1"/>
  <c r="G100" i="105" s="1"/>
  <c r="F100" i="105" a="1"/>
  <c r="F100" i="105" s="1"/>
  <c r="E100" i="105" a="1"/>
  <c r="E100" i="105" s="1"/>
  <c r="D100" i="105" a="1"/>
  <c r="D100" i="105" s="1"/>
  <c r="AH99" i="105" a="1"/>
  <c r="AH99" i="105" s="1"/>
  <c r="AG99" i="105" a="1"/>
  <c r="AG99" i="105" s="1"/>
  <c r="AF99" i="105" a="1"/>
  <c r="AF99" i="105" s="1"/>
  <c r="AE99" i="105" a="1"/>
  <c r="AE99" i="105" s="1"/>
  <c r="AD99" i="105" a="1"/>
  <c r="AD99" i="105" s="1"/>
  <c r="AC99" i="105" a="1"/>
  <c r="AC99" i="105" s="1"/>
  <c r="AB99" i="105" a="1"/>
  <c r="AB99" i="105" s="1"/>
  <c r="AA99" i="105" a="1"/>
  <c r="AA99" i="105" s="1"/>
  <c r="Z99" i="105" a="1"/>
  <c r="Z99" i="105" s="1"/>
  <c r="Y99" i="105" a="1"/>
  <c r="Y99" i="105" s="1"/>
  <c r="X99" i="105" a="1"/>
  <c r="X99" i="105" s="1"/>
  <c r="W99" i="105" a="1"/>
  <c r="W99" i="105" s="1"/>
  <c r="V99" i="105" a="1"/>
  <c r="V99" i="105" s="1"/>
  <c r="U99" i="105" a="1"/>
  <c r="U99" i="105" s="1"/>
  <c r="T99" i="105" a="1"/>
  <c r="T99" i="105" s="1"/>
  <c r="S99" i="105" a="1"/>
  <c r="S99" i="105" s="1"/>
  <c r="R99" i="105" a="1"/>
  <c r="R99" i="105" s="1"/>
  <c r="Q99" i="105" a="1"/>
  <c r="Q99" i="105" s="1"/>
  <c r="P99" i="105" a="1"/>
  <c r="P99" i="105" s="1"/>
  <c r="O99" i="105" a="1"/>
  <c r="O99" i="105" s="1"/>
  <c r="N99" i="105" a="1"/>
  <c r="N99" i="105" s="1"/>
  <c r="M99" i="105" a="1"/>
  <c r="M99" i="105" s="1"/>
  <c r="L99" i="105" a="1"/>
  <c r="L99" i="105" s="1"/>
  <c r="K99" i="105" a="1"/>
  <c r="K99" i="105" s="1"/>
  <c r="J99" i="105" a="1"/>
  <c r="J99" i="105" s="1"/>
  <c r="I99" i="105" a="1"/>
  <c r="I99" i="105" s="1"/>
  <c r="H99" i="105" a="1"/>
  <c r="H99" i="105" s="1"/>
  <c r="G99" i="105" a="1"/>
  <c r="G99" i="105" s="1"/>
  <c r="F99" i="105" a="1"/>
  <c r="F99" i="105" s="1"/>
  <c r="E99" i="105" a="1"/>
  <c r="E99" i="105" s="1"/>
  <c r="D99" i="105" a="1"/>
  <c r="D99" i="105" s="1"/>
  <c r="AH98" i="105" a="1"/>
  <c r="AH98" i="105" s="1"/>
  <c r="AG98" i="105" a="1"/>
  <c r="AG98" i="105" s="1"/>
  <c r="AF98" i="105" a="1"/>
  <c r="AF98" i="105" s="1"/>
  <c r="AE98" i="105" a="1"/>
  <c r="AE98" i="105" s="1"/>
  <c r="AD98" i="105" a="1"/>
  <c r="AD98" i="105" s="1"/>
  <c r="AC98" i="105" a="1"/>
  <c r="AC98" i="105" s="1"/>
  <c r="AB98" i="105" a="1"/>
  <c r="AB98" i="105" s="1"/>
  <c r="AA98" i="105" a="1"/>
  <c r="AA98" i="105" s="1"/>
  <c r="Z98" i="105" a="1"/>
  <c r="Z98" i="105" s="1"/>
  <c r="Y98" i="105" a="1"/>
  <c r="Y98" i="105" s="1"/>
  <c r="X98" i="105" a="1"/>
  <c r="X98" i="105" s="1"/>
  <c r="W98" i="105" a="1"/>
  <c r="W98" i="105" s="1"/>
  <c r="V98" i="105" a="1"/>
  <c r="V98" i="105" s="1"/>
  <c r="U98" i="105" a="1"/>
  <c r="U98" i="105" s="1"/>
  <c r="T98" i="105" a="1"/>
  <c r="T98" i="105" s="1"/>
  <c r="S98" i="105" a="1"/>
  <c r="S98" i="105" s="1"/>
  <c r="R98" i="105" a="1"/>
  <c r="R98" i="105" s="1"/>
  <c r="Q98" i="105" a="1"/>
  <c r="Q98" i="105" s="1"/>
  <c r="P98" i="105" a="1"/>
  <c r="P98" i="105" s="1"/>
  <c r="O98" i="105" a="1"/>
  <c r="O98" i="105" s="1"/>
  <c r="N98" i="105" a="1"/>
  <c r="N98" i="105" s="1"/>
  <c r="M98" i="105" a="1"/>
  <c r="M98" i="105" s="1"/>
  <c r="L98" i="105" a="1"/>
  <c r="L98" i="105" s="1"/>
  <c r="K98" i="105" a="1"/>
  <c r="K98" i="105" s="1"/>
  <c r="J98" i="105" a="1"/>
  <c r="J98" i="105" s="1"/>
  <c r="I98" i="105" a="1"/>
  <c r="I98" i="105" s="1"/>
  <c r="H98" i="105" a="1"/>
  <c r="H98" i="105" s="1"/>
  <c r="G98" i="105" a="1"/>
  <c r="G98" i="105" s="1"/>
  <c r="F98" i="105" a="1"/>
  <c r="F98" i="105" s="1"/>
  <c r="E98" i="105" a="1"/>
  <c r="E98" i="105" s="1"/>
  <c r="D98" i="105" a="1"/>
  <c r="D98" i="105" s="1"/>
  <c r="AH97" i="105" a="1"/>
  <c r="AH97" i="105" s="1"/>
  <c r="AG97" i="105" a="1"/>
  <c r="AG97" i="105" s="1"/>
  <c r="AF97" i="105" a="1"/>
  <c r="AF97" i="105" s="1"/>
  <c r="AE97" i="105" a="1"/>
  <c r="AE97" i="105" s="1"/>
  <c r="AD97" i="105" a="1"/>
  <c r="AD97" i="105" s="1"/>
  <c r="AC97" i="105" a="1"/>
  <c r="AC97" i="105" s="1"/>
  <c r="AB97" i="105" a="1"/>
  <c r="AB97" i="105" s="1"/>
  <c r="AA97" i="105" a="1"/>
  <c r="AA97" i="105" s="1"/>
  <c r="Z97" i="105" a="1"/>
  <c r="Z97" i="105" s="1"/>
  <c r="Y97" i="105" a="1"/>
  <c r="Y97" i="105" s="1"/>
  <c r="X97" i="105" a="1"/>
  <c r="X97" i="105" s="1"/>
  <c r="W97" i="105" a="1"/>
  <c r="W97" i="105" s="1"/>
  <c r="V97" i="105" a="1"/>
  <c r="V97" i="105" s="1"/>
  <c r="U97" i="105" a="1"/>
  <c r="U97" i="105" s="1"/>
  <c r="T97" i="105" a="1"/>
  <c r="T97"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AH96" i="105" a="1"/>
  <c r="AH96" i="105" s="1"/>
  <c r="AG96" i="105" a="1"/>
  <c r="AG96" i="105" s="1"/>
  <c r="AF96" i="105" a="1"/>
  <c r="AF96" i="105" s="1"/>
  <c r="AE96" i="105" a="1"/>
  <c r="AE96" i="105" s="1"/>
  <c r="AD96" i="105" a="1"/>
  <c r="AD96" i="105" s="1"/>
  <c r="AC96" i="105" a="1"/>
  <c r="AC96" i="105" s="1"/>
  <c r="AB96" i="105" a="1"/>
  <c r="AB96" i="105" s="1"/>
  <c r="AA96" i="105" a="1"/>
  <c r="AA96" i="105" s="1"/>
  <c r="Z96" i="105" a="1"/>
  <c r="Z96" i="105" s="1"/>
  <c r="Y96" i="105" a="1"/>
  <c r="Y96" i="105" s="1"/>
  <c r="X96" i="105" a="1"/>
  <c r="X96" i="105" s="1"/>
  <c r="W96" i="105" a="1"/>
  <c r="W96" i="105" s="1"/>
  <c r="V96" i="105" a="1"/>
  <c r="V96" i="105" s="1"/>
  <c r="U96" i="105" a="1"/>
  <c r="U96" i="105" s="1"/>
  <c r="T96" i="105" a="1"/>
  <c r="T96"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AH95" i="105" a="1"/>
  <c r="AH95" i="105" s="1"/>
  <c r="AG95" i="105" a="1"/>
  <c r="AG95" i="105" s="1"/>
  <c r="AF95" i="105" a="1"/>
  <c r="AF95" i="105" s="1"/>
  <c r="AE95" i="105" a="1"/>
  <c r="AE95" i="105" s="1"/>
  <c r="AD95" i="105" a="1"/>
  <c r="AD95" i="105" s="1"/>
  <c r="AC95" i="105" a="1"/>
  <c r="AC95" i="105" s="1"/>
  <c r="AB95" i="105" a="1"/>
  <c r="AB95" i="105" s="1"/>
  <c r="AA95" i="105" a="1"/>
  <c r="AA95" i="105" s="1"/>
  <c r="Z95" i="105" a="1"/>
  <c r="Z95" i="105" s="1"/>
  <c r="Y95" i="105" a="1"/>
  <c r="Y95" i="105" s="1"/>
  <c r="X95" i="105" a="1"/>
  <c r="X95" i="105" s="1"/>
  <c r="W95" i="105" a="1"/>
  <c r="W95" i="105" s="1"/>
  <c r="V95" i="105" a="1"/>
  <c r="V95" i="105" s="1"/>
  <c r="U95" i="105" a="1"/>
  <c r="U95" i="105" s="1"/>
  <c r="T95" i="105" a="1"/>
  <c r="T95"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AH94" i="105" a="1"/>
  <c r="AH94" i="105" s="1"/>
  <c r="AG94" i="105" a="1"/>
  <c r="AG94" i="105" s="1"/>
  <c r="AF94" i="105" a="1"/>
  <c r="AF94" i="105" s="1"/>
  <c r="AE94" i="105" a="1"/>
  <c r="AE94" i="105" s="1"/>
  <c r="AD94" i="105" a="1"/>
  <c r="AD94" i="105" s="1"/>
  <c r="AC94" i="105" a="1"/>
  <c r="AC94" i="105" s="1"/>
  <c r="AB94" i="105" a="1"/>
  <c r="AB94" i="105" s="1"/>
  <c r="AA94" i="105" a="1"/>
  <c r="AA94" i="105" s="1"/>
  <c r="Z94" i="105" a="1"/>
  <c r="Z94" i="105" s="1"/>
  <c r="Y94" i="105" a="1"/>
  <c r="Y94" i="105" s="1"/>
  <c r="X94" i="105" a="1"/>
  <c r="X94" i="105" s="1"/>
  <c r="W94" i="105" a="1"/>
  <c r="W94" i="105" s="1"/>
  <c r="V94" i="105" a="1"/>
  <c r="V94" i="105" s="1"/>
  <c r="U94" i="105" a="1"/>
  <c r="U94" i="105" s="1"/>
  <c r="T94" i="105" a="1"/>
  <c r="T94"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AH93" i="105" a="1"/>
  <c r="AH93" i="105" s="1"/>
  <c r="AG93" i="105" a="1"/>
  <c r="AG93" i="105" s="1"/>
  <c r="AF93" i="105" a="1"/>
  <c r="AF93" i="105" s="1"/>
  <c r="AE93" i="105" a="1"/>
  <c r="AE93" i="105" s="1"/>
  <c r="AD93" i="105" a="1"/>
  <c r="AD93" i="105" s="1"/>
  <c r="AC93" i="105" a="1"/>
  <c r="AC93" i="105" s="1"/>
  <c r="AB93" i="105" a="1"/>
  <c r="AB93" i="105" s="1"/>
  <c r="AA93" i="105" a="1"/>
  <c r="AA93" i="105" s="1"/>
  <c r="Z93" i="105" a="1"/>
  <c r="Z93" i="105" s="1"/>
  <c r="Y93" i="105" a="1"/>
  <c r="Y93" i="105" s="1"/>
  <c r="X93" i="105" a="1"/>
  <c r="X93" i="105" s="1"/>
  <c r="W93" i="105" a="1"/>
  <c r="W93" i="105" s="1"/>
  <c r="V93" i="105" a="1"/>
  <c r="V93" i="105" s="1"/>
  <c r="U93" i="105" a="1"/>
  <c r="U93" i="105" s="1"/>
  <c r="T93" i="105" a="1"/>
  <c r="T93"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AH92" i="105" a="1"/>
  <c r="AH92" i="105" s="1"/>
  <c r="AG92" i="105" a="1"/>
  <c r="AG92" i="105" s="1"/>
  <c r="AF92" i="105" a="1"/>
  <c r="AF92" i="105" s="1"/>
  <c r="AE92" i="105" a="1"/>
  <c r="AE92" i="105" s="1"/>
  <c r="AD92" i="105" a="1"/>
  <c r="AD92" i="105" s="1"/>
  <c r="AC92" i="105" a="1"/>
  <c r="AC92" i="105" s="1"/>
  <c r="AB92" i="105" a="1"/>
  <c r="AB92" i="105" s="1"/>
  <c r="AA92" i="105" a="1"/>
  <c r="AA92" i="105" s="1"/>
  <c r="Z92" i="105" a="1"/>
  <c r="Z92" i="105" s="1"/>
  <c r="Y92" i="105" a="1"/>
  <c r="Y92" i="105" s="1"/>
  <c r="X92" i="105" a="1"/>
  <c r="X92" i="105" s="1"/>
  <c r="W92" i="105" a="1"/>
  <c r="W92" i="105" s="1"/>
  <c r="V92" i="105" a="1"/>
  <c r="V92" i="105" s="1"/>
  <c r="U92" i="105" a="1"/>
  <c r="U92" i="105" s="1"/>
  <c r="T92" i="105" a="1"/>
  <c r="T92"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AH91" i="105" a="1"/>
  <c r="AH91" i="105" s="1"/>
  <c r="AG91" i="105" a="1"/>
  <c r="AG91" i="105" s="1"/>
  <c r="AF91" i="105" a="1"/>
  <c r="AF91" i="105" s="1"/>
  <c r="AE91" i="105" a="1"/>
  <c r="AE91" i="105" s="1"/>
  <c r="AD91" i="105" a="1"/>
  <c r="AD91" i="105" s="1"/>
  <c r="AC91" i="105" a="1"/>
  <c r="AC91" i="105" s="1"/>
  <c r="AB91" i="105" a="1"/>
  <c r="AB91" i="105" s="1"/>
  <c r="AA91" i="105" a="1"/>
  <c r="AA91" i="105" s="1"/>
  <c r="Z91" i="105" a="1"/>
  <c r="Z91" i="105" s="1"/>
  <c r="Y91" i="105" a="1"/>
  <c r="Y91" i="105" s="1"/>
  <c r="X91" i="105" a="1"/>
  <c r="X91" i="105" s="1"/>
  <c r="W91" i="105" a="1"/>
  <c r="W91" i="105" s="1"/>
  <c r="V91" i="105" a="1"/>
  <c r="V91" i="105" s="1"/>
  <c r="U91" i="105" a="1"/>
  <c r="U91" i="105" s="1"/>
  <c r="T91" i="105" a="1"/>
  <c r="T91"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AH90" i="105" a="1"/>
  <c r="AH90" i="105" s="1"/>
  <c r="AG90" i="105" a="1"/>
  <c r="AG90" i="105" s="1"/>
  <c r="AF90" i="105" a="1"/>
  <c r="AF90" i="105" s="1"/>
  <c r="AE90" i="105" a="1"/>
  <c r="AE90" i="105" s="1"/>
  <c r="AD90" i="105" a="1"/>
  <c r="AD90" i="105" s="1"/>
  <c r="AC90" i="105" a="1"/>
  <c r="AC90" i="105" s="1"/>
  <c r="AB90" i="105" a="1"/>
  <c r="AB90" i="105" s="1"/>
  <c r="AA90" i="105" a="1"/>
  <c r="AA90" i="105" s="1"/>
  <c r="Z90" i="105" a="1"/>
  <c r="Z90" i="105" s="1"/>
  <c r="Y90" i="105" a="1"/>
  <c r="Y90" i="105" s="1"/>
  <c r="X90" i="105" a="1"/>
  <c r="X90" i="105" s="1"/>
  <c r="W90" i="105" a="1"/>
  <c r="W90" i="105" s="1"/>
  <c r="V90" i="105" a="1"/>
  <c r="V90" i="105" s="1"/>
  <c r="U90" i="105" a="1"/>
  <c r="U90" i="105" s="1"/>
  <c r="T90" i="105" a="1"/>
  <c r="T90"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F83" i="105" a="1"/>
  <c r="F83" i="105" s="1"/>
  <c r="E83" i="105" a="1"/>
  <c r="E83" i="105" s="1"/>
  <c r="J91" i="104" s="1"/>
  <c r="D83" i="105" a="1"/>
  <c r="D83" i="105" s="1"/>
  <c r="D82" i="105" a="1"/>
  <c r="D82" i="105" s="1"/>
  <c r="D81" i="105" a="1"/>
  <c r="D81" i="105" s="1"/>
  <c r="F78" i="105" a="1"/>
  <c r="F78" i="105" s="1"/>
  <c r="E78" i="105" a="1"/>
  <c r="E78" i="105" s="1"/>
  <c r="I69" i="115" s="1"/>
  <c r="D78" i="105" a="1"/>
  <c r="D78" i="105" s="1"/>
  <c r="D77" i="105" a="1"/>
  <c r="D77" i="105" s="1"/>
  <c r="D76" i="105" a="1"/>
  <c r="D76" i="105" s="1"/>
  <c r="F73" i="105" a="1"/>
  <c r="F73" i="105" s="1"/>
  <c r="E73" i="105" a="1"/>
  <c r="E73" i="105" s="1"/>
  <c r="D73" i="105" a="1"/>
  <c r="D73" i="105" s="1"/>
  <c r="D72" i="105" a="1"/>
  <c r="D72" i="105" s="1"/>
  <c r="D71" i="105" a="1"/>
  <c r="D71" i="105" s="1"/>
  <c r="F68" i="105" a="1"/>
  <c r="F68" i="105" s="1"/>
  <c r="E68" i="105" a="1"/>
  <c r="E68" i="105" s="1"/>
  <c r="D68" i="105" a="1"/>
  <c r="D68" i="105" s="1"/>
  <c r="F67" i="105" a="1"/>
  <c r="F67" i="105" s="1"/>
  <c r="I19" i="102" s="1"/>
  <c r="E67" i="105" a="1"/>
  <c r="E67" i="105" s="1"/>
  <c r="I18" i="102" s="1"/>
  <c r="D67" i="105" a="1"/>
  <c r="D67" i="105" s="1"/>
  <c r="F66" i="105" a="1"/>
  <c r="F66" i="105" s="1"/>
  <c r="I16" i="102" s="1"/>
  <c r="E66" i="105" a="1"/>
  <c r="E66" i="105" s="1"/>
  <c r="I15" i="102" s="1"/>
  <c r="D66" i="105" a="1"/>
  <c r="D66" i="105" s="1"/>
  <c r="D64" i="105" a="1"/>
  <c r="D64" i="105" s="1"/>
  <c r="D63" i="105" a="1"/>
  <c r="D63" i="105" s="1"/>
  <c r="F60" i="105" a="1"/>
  <c r="F60" i="105" s="1"/>
  <c r="E60" i="105" a="1"/>
  <c r="E60" i="105" s="1"/>
  <c r="I50" i="100" s="1"/>
  <c r="D60" i="105" a="1"/>
  <c r="D60" i="105" s="1"/>
  <c r="D59" i="105" a="1"/>
  <c r="D59" i="105" s="1"/>
  <c r="D58" i="105" a="1"/>
  <c r="D58" i="105" s="1"/>
  <c r="E55" i="105" a="1"/>
  <c r="E55" i="105" s="1"/>
  <c r="D55" i="105" a="1"/>
  <c r="D55" i="105" s="1"/>
  <c r="E54" i="105" a="1"/>
  <c r="E54" i="105" s="1"/>
  <c r="D54" i="105" a="1"/>
  <c r="D54" i="105" s="1"/>
  <c r="E53" i="105" a="1"/>
  <c r="E53" i="105" s="1"/>
  <c r="D53" i="105" a="1"/>
  <c r="D53" i="105" s="1"/>
  <c r="E52" i="105" a="1"/>
  <c r="E52" i="105" s="1"/>
  <c r="D52" i="105" a="1"/>
  <c r="D52" i="105" s="1"/>
  <c r="E51" i="105" a="1"/>
  <c r="E51" i="105" s="1"/>
  <c r="D51" i="105" a="1"/>
  <c r="D51" i="105" s="1"/>
  <c r="D49" i="105" a="1"/>
  <c r="D49" i="105" s="1"/>
  <c r="D48" i="105" a="1"/>
  <c r="D48" i="105" s="1"/>
  <c r="I38" i="105" a="1"/>
  <c r="I38" i="105" s="1"/>
  <c r="H38" i="105" a="1"/>
  <c r="H38" i="105" s="1"/>
  <c r="G38" i="105" a="1"/>
  <c r="G38" i="105" s="1"/>
  <c r="F38" i="105" a="1"/>
  <c r="F38" i="105" s="1"/>
  <c r="E38" i="105" a="1"/>
  <c r="E38" i="105" s="1"/>
  <c r="D38" i="105" a="1"/>
  <c r="D38" i="105" s="1"/>
  <c r="G180" i="116"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a="1"/>
  <c r="E36" i="105" s="1"/>
  <c r="D36" i="105" a="1"/>
  <c r="D36" i="105" s="1"/>
  <c r="G190" i="116" s="1"/>
  <c r="I35" i="105" a="1"/>
  <c r="I35" i="105" s="1"/>
  <c r="H35" i="105" a="1"/>
  <c r="H35" i="105" s="1"/>
  <c r="G35" i="105" a="1"/>
  <c r="G35" i="105" s="1"/>
  <c r="F35" i="105" a="1"/>
  <c r="F35" i="105" s="1"/>
  <c r="E35" i="105" a="1"/>
  <c r="E35" i="105" s="1"/>
  <c r="D35" i="105" a="1"/>
  <c r="D35" i="105" s="1"/>
  <c r="G182" i="116" s="1"/>
  <c r="I34" i="105" a="1"/>
  <c r="I34" i="105" s="1"/>
  <c r="H34" i="105" a="1"/>
  <c r="H34" i="105" s="1"/>
  <c r="G34" i="105" a="1"/>
  <c r="G34" i="105" s="1"/>
  <c r="F34" i="105" a="1"/>
  <c r="F34" i="105" s="1"/>
  <c r="E34" i="105" a="1"/>
  <c r="E34" i="105" s="1"/>
  <c r="D34" i="105" a="1"/>
  <c r="D34" i="105" s="1"/>
  <c r="G184" i="116" s="1"/>
  <c r="I33" i="105" a="1"/>
  <c r="I33" i="105" s="1"/>
  <c r="H33" i="105" a="1"/>
  <c r="H33" i="105" s="1"/>
  <c r="G33" i="105" a="1"/>
  <c r="G33" i="105" s="1"/>
  <c r="F33" i="105" a="1"/>
  <c r="F33" i="105" s="1"/>
  <c r="E33" i="105" a="1"/>
  <c r="E33" i="105" s="1"/>
  <c r="D33" i="105" a="1"/>
  <c r="D33" i="105" s="1"/>
  <c r="G198" i="116" s="1"/>
  <c r="I32" i="105" a="1"/>
  <c r="I32" i="105" s="1"/>
  <c r="H32" i="105" a="1"/>
  <c r="H32" i="105" s="1"/>
  <c r="G32" i="105" a="1"/>
  <c r="G32" i="105" s="1"/>
  <c r="F32" i="105" a="1"/>
  <c r="F32" i="105" s="1"/>
  <c r="E32" i="105" a="1"/>
  <c r="E32" i="105" s="1"/>
  <c r="D32" i="105" a="1"/>
  <c r="D32" i="105" s="1"/>
  <c r="G191" i="116" s="1"/>
  <c r="I31" i="105" a="1"/>
  <c r="I31" i="105" s="1"/>
  <c r="H31" i="105" a="1"/>
  <c r="H31" i="105" s="1"/>
  <c r="G31" i="105" a="1"/>
  <c r="G31" i="105" s="1"/>
  <c r="F31" i="105" a="1"/>
  <c r="F31" i="105" s="1"/>
  <c r="E31" i="105" a="1"/>
  <c r="E31" i="105" s="1"/>
  <c r="D31" i="105" a="1"/>
  <c r="D31" i="105" s="1"/>
  <c r="G189" i="116" s="1"/>
  <c r="I30" i="105" a="1"/>
  <c r="I30" i="105" s="1"/>
  <c r="H30" i="105" a="1"/>
  <c r="H30" i="105" s="1"/>
  <c r="G30" i="105" a="1"/>
  <c r="G30" i="105" s="1"/>
  <c r="F30" i="105" a="1"/>
  <c r="F30" i="105" s="1"/>
  <c r="E30" i="105" a="1"/>
  <c r="E30" i="105" s="1"/>
  <c r="D30" i="105" a="1"/>
  <c r="D30" i="105" s="1"/>
  <c r="G188" i="116" s="1"/>
  <c r="I29" i="105" a="1"/>
  <c r="I29" i="105" s="1"/>
  <c r="H29" i="105" a="1"/>
  <c r="H29" i="105" s="1"/>
  <c r="G29" i="105" a="1"/>
  <c r="G29" i="105" s="1"/>
  <c r="F29" i="105" a="1"/>
  <c r="F29" i="105" s="1"/>
  <c r="E29" i="105" a="1"/>
  <c r="E29" i="105" s="1"/>
  <c r="D29" i="105" a="1"/>
  <c r="D29" i="105" s="1"/>
  <c r="G186" i="116" s="1"/>
  <c r="R28" i="105" a="1"/>
  <c r="R28" i="105" s="1"/>
  <c r="Q28" i="105" a="1"/>
  <c r="Q28" i="105" s="1"/>
  <c r="L28" i="105" a="1"/>
  <c r="L28" i="105" s="1"/>
  <c r="K28" i="105" a="1"/>
  <c r="K28" i="105" s="1"/>
  <c r="I28" i="105" a="1"/>
  <c r="I28" i="105" s="1"/>
  <c r="H28" i="105" a="1"/>
  <c r="H28" i="105" s="1"/>
  <c r="G28" i="105" a="1"/>
  <c r="G28" i="105" s="1"/>
  <c r="F28" i="105" a="1"/>
  <c r="F28" i="105" s="1"/>
  <c r="E28" i="105" a="1"/>
  <c r="E28" i="105" s="1"/>
  <c r="D28" i="105" a="1"/>
  <c r="D28" i="105" s="1"/>
  <c r="G187" i="116" s="1"/>
  <c r="R27" i="105" a="1"/>
  <c r="R27" i="105" s="1"/>
  <c r="Q27" i="105" a="1"/>
  <c r="Q27" i="105" s="1"/>
  <c r="L27" i="105" a="1"/>
  <c r="L27" i="105" s="1"/>
  <c r="K27" i="105" a="1"/>
  <c r="K27" i="105" s="1"/>
  <c r="I27" i="105" a="1"/>
  <c r="I27" i="105" s="1"/>
  <c r="H27" i="105" a="1"/>
  <c r="H27" i="105" s="1"/>
  <c r="G27" i="105" a="1"/>
  <c r="G27" i="105" s="1"/>
  <c r="F27" i="105" a="1"/>
  <c r="F27" i="105" s="1"/>
  <c r="E27" i="105" a="1"/>
  <c r="E27" i="105" s="1"/>
  <c r="D27" i="105" a="1"/>
  <c r="D27" i="105" s="1"/>
  <c r="G185" i="116" s="1"/>
  <c r="R26" i="105" a="1"/>
  <c r="R26" i="105" s="1"/>
  <c r="Q26" i="105" a="1"/>
  <c r="Q26" i="105" s="1"/>
  <c r="L26" i="105" a="1"/>
  <c r="L26" i="105" s="1"/>
  <c r="K26" i="105" a="1"/>
  <c r="K26" i="105" s="1"/>
  <c r="I26" i="105" a="1"/>
  <c r="I26" i="105" s="1"/>
  <c r="H26" i="105" a="1"/>
  <c r="H26" i="105" s="1"/>
  <c r="G26" i="105" a="1"/>
  <c r="G26" i="105" s="1"/>
  <c r="F26" i="105" a="1"/>
  <c r="F26" i="105" s="1"/>
  <c r="E26" i="105" a="1"/>
  <c r="E26" i="105" s="1"/>
  <c r="D26" i="105" a="1"/>
  <c r="D26" i="105" s="1"/>
  <c r="G179" i="116" s="1"/>
  <c r="R25" i="105" a="1"/>
  <c r="R25" i="105" s="1"/>
  <c r="Q25" i="105" a="1"/>
  <c r="Q25" i="105" s="1"/>
  <c r="L25" i="105" a="1"/>
  <c r="L25" i="105" s="1"/>
  <c r="K25" i="105" a="1"/>
  <c r="K25" i="105" s="1"/>
  <c r="I25" i="105" a="1"/>
  <c r="I25" i="105" s="1"/>
  <c r="H25" i="105" a="1"/>
  <c r="H25" i="105" s="1"/>
  <c r="G25" i="105" a="1"/>
  <c r="G25" i="105" s="1"/>
  <c r="F25" i="105" a="1"/>
  <c r="F25" i="105" s="1"/>
  <c r="E25" i="105" a="1"/>
  <c r="E25" i="105" s="1"/>
  <c r="D25" i="105" a="1"/>
  <c r="D25" i="105" s="1"/>
  <c r="G178" i="116" s="1"/>
  <c r="R24" i="105" a="1"/>
  <c r="R24" i="105" s="1"/>
  <c r="Q24" i="105" a="1"/>
  <c r="Q24" i="105" s="1"/>
  <c r="L24" i="105" a="1"/>
  <c r="L24" i="105" s="1"/>
  <c r="K24" i="105" a="1"/>
  <c r="K24" i="105" s="1"/>
  <c r="I24" i="105" a="1"/>
  <c r="I24" i="105" s="1"/>
  <c r="H24" i="105" a="1"/>
  <c r="H24" i="105" s="1"/>
  <c r="G24" i="105" a="1"/>
  <c r="G24" i="105" s="1"/>
  <c r="F24" i="105" a="1"/>
  <c r="F24" i="105" s="1"/>
  <c r="E24" i="105" a="1"/>
  <c r="E24" i="105" s="1"/>
  <c r="D24" i="105" a="1"/>
  <c r="D24" i="105" s="1"/>
  <c r="G193" i="116" s="1"/>
  <c r="V23" i="105" a="1"/>
  <c r="V23" i="105" s="1"/>
  <c r="R23" i="105" a="1"/>
  <c r="R23" i="105" s="1"/>
  <c r="Q23" i="105" a="1"/>
  <c r="Q23" i="105" s="1"/>
  <c r="L23" i="105" a="1"/>
  <c r="L23" i="105" s="1"/>
  <c r="K23" i="105" a="1"/>
  <c r="K23" i="105" s="1"/>
  <c r="I23" i="105" a="1"/>
  <c r="I23" i="105" s="1"/>
  <c r="H23" i="105" a="1"/>
  <c r="H23" i="105" s="1"/>
  <c r="G23" i="105" a="1"/>
  <c r="G23" i="105" s="1"/>
  <c r="F23" i="105" a="1"/>
  <c r="F23" i="105" s="1"/>
  <c r="E23" i="105" a="1"/>
  <c r="E23" i="105" s="1"/>
  <c r="D23" i="105" a="1"/>
  <c r="D23" i="105" s="1"/>
  <c r="G192" i="116" s="1"/>
  <c r="V22" i="105" a="1"/>
  <c r="V22" i="105" s="1"/>
  <c r="R22" i="105" a="1"/>
  <c r="R22" i="105" s="1"/>
  <c r="Q22" i="105" a="1"/>
  <c r="Q22" i="105" s="1"/>
  <c r="L22" i="105" a="1"/>
  <c r="L22" i="105" s="1"/>
  <c r="K22" i="105" a="1"/>
  <c r="K22" i="105" s="1"/>
  <c r="I22" i="105" a="1"/>
  <c r="I22" i="105" s="1"/>
  <c r="H22" i="105" a="1"/>
  <c r="H22" i="105" s="1"/>
  <c r="G22" i="105" a="1"/>
  <c r="G22" i="105" s="1"/>
  <c r="F22" i="105" a="1"/>
  <c r="F22" i="105" s="1"/>
  <c r="E22" i="105" a="1"/>
  <c r="E22" i="105" s="1"/>
  <c r="D22" i="105" a="1"/>
  <c r="D22" i="105" s="1"/>
  <c r="V21" i="105" a="1"/>
  <c r="V21" i="105" s="1"/>
  <c r="R21" i="105" a="1"/>
  <c r="R21" i="105" s="1"/>
  <c r="Q21" i="105" a="1"/>
  <c r="Q21" i="105" s="1"/>
  <c r="L21" i="105" a="1"/>
  <c r="L21" i="105" s="1"/>
  <c r="K21" i="105" a="1"/>
  <c r="K21" i="105" s="1"/>
  <c r="I21" i="105" a="1"/>
  <c r="I21" i="105" s="1"/>
  <c r="H21" i="105" a="1"/>
  <c r="H21" i="105" s="1"/>
  <c r="G21" i="105" a="1"/>
  <c r="G21" i="105" s="1"/>
  <c r="F21" i="105" a="1"/>
  <c r="F21" i="105" s="1"/>
  <c r="E21" i="105" a="1"/>
  <c r="E21" i="105" s="1"/>
  <c r="D21" i="105" a="1"/>
  <c r="D21" i="105" s="1"/>
  <c r="G181" i="116" s="1"/>
  <c r="V20" i="105" a="1"/>
  <c r="V20" i="105" s="1"/>
  <c r="R20" i="105" a="1"/>
  <c r="R20" i="105" s="1"/>
  <c r="Q20" i="105" a="1"/>
  <c r="Q20" i="105" s="1"/>
  <c r="L20" i="105" a="1"/>
  <c r="L20" i="105" s="1"/>
  <c r="K20" i="105" a="1"/>
  <c r="K20" i="105" s="1"/>
  <c r="I20" i="105" a="1"/>
  <c r="I20" i="105" s="1"/>
  <c r="H20" i="105" a="1"/>
  <c r="H20" i="105" s="1"/>
  <c r="G20" i="105" a="1"/>
  <c r="G20" i="105" s="1"/>
  <c r="F20" i="105" a="1"/>
  <c r="F20" i="105" s="1"/>
  <c r="E20" i="105" a="1"/>
  <c r="E20" i="105" s="1"/>
  <c r="D20" i="105" a="1"/>
  <c r="D20" i="105" s="1"/>
  <c r="V18" i="105" a="1"/>
  <c r="V18" i="105" s="1"/>
  <c r="Q18" i="105" a="1"/>
  <c r="Q18" i="105" s="1"/>
  <c r="K18" i="105" a="1"/>
  <c r="K18" i="105" s="1"/>
  <c r="V17" i="105" a="1"/>
  <c r="V17" i="105" s="1"/>
  <c r="Q17" i="105" a="1"/>
  <c r="Q17" i="105" s="1"/>
  <c r="K17" i="105" a="1"/>
  <c r="K17" i="105" s="1"/>
  <c r="D7" i="105" a="1"/>
  <c r="D7" i="105" s="1"/>
  <c r="D6" i="105" a="1"/>
  <c r="D6" i="105" s="1"/>
  <c r="D5" i="105" a="1"/>
  <c r="D5" i="105" s="1"/>
  <c r="F99" i="104" a="1"/>
  <c r="F99" i="104" s="1"/>
  <c r="D96" i="104" a="1"/>
  <c r="D96" i="104" s="1"/>
  <c r="H89" i="104" a="1"/>
  <c r="H89" i="104" s="1"/>
  <c r="D89" i="104" a="1"/>
  <c r="D89" i="104" s="1"/>
  <c r="E87" i="104" a="1"/>
  <c r="E87" i="104" s="1"/>
  <c r="F94" i="104" s="1"/>
  <c r="E86" i="104" a="1"/>
  <c r="E86" i="104" s="1"/>
  <c r="D82" i="104" a="1"/>
  <c r="D82" i="104" s="1"/>
  <c r="D81" i="104" a="1"/>
  <c r="D81" i="104" s="1"/>
  <c r="D67" i="104"/>
  <c r="D66" i="104"/>
  <c r="D65" i="104"/>
  <c r="I60" i="104"/>
  <c r="I59" i="104"/>
  <c r="I58" i="104"/>
  <c r="I55" i="104" a="1"/>
  <c r="I55" i="104" s="1"/>
  <c r="G55" i="104" a="1"/>
  <c r="G55" i="104" s="1"/>
  <c r="D55" i="104" a="1"/>
  <c r="D55" i="104" s="1"/>
  <c r="E53" i="104" a="1"/>
  <c r="E53" i="104" s="1"/>
  <c r="F77" i="104" s="1"/>
  <c r="E52" i="104" a="1"/>
  <c r="E52" i="104" s="1"/>
  <c r="D48" i="104" a="1"/>
  <c r="D48" i="104" s="1"/>
  <c r="D47" i="104" a="1"/>
  <c r="D47" i="104" s="1"/>
  <c r="I18" i="104"/>
  <c r="I17" i="104"/>
  <c r="I16" i="104"/>
  <c r="I13" i="104" a="1"/>
  <c r="I13" i="104" s="1"/>
  <c r="G13" i="104" a="1"/>
  <c r="G13" i="104" s="1"/>
  <c r="D13" i="104" a="1"/>
  <c r="D13" i="104" s="1"/>
  <c r="E11" i="104" a="1"/>
  <c r="E11" i="104" s="1"/>
  <c r="F43" i="104" s="1"/>
  <c r="E10" i="104" a="1"/>
  <c r="E10" i="104" s="1"/>
  <c r="D6" i="104" a="1"/>
  <c r="D6" i="104" s="1"/>
  <c r="D5" i="104" a="1"/>
  <c r="D5" i="104" s="1"/>
  <c r="F151" i="103" a="1"/>
  <c r="F151" i="103" s="1"/>
  <c r="D148" i="103" a="1"/>
  <c r="D148" i="103" s="1"/>
  <c r="I128" i="103"/>
  <c r="I127" i="103"/>
  <c r="I124" i="103" a="1"/>
  <c r="I124" i="103" s="1"/>
  <c r="G124" i="103" a="1"/>
  <c r="G124" i="103" s="1"/>
  <c r="D124" i="103" a="1"/>
  <c r="D124" i="103" s="1"/>
  <c r="E122" i="103" a="1"/>
  <c r="E122" i="103" s="1"/>
  <c r="F146" i="103" s="1"/>
  <c r="E121" i="103" a="1"/>
  <c r="E121" i="103" s="1"/>
  <c r="D117" i="103" a="1"/>
  <c r="D117" i="103" s="1"/>
  <c r="D116" i="103" a="1"/>
  <c r="D116" i="103" s="1"/>
  <c r="I96" i="103" a="1"/>
  <c r="I96" i="103" s="1"/>
  <c r="G96" i="103" a="1"/>
  <c r="G96" i="103" s="1"/>
  <c r="D96" i="103" a="1"/>
  <c r="D96" i="103" s="1"/>
  <c r="E94" i="103" a="1"/>
  <c r="E94" i="103" s="1"/>
  <c r="G102" i="103" s="1"/>
  <c r="E93" i="103" a="1"/>
  <c r="E93" i="103" s="1"/>
  <c r="D89" i="103" a="1"/>
  <c r="D89" i="103" s="1"/>
  <c r="D88" i="103" a="1"/>
  <c r="D88" i="103" s="1"/>
  <c r="F84" i="103" a="1"/>
  <c r="F84" i="103" s="1"/>
  <c r="D81" i="103" a="1"/>
  <c r="D81" i="103" s="1"/>
  <c r="J53" i="103"/>
  <c r="J52" i="103"/>
  <c r="J49" i="103" a="1"/>
  <c r="J49" i="103" s="1"/>
  <c r="H49" i="103" a="1"/>
  <c r="H49" i="103" s="1"/>
  <c r="D49" i="103" a="1"/>
  <c r="D49" i="103" s="1"/>
  <c r="E47" i="103" a="1"/>
  <c r="E47" i="103" s="1"/>
  <c r="F79" i="103" s="1"/>
  <c r="E46" i="103" a="1"/>
  <c r="E46" i="103" s="1"/>
  <c r="D42" i="103" a="1"/>
  <c r="D42" i="103" s="1"/>
  <c r="D41" i="103" a="1"/>
  <c r="D41" i="103" s="1"/>
  <c r="I14" i="103" a="1"/>
  <c r="I14" i="103" s="1"/>
  <c r="I13" i="103" a="1"/>
  <c r="I13" i="103" s="1"/>
  <c r="G13" i="103" a="1"/>
  <c r="G13" i="103" s="1"/>
  <c r="D13" i="103" a="1"/>
  <c r="D13" i="103" s="1"/>
  <c r="E11" i="103" a="1"/>
  <c r="E11" i="103" s="1"/>
  <c r="E10" i="103" a="1"/>
  <c r="E10" i="103" s="1"/>
  <c r="D6" i="103" a="1"/>
  <c r="D6" i="103" s="1"/>
  <c r="D5" i="103" a="1"/>
  <c r="D5" i="103" s="1"/>
  <c r="I17" i="102" a="1"/>
  <c r="I17" i="102" s="1"/>
  <c r="I14" i="102" a="1"/>
  <c r="I14" i="102" s="1"/>
  <c r="I13" i="102" a="1"/>
  <c r="I13" i="102" s="1"/>
  <c r="G13" i="102" a="1"/>
  <c r="G13" i="102" s="1"/>
  <c r="D13" i="102" a="1"/>
  <c r="D13" i="102" s="1"/>
  <c r="E11" i="102" a="1"/>
  <c r="E11" i="102" s="1"/>
  <c r="E10" i="102" a="1"/>
  <c r="E10" i="102" s="1"/>
  <c r="D6" i="102" a="1"/>
  <c r="D6" i="102" s="1"/>
  <c r="D5" i="102" a="1"/>
  <c r="D5" i="102" s="1"/>
  <c r="F55" i="101" a="1"/>
  <c r="F55" i="101" s="1"/>
  <c r="D52" i="101" a="1"/>
  <c r="D52" i="101" s="1"/>
  <c r="K47" i="101"/>
  <c r="I44" i="101" a="1"/>
  <c r="I44" i="101" s="1"/>
  <c r="D44" i="101" a="1"/>
  <c r="D44" i="101" s="1"/>
  <c r="E42" i="101" a="1"/>
  <c r="E42" i="101" s="1"/>
  <c r="F50" i="101" s="1"/>
  <c r="E41" i="101" a="1"/>
  <c r="E41" i="101" s="1"/>
  <c r="D37" i="101" a="1"/>
  <c r="D37" i="101" s="1"/>
  <c r="D36" i="101" a="1"/>
  <c r="D36" i="101" s="1"/>
  <c r="I30" i="101" a="1"/>
  <c r="I30" i="101" s="1"/>
  <c r="I29" i="101" a="1"/>
  <c r="I29" i="101" s="1"/>
  <c r="I28" i="101" a="1"/>
  <c r="I28" i="101" s="1"/>
  <c r="I27" i="101" a="1"/>
  <c r="I27" i="101" s="1"/>
  <c r="I26" i="101" a="1"/>
  <c r="I26" i="101" s="1"/>
  <c r="I25" i="101" a="1"/>
  <c r="I25" i="101" s="1"/>
  <c r="I24" i="101" a="1"/>
  <c r="I24" i="101" s="1"/>
  <c r="I23" i="101" a="1"/>
  <c r="I23" i="101" s="1"/>
  <c r="I15" i="101" a="1"/>
  <c r="I15" i="101" s="1"/>
  <c r="I14" i="101" a="1"/>
  <c r="I14" i="101" s="1"/>
  <c r="I13" i="101" a="1"/>
  <c r="I13" i="101" s="1"/>
  <c r="G13" i="101" a="1"/>
  <c r="G13" i="101" s="1"/>
  <c r="D13" i="101" a="1"/>
  <c r="D13" i="101" s="1"/>
  <c r="E11" i="101" a="1"/>
  <c r="E11" i="101" s="1"/>
  <c r="F32" i="101" s="1"/>
  <c r="E10" i="101" a="1"/>
  <c r="E10" i="101" s="1"/>
  <c r="D6" i="101" a="1"/>
  <c r="D6" i="101" s="1"/>
  <c r="D5" i="101" a="1"/>
  <c r="D5" i="101" s="1"/>
  <c r="I53" i="100" a="1"/>
  <c r="I53" i="100" s="1"/>
  <c r="I52" i="100"/>
  <c r="I49" i="100" a="1"/>
  <c r="I49" i="100" s="1"/>
  <c r="G49" i="100" a="1"/>
  <c r="G49" i="100" s="1"/>
  <c r="D49" i="100" a="1"/>
  <c r="D49" i="100" s="1"/>
  <c r="E47" i="100" a="1"/>
  <c r="E47" i="100" s="1"/>
  <c r="E46" i="100" a="1"/>
  <c r="E46" i="100" s="1"/>
  <c r="D42" i="100" a="1"/>
  <c r="D42" i="100" s="1"/>
  <c r="D41" i="100" a="1"/>
  <c r="D41" i="100" s="1"/>
  <c r="I14" i="100" a="1"/>
  <c r="I14" i="100" s="1"/>
  <c r="I13" i="100" a="1"/>
  <c r="I13" i="100" s="1"/>
  <c r="G13" i="100" a="1"/>
  <c r="G13" i="100" s="1"/>
  <c r="D13" i="100" a="1"/>
  <c r="D13" i="100" s="1"/>
  <c r="E11" i="100" a="1"/>
  <c r="E11" i="100" s="1"/>
  <c r="E10" i="100" a="1"/>
  <c r="E10" i="100" s="1"/>
  <c r="D6" i="100" a="1"/>
  <c r="D6" i="100" s="1"/>
  <c r="D5" i="100" a="1"/>
  <c r="D5" i="100" s="1"/>
  <c r="O115" i="99" a="1"/>
  <c r="O115" i="99" s="1"/>
  <c r="M112" i="99" a="1"/>
  <c r="M112" i="99" s="1"/>
  <c r="S98" i="99"/>
  <c r="S96" i="99"/>
  <c r="N107" i="99" s="1"/>
  <c r="S95" i="99"/>
  <c r="Q92" i="99" a="1"/>
  <c r="Q92" i="99" s="1"/>
  <c r="M92" i="99" a="1"/>
  <c r="M92" i="99" s="1"/>
  <c r="N90" i="99" a="1"/>
  <c r="N90" i="99" s="1"/>
  <c r="N89" i="99" a="1"/>
  <c r="N89" i="99" s="1"/>
  <c r="F85" i="99" a="1"/>
  <c r="F85" i="99" s="1"/>
  <c r="M84" i="99" a="1"/>
  <c r="M84" i="99" s="1"/>
  <c r="M83" i="99" a="1"/>
  <c r="M83" i="99" s="1"/>
  <c r="D82" i="99" a="1"/>
  <c r="D82" i="99" s="1"/>
  <c r="P76" i="99" a="1"/>
  <c r="P76" i="99" s="1"/>
  <c r="M76" i="99" a="1"/>
  <c r="M76" i="99" s="1"/>
  <c r="N72" i="99" a="1"/>
  <c r="N72" i="99" s="1"/>
  <c r="O79" i="99" s="1"/>
  <c r="N71" i="99" a="1"/>
  <c r="N71" i="99" s="1"/>
  <c r="M67" i="99" a="1"/>
  <c r="M67" i="99" s="1"/>
  <c r="M66" i="99" a="1"/>
  <c r="M66" i="99" s="1"/>
  <c r="P60" i="99" a="1"/>
  <c r="P60" i="99" s="1"/>
  <c r="M60" i="99" a="1"/>
  <c r="M60" i="99" s="1"/>
  <c r="N58" i="99" a="1"/>
  <c r="N58" i="99" s="1"/>
  <c r="O63" i="99" s="1"/>
  <c r="N57" i="99" a="1"/>
  <c r="N57" i="99" s="1"/>
  <c r="M54" i="99" a="1"/>
  <c r="M54" i="99" s="1"/>
  <c r="I54" i="99"/>
  <c r="M53" i="99" a="1"/>
  <c r="M53" i="99" s="1"/>
  <c r="I53" i="99"/>
  <c r="I52" i="99"/>
  <c r="I49" i="99" a="1"/>
  <c r="I49" i="99" s="1"/>
  <c r="G49" i="99" a="1"/>
  <c r="G49" i="99" s="1"/>
  <c r="D49" i="99" a="1"/>
  <c r="D49" i="99" s="1"/>
  <c r="E47" i="99" a="1"/>
  <c r="E47" i="99" s="1"/>
  <c r="F80" i="99" s="1"/>
  <c r="P46" i="99" a="1"/>
  <c r="P46" i="99" s="1"/>
  <c r="M46" i="99" a="1"/>
  <c r="M46" i="99" s="1"/>
  <c r="E46" i="99" a="1"/>
  <c r="E46" i="99" s="1"/>
  <c r="N44" i="99" a="1"/>
  <c r="N44" i="99" s="1"/>
  <c r="O49" i="99" s="1"/>
  <c r="N43" i="99" a="1"/>
  <c r="N43" i="99" s="1"/>
  <c r="D41" i="99" a="1"/>
  <c r="D41" i="99" s="1"/>
  <c r="M40" i="99" a="1"/>
  <c r="M40" i="99" s="1"/>
  <c r="D40" i="99" a="1"/>
  <c r="D40" i="99" s="1"/>
  <c r="M39" i="99" a="1"/>
  <c r="M39" i="99" s="1"/>
  <c r="I14" i="99" a="1"/>
  <c r="I14" i="99" s="1"/>
  <c r="I13" i="99" a="1"/>
  <c r="I13" i="99" s="1"/>
  <c r="G13" i="99" a="1"/>
  <c r="G13" i="99" s="1"/>
  <c r="D13" i="99" a="1"/>
  <c r="D13" i="99" s="1"/>
  <c r="E11" i="99" a="1"/>
  <c r="E11" i="99" s="1"/>
  <c r="E10" i="99" a="1"/>
  <c r="E10" i="99" s="1"/>
  <c r="D6" i="99" a="1"/>
  <c r="D6" i="99" s="1"/>
  <c r="D5" i="99" a="1"/>
  <c r="D5" i="99" s="1"/>
  <c r="H56" i="98"/>
  <c r="I56" i="98" s="1"/>
  <c r="G56" i="98"/>
  <c r="H55" i="98"/>
  <c r="I55" i="98" s="1"/>
  <c r="G55" i="98"/>
  <c r="H54" i="98"/>
  <c r="G54" i="98"/>
  <c r="K44" i="98"/>
  <c r="F44" i="98"/>
  <c r="G44" i="98" s="1"/>
  <c r="K43" i="98"/>
  <c r="F43" i="98"/>
  <c r="G43" i="98" s="1"/>
  <c r="K42" i="98"/>
  <c r="F42" i="98"/>
  <c r="G42" i="98" s="1"/>
  <c r="F34" i="98"/>
  <c r="G34" i="98" s="1"/>
  <c r="F33" i="98"/>
  <c r="G33" i="98" s="1"/>
  <c r="F32" i="98"/>
  <c r="G32" i="98" s="1"/>
  <c r="F31" i="98"/>
  <c r="G31" i="98" s="1"/>
  <c r="F30" i="98"/>
  <c r="G30" i="98" s="1"/>
  <c r="F29" i="98"/>
  <c r="G29" i="98" s="1"/>
  <c r="F28" i="98"/>
  <c r="G28" i="98" s="1"/>
  <c r="F27" i="98"/>
  <c r="G27" i="98" s="1"/>
  <c r="F26" i="98"/>
  <c r="G26" i="98" s="1"/>
  <c r="F25" i="98"/>
  <c r="G25" i="98" s="1"/>
  <c r="G21" i="98"/>
  <c r="G20" i="98"/>
  <c r="G19" i="98"/>
  <c r="G18" i="98"/>
  <c r="G17" i="98"/>
  <c r="G16" i="98"/>
  <c r="G15" i="98"/>
  <c r="G14" i="98"/>
  <c r="G13" i="98"/>
  <c r="G12" i="98"/>
  <c r="E139" i="96"/>
  <c r="F40" i="95" s="1"/>
  <c r="G138" i="96"/>
  <c r="F32" i="94" s="1"/>
  <c r="E138" i="96"/>
  <c r="F39" i="95" s="1"/>
  <c r="G137" i="96"/>
  <c r="F31" i="94" s="1"/>
  <c r="E137" i="96"/>
  <c r="F38" i="95" s="1"/>
  <c r="D137" i="96"/>
  <c r="F31" i="95" s="1"/>
  <c r="G136" i="96"/>
  <c r="F30" i="94" s="1"/>
  <c r="E136" i="96"/>
  <c r="F37" i="95" s="1"/>
  <c r="D136" i="96"/>
  <c r="F30" i="95" s="1"/>
  <c r="M30" i="95" s="1" a="1"/>
  <c r="M30" i="95" s="1"/>
  <c r="G135" i="96"/>
  <c r="F29" i="94" s="1"/>
  <c r="E135" i="96"/>
  <c r="F36" i="95" s="1"/>
  <c r="M36" i="95" s="1" a="1"/>
  <c r="M36" i="95" s="1"/>
  <c r="D135" i="96"/>
  <c r="F29" i="95" s="1"/>
  <c r="G134" i="96"/>
  <c r="F28" i="94" s="1"/>
  <c r="E134" i="96"/>
  <c r="F35" i="95" s="1"/>
  <c r="D134" i="96"/>
  <c r="F28" i="95" s="1"/>
  <c r="G133" i="96"/>
  <c r="F27" i="94" s="1"/>
  <c r="F133" i="96"/>
  <c r="F36" i="94" s="1"/>
  <c r="E133" i="96"/>
  <c r="F34" i="95" s="1"/>
  <c r="D133" i="96"/>
  <c r="F27" i="95" s="1"/>
  <c r="I132" i="96"/>
  <c r="F38" i="94" s="1"/>
  <c r="G132" i="96"/>
  <c r="F26" i="94" s="1"/>
  <c r="F132" i="96"/>
  <c r="F35" i="94" s="1"/>
  <c r="E132" i="96"/>
  <c r="F33" i="95" s="1"/>
  <c r="M33" i="95" s="1" a="1"/>
  <c r="M33" i="95" s="1"/>
  <c r="D132" i="96"/>
  <c r="F26" i="95" s="1"/>
  <c r="I131" i="96"/>
  <c r="F37" i="94" s="1"/>
  <c r="M37" i="94" s="1" a="1"/>
  <c r="M37" i="94" s="1"/>
  <c r="H131" i="96"/>
  <c r="F33" i="94" s="1"/>
  <c r="G131" i="96"/>
  <c r="F25" i="94" s="1"/>
  <c r="L25" i="94" s="1" a="1"/>
  <c r="L25" i="94" s="1"/>
  <c r="F131" i="96"/>
  <c r="F34" i="94" s="1"/>
  <c r="E131" i="96"/>
  <c r="F32" i="95" s="1"/>
  <c r="D131" i="96"/>
  <c r="F25" i="95" s="1"/>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E40" i="95" s="1"/>
  <c r="J103" i="96" a="1"/>
  <c r="J103" i="96" s="1"/>
  <c r="I103" i="96" a="1"/>
  <c r="I103" i="96" s="1"/>
  <c r="H103" i="96" a="1"/>
  <c r="H103" i="96" s="1"/>
  <c r="G103" i="96" a="1"/>
  <c r="G103" i="96" s="1"/>
  <c r="F103" i="96" a="1"/>
  <c r="F103" i="96" s="1"/>
  <c r="E103" i="96" a="1"/>
  <c r="E103" i="96" s="1"/>
  <c r="D103" i="96" a="1"/>
  <c r="D103" i="96" s="1"/>
  <c r="E39" i="95"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E39" i="94"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E36" i="94" s="1"/>
  <c r="D30" i="96" a="1"/>
  <c r="D30" i="96" s="1"/>
  <c r="L29" i="96" a="1"/>
  <c r="L29" i="96" s="1"/>
  <c r="K29" i="96" a="1"/>
  <c r="K29" i="96" s="1"/>
  <c r="J29" i="96" a="1"/>
  <c r="J29" i="96" s="1"/>
  <c r="I29" i="96" a="1"/>
  <c r="I29" i="96" s="1"/>
  <c r="H29" i="96" a="1"/>
  <c r="H29" i="96" s="1"/>
  <c r="G29" i="96" a="1"/>
  <c r="G29" i="96" s="1"/>
  <c r="F29" i="96" a="1"/>
  <c r="F29" i="96" s="1"/>
  <c r="E29" i="96" a="1"/>
  <c r="E29" i="96" s="1"/>
  <c r="E35" i="94" s="1"/>
  <c r="D29" i="96" a="1"/>
  <c r="D29" i="96" s="1"/>
  <c r="L28" i="96" a="1"/>
  <c r="L28" i="96" s="1"/>
  <c r="K28" i="96" a="1"/>
  <c r="K28" i="96" s="1"/>
  <c r="J28" i="96" a="1"/>
  <c r="J28" i="96" s="1"/>
  <c r="I28" i="96" a="1"/>
  <c r="I28" i="96" s="1"/>
  <c r="H28" i="96" a="1"/>
  <c r="H28" i="96" s="1"/>
  <c r="G28" i="96" a="1"/>
  <c r="G28" i="96" s="1"/>
  <c r="F28" i="96" a="1"/>
  <c r="F28" i="96" s="1"/>
  <c r="E28" i="96" a="1"/>
  <c r="E28" i="96" s="1"/>
  <c r="E34" i="94"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E32" i="94" s="1"/>
  <c r="D17" i="96" a="1"/>
  <c r="D17" i="96" s="1"/>
  <c r="L16" i="96" a="1"/>
  <c r="L16" i="96" s="1"/>
  <c r="K16" i="96" a="1"/>
  <c r="K16" i="96" s="1"/>
  <c r="J16" i="96" a="1"/>
  <c r="J16" i="96" s="1"/>
  <c r="I16" i="96" a="1"/>
  <c r="I16" i="96" s="1"/>
  <c r="H16" i="96" a="1"/>
  <c r="H16" i="96" s="1"/>
  <c r="G16" i="96" a="1"/>
  <c r="G16" i="96" s="1"/>
  <c r="F16" i="96" a="1"/>
  <c r="F16" i="96" s="1"/>
  <c r="E16" i="96" a="1"/>
  <c r="E16" i="96" s="1"/>
  <c r="E31" i="94" s="1"/>
  <c r="D16" i="96" a="1"/>
  <c r="D16" i="96" s="1"/>
  <c r="L15" i="96" a="1"/>
  <c r="L15" i="96" s="1"/>
  <c r="K15" i="96" a="1"/>
  <c r="K15" i="96" s="1"/>
  <c r="J15" i="96" a="1"/>
  <c r="J15" i="96" s="1"/>
  <c r="I15" i="96" a="1"/>
  <c r="I15" i="96" s="1"/>
  <c r="H15" i="96" a="1"/>
  <c r="H15" i="96" s="1"/>
  <c r="G15" i="96" a="1"/>
  <c r="G15" i="96" s="1"/>
  <c r="F15" i="96" a="1"/>
  <c r="F15" i="96" s="1"/>
  <c r="E15" i="96" a="1"/>
  <c r="E15" i="96" s="1"/>
  <c r="E30" i="94" s="1"/>
  <c r="D15" i="96" a="1"/>
  <c r="D15" i="96" s="1"/>
  <c r="L14" i="96" a="1"/>
  <c r="L14" i="96" s="1"/>
  <c r="K14" i="96" a="1"/>
  <c r="K14" i="96" s="1"/>
  <c r="J14" i="96" a="1"/>
  <c r="J14" i="96" s="1"/>
  <c r="I14" i="96" a="1"/>
  <c r="I14" i="96" s="1"/>
  <c r="H14" i="96" a="1"/>
  <c r="H14" i="96" s="1"/>
  <c r="G14" i="96" a="1"/>
  <c r="G14" i="96" s="1"/>
  <c r="F14" i="96" a="1"/>
  <c r="F14" i="96" s="1"/>
  <c r="E14" i="96" a="1"/>
  <c r="E14" i="96" s="1"/>
  <c r="E29" i="94" s="1"/>
  <c r="D14" i="96" a="1"/>
  <c r="D14" i="96" s="1"/>
  <c r="L13" i="96" a="1"/>
  <c r="L13" i="96" s="1"/>
  <c r="K13" i="96" a="1"/>
  <c r="K13" i="96" s="1"/>
  <c r="J13" i="96" a="1"/>
  <c r="J13" i="96" s="1"/>
  <c r="I13" i="96" a="1"/>
  <c r="I13" i="96" s="1"/>
  <c r="H13" i="96" a="1"/>
  <c r="H13" i="96" s="1"/>
  <c r="G13" i="96" a="1"/>
  <c r="G13" i="96" s="1"/>
  <c r="F13" i="96" a="1"/>
  <c r="F13" i="96" s="1"/>
  <c r="E13" i="96" a="1"/>
  <c r="E13" i="96" s="1"/>
  <c r="E28" i="94" s="1"/>
  <c r="D13" i="96" a="1"/>
  <c r="D13" i="96" s="1"/>
  <c r="L12" i="96" a="1"/>
  <c r="L12" i="96" s="1"/>
  <c r="K12" i="96" a="1"/>
  <c r="K12" i="96" s="1"/>
  <c r="J12" i="96" a="1"/>
  <c r="J12" i="96" s="1"/>
  <c r="I12" i="96" a="1"/>
  <c r="I12" i="96" s="1"/>
  <c r="H12" i="96" a="1"/>
  <c r="H12" i="96" s="1"/>
  <c r="G12" i="96" a="1"/>
  <c r="G12" i="96" s="1"/>
  <c r="F12" i="96" a="1"/>
  <c r="F12" i="96" s="1"/>
  <c r="E12" i="96" a="1"/>
  <c r="E12" i="96" s="1"/>
  <c r="E27" i="94" s="1"/>
  <c r="D12" i="96" a="1"/>
  <c r="D12" i="96" s="1"/>
  <c r="L11" i="96" a="1"/>
  <c r="L11" i="96" s="1"/>
  <c r="K11" i="96" a="1"/>
  <c r="K11" i="96" s="1"/>
  <c r="J11" i="96" a="1"/>
  <c r="J11" i="96" s="1"/>
  <c r="I11" i="96" a="1"/>
  <c r="I11" i="96" s="1"/>
  <c r="H11" i="96" a="1"/>
  <c r="H11" i="96" s="1"/>
  <c r="G11" i="96" a="1"/>
  <c r="G11" i="96" s="1"/>
  <c r="F11" i="96" a="1"/>
  <c r="F11" i="96" s="1"/>
  <c r="E11" i="96" a="1"/>
  <c r="E11" i="96" s="1"/>
  <c r="D11" i="96" a="1"/>
  <c r="D11" i="96" s="1"/>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D7" i="96" a="1"/>
  <c r="D7" i="96" s="1"/>
  <c r="D6" i="96" a="1"/>
  <c r="D6" i="96" s="1"/>
  <c r="D5" i="96" a="1"/>
  <c r="D5" i="96" s="1"/>
  <c r="D37" i="95"/>
  <c r="D35" i="95"/>
  <c r="D34" i="95"/>
  <c r="D33" i="95"/>
  <c r="D36" i="95"/>
  <c r="D30" i="95"/>
  <c r="D28" i="95"/>
  <c r="D27" i="95"/>
  <c r="D26" i="95"/>
  <c r="D29" i="95"/>
  <c r="P18" i="95"/>
  <c r="P17" i="95"/>
  <c r="P16" i="95" a="1"/>
  <c r="P16" i="95" s="1"/>
  <c r="I16" i="95" a="1"/>
  <c r="I16" i="95" s="1"/>
  <c r="P15" i="95" a="1"/>
  <c r="P15" i="95" s="1"/>
  <c r="I15" i="95" a="1"/>
  <c r="I15" i="95" s="1"/>
  <c r="P14" i="95" a="1"/>
  <c r="P14" i="95" s="1"/>
  <c r="N14" i="95" a="1"/>
  <c r="N14" i="95" s="1"/>
  <c r="K14" i="95" a="1"/>
  <c r="K14" i="95" s="1"/>
  <c r="I14" i="95" a="1"/>
  <c r="I14" i="95" s="1"/>
  <c r="G14" i="95" a="1"/>
  <c r="G14" i="95" s="1"/>
  <c r="D14" i="95" a="1"/>
  <c r="D14" i="95" s="1"/>
  <c r="L12" i="95" a="1"/>
  <c r="L12" i="95" s="1"/>
  <c r="E12" i="95" a="1"/>
  <c r="E12" i="95" s="1"/>
  <c r="L11" i="95" a="1"/>
  <c r="L11" i="95" s="1"/>
  <c r="E11" i="95" a="1"/>
  <c r="E11" i="95" s="1"/>
  <c r="K7" i="95" a="1"/>
  <c r="K7" i="95" s="1"/>
  <c r="K6" i="95" a="1"/>
  <c r="K6" i="95" s="1"/>
  <c r="D6" i="95" a="1"/>
  <c r="D6" i="95" s="1"/>
  <c r="K5" i="95" a="1"/>
  <c r="K5" i="95" s="1"/>
  <c r="D5" i="95" a="1"/>
  <c r="D5" i="95" s="1"/>
  <c r="D38" i="94"/>
  <c r="D60" i="94"/>
  <c r="D35" i="94"/>
  <c r="D48" i="94"/>
  <c r="D32" i="94"/>
  <c r="D29" i="94"/>
  <c r="D28" i="94"/>
  <c r="D42"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6" i="94" a="1"/>
  <c r="K6" i="94" s="1"/>
  <c r="D6" i="94" a="1"/>
  <c r="D6" i="94" s="1"/>
  <c r="K5" i="94" a="1"/>
  <c r="K5" i="94" s="1"/>
  <c r="D5" i="94" a="1"/>
  <c r="D5" i="94" s="1"/>
  <c r="H21" i="93"/>
  <c r="H20" i="93"/>
  <c r="H19" i="93"/>
  <c r="H18" i="93"/>
  <c r="H17" i="93"/>
  <c r="H25" i="92" a="1"/>
  <c r="H25" i="92" s="1"/>
  <c r="G25" i="92" a="1"/>
  <c r="G25" i="92" s="1"/>
  <c r="I567" i="114" s="1" a="1"/>
  <c r="I567" i="114" s="1"/>
  <c r="F25" i="92" a="1"/>
  <c r="F25" i="92" s="1"/>
  <c r="E25" i="92" a="1"/>
  <c r="E25" i="92" s="1"/>
  <c r="J36" i="91" s="1" a="1"/>
  <c r="J36" i="91"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F14" i="92" a="1"/>
  <c r="F14" i="92" s="1"/>
  <c r="E14" i="92" a="1"/>
  <c r="E14" i="92" s="1"/>
  <c r="D14" i="92" a="1"/>
  <c r="D14" i="92" s="1"/>
  <c r="F13" i="92" a="1"/>
  <c r="F13" i="92" s="1"/>
  <c r="E13" i="92" a="1"/>
  <c r="E13" i="92" s="1"/>
  <c r="D13" i="92" a="1"/>
  <c r="D13" i="92" s="1"/>
  <c r="F12" i="92" a="1"/>
  <c r="F12" i="92" s="1"/>
  <c r="E12" i="92" a="1"/>
  <c r="E12" i="92" s="1"/>
  <c r="D12" i="92" a="1"/>
  <c r="D12" i="92" s="1"/>
  <c r="F11" i="92" a="1"/>
  <c r="F11" i="92" s="1"/>
  <c r="E11" i="92" a="1"/>
  <c r="E11" i="92" s="1"/>
  <c r="D11" i="92" a="1"/>
  <c r="D11" i="92" s="1"/>
  <c r="F10" i="92" a="1"/>
  <c r="F10" i="92" s="1"/>
  <c r="E10" i="92" a="1"/>
  <c r="E10" i="92" s="1"/>
  <c r="D10" i="92" a="1"/>
  <c r="D10" i="92" s="1"/>
  <c r="D7" i="92" a="1"/>
  <c r="D7" i="92" s="1"/>
  <c r="D6" i="92" a="1"/>
  <c r="D6" i="92" s="1"/>
  <c r="D5" i="92" a="1"/>
  <c r="D5" i="92" s="1"/>
  <c r="J37" i="91"/>
  <c r="J33" i="91" s="1"/>
  <c r="J32" i="91"/>
  <c r="J31" i="91"/>
  <c r="H31" i="91" a="1"/>
  <c r="H31" i="91" s="1"/>
  <c r="D31" i="91" a="1"/>
  <c r="D31" i="91" s="1"/>
  <c r="E29" i="91" a="1"/>
  <c r="E29" i="91" s="1"/>
  <c r="F39" i="91" s="1"/>
  <c r="E28" i="91" a="1"/>
  <c r="E28" i="91" s="1"/>
  <c r="D24" i="91" a="1"/>
  <c r="D24" i="91" s="1"/>
  <c r="D23" i="91" a="1"/>
  <c r="D23" i="91" s="1"/>
  <c r="D22" i="91" a="1"/>
  <c r="D22" i="91" s="1"/>
  <c r="I16" i="91"/>
  <c r="I14" i="91"/>
  <c r="G14" i="91" a="1"/>
  <c r="G14" i="91" s="1"/>
  <c r="D14" i="91" a="1"/>
  <c r="D14" i="91" s="1"/>
  <c r="E12" i="91" a="1"/>
  <c r="E12" i="91" s="1"/>
  <c r="F18" i="91" s="1"/>
  <c r="E11" i="91" a="1"/>
  <c r="E11" i="91" s="1"/>
  <c r="D7" i="91" a="1"/>
  <c r="D7" i="91" s="1"/>
  <c r="D6" i="91" a="1"/>
  <c r="D6" i="91" s="1"/>
  <c r="D5" i="91" a="1"/>
  <c r="D5" i="91" s="1"/>
  <c r="H48" i="90"/>
  <c r="E48" i="90"/>
  <c r="H47" i="90"/>
  <c r="E47" i="90"/>
  <c r="H46" i="90"/>
  <c r="E46" i="90"/>
  <c r="H39" i="90"/>
  <c r="H38" i="90"/>
  <c r="H37" i="90"/>
  <c r="E29" i="90"/>
  <c r="E16" i="90"/>
  <c r="E22" i="90" s="1"/>
  <c r="E6" i="90"/>
  <c r="O63" i="89" a="1"/>
  <c r="O63" i="89" s="1"/>
  <c r="F63" i="89" a="1"/>
  <c r="F63" i="89" s="1"/>
  <c r="M60" i="89" a="1"/>
  <c r="M60" i="89" s="1"/>
  <c r="D60" i="89" a="1"/>
  <c r="D60" i="89" s="1"/>
  <c r="D51" i="89" a="1"/>
  <c r="D45" i="89" a="1"/>
  <c r="D45" i="89" s="1"/>
  <c r="I41" i="89" a="1"/>
  <c r="I41" i="89" s="1"/>
  <c r="I40" i="89" a="1"/>
  <c r="I40" i="89" s="1"/>
  <c r="I39" i="89" a="1"/>
  <c r="I39" i="89" s="1"/>
  <c r="G39" i="89" a="1"/>
  <c r="H51" i="89" s="1"/>
  <c r="D39" i="89" a="1"/>
  <c r="D39" i="89" s="1"/>
  <c r="E37" i="89" a="1"/>
  <c r="E37" i="89" s="1"/>
  <c r="E36" i="89" a="1"/>
  <c r="E36" i="89" s="1"/>
  <c r="D31" i="89" a="1"/>
  <c r="D31" i="89" s="1"/>
  <c r="D30" i="89" a="1"/>
  <c r="D30" i="89" s="1"/>
  <c r="I13" i="89" a="1"/>
  <c r="I13" i="89" s="1"/>
  <c r="G13" i="89" a="1"/>
  <c r="G13" i="89" s="1"/>
  <c r="D13" i="89" a="1"/>
  <c r="I14" i="89" s="1"/>
  <c r="E11" i="89" a="1"/>
  <c r="E11" i="89" s="1"/>
  <c r="E10" i="89" a="1"/>
  <c r="E10" i="89" s="1"/>
  <c r="D6" i="89" a="1"/>
  <c r="D6" i="89" s="1"/>
  <c r="D5" i="89" a="1"/>
  <c r="D5" i="89" s="1"/>
  <c r="E132" i="88" a="1"/>
  <c r="E132" i="88" s="1"/>
  <c r="D132" i="88" a="1"/>
  <c r="D132" i="88" s="1"/>
  <c r="E131" i="88" a="1"/>
  <c r="E131" i="88" s="1"/>
  <c r="D131" i="88" a="1"/>
  <c r="D131" i="88" s="1"/>
  <c r="E130" i="88" a="1"/>
  <c r="E130" i="88" s="1"/>
  <c r="D130" i="88" a="1"/>
  <c r="D130" i="88" s="1"/>
  <c r="E129" i="88" a="1"/>
  <c r="E129" i="88" s="1"/>
  <c r="D129" i="88" a="1"/>
  <c r="D129" i="88" s="1"/>
  <c r="E128" i="88" a="1"/>
  <c r="E128" i="88" s="1"/>
  <c r="D128" i="88" a="1"/>
  <c r="D128" i="88" s="1"/>
  <c r="D126" i="88" a="1"/>
  <c r="D126" i="88" s="1"/>
  <c r="D125" i="88" a="1"/>
  <c r="D125" i="88" s="1"/>
  <c r="F122" i="88" a="1"/>
  <c r="F122" i="88" s="1"/>
  <c r="E122" i="88" a="1"/>
  <c r="E122" i="88" s="1"/>
  <c r="I16" i="89" s="1"/>
  <c r="D122" i="88" a="1"/>
  <c r="D122" i="88" s="1"/>
  <c r="D121" i="88" a="1"/>
  <c r="D121" i="88" s="1"/>
  <c r="D120" i="88" a="1"/>
  <c r="D120" i="88" s="1"/>
  <c r="F117" i="88" a="1"/>
  <c r="F117" i="88" s="1"/>
  <c r="E117" i="88" a="1"/>
  <c r="E117" i="88" s="1"/>
  <c r="D117" i="88" a="1"/>
  <c r="D117" i="88" s="1"/>
  <c r="F116" i="88" a="1"/>
  <c r="F116" i="88" s="1"/>
  <c r="E116" i="88" a="1"/>
  <c r="E116" i="88" s="1"/>
  <c r="D116" i="88" a="1"/>
  <c r="D116" i="88" s="1"/>
  <c r="F115" i="88" a="1"/>
  <c r="F115" i="88" s="1"/>
  <c r="E115" i="88" a="1"/>
  <c r="E115" i="88" s="1"/>
  <c r="D115" i="88" a="1"/>
  <c r="D115" i="88" s="1"/>
  <c r="F114" i="88" a="1"/>
  <c r="F114" i="88" s="1"/>
  <c r="E114" i="88" a="1"/>
  <c r="E114" i="88" s="1"/>
  <c r="D114" i="88" a="1"/>
  <c r="D114" i="88" s="1"/>
  <c r="F113" i="88" a="1"/>
  <c r="F113" i="88" s="1"/>
  <c r="E113" i="88" a="1"/>
  <c r="E113" i="88" s="1"/>
  <c r="D113" i="88" a="1"/>
  <c r="D113" i="88" s="1"/>
  <c r="F112" i="88" a="1"/>
  <c r="F112" i="88" s="1"/>
  <c r="E112" i="88" a="1"/>
  <c r="E112" i="88" s="1"/>
  <c r="D112" i="88" a="1"/>
  <c r="D112" i="88" s="1"/>
  <c r="D110" i="88" a="1"/>
  <c r="D110" i="88" s="1"/>
  <c r="D109" i="88" a="1"/>
  <c r="D109" i="88" s="1"/>
  <c r="D108" i="88" a="1"/>
  <c r="D108" i="88" s="1"/>
  <c r="F105" i="88" a="1"/>
  <c r="F105" i="88" s="1"/>
  <c r="E105" i="88" a="1"/>
  <c r="E105" i="88" s="1"/>
  <c r="D105" i="88" a="1"/>
  <c r="D105" i="88" s="1"/>
  <c r="F104" i="88" a="1"/>
  <c r="F104" i="88" s="1"/>
  <c r="E104" i="88" a="1"/>
  <c r="E104" i="88" s="1"/>
  <c r="D104" i="88" a="1"/>
  <c r="D104" i="88" s="1"/>
  <c r="F103" i="88" a="1"/>
  <c r="F103" i="88" s="1"/>
  <c r="E103" i="88" a="1"/>
  <c r="E103" i="88" s="1"/>
  <c r="D103" i="88" a="1"/>
  <c r="D103" i="88" s="1"/>
  <c r="F102" i="88" a="1"/>
  <c r="F102" i="88" s="1"/>
  <c r="E102" i="88" a="1"/>
  <c r="E102" i="88" s="1"/>
  <c r="D102" i="88" a="1"/>
  <c r="D102" i="88" s="1"/>
  <c r="F101" i="88" a="1"/>
  <c r="F101" i="88" s="1"/>
  <c r="E101" i="88" a="1"/>
  <c r="E101" i="88" s="1"/>
  <c r="D101" i="88" a="1"/>
  <c r="D101" i="88" s="1"/>
  <c r="F100" i="88" a="1"/>
  <c r="F100" i="88" s="1"/>
  <c r="E100" i="88" a="1"/>
  <c r="E100" i="88" s="1"/>
  <c r="D100" i="88" a="1"/>
  <c r="D100" i="88" s="1"/>
  <c r="D98" i="88" a="1"/>
  <c r="D98" i="88" s="1"/>
  <c r="D97" i="88" a="1"/>
  <c r="D97" i="88" s="1"/>
  <c r="D96" i="88" a="1"/>
  <c r="D96" i="88" s="1"/>
  <c r="G93" i="88" a="1"/>
  <c r="G93" i="88" s="1"/>
  <c r="F93" i="88" a="1"/>
  <c r="F93" i="88" s="1"/>
  <c r="E93" i="88" a="1"/>
  <c r="E93" i="88" s="1"/>
  <c r="D93" i="88" a="1"/>
  <c r="D93" i="88" s="1"/>
  <c r="G92" i="88" a="1"/>
  <c r="G92" i="88" s="1"/>
  <c r="F92" i="88" a="1"/>
  <c r="F92" i="88" s="1"/>
  <c r="E92" i="88" a="1"/>
  <c r="E92" i="88" s="1"/>
  <c r="D92" i="88" a="1"/>
  <c r="D92" i="88" s="1"/>
  <c r="G91" i="88" a="1"/>
  <c r="G91" i="88" s="1"/>
  <c r="F91" i="88" a="1"/>
  <c r="F91" i="88" s="1"/>
  <c r="E91" i="88" a="1"/>
  <c r="E91" i="88" s="1"/>
  <c r="D91" i="88" a="1"/>
  <c r="D91" i="88" s="1"/>
  <c r="G90" i="88" a="1"/>
  <c r="G90" i="88" s="1"/>
  <c r="F90" i="88" a="1"/>
  <c r="F90" i="88" s="1"/>
  <c r="E90" i="88" a="1"/>
  <c r="E90" i="88" s="1"/>
  <c r="D90" i="88" a="1"/>
  <c r="D90" i="88" s="1"/>
  <c r="D87" i="88" a="1"/>
  <c r="D87" i="88" s="1"/>
  <c r="D86" i="88" a="1"/>
  <c r="D86" i="88" s="1"/>
  <c r="D85" i="88" a="1"/>
  <c r="D85" i="88" s="1"/>
  <c r="E82" i="88" a="1"/>
  <c r="E82" i="88" s="1"/>
  <c r="D82" i="88" a="1"/>
  <c r="D82" i="88" s="1"/>
  <c r="E81" i="88" a="1"/>
  <c r="E81" i="88" s="1"/>
  <c r="D81" i="88" a="1"/>
  <c r="D81" i="88" s="1"/>
  <c r="E80" i="88" a="1"/>
  <c r="E80" i="88" s="1"/>
  <c r="D80" i="88" a="1"/>
  <c r="D80" i="88" s="1"/>
  <c r="E79" i="88" a="1"/>
  <c r="E79" i="88" s="1"/>
  <c r="D79" i="88" a="1"/>
  <c r="D79" i="88" s="1"/>
  <c r="D76" i="88" a="1"/>
  <c r="D76" i="88" s="1"/>
  <c r="D75" i="88" a="1"/>
  <c r="D75" i="88" s="1"/>
  <c r="D74" i="88" a="1"/>
  <c r="D74" i="88" s="1"/>
  <c r="E71" i="88" a="1"/>
  <c r="E71" i="88" s="1"/>
  <c r="D71" i="88" a="1"/>
  <c r="D71" i="88" s="1"/>
  <c r="E70" i="88" a="1"/>
  <c r="E70" i="88" s="1"/>
  <c r="D70" i="88" a="1"/>
  <c r="D70" i="88" s="1"/>
  <c r="E69" i="88" a="1"/>
  <c r="E69" i="88" s="1"/>
  <c r="D69" i="88" a="1"/>
  <c r="D69" i="88" s="1"/>
  <c r="E68" i="88" a="1"/>
  <c r="E68" i="88" s="1"/>
  <c r="D68" i="88" a="1"/>
  <c r="D68" i="88" s="1"/>
  <c r="D65" i="88" a="1"/>
  <c r="D65" i="88" s="1"/>
  <c r="D64" i="88" a="1"/>
  <c r="D64" i="88" s="1"/>
  <c r="D63" i="88" a="1"/>
  <c r="D63" i="88" s="1"/>
  <c r="G56" i="88" a="1"/>
  <c r="G56" i="88" s="1"/>
  <c r="G55" i="88" a="1"/>
  <c r="G55" i="88" s="1"/>
  <c r="G54" i="88" a="1"/>
  <c r="G54" i="88" s="1"/>
  <c r="M35" i="88" a="1"/>
  <c r="M35" i="88" s="1"/>
  <c r="L35" i="88" a="1"/>
  <c r="L35" i="88" s="1"/>
  <c r="K35" i="88" a="1"/>
  <c r="K35" i="88" s="1"/>
  <c r="J35" i="88" a="1"/>
  <c r="J35" i="88" s="1"/>
  <c r="I35" i="88" a="1"/>
  <c r="I35" i="88" s="1"/>
  <c r="H35" i="88" a="1"/>
  <c r="H35" i="88" s="1"/>
  <c r="G35" i="88" a="1"/>
  <c r="G35" i="88" s="1"/>
  <c r="F35" i="88" a="1"/>
  <c r="F35" i="88" s="1"/>
  <c r="E35" i="88" a="1"/>
  <c r="E35" i="88" s="1"/>
  <c r="D35" i="88" a="1"/>
  <c r="D35" i="88" s="1"/>
  <c r="M34" i="88" a="1"/>
  <c r="M34" i="88" s="1"/>
  <c r="L34" i="88" a="1"/>
  <c r="L34" i="88" s="1"/>
  <c r="K34" i="88" a="1"/>
  <c r="K34" i="88" s="1"/>
  <c r="J34" i="88" a="1"/>
  <c r="J34" i="88" s="1"/>
  <c r="I34" i="88" a="1"/>
  <c r="I34" i="88" s="1"/>
  <c r="H34" i="88" a="1"/>
  <c r="H34" i="88" s="1"/>
  <c r="G34" i="88" a="1"/>
  <c r="G34" i="88" s="1"/>
  <c r="F34" i="88" a="1"/>
  <c r="F34" i="88" s="1"/>
  <c r="E34" i="88" a="1"/>
  <c r="E34" i="88" s="1"/>
  <c r="D34" i="88" a="1"/>
  <c r="D34" i="88" s="1"/>
  <c r="M33" i="88" a="1"/>
  <c r="M33" i="88" s="1"/>
  <c r="L33" i="88" a="1"/>
  <c r="L33" i="88" s="1"/>
  <c r="K33" i="88" a="1"/>
  <c r="K33" i="88" s="1"/>
  <c r="J33" i="88" a="1"/>
  <c r="J33" i="88" s="1"/>
  <c r="I33" i="88" a="1"/>
  <c r="I33" i="88" s="1"/>
  <c r="H33" i="88" a="1"/>
  <c r="H33" i="88" s="1"/>
  <c r="G33" i="88" a="1"/>
  <c r="G33" i="88" s="1"/>
  <c r="F33" i="88" a="1"/>
  <c r="F33" i="88" s="1"/>
  <c r="E33" i="88" a="1"/>
  <c r="E33" i="88" s="1"/>
  <c r="D33" i="88" a="1"/>
  <c r="D33" i="88" s="1"/>
  <c r="M32" i="88" a="1"/>
  <c r="M32" i="88" s="1"/>
  <c r="L32" i="88" a="1"/>
  <c r="L32" i="88" s="1"/>
  <c r="K32" i="88" a="1"/>
  <c r="K32" i="88" s="1"/>
  <c r="J32" i="88" a="1"/>
  <c r="J32" i="88" s="1"/>
  <c r="I32" i="88" a="1"/>
  <c r="I32" i="88" s="1"/>
  <c r="H32" i="88" a="1"/>
  <c r="H32" i="88" s="1"/>
  <c r="G32" i="88" a="1"/>
  <c r="G32" i="88" s="1"/>
  <c r="F32" i="88" a="1"/>
  <c r="F32" i="88" s="1"/>
  <c r="E32" i="88" a="1"/>
  <c r="E32" i="88" s="1"/>
  <c r="D32" i="88" a="1"/>
  <c r="D32" i="88" s="1"/>
  <c r="M31" i="88" a="1"/>
  <c r="M31" i="88" s="1"/>
  <c r="L31" i="88" a="1"/>
  <c r="L31" i="88" s="1"/>
  <c r="K31" i="88" a="1"/>
  <c r="K31" i="88" s="1"/>
  <c r="J31" i="88" a="1"/>
  <c r="J31" i="88" s="1"/>
  <c r="I31" i="88" a="1"/>
  <c r="I31" i="88" s="1"/>
  <c r="H31" i="88" a="1"/>
  <c r="H31" i="88" s="1"/>
  <c r="G31" i="88" a="1"/>
  <c r="G31" i="88" s="1"/>
  <c r="F31" i="88" a="1"/>
  <c r="F31" i="88" s="1"/>
  <c r="E31" i="88" a="1"/>
  <c r="E31" i="88" s="1"/>
  <c r="D31" i="88" a="1"/>
  <c r="D31" i="88" s="1"/>
  <c r="M30" i="88" a="1"/>
  <c r="M30" i="88" s="1"/>
  <c r="L30" i="88" a="1"/>
  <c r="L30" i="88" s="1"/>
  <c r="K30" i="88" a="1"/>
  <c r="K30" i="88" s="1"/>
  <c r="J30" i="88" a="1"/>
  <c r="J30" i="88" s="1"/>
  <c r="I30" i="88" a="1"/>
  <c r="I30" i="88" s="1"/>
  <c r="H30" i="88" a="1"/>
  <c r="H30" i="88" s="1"/>
  <c r="G30" i="88" a="1"/>
  <c r="G30" i="88" s="1"/>
  <c r="F30" i="88" a="1"/>
  <c r="F30" i="88" s="1"/>
  <c r="E30" i="88" a="1"/>
  <c r="E30" i="88" s="1"/>
  <c r="D30" i="88" a="1"/>
  <c r="D30" i="88" s="1"/>
  <c r="M29" i="88" a="1"/>
  <c r="M29" i="88" s="1"/>
  <c r="L29" i="88" a="1"/>
  <c r="L29" i="88" s="1"/>
  <c r="K29" i="88" a="1"/>
  <c r="K29" i="88" s="1"/>
  <c r="J29" i="88" a="1"/>
  <c r="J29" i="88" s="1"/>
  <c r="I29" i="88" a="1"/>
  <c r="I29" i="88" s="1"/>
  <c r="H29" i="88" a="1"/>
  <c r="H29" i="88" s="1"/>
  <c r="G29" i="88" a="1"/>
  <c r="G29" i="88" s="1"/>
  <c r="F29" i="88" a="1"/>
  <c r="F29" i="88" s="1"/>
  <c r="E29" i="88" a="1"/>
  <c r="E29" i="88" s="1"/>
  <c r="D29" i="88" a="1"/>
  <c r="D29" i="88" s="1"/>
  <c r="D26" i="88" a="1"/>
  <c r="D26" i="88" s="1"/>
  <c r="D25" i="88" a="1"/>
  <c r="D25" i="88" s="1"/>
  <c r="D24" i="88" a="1"/>
  <c r="D24" i="88" s="1"/>
  <c r="F21" i="88" a="1"/>
  <c r="F21" i="88" s="1"/>
  <c r="E21" i="88" a="1"/>
  <c r="E21" i="88" s="1"/>
  <c r="S122" i="83" s="1"/>
  <c r="D21" i="88" a="1"/>
  <c r="D21" i="88" s="1"/>
  <c r="D20" i="88" a="1"/>
  <c r="D20" i="88" s="1"/>
  <c r="D19" i="88" a="1"/>
  <c r="D19" i="88" s="1"/>
  <c r="F17" i="88" a="1"/>
  <c r="F17" i="88" s="1"/>
  <c r="E17" i="88" a="1"/>
  <c r="E17" i="88" s="1"/>
  <c r="I15" i="86" s="1"/>
  <c r="D17" i="88" a="1"/>
  <c r="D17" i="88" s="1"/>
  <c r="D16" i="88" a="1"/>
  <c r="D16" i="88" s="1"/>
  <c r="D15" i="88" a="1"/>
  <c r="D15" i="88" s="1"/>
  <c r="D14" i="88" a="1"/>
  <c r="D14" i="88" s="1"/>
  <c r="O276" i="87"/>
  <c r="E276" i="87"/>
  <c r="O275" i="87"/>
  <c r="E275" i="87"/>
  <c r="O274" i="87"/>
  <c r="E274" i="87"/>
  <c r="O273" i="87"/>
  <c r="E273" i="87"/>
  <c r="O272" i="87"/>
  <c r="E272" i="87"/>
  <c r="O271" i="87"/>
  <c r="E271" i="87"/>
  <c r="O270" i="87"/>
  <c r="E270" i="87"/>
  <c r="O269" i="87"/>
  <c r="E269" i="87"/>
  <c r="O268" i="87"/>
  <c r="E268" i="87"/>
  <c r="O267" i="87"/>
  <c r="E267" i="87"/>
  <c r="O266" i="87"/>
  <c r="E266" i="87"/>
  <c r="O265" i="87"/>
  <c r="E265" i="87"/>
  <c r="O264" i="87"/>
  <c r="E264" i="87"/>
  <c r="O263" i="87"/>
  <c r="E263" i="87"/>
  <c r="O262" i="87"/>
  <c r="E262" i="87"/>
  <c r="O261" i="87"/>
  <c r="E261" i="87"/>
  <c r="O260" i="87"/>
  <c r="E260" i="87"/>
  <c r="O259" i="87"/>
  <c r="E259" i="87"/>
  <c r="O258" i="87"/>
  <c r="E258" i="87"/>
  <c r="O257" i="87"/>
  <c r="E257" i="87"/>
  <c r="O256" i="87"/>
  <c r="E256" i="87"/>
  <c r="O255" i="87"/>
  <c r="E255" i="87"/>
  <c r="F246" i="87"/>
  <c r="E246" i="87"/>
  <c r="F245" i="87"/>
  <c r="E245" i="87"/>
  <c r="F244" i="87"/>
  <c r="E244" i="87"/>
  <c r="F243" i="87"/>
  <c r="E243" i="87"/>
  <c r="F242" i="87"/>
  <c r="E242" i="87"/>
  <c r="F241" i="87"/>
  <c r="E241" i="87"/>
  <c r="F240" i="87"/>
  <c r="E240" i="87"/>
  <c r="F239" i="87"/>
  <c r="E239" i="87"/>
  <c r="F238" i="87"/>
  <c r="E238" i="87"/>
  <c r="F237" i="87"/>
  <c r="E237" i="87"/>
  <c r="F236" i="87"/>
  <c r="E236" i="87"/>
  <c r="F235" i="87"/>
  <c r="E235" i="87"/>
  <c r="F234" i="87"/>
  <c r="E234" i="87"/>
  <c r="F233" i="87"/>
  <c r="E233" i="87"/>
  <c r="F232" i="87"/>
  <c r="E232" i="87"/>
  <c r="F231" i="87"/>
  <c r="E231" i="87"/>
  <c r="F230" i="87"/>
  <c r="E230" i="87"/>
  <c r="F229" i="87"/>
  <c r="E229" i="87"/>
  <c r="F228" i="87"/>
  <c r="E228" i="87"/>
  <c r="F227" i="87"/>
  <c r="E227" i="87"/>
  <c r="F226" i="87"/>
  <c r="E226" i="87"/>
  <c r="F225" i="87"/>
  <c r="E225" i="87"/>
  <c r="F224" i="87"/>
  <c r="F223" i="87"/>
  <c r="F222" i="87"/>
  <c r="F221" i="87"/>
  <c r="D213" i="87"/>
  <c r="O207" i="87"/>
  <c r="E207" i="87"/>
  <c r="O206" i="87"/>
  <c r="E206" i="87"/>
  <c r="O205" i="87"/>
  <c r="E205" i="87"/>
  <c r="O204" i="87"/>
  <c r="E204" i="87"/>
  <c r="O203" i="87"/>
  <c r="E203" i="87"/>
  <c r="O202" i="87"/>
  <c r="E202" i="87"/>
  <c r="O201" i="87"/>
  <c r="E201" i="87"/>
  <c r="O200" i="87"/>
  <c r="E200" i="87"/>
  <c r="O199" i="87"/>
  <c r="E199" i="87"/>
  <c r="O198" i="87"/>
  <c r="E198" i="87"/>
  <c r="O197" i="87"/>
  <c r="E197" i="87"/>
  <c r="O196" i="87"/>
  <c r="E196" i="87"/>
  <c r="O195" i="87"/>
  <c r="E195" i="87"/>
  <c r="O194" i="87"/>
  <c r="E194" i="87"/>
  <c r="O193" i="87"/>
  <c r="E193" i="87"/>
  <c r="O192" i="87"/>
  <c r="E192" i="87"/>
  <c r="O191" i="87"/>
  <c r="E191" i="87"/>
  <c r="O190" i="87"/>
  <c r="E190" i="87"/>
  <c r="O189" i="87"/>
  <c r="E189" i="87"/>
  <c r="O188" i="87"/>
  <c r="E188" i="87"/>
  <c r="O187" i="87"/>
  <c r="E187" i="87"/>
  <c r="O186" i="87"/>
  <c r="E186" i="87"/>
  <c r="I177" i="87" a="1"/>
  <c r="I177" i="87" s="1"/>
  <c r="I176" i="87" a="1"/>
  <c r="I176" i="87" s="1"/>
  <c r="I175" i="87" a="1"/>
  <c r="I175" i="87" s="1"/>
  <c r="I174" i="87" a="1"/>
  <c r="I174" i="87" s="1"/>
  <c r="I173" i="87" a="1"/>
  <c r="I173" i="87" s="1"/>
  <c r="G173" i="87" a="1"/>
  <c r="G173" i="87" s="1"/>
  <c r="D173" i="87" a="1"/>
  <c r="D173" i="87" s="1"/>
  <c r="E171" i="87" a="1"/>
  <c r="E171" i="87" s="1"/>
  <c r="T182" i="87" s="1"/>
  <c r="E170" i="87" a="1"/>
  <c r="E170" i="87" s="1"/>
  <c r="D166" i="87" a="1"/>
  <c r="D166" i="87" s="1"/>
  <c r="D165" i="87" a="1"/>
  <c r="D165" i="87" s="1"/>
  <c r="O159" i="87"/>
  <c r="E159" i="87"/>
  <c r="O158" i="87"/>
  <c r="E158" i="87"/>
  <c r="O157" i="87"/>
  <c r="E157" i="87"/>
  <c r="O156" i="87"/>
  <c r="E156" i="87"/>
  <c r="O155" i="87"/>
  <c r="E155" i="87"/>
  <c r="O154" i="87"/>
  <c r="E154" i="87"/>
  <c r="O153" i="87"/>
  <c r="E153" i="87"/>
  <c r="O152" i="87"/>
  <c r="E152" i="87"/>
  <c r="O151" i="87"/>
  <c r="E151" i="87"/>
  <c r="O150" i="87"/>
  <c r="E150" i="87"/>
  <c r="O149" i="87"/>
  <c r="E149" i="87"/>
  <c r="O148" i="87"/>
  <c r="E148" i="87"/>
  <c r="O147" i="87"/>
  <c r="E147" i="87"/>
  <c r="O146" i="87"/>
  <c r="E146" i="87"/>
  <c r="O145" i="87"/>
  <c r="E145" i="87"/>
  <c r="O144" i="87"/>
  <c r="E144" i="87"/>
  <c r="O143" i="87"/>
  <c r="E143" i="87"/>
  <c r="O142" i="87"/>
  <c r="E142" i="87"/>
  <c r="O141" i="87"/>
  <c r="E141" i="87"/>
  <c r="O140" i="87"/>
  <c r="E140" i="87"/>
  <c r="O139" i="87"/>
  <c r="E139" i="87"/>
  <c r="O138" i="87"/>
  <c r="E138" i="87"/>
  <c r="E107" i="87"/>
  <c r="E106" i="87"/>
  <c r="E105" i="87"/>
  <c r="E104" i="87"/>
  <c r="E103" i="87"/>
  <c r="E102" i="87"/>
  <c r="E101" i="87"/>
  <c r="E100" i="87"/>
  <c r="E99" i="87"/>
  <c r="E98" i="87"/>
  <c r="E97" i="87"/>
  <c r="E96" i="87"/>
  <c r="E95" i="87"/>
  <c r="E94" i="87"/>
  <c r="E93" i="87"/>
  <c r="E92" i="87"/>
  <c r="E91" i="87"/>
  <c r="E90" i="87"/>
  <c r="E89" i="87"/>
  <c r="E88" i="87"/>
  <c r="E87" i="87"/>
  <c r="E86" i="87"/>
  <c r="F82" i="87" a="1"/>
  <c r="F82" i="87" s="1"/>
  <c r="O77" i="87"/>
  <c r="E77" i="87"/>
  <c r="O76" i="87"/>
  <c r="E76" i="87"/>
  <c r="O75" i="87"/>
  <c r="E75" i="87"/>
  <c r="O74" i="87"/>
  <c r="E74" i="87"/>
  <c r="O73" i="87"/>
  <c r="E73" i="87"/>
  <c r="O72" i="87"/>
  <c r="E72" i="87"/>
  <c r="O71" i="87"/>
  <c r="E71" i="87"/>
  <c r="O70" i="87"/>
  <c r="E70" i="87"/>
  <c r="O69" i="87"/>
  <c r="E69" i="87"/>
  <c r="O68" i="87"/>
  <c r="E68" i="87"/>
  <c r="O67" i="87"/>
  <c r="E67" i="87"/>
  <c r="O66" i="87"/>
  <c r="E66" i="87"/>
  <c r="O65" i="87"/>
  <c r="E65" i="87"/>
  <c r="O64" i="87"/>
  <c r="E64" i="87"/>
  <c r="O63" i="87"/>
  <c r="E63" i="87"/>
  <c r="O62" i="87"/>
  <c r="E62" i="87"/>
  <c r="O61" i="87"/>
  <c r="E61" i="87"/>
  <c r="O60" i="87"/>
  <c r="E60" i="87"/>
  <c r="O59" i="87"/>
  <c r="E59" i="87"/>
  <c r="O58" i="87"/>
  <c r="E58" i="87"/>
  <c r="O57" i="87"/>
  <c r="E57" i="87"/>
  <c r="O56" i="87"/>
  <c r="E56" i="87"/>
  <c r="O47" i="87"/>
  <c r="E47" i="87"/>
  <c r="O46" i="87"/>
  <c r="E46" i="87"/>
  <c r="O45" i="87"/>
  <c r="E45" i="87"/>
  <c r="O44" i="87"/>
  <c r="E44" i="87"/>
  <c r="O43" i="87"/>
  <c r="E43" i="87"/>
  <c r="O42" i="87"/>
  <c r="E42" i="87"/>
  <c r="O41" i="87"/>
  <c r="E41" i="87"/>
  <c r="O40" i="87"/>
  <c r="E40" i="87"/>
  <c r="O39" i="87"/>
  <c r="E39" i="87"/>
  <c r="O38" i="87"/>
  <c r="E38" i="87"/>
  <c r="O37" i="87"/>
  <c r="E37" i="87"/>
  <c r="O36" i="87"/>
  <c r="E36" i="87"/>
  <c r="O35" i="87"/>
  <c r="E35" i="87"/>
  <c r="O34" i="87"/>
  <c r="E34" i="87"/>
  <c r="O33" i="87"/>
  <c r="E33" i="87"/>
  <c r="O32" i="87"/>
  <c r="E32" i="87"/>
  <c r="O31" i="87"/>
  <c r="E31" i="87"/>
  <c r="O30" i="87"/>
  <c r="E30" i="87"/>
  <c r="O29" i="87"/>
  <c r="E29" i="87"/>
  <c r="O28" i="87"/>
  <c r="E28" i="87"/>
  <c r="O27" i="87"/>
  <c r="E27" i="87"/>
  <c r="O26" i="87"/>
  <c r="E26" i="87"/>
  <c r="I17" i="87" a="1"/>
  <c r="I17" i="87" s="1"/>
  <c r="I16" i="87" a="1"/>
  <c r="I16" i="87" s="1"/>
  <c r="I15" i="87" a="1"/>
  <c r="I15" i="87" s="1"/>
  <c r="I14" i="87" a="1"/>
  <c r="I14" i="87" s="1"/>
  <c r="I13" i="87" a="1"/>
  <c r="I13" i="87" s="1"/>
  <c r="G13" i="87" a="1"/>
  <c r="F123" i="87" s="1"/>
  <c r="D13" i="87" a="1"/>
  <c r="D13" i="87" s="1"/>
  <c r="E11" i="87" a="1"/>
  <c r="E11" i="87" s="1"/>
  <c r="E10" i="87" a="1"/>
  <c r="E10" i="87" s="1"/>
  <c r="D6" i="87" a="1"/>
  <c r="D6" i="87" s="1"/>
  <c r="D5" i="87" a="1"/>
  <c r="D5" i="87" s="1"/>
  <c r="O54" i="86" a="1"/>
  <c r="O54" i="86" s="1"/>
  <c r="F54" i="86" a="1"/>
  <c r="F54" i="86" s="1"/>
  <c r="M51" i="86" a="1"/>
  <c r="M51" i="86" s="1"/>
  <c r="D51" i="86" a="1"/>
  <c r="D51" i="86" s="1"/>
  <c r="I40" i="86" a="1"/>
  <c r="I40" i="86" s="1"/>
  <c r="G40" i="86" a="1"/>
  <c r="G40" i="86" s="1"/>
  <c r="D40" i="86" a="1"/>
  <c r="D40" i="86" s="1"/>
  <c r="E38" i="86" a="1"/>
  <c r="E38" i="86" s="1"/>
  <c r="E37" i="86" a="1"/>
  <c r="E37" i="86" s="1"/>
  <c r="D33" i="86" a="1"/>
  <c r="D33" i="86" s="1"/>
  <c r="D32" i="86" a="1"/>
  <c r="D32" i="86" s="1"/>
  <c r="I18" i="86"/>
  <c r="I17" i="86"/>
  <c r="I16" i="86"/>
  <c r="I13" i="86" a="1"/>
  <c r="I13" i="86" s="1"/>
  <c r="G13" i="86" a="1"/>
  <c r="G13" i="86" s="1"/>
  <c r="D13" i="86" a="1"/>
  <c r="D13" i="86" s="1"/>
  <c r="E11" i="86" a="1"/>
  <c r="E11" i="86" s="1"/>
  <c r="R28" i="86" s="1"/>
  <c r="E10" i="86" a="1"/>
  <c r="E10" i="86" s="1"/>
  <c r="D6" i="86" a="1"/>
  <c r="D6" i="86" s="1"/>
  <c r="D5" i="86" a="1"/>
  <c r="D5" i="86" s="1"/>
  <c r="P130" i="85" a="1"/>
  <c r="P130" i="85" s="1"/>
  <c r="F130" i="85" a="1"/>
  <c r="F130" i="85" s="1"/>
  <c r="N127" i="85" a="1"/>
  <c r="N127" i="85" s="1"/>
  <c r="D127" i="85" a="1"/>
  <c r="D127" i="85" s="1"/>
  <c r="I122" i="85"/>
  <c r="I121" i="85"/>
  <c r="Q118" i="85" a="1"/>
  <c r="Q118" i="85" s="1"/>
  <c r="N118" i="85" a="1"/>
  <c r="N118" i="85" s="1"/>
  <c r="G118" i="85" a="1"/>
  <c r="G118" i="85" s="1"/>
  <c r="D118" i="85" a="1"/>
  <c r="D118" i="85" s="1"/>
  <c r="O116" i="85" a="1"/>
  <c r="O116" i="85" s="1"/>
  <c r="P125" i="85" s="1"/>
  <c r="E116" i="85" a="1"/>
  <c r="E116" i="85" s="1"/>
  <c r="F125" i="85" s="1"/>
  <c r="O115" i="85" a="1"/>
  <c r="O115" i="85" s="1"/>
  <c r="E115" i="85" a="1"/>
  <c r="E115" i="85" s="1"/>
  <c r="N111" i="85" a="1"/>
  <c r="N111" i="85" s="1"/>
  <c r="D111" i="85" a="1"/>
  <c r="D111" i="85" s="1"/>
  <c r="N110" i="85" a="1"/>
  <c r="N110" i="85" s="1"/>
  <c r="D110" i="85" a="1"/>
  <c r="D110" i="85" s="1"/>
  <c r="O104" i="85"/>
  <c r="E104" i="85"/>
  <c r="O103" i="85"/>
  <c r="E103" i="85"/>
  <c r="O102" i="85"/>
  <c r="E102" i="85"/>
  <c r="O101" i="85"/>
  <c r="E101" i="85"/>
  <c r="O100" i="85"/>
  <c r="E100" i="85"/>
  <c r="O99" i="85"/>
  <c r="E99" i="85"/>
  <c r="O98" i="85"/>
  <c r="E98" i="85"/>
  <c r="O97" i="85"/>
  <c r="E97" i="85"/>
  <c r="O96" i="85"/>
  <c r="E96" i="85"/>
  <c r="O95" i="85"/>
  <c r="E95" i="85"/>
  <c r="O94" i="85"/>
  <c r="E94" i="85"/>
  <c r="O93" i="85"/>
  <c r="E93" i="85"/>
  <c r="O92" i="85"/>
  <c r="E92" i="85"/>
  <c r="O91" i="85"/>
  <c r="E91" i="85"/>
  <c r="O90" i="85"/>
  <c r="E90" i="85"/>
  <c r="O89" i="85"/>
  <c r="E89" i="85"/>
  <c r="O88" i="85"/>
  <c r="E88" i="85"/>
  <c r="O87" i="85"/>
  <c r="E87" i="85"/>
  <c r="O86" i="85"/>
  <c r="E86" i="85"/>
  <c r="O85" i="85"/>
  <c r="E85" i="85"/>
  <c r="O84" i="85"/>
  <c r="E84" i="85"/>
  <c r="O83" i="85"/>
  <c r="E83" i="85"/>
  <c r="O57" i="85"/>
  <c r="E57" i="85"/>
  <c r="O56" i="85"/>
  <c r="E56" i="85"/>
  <c r="O55" i="85"/>
  <c r="E55" i="85"/>
  <c r="O54" i="85"/>
  <c r="E54" i="85"/>
  <c r="O53" i="85"/>
  <c r="E53" i="85"/>
  <c r="O52" i="85"/>
  <c r="E52" i="85"/>
  <c r="O51" i="85"/>
  <c r="E51" i="85"/>
  <c r="O50" i="85"/>
  <c r="E50" i="85"/>
  <c r="O49" i="85"/>
  <c r="E49" i="85"/>
  <c r="O48" i="85"/>
  <c r="E48" i="85"/>
  <c r="O47" i="85"/>
  <c r="E47" i="85"/>
  <c r="O46" i="85"/>
  <c r="E46" i="85"/>
  <c r="O45" i="85"/>
  <c r="E45" i="85"/>
  <c r="O44" i="85"/>
  <c r="E44" i="85"/>
  <c r="O43" i="85"/>
  <c r="E43" i="85"/>
  <c r="O42" i="85"/>
  <c r="E42" i="85"/>
  <c r="O41" i="85"/>
  <c r="E41" i="85"/>
  <c r="O40" i="85"/>
  <c r="E40" i="85"/>
  <c r="O39" i="85"/>
  <c r="E39" i="85"/>
  <c r="O38" i="85"/>
  <c r="E38" i="85"/>
  <c r="O37" i="85"/>
  <c r="E37" i="85"/>
  <c r="O36" i="85"/>
  <c r="E36" i="85"/>
  <c r="I14" i="85" a="1"/>
  <c r="I14" i="85" s="1"/>
  <c r="J13" i="85" a="1"/>
  <c r="J13" i="85" s="1"/>
  <c r="I13" i="85" a="1"/>
  <c r="I13" i="85" s="1"/>
  <c r="G13" i="85" a="1"/>
  <c r="G13" i="85" s="1"/>
  <c r="D13" i="85" a="1"/>
  <c r="D13" i="85" s="1"/>
  <c r="E11" i="85" a="1"/>
  <c r="E11" i="85" s="1"/>
  <c r="J73" i="85" s="1"/>
  <c r="E10" i="85" a="1"/>
  <c r="E10" i="85" s="1"/>
  <c r="D6" i="85" a="1"/>
  <c r="D6" i="85" s="1"/>
  <c r="D5" i="85" a="1"/>
  <c r="D5" i="85" s="1"/>
  <c r="P302" i="84" a="1"/>
  <c r="P302" i="84" s="1"/>
  <c r="F302" i="84" a="1"/>
  <c r="F302" i="84" s="1"/>
  <c r="N299" i="84" a="1"/>
  <c r="N299" i="84" s="1"/>
  <c r="D299" i="84" a="1"/>
  <c r="D299" i="84" s="1"/>
  <c r="O295" i="84"/>
  <c r="E295" i="84"/>
  <c r="O294" i="84"/>
  <c r="E294" i="84"/>
  <c r="O293" i="84"/>
  <c r="E293" i="84"/>
  <c r="O292" i="84"/>
  <c r="E292" i="84"/>
  <c r="O291" i="84"/>
  <c r="E291" i="84"/>
  <c r="O290" i="84"/>
  <c r="E290" i="84"/>
  <c r="O289" i="84"/>
  <c r="E289" i="84"/>
  <c r="O288" i="84"/>
  <c r="E288" i="84"/>
  <c r="O287" i="84"/>
  <c r="E287" i="84"/>
  <c r="O286" i="84"/>
  <c r="E286" i="84"/>
  <c r="O285" i="84"/>
  <c r="E285" i="84"/>
  <c r="O284" i="84"/>
  <c r="E284" i="84"/>
  <c r="O283" i="84"/>
  <c r="E283" i="84"/>
  <c r="O282" i="84"/>
  <c r="E282" i="84"/>
  <c r="O281" i="84"/>
  <c r="E281" i="84"/>
  <c r="O280" i="84"/>
  <c r="E280" i="84"/>
  <c r="O279" i="84"/>
  <c r="E279" i="84"/>
  <c r="O278" i="84"/>
  <c r="E278" i="84"/>
  <c r="O277" i="84"/>
  <c r="E277" i="84"/>
  <c r="O276" i="84"/>
  <c r="E276" i="84"/>
  <c r="O275" i="84"/>
  <c r="E275" i="84"/>
  <c r="O274" i="84"/>
  <c r="E274" i="84"/>
  <c r="I255" i="84" a="1"/>
  <c r="I255" i="84" s="1"/>
  <c r="J254" i="84" a="1"/>
  <c r="J254" i="84" s="1"/>
  <c r="I254" i="84" a="1"/>
  <c r="I254" i="84" s="1"/>
  <c r="G254" i="84" a="1"/>
  <c r="G254" i="84" s="1"/>
  <c r="D254" i="84" a="1"/>
  <c r="D254" i="84" s="1"/>
  <c r="E252" i="84" a="1"/>
  <c r="E252" i="84" s="1"/>
  <c r="E251" i="84" a="1"/>
  <c r="E251" i="84" s="1"/>
  <c r="D247" i="84" a="1"/>
  <c r="D247" i="84" s="1"/>
  <c r="D246" i="84" a="1"/>
  <c r="D246" i="84" s="1"/>
  <c r="O242" i="84"/>
  <c r="E242" i="84"/>
  <c r="O241" i="84"/>
  <c r="E241" i="84"/>
  <c r="O240" i="84"/>
  <c r="E240" i="84"/>
  <c r="O239" i="84"/>
  <c r="E239" i="84"/>
  <c r="O238" i="84"/>
  <c r="E238" i="84"/>
  <c r="O237" i="84"/>
  <c r="E237" i="84"/>
  <c r="O236" i="84"/>
  <c r="E236" i="84"/>
  <c r="O235" i="84"/>
  <c r="E235" i="84"/>
  <c r="O234" i="84"/>
  <c r="E234" i="84"/>
  <c r="O233" i="84"/>
  <c r="E233" i="84"/>
  <c r="O232" i="84"/>
  <c r="E232" i="84"/>
  <c r="O231" i="84"/>
  <c r="E231" i="84"/>
  <c r="O230" i="84"/>
  <c r="E230" i="84"/>
  <c r="O229" i="84"/>
  <c r="E229" i="84"/>
  <c r="O228" i="84"/>
  <c r="E228" i="84"/>
  <c r="O227" i="84"/>
  <c r="E227" i="84"/>
  <c r="O226" i="84"/>
  <c r="E226" i="84"/>
  <c r="O225" i="84"/>
  <c r="E225" i="84"/>
  <c r="O224" i="84"/>
  <c r="E224" i="84"/>
  <c r="O223" i="84"/>
  <c r="E223" i="84"/>
  <c r="O222" i="84"/>
  <c r="E222" i="84"/>
  <c r="O221" i="84"/>
  <c r="E221" i="84"/>
  <c r="I182" i="84" a="1"/>
  <c r="I182" i="84" s="1"/>
  <c r="I181" i="84" a="1"/>
  <c r="I181" i="84" s="1"/>
  <c r="G181" i="84" a="1"/>
  <c r="J187" i="84" s="1"/>
  <c r="D181" i="84" a="1"/>
  <c r="D181" i="84" s="1"/>
  <c r="E179" i="84" a="1"/>
  <c r="E179" i="84" s="1"/>
  <c r="E178" i="84" a="1"/>
  <c r="E178" i="84" s="1"/>
  <c r="D174" i="84" a="1"/>
  <c r="D174" i="84" s="1"/>
  <c r="D173" i="84" a="1"/>
  <c r="D173" i="84" s="1"/>
  <c r="I137" i="84" a="1"/>
  <c r="I137" i="84" s="1"/>
  <c r="I136" i="84" a="1"/>
  <c r="I136" i="84" s="1"/>
  <c r="I135" i="84" a="1"/>
  <c r="I135" i="84" s="1"/>
  <c r="G135" i="84" a="1"/>
  <c r="F142" i="84" s="1"/>
  <c r="D135" i="84" a="1"/>
  <c r="D135" i="84" s="1"/>
  <c r="E133" i="84" a="1"/>
  <c r="E133" i="84" s="1"/>
  <c r="E132" i="84" a="1"/>
  <c r="E132" i="84" s="1"/>
  <c r="D128" i="84" a="1"/>
  <c r="D128" i="84" s="1"/>
  <c r="D127" i="84" a="1"/>
  <c r="D127" i="84" s="1"/>
  <c r="J113" i="84" a="1"/>
  <c r="J113" i="84" s="1"/>
  <c r="I113" i="84" a="1"/>
  <c r="I113" i="84" s="1"/>
  <c r="I112" i="84" a="1"/>
  <c r="I112" i="84" s="1"/>
  <c r="G112" i="84" a="1"/>
  <c r="G112" i="84" s="1"/>
  <c r="D112" i="84" a="1"/>
  <c r="D112" i="84" s="1"/>
  <c r="E110" i="84" a="1"/>
  <c r="E110" i="84" s="1"/>
  <c r="S118" i="84" s="1"/>
  <c r="E109" i="84" a="1"/>
  <c r="E109" i="84" s="1"/>
  <c r="D105" i="84" a="1"/>
  <c r="D105" i="84" s="1"/>
  <c r="D104" i="84" a="1"/>
  <c r="D104" i="84" s="1"/>
  <c r="E95" i="84" a="1"/>
  <c r="E95" i="84" s="1"/>
  <c r="D95" i="84"/>
  <c r="I90" i="84" a="1"/>
  <c r="I90" i="84" s="1"/>
  <c r="I89" i="84" a="1"/>
  <c r="I89" i="84" s="1"/>
  <c r="I88" i="84" a="1"/>
  <c r="I88" i="84" s="1"/>
  <c r="G88" i="84" a="1"/>
  <c r="G88" i="84" s="1"/>
  <c r="D88" i="84" a="1"/>
  <c r="D88" i="84" s="1"/>
  <c r="E86" i="84" a="1"/>
  <c r="E86" i="84" s="1"/>
  <c r="E85" i="84" a="1"/>
  <c r="E85" i="84" s="1"/>
  <c r="D81" i="84" a="1"/>
  <c r="D81" i="84" s="1"/>
  <c r="D80" i="84" a="1"/>
  <c r="D80" i="84" s="1"/>
  <c r="D79" i="84" a="1"/>
  <c r="D79" i="84" s="1"/>
  <c r="R66" i="84"/>
  <c r="Q66" i="84"/>
  <c r="P66" i="84"/>
  <c r="O66" i="84"/>
  <c r="H66" i="84"/>
  <c r="G66" i="84"/>
  <c r="F66" i="84"/>
  <c r="E66" i="84"/>
  <c r="R65" i="84"/>
  <c r="Q65" i="84"/>
  <c r="P65" i="84"/>
  <c r="O65" i="84"/>
  <c r="H65" i="84"/>
  <c r="G65" i="84"/>
  <c r="F65" i="84"/>
  <c r="E65" i="84"/>
  <c r="R64" i="84"/>
  <c r="Q64" i="84"/>
  <c r="P64" i="84"/>
  <c r="O64" i="84"/>
  <c r="H64" i="84"/>
  <c r="G64" i="84"/>
  <c r="F64" i="84"/>
  <c r="E64" i="84"/>
  <c r="R63" i="84"/>
  <c r="Q63" i="84"/>
  <c r="P63" i="84"/>
  <c r="O63" i="84"/>
  <c r="H63" i="84"/>
  <c r="G63" i="84"/>
  <c r="F63" i="84"/>
  <c r="E63" i="84"/>
  <c r="R62" i="84"/>
  <c r="Q62" i="84"/>
  <c r="P62" i="84"/>
  <c r="O62" i="84"/>
  <c r="H62" i="84"/>
  <c r="G62" i="84"/>
  <c r="F62" i="84"/>
  <c r="E62" i="84"/>
  <c r="E57" i="84" a="1"/>
  <c r="E56" i="84" a="1"/>
  <c r="E55" i="84" a="1"/>
  <c r="E54" i="84" a="1"/>
  <c r="E53" i="84" a="1"/>
  <c r="I48" i="84" a="1"/>
  <c r="I48" i="84" s="1"/>
  <c r="I47" i="84" a="1"/>
  <c r="I47" i="84" s="1"/>
  <c r="G47" i="84" a="1"/>
  <c r="I62" i="84" s="1"/>
  <c r="D47" i="84" a="1"/>
  <c r="D47" i="84" s="1"/>
  <c r="E45" i="84" a="1"/>
  <c r="E45" i="84" s="1"/>
  <c r="E44" i="84" a="1"/>
  <c r="E44" i="84" s="1"/>
  <c r="D40" i="84" a="1"/>
  <c r="D40" i="84" s="1"/>
  <c r="D39" i="84" a="1"/>
  <c r="D39" i="84" s="1"/>
  <c r="D30" i="84" a="1"/>
  <c r="D30" i="84" s="1"/>
  <c r="D20" i="84" a="1"/>
  <c r="I15" i="84" a="1"/>
  <c r="I15" i="84" s="1"/>
  <c r="I14" i="84" a="1"/>
  <c r="I14" i="84" s="1"/>
  <c r="I13" i="84" a="1"/>
  <c r="I13" i="84" s="1"/>
  <c r="G13" i="84" a="1"/>
  <c r="H30" i="84" s="1"/>
  <c r="D13" i="84" a="1"/>
  <c r="D13" i="84" s="1"/>
  <c r="E11" i="84" a="1"/>
  <c r="E11" i="84" s="1"/>
  <c r="E10" i="84" a="1"/>
  <c r="E10" i="84" s="1"/>
  <c r="D6" i="84" a="1"/>
  <c r="D6" i="84" s="1"/>
  <c r="D5" i="84" a="1"/>
  <c r="D5" i="84" s="1"/>
  <c r="P266" i="83" a="1"/>
  <c r="P266" i="83" s="1"/>
  <c r="F266" i="83" a="1"/>
  <c r="F266" i="83" s="1"/>
  <c r="N263" i="83" a="1"/>
  <c r="N263" i="83" s="1"/>
  <c r="D263" i="83" a="1"/>
  <c r="D263" i="83" s="1"/>
  <c r="D254" i="83" a="1"/>
  <c r="D254" i="83" s="1"/>
  <c r="D249" i="83" a="1"/>
  <c r="D249" i="83" s="1"/>
  <c r="I244" i="83" a="1"/>
  <c r="I244" i="83" s="1"/>
  <c r="I243" i="83" a="1"/>
  <c r="I243" i="83" s="1"/>
  <c r="I242" i="83" a="1"/>
  <c r="I242" i="83" s="1"/>
  <c r="G242" i="83" a="1"/>
  <c r="D242" i="83" a="1"/>
  <c r="D242" i="83" s="1"/>
  <c r="E240" i="83" a="1"/>
  <c r="E240" i="83" s="1"/>
  <c r="E239" i="83" a="1"/>
  <c r="E239" i="83" s="1"/>
  <c r="D234" i="83" a="1"/>
  <c r="D234" i="83" s="1"/>
  <c r="D233" i="83" a="1"/>
  <c r="D233" i="83" s="1"/>
  <c r="J224" i="83" a="1"/>
  <c r="J224" i="83" s="1"/>
  <c r="I224" i="83" a="1"/>
  <c r="I224" i="83" s="1"/>
  <c r="G224" i="83" a="1"/>
  <c r="G224" i="83" s="1"/>
  <c r="D224" i="83" a="1"/>
  <c r="D224" i="83" s="1"/>
  <c r="E222" i="83" a="1"/>
  <c r="E222" i="83" s="1"/>
  <c r="H229" i="83" s="1"/>
  <c r="E221" i="83" a="1"/>
  <c r="E221" i="83" s="1"/>
  <c r="D217" i="83" a="1"/>
  <c r="D217" i="83" s="1"/>
  <c r="D216" i="83" a="1"/>
  <c r="D216" i="83" s="1"/>
  <c r="D215" i="83" a="1"/>
  <c r="D215" i="83" s="1"/>
  <c r="I199" i="83" a="1"/>
  <c r="I199" i="83" s="1"/>
  <c r="J198" i="83" a="1"/>
  <c r="J198" i="83" s="1"/>
  <c r="I198" i="83" a="1"/>
  <c r="I198" i="83" s="1"/>
  <c r="I197" i="83" a="1"/>
  <c r="I197" i="83" s="1"/>
  <c r="G197" i="83" a="1"/>
  <c r="G197" i="83" s="1"/>
  <c r="D197" i="83" a="1"/>
  <c r="D197" i="83" s="1"/>
  <c r="E195" i="83" a="1"/>
  <c r="E195" i="83" s="1"/>
  <c r="S206" i="83" s="1"/>
  <c r="E194" i="83" a="1"/>
  <c r="E194" i="83" s="1"/>
  <c r="D189" i="83" a="1"/>
  <c r="D189" i="83" s="1"/>
  <c r="D188" i="83" a="1"/>
  <c r="D188" i="83" s="1"/>
  <c r="O184" i="83"/>
  <c r="E184" i="83"/>
  <c r="O183" i="83"/>
  <c r="E183" i="83"/>
  <c r="O182" i="83"/>
  <c r="E182" i="83"/>
  <c r="O181" i="83"/>
  <c r="E181" i="83"/>
  <c r="O180" i="83"/>
  <c r="E180" i="83"/>
  <c r="O179" i="83"/>
  <c r="E179" i="83"/>
  <c r="O178" i="83"/>
  <c r="E178" i="83"/>
  <c r="O177" i="83"/>
  <c r="E177" i="83"/>
  <c r="O176" i="83"/>
  <c r="E176" i="83"/>
  <c r="O175" i="83"/>
  <c r="E175" i="83"/>
  <c r="O174" i="83"/>
  <c r="E174" i="83"/>
  <c r="O173" i="83"/>
  <c r="E173" i="83"/>
  <c r="O172" i="83"/>
  <c r="E172" i="83"/>
  <c r="O171" i="83"/>
  <c r="E171" i="83"/>
  <c r="O170" i="83"/>
  <c r="E170" i="83"/>
  <c r="O169" i="83"/>
  <c r="E169" i="83"/>
  <c r="O168" i="83"/>
  <c r="E168" i="83"/>
  <c r="E147" i="83" a="1"/>
  <c r="E147" i="83" s="1"/>
  <c r="E144" i="83" a="1"/>
  <c r="E144" i="83" s="1"/>
  <c r="E141" i="83" a="1"/>
  <c r="E141" i="83" s="1"/>
  <c r="E138" i="83" a="1"/>
  <c r="E138" i="83" s="1"/>
  <c r="E134" i="83" a="1"/>
  <c r="E134" i="83" s="1"/>
  <c r="S126" i="83"/>
  <c r="I126" i="83"/>
  <c r="I124" i="83" a="1"/>
  <c r="I124" i="83" s="1"/>
  <c r="I123" i="83" a="1"/>
  <c r="I123" i="83" s="1"/>
  <c r="Q121" i="83" a="1"/>
  <c r="Q121" i="83" s="1"/>
  <c r="N121" i="83" a="1"/>
  <c r="N121" i="83" s="1"/>
  <c r="I121" i="83" a="1"/>
  <c r="I121" i="83" s="1"/>
  <c r="G121" i="83" a="1"/>
  <c r="G121" i="83" s="1"/>
  <c r="D121" i="83" a="1"/>
  <c r="D121" i="83" s="1"/>
  <c r="E119" i="83" a="1"/>
  <c r="E119" i="83" s="1"/>
  <c r="E118" i="83" a="1"/>
  <c r="E118" i="83" s="1"/>
  <c r="D113" i="83" a="1"/>
  <c r="D113" i="83" s="1"/>
  <c r="D112" i="83" a="1"/>
  <c r="D112" i="83" s="1"/>
  <c r="I83" i="83" a="1"/>
  <c r="I83" i="83" s="1"/>
  <c r="J82" i="83" a="1"/>
  <c r="J82" i="83" s="1"/>
  <c r="I82" i="83" a="1"/>
  <c r="I82" i="83" s="1"/>
  <c r="I81" i="83" a="1"/>
  <c r="I81" i="83" s="1"/>
  <c r="G81" i="83" a="1"/>
  <c r="F93" i="83" s="1"/>
  <c r="D81" i="83" a="1"/>
  <c r="D81" i="83" s="1"/>
  <c r="E79" i="83" a="1"/>
  <c r="E79" i="83" s="1"/>
  <c r="E78" i="83" a="1"/>
  <c r="E78" i="83" s="1"/>
  <c r="D73" i="83" a="1"/>
  <c r="D73" i="83" s="1"/>
  <c r="D72" i="83" a="1"/>
  <c r="D72" i="83" s="1"/>
  <c r="E63" i="83" a="1"/>
  <c r="E63" i="83" s="1"/>
  <c r="I58" i="83" a="1"/>
  <c r="I58" i="83" s="1"/>
  <c r="I57" i="83" a="1"/>
  <c r="I57" i="83" s="1"/>
  <c r="I56" i="83" a="1"/>
  <c r="I56" i="83" s="1"/>
  <c r="G56" i="83" a="1"/>
  <c r="G56" i="83" s="1"/>
  <c r="I63" i="83" s="1"/>
  <c r="D56" i="83" a="1"/>
  <c r="D56" i="83" s="1"/>
  <c r="E54" i="83" a="1"/>
  <c r="E54" i="83" s="1"/>
  <c r="E53" i="83" a="1"/>
  <c r="E53" i="83" s="1"/>
  <c r="D48" i="83" a="1"/>
  <c r="D48" i="83" s="1"/>
  <c r="D46" i="83" a="1"/>
  <c r="D46" i="83" s="1"/>
  <c r="D45" i="83" a="1"/>
  <c r="D45" i="83" s="1"/>
  <c r="R32" i="83"/>
  <c r="Q32" i="83"/>
  <c r="P32" i="83"/>
  <c r="O32" i="83"/>
  <c r="H32" i="83"/>
  <c r="G32" i="83"/>
  <c r="F32" i="83"/>
  <c r="E32" i="83"/>
  <c r="R31" i="83"/>
  <c r="Q31" i="83"/>
  <c r="P31" i="83"/>
  <c r="O31" i="83"/>
  <c r="H31" i="83"/>
  <c r="G31" i="83"/>
  <c r="F31" i="83"/>
  <c r="E31" i="83"/>
  <c r="R30" i="83"/>
  <c r="Q30" i="83"/>
  <c r="P30" i="83"/>
  <c r="O30" i="83"/>
  <c r="H30" i="83"/>
  <c r="G30" i="83"/>
  <c r="F30" i="83"/>
  <c r="E30" i="83"/>
  <c r="R29" i="83"/>
  <c r="Q29" i="83"/>
  <c r="P29" i="83"/>
  <c r="O29" i="83"/>
  <c r="H29" i="83"/>
  <c r="G29" i="83"/>
  <c r="F29" i="83"/>
  <c r="E29" i="83"/>
  <c r="R28" i="83"/>
  <c r="Q28" i="83"/>
  <c r="P28" i="83"/>
  <c r="O28" i="83"/>
  <c r="H28" i="83"/>
  <c r="G28" i="83"/>
  <c r="F28" i="83"/>
  <c r="E28" i="83"/>
  <c r="E23" i="83" a="1"/>
  <c r="E22" i="83" a="1"/>
  <c r="E21" i="83" a="1"/>
  <c r="E20" i="83" a="1"/>
  <c r="E20" i="83" s="1"/>
  <c r="E19" i="83" a="1"/>
  <c r="I14" i="83" a="1"/>
  <c r="I14" i="83" s="1"/>
  <c r="I13" i="83" a="1"/>
  <c r="I13" i="83" s="1"/>
  <c r="G13" i="83" a="1"/>
  <c r="I28" i="83" s="1"/>
  <c r="D13" i="83" a="1"/>
  <c r="D13" i="83" s="1"/>
  <c r="E11" i="83" a="1"/>
  <c r="E11" i="83" s="1"/>
  <c r="E10" i="83" a="1"/>
  <c r="E10" i="83" s="1"/>
  <c r="D6" i="83" a="1"/>
  <c r="D6" i="83" s="1"/>
  <c r="D5" i="83" a="1"/>
  <c r="D5" i="83" s="1"/>
  <c r="M113" i="82"/>
  <c r="H113" i="82"/>
  <c r="G113" i="82"/>
  <c r="F113" i="82"/>
  <c r="E113" i="82"/>
  <c r="E208" i="84" s="1" a="1"/>
  <c r="E208" i="84" s="1"/>
  <c r="M112" i="82"/>
  <c r="M111" i="82"/>
  <c r="F103" i="87" s="1" a="1"/>
  <c r="F103" i="87" s="1"/>
  <c r="M110" i="82"/>
  <c r="M109" i="82"/>
  <c r="M105" i="82"/>
  <c r="H105" i="82"/>
  <c r="G105" i="82"/>
  <c r="F105" i="82"/>
  <c r="E105" i="82"/>
  <c r="E204" i="84" s="1" a="1"/>
  <c r="E204" i="84" s="1"/>
  <c r="M104" i="82"/>
  <c r="M103" i="82"/>
  <c r="M102" i="82"/>
  <c r="F99" i="87" s="1" a="1"/>
  <c r="F99" i="87" s="1"/>
  <c r="E101" i="82"/>
  <c r="M98" i="82"/>
  <c r="H98" i="82"/>
  <c r="G98" i="82"/>
  <c r="F98" i="82"/>
  <c r="E200" i="84" s="1" a="1"/>
  <c r="E200" i="84" s="1"/>
  <c r="E98" i="82"/>
  <c r="M97" i="82"/>
  <c r="M96" i="82"/>
  <c r="M95" i="82"/>
  <c r="E94" i="82"/>
  <c r="M91" i="82"/>
  <c r="H91" i="82"/>
  <c r="G91" i="82"/>
  <c r="F91" i="82"/>
  <c r="E91" i="82"/>
  <c r="E196" i="84" s="1" a="1"/>
  <c r="E196" i="84" s="1"/>
  <c r="M90" i="82"/>
  <c r="M89" i="82"/>
  <c r="M88" i="82"/>
  <c r="F91" i="87" s="1" a="1"/>
  <c r="F91" i="87" s="1"/>
  <c r="E87" i="82"/>
  <c r="M84" i="82"/>
  <c r="H84" i="82"/>
  <c r="G84" i="82"/>
  <c r="F84" i="82"/>
  <c r="E84" i="82"/>
  <c r="M83" i="82"/>
  <c r="M82" i="82"/>
  <c r="M81" i="82"/>
  <c r="M80" i="82"/>
  <c r="E79" i="82"/>
  <c r="M76" i="82"/>
  <c r="H76" i="82"/>
  <c r="G76" i="82"/>
  <c r="F76" i="82"/>
  <c r="E76" i="82"/>
  <c r="M75" i="82"/>
  <c r="M74" i="82"/>
  <c r="M73" i="82"/>
  <c r="E72" i="82"/>
  <c r="H68" i="82"/>
  <c r="G68" i="82"/>
  <c r="F68" i="82"/>
  <c r="E68" i="82"/>
  <c r="H66" i="82"/>
  <c r="G66" i="82"/>
  <c r="F66" i="82"/>
  <c r="E66" i="82"/>
  <c r="H65" i="82"/>
  <c r="G65" i="82"/>
  <c r="F65" i="82"/>
  <c r="E65" i="82"/>
  <c r="E33" i="82"/>
  <c r="D54" i="78"/>
  <c r="D35" i="78"/>
  <c r="D34" i="78"/>
  <c r="D33" i="78"/>
  <c r="D32" i="78"/>
  <c r="D31" i="78"/>
  <c r="D30" i="78"/>
  <c r="D29" i="78"/>
  <c r="E99" i="107" a="1"/>
  <c r="E47" i="83" a="1"/>
  <c r="E101" i="114" a="1"/>
  <c r="E90" i="103" a="1"/>
  <c r="E106" i="84" a="1"/>
  <c r="O112" i="85" a="1"/>
  <c r="E49" i="104" a="1"/>
  <c r="E61" i="115" a="1"/>
  <c r="L7" i="94" a="1"/>
  <c r="E189" i="114" a="1"/>
  <c r="E114" i="83" a="1"/>
  <c r="E7" i="107" a="1"/>
  <c r="L8" i="95" a="1"/>
  <c r="E7" i="115"/>
  <c r="E7" i="101" a="1"/>
  <c r="E305" i="114" a="1"/>
  <c r="E42" i="115"/>
  <c r="E41" i="84" a="1"/>
  <c r="E7" i="85" a="1"/>
  <c r="E166" i="114" a="1"/>
  <c r="E7" i="103" a="1"/>
  <c r="E43" i="103" a="1"/>
  <c r="E42" i="99" a="1"/>
  <c r="E203" i="114" a="1"/>
  <c r="E555" i="114"/>
  <c r="E338" i="114" a="1"/>
  <c r="E112" i="85" a="1"/>
  <c r="E118" i="103" a="1"/>
  <c r="E7" i="94" a="1"/>
  <c r="O61" i="115" a="1"/>
  <c r="E175" i="84" a="1"/>
  <c r="E7" i="99" a="1"/>
  <c r="O26" i="115" a="1"/>
  <c r="E43" i="100" a="1"/>
  <c r="E82" i="84" a="1"/>
  <c r="E7" i="104" a="1"/>
  <c r="E7" i="84" a="1"/>
  <c r="E370" i="114" a="1"/>
  <c r="E433" i="114" a="1"/>
  <c r="E74" i="83" a="1"/>
  <c r="E538" i="114"/>
  <c r="E129" i="84" a="1"/>
  <c r="E34" i="86" a="1"/>
  <c r="E7" i="89" a="1"/>
  <c r="E32" i="89" a="1"/>
  <c r="E167" i="87" a="1"/>
  <c r="E8" i="91"/>
  <c r="E218" i="83" a="1"/>
  <c r="O7" i="115"/>
  <c r="E38" i="101" a="1"/>
  <c r="E400" i="114" a="1"/>
  <c r="E25" i="91"/>
  <c r="E523" i="114"/>
  <c r="E190" i="83" a="1"/>
  <c r="E26" i="115" a="1"/>
  <c r="E7" i="87" a="1"/>
  <c r="E83" i="104"/>
  <c r="E7" i="83" a="1"/>
  <c r="E7" i="100" a="1"/>
  <c r="E7" i="86" a="1"/>
  <c r="E235" i="83" a="1"/>
  <c r="E273" i="114" a="1"/>
  <c r="O79" i="115"/>
  <c r="E79" i="115"/>
  <c r="E7" i="102" a="1"/>
  <c r="E218" i="114" a="1"/>
  <c r="N85" i="99" a="1"/>
  <c r="E7" i="95" a="1"/>
  <c r="E248" i="84" a="1"/>
  <c r="E576" i="114" a="1"/>
  <c r="E7" i="114" a="1"/>
  <c r="E609" i="114" a="1"/>
  <c r="O42" i="115"/>
  <c r="E37" i="95" l="1"/>
  <c r="E30" i="95"/>
  <c r="G39" i="95"/>
  <c r="J39" i="95"/>
  <c r="I39" i="95"/>
  <c r="H39" i="95"/>
  <c r="M36" i="94" a="1"/>
  <c r="M36" i="94" s="1"/>
  <c r="E69" i="104"/>
  <c r="E106" i="103"/>
  <c r="G16" i="109" a="1"/>
  <c r="G16" i="109" s="1"/>
  <c r="G15" i="109" a="1"/>
  <c r="G15" i="109" s="1"/>
  <c r="G11" i="109" a="1"/>
  <c r="G11" i="109" s="1"/>
  <c r="G7" i="109" a="1"/>
  <c r="G7" i="109" s="1"/>
  <c r="G14" i="109" a="1"/>
  <c r="G14" i="109" s="1"/>
  <c r="G13" i="109" a="1"/>
  <c r="G13" i="109" s="1"/>
  <c r="G12" i="109" a="1"/>
  <c r="G12" i="109" s="1"/>
  <c r="G10" i="109" a="1"/>
  <c r="G10" i="109" s="1"/>
  <c r="G9" i="109" a="1"/>
  <c r="G9" i="109" s="1"/>
  <c r="G8" i="109" a="1"/>
  <c r="G8" i="109" s="1"/>
  <c r="F95" i="87" a="1"/>
  <c r="F95" i="87" s="1"/>
  <c r="M26" i="94" a="1"/>
  <c r="M26" i="94" s="1"/>
  <c r="H196" i="116"/>
  <c r="I176" i="116"/>
  <c r="E117" i="87" a="1"/>
  <c r="E117" i="87" s="1"/>
  <c r="E147" i="84" a="1"/>
  <c r="E147" i="84" s="1"/>
  <c r="E67" i="85" a="1"/>
  <c r="E67" i="85" s="1"/>
  <c r="M29" i="95" a="1"/>
  <c r="M29" i="95" s="1"/>
  <c r="L29" i="95" a="1"/>
  <c r="L29" i="95" s="1"/>
  <c r="I29" i="114" a="1"/>
  <c r="I29" i="114" s="1"/>
  <c r="D12" i="111"/>
  <c r="D137" i="114" s="1"/>
  <c r="F137" i="114" s="1" a="1"/>
  <c r="F137" i="114" s="1"/>
  <c r="D139" i="114"/>
  <c r="F139" i="114" s="1" a="1"/>
  <c r="F139" i="114" s="1"/>
  <c r="D140" i="114"/>
  <c r="F140" i="114" s="1" a="1"/>
  <c r="F140" i="114" s="1"/>
  <c r="D138" i="114"/>
  <c r="F138" i="114" s="1" a="1"/>
  <c r="F138" i="114" s="1"/>
  <c r="M34" i="95" a="1"/>
  <c r="M34" i="95" s="1"/>
  <c r="L34" i="95" a="1"/>
  <c r="L34" i="95" s="1"/>
  <c r="I40" i="95"/>
  <c r="H40" i="95"/>
  <c r="G40" i="95"/>
  <c r="J40" i="95"/>
  <c r="L26" i="95" a="1"/>
  <c r="L26" i="95" s="1"/>
  <c r="M26" i="95" a="1"/>
  <c r="M26" i="95" s="1"/>
  <c r="M29" i="94" a="1"/>
  <c r="M29" i="94" s="1"/>
  <c r="L29" i="94" a="1"/>
  <c r="L29" i="94" s="1"/>
  <c r="I177" i="116"/>
  <c r="H197" i="116"/>
  <c r="K35" i="94" a="1"/>
  <c r="K35" i="94" s="1"/>
  <c r="G31" i="94" a="1"/>
  <c r="G31" i="94" s="1"/>
  <c r="K29" i="94" a="1"/>
  <c r="K29" i="94" s="1"/>
  <c r="H28" i="94" a="1"/>
  <c r="H28" i="94" s="1"/>
  <c r="E37" i="94"/>
  <c r="I37" i="94" s="1" a="1"/>
  <c r="I37" i="94" s="1"/>
  <c r="J35" i="94" a="1"/>
  <c r="J35" i="94" s="1"/>
  <c r="K32" i="94" a="1"/>
  <c r="K32" i="94" s="1"/>
  <c r="G28" i="94" a="1"/>
  <c r="G28" i="94" s="1"/>
  <c r="J39" i="94" a="1"/>
  <c r="J39" i="94" s="1"/>
  <c r="K36" i="94" a="1"/>
  <c r="K36" i="94" s="1"/>
  <c r="G32" i="94" a="1"/>
  <c r="G32" i="94" s="1"/>
  <c r="K30" i="94" a="1"/>
  <c r="K30" i="94" s="1"/>
  <c r="G29" i="94" a="1"/>
  <c r="G29" i="94" s="1"/>
  <c r="G39" i="94" a="1"/>
  <c r="G39" i="94" s="1"/>
  <c r="K37" i="94" a="1"/>
  <c r="K37" i="94" s="1"/>
  <c r="G36" i="94" a="1"/>
  <c r="G36" i="94" s="1"/>
  <c r="K34" i="94" a="1"/>
  <c r="K34" i="94" s="1"/>
  <c r="G33" i="94" a="1"/>
  <c r="G33" i="94" s="1"/>
  <c r="G30" i="94" a="1"/>
  <c r="G30" i="94" s="1"/>
  <c r="H27" i="94" a="1"/>
  <c r="H27" i="94" s="1"/>
  <c r="J37" i="94" a="1"/>
  <c r="J37" i="94" s="1"/>
  <c r="J34" i="94" a="1"/>
  <c r="J34" i="94" s="1"/>
  <c r="K31" i="94" a="1"/>
  <c r="K31" i="94" s="1"/>
  <c r="G27" i="94" a="1"/>
  <c r="G27" i="94" s="1"/>
  <c r="K25" i="94" a="1"/>
  <c r="K25" i="94" s="1"/>
  <c r="H36" i="94" a="1"/>
  <c r="H36" i="94" s="1"/>
  <c r="I31" i="94" a="1"/>
  <c r="I31" i="94" s="1"/>
  <c r="H31" i="94" a="1"/>
  <c r="H31" i="94" s="1"/>
  <c r="H38" i="94" a="1"/>
  <c r="H38" i="94" s="1"/>
  <c r="I35" i="94" a="1"/>
  <c r="I35" i="94" s="1"/>
  <c r="K28" i="94" a="1"/>
  <c r="K28" i="94" s="1"/>
  <c r="H35" i="94" a="1"/>
  <c r="H35" i="94" s="1"/>
  <c r="J28" i="94" a="1"/>
  <c r="J28" i="94" s="1"/>
  <c r="G35" i="94" a="1"/>
  <c r="G35" i="94" s="1"/>
  <c r="J30" i="94" a="1"/>
  <c r="J30" i="94" s="1"/>
  <c r="I28" i="94" a="1"/>
  <c r="I28" i="94" s="1"/>
  <c r="I30" i="94" a="1"/>
  <c r="I30" i="94" s="1"/>
  <c r="K39" i="94" a="1"/>
  <c r="K39" i="94" s="1"/>
  <c r="J32" i="94" a="1"/>
  <c r="J32" i="94" s="1"/>
  <c r="H30" i="94" a="1"/>
  <c r="H30" i="94" s="1"/>
  <c r="J25" i="94" a="1"/>
  <c r="J25" i="94" s="1"/>
  <c r="H37" i="94" a="1"/>
  <c r="H37" i="94" s="1"/>
  <c r="I32" i="94" a="1"/>
  <c r="I32" i="94" s="1"/>
  <c r="I25" i="94" a="1"/>
  <c r="I25" i="94" s="1"/>
  <c r="I39" i="94" a="1"/>
  <c r="I39" i="94" s="1"/>
  <c r="I34" i="94" a="1"/>
  <c r="I34" i="94" s="1"/>
  <c r="H32" i="94" a="1"/>
  <c r="H32" i="94" s="1"/>
  <c r="K27" i="94" a="1"/>
  <c r="K27" i="94" s="1"/>
  <c r="H25" i="94" a="1"/>
  <c r="H25" i="94" s="1"/>
  <c r="H39" i="94" a="1"/>
  <c r="H39" i="94" s="1"/>
  <c r="H34" i="94" a="1"/>
  <c r="H34" i="94" s="1"/>
  <c r="J27" i="94" a="1"/>
  <c r="J27" i="94" s="1"/>
  <c r="E25" i="94"/>
  <c r="G25" i="94" s="1" a="1"/>
  <c r="G25" i="94" s="1"/>
  <c r="G34" i="94" a="1"/>
  <c r="G34" i="94" s="1"/>
  <c r="J29" i="94" a="1"/>
  <c r="J29" i="94" s="1"/>
  <c r="I27" i="94" a="1"/>
  <c r="I27" i="94" s="1"/>
  <c r="J36" i="94" a="1"/>
  <c r="J36" i="94" s="1"/>
  <c r="I29" i="94" a="1"/>
  <c r="I29" i="94" s="1"/>
  <c r="I36" i="94" a="1"/>
  <c r="I36" i="94" s="1"/>
  <c r="J31" i="94" a="1"/>
  <c r="J31" i="94" s="1"/>
  <c r="H29" i="94" a="1"/>
  <c r="H29" i="94" s="1"/>
  <c r="G174" i="116"/>
  <c r="G177" i="116"/>
  <c r="G175" i="116"/>
  <c r="G176" i="116"/>
  <c r="AA261" i="114" s="1" a="1"/>
  <c r="AA261" i="114" s="1"/>
  <c r="D63" i="83"/>
  <c r="D108" i="82"/>
  <c r="L38" i="94" a="1"/>
  <c r="L38" i="94" s="1"/>
  <c r="M38" i="94" a="1"/>
  <c r="M38" i="94" s="1"/>
  <c r="W21" i="98" a="1"/>
  <c r="W21" i="98" s="1"/>
  <c r="H21" i="98"/>
  <c r="M20" i="98" a="1"/>
  <c r="M20" i="98" s="1"/>
  <c r="Q19" i="98" a="1"/>
  <c r="Q19" i="98" s="1"/>
  <c r="U18" i="98" a="1"/>
  <c r="U18" i="98" s="1"/>
  <c r="Z17" i="98"/>
  <c r="K17" i="98" a="1"/>
  <c r="K17" i="98" s="1"/>
  <c r="O16" i="98" a="1"/>
  <c r="O16" i="98" s="1"/>
  <c r="S15" i="98" a="1"/>
  <c r="S15" i="98" s="1"/>
  <c r="W14" i="98" a="1"/>
  <c r="W14" i="98" s="1"/>
  <c r="X14" i="98" s="1"/>
  <c r="H14" i="98"/>
  <c r="M13" i="98" a="1"/>
  <c r="M13" i="98" s="1"/>
  <c r="Q12" i="98" a="1"/>
  <c r="Q12" i="98" s="1"/>
  <c r="F21" i="98"/>
  <c r="L20" i="98" a="1"/>
  <c r="L20" i="98" s="1"/>
  <c r="P19" i="98" a="1"/>
  <c r="P19" i="98" s="1"/>
  <c r="T18" i="98" a="1"/>
  <c r="T18" i="98" s="1"/>
  <c r="Y17" i="98"/>
  <c r="J17" i="98" a="1"/>
  <c r="J17" i="98" s="1"/>
  <c r="N16" i="98" a="1"/>
  <c r="N16" i="98" s="1"/>
  <c r="Y236" i="114" s="1" a="1"/>
  <c r="R15" i="98" a="1"/>
  <c r="R15" i="98" s="1"/>
  <c r="F14" i="98"/>
  <c r="L13" i="98" a="1"/>
  <c r="L13" i="98" s="1"/>
  <c r="P12" i="98" a="1"/>
  <c r="P12" i="98" s="1"/>
  <c r="U21" i="98" a="1"/>
  <c r="U21" i="98" s="1"/>
  <c r="Z20" i="98"/>
  <c r="K20" i="98" a="1"/>
  <c r="K20" i="98" s="1"/>
  <c r="O19" i="98" a="1"/>
  <c r="O19" i="98" s="1"/>
  <c r="S18" i="98" a="1"/>
  <c r="S18" i="98" s="1"/>
  <c r="W17" i="98" a="1"/>
  <c r="W17" i="98" s="1"/>
  <c r="H17" i="98"/>
  <c r="M16" i="98" a="1"/>
  <c r="M16" i="98" s="1"/>
  <c r="Q15" i="98" a="1"/>
  <c r="Q15" i="98" s="1"/>
  <c r="U14" i="98" a="1"/>
  <c r="U14" i="98" s="1"/>
  <c r="Z13" i="98"/>
  <c r="K13" i="98" a="1"/>
  <c r="K13" i="98" s="1"/>
  <c r="O12" i="98" a="1"/>
  <c r="O12" i="98" s="1"/>
  <c r="T21" i="98" a="1"/>
  <c r="T21" i="98" s="1"/>
  <c r="Y20" i="98"/>
  <c r="J20" i="98" a="1"/>
  <c r="J20" i="98" s="1"/>
  <c r="N19" i="98" a="1"/>
  <c r="N19" i="98" s="1"/>
  <c r="R18" i="98" a="1"/>
  <c r="R18" i="98" s="1"/>
  <c r="F17" i="98"/>
  <c r="L16" i="98" a="1"/>
  <c r="L16" i="98" s="1"/>
  <c r="P15" i="98" a="1"/>
  <c r="P15" i="98" s="1"/>
  <c r="T14" i="98" a="1"/>
  <c r="T14" i="98" s="1"/>
  <c r="Y13" i="98"/>
  <c r="J13" i="98" a="1"/>
  <c r="J13" i="98" s="1"/>
  <c r="N12" i="98" a="1"/>
  <c r="N12" i="98" s="1"/>
  <c r="S21" i="98" a="1"/>
  <c r="S21" i="98" s="1"/>
  <c r="W20" i="98" a="1"/>
  <c r="W20" i="98" s="1"/>
  <c r="H20" i="98"/>
  <c r="M19" i="98" a="1"/>
  <c r="M19" i="98" s="1"/>
  <c r="Q18" i="98" a="1"/>
  <c r="Q18" i="98" s="1"/>
  <c r="U17" i="98" a="1"/>
  <c r="U17" i="98" s="1"/>
  <c r="Z16" i="98"/>
  <c r="K16" i="98" a="1"/>
  <c r="K16" i="98" s="1"/>
  <c r="O15" i="98" a="1"/>
  <c r="O15" i="98" s="1"/>
  <c r="S14" i="98" a="1"/>
  <c r="S14" i="98" s="1"/>
  <c r="W13" i="98" a="1"/>
  <c r="W13" i="98" s="1"/>
  <c r="H13" i="98"/>
  <c r="M12" i="98" a="1"/>
  <c r="M12" i="98" s="1"/>
  <c r="V236" i="114" s="1" a="1"/>
  <c r="V236" i="114" s="1"/>
  <c r="Q21" i="98" a="1"/>
  <c r="Q21" i="98" s="1"/>
  <c r="P21" i="98" a="1"/>
  <c r="P21" i="98" s="1"/>
  <c r="O21" i="98" a="1"/>
  <c r="O21" i="98" s="1"/>
  <c r="S20" i="98" a="1"/>
  <c r="S20" i="98" s="1"/>
  <c r="W19" i="98" a="1"/>
  <c r="W19" i="98" s="1"/>
  <c r="H19" i="98"/>
  <c r="M18" i="98" a="1"/>
  <c r="M18" i="98" s="1"/>
  <c r="Q17" i="98" a="1"/>
  <c r="Q17" i="98" s="1"/>
  <c r="U16" i="98" a="1"/>
  <c r="U16" i="98" s="1"/>
  <c r="Z15" i="98"/>
  <c r="K15" i="98" a="1"/>
  <c r="K15" i="98" s="1"/>
  <c r="O14" i="98" a="1"/>
  <c r="O14" i="98" s="1"/>
  <c r="S13" i="98" a="1"/>
  <c r="S13" i="98" s="1"/>
  <c r="W12" i="98" a="1"/>
  <c r="W12" i="98" s="1"/>
  <c r="X12" i="98" s="1"/>
  <c r="H12" i="98"/>
  <c r="N21" i="98" a="1"/>
  <c r="N21" i="98" s="1"/>
  <c r="M21" i="98" a="1"/>
  <c r="M21" i="98" s="1"/>
  <c r="Z21" i="98"/>
  <c r="K21" i="98" a="1"/>
  <c r="K21" i="98" s="1"/>
  <c r="O20" i="98" a="1"/>
  <c r="O20" i="98" s="1"/>
  <c r="S19" i="98" a="1"/>
  <c r="S19" i="98" s="1"/>
  <c r="W18" i="98" a="1"/>
  <c r="W18" i="98" s="1"/>
  <c r="H18" i="98"/>
  <c r="I18" i="98" s="1"/>
  <c r="M17" i="98" a="1"/>
  <c r="M17" i="98" s="1"/>
  <c r="Q16" i="98" a="1"/>
  <c r="Q16" i="98" s="1"/>
  <c r="U15" i="98" a="1"/>
  <c r="U15" i="98" s="1"/>
  <c r="Z14" i="98"/>
  <c r="K14" i="98" a="1"/>
  <c r="K14" i="98" s="1"/>
  <c r="O13" i="98" a="1"/>
  <c r="O13" i="98" s="1"/>
  <c r="S12" i="98" a="1"/>
  <c r="S12" i="98" s="1"/>
  <c r="Y21" i="98"/>
  <c r="J21" i="98" a="1"/>
  <c r="J21" i="98" s="1"/>
  <c r="N20" i="98" a="1"/>
  <c r="N20" i="98" s="1"/>
  <c r="R19" i="98" a="1"/>
  <c r="R19" i="98" s="1"/>
  <c r="F18" i="98"/>
  <c r="L17" i="98" a="1"/>
  <c r="L17" i="98" s="1"/>
  <c r="U236" i="114" s="1" a="1"/>
  <c r="U236" i="114" s="1"/>
  <c r="P16" i="98" a="1"/>
  <c r="P16" i="98" s="1"/>
  <c r="T15" i="98" a="1"/>
  <c r="T15" i="98" s="1"/>
  <c r="Y14" i="98"/>
  <c r="J14" i="98" a="1"/>
  <c r="J14" i="98" s="1"/>
  <c r="N13" i="98" a="1"/>
  <c r="N13" i="98" s="1"/>
  <c r="R12" i="98" a="1"/>
  <c r="R12" i="98" s="1"/>
  <c r="AG236" i="114" s="1" a="1"/>
  <c r="AG236" i="114" s="1"/>
  <c r="F20" i="98"/>
  <c r="N18" i="98" a="1"/>
  <c r="N18" i="98" s="1"/>
  <c r="S16" i="98" a="1"/>
  <c r="S16" i="98" s="1"/>
  <c r="AH236" i="114" s="1" a="1"/>
  <c r="AH236" i="114" s="1"/>
  <c r="R14" i="98" a="1"/>
  <c r="R14" i="98" s="1"/>
  <c r="Y12" i="98"/>
  <c r="Z19" i="98"/>
  <c r="L18" i="98" a="1"/>
  <c r="L18" i="98" s="1"/>
  <c r="R16" i="98" a="1"/>
  <c r="R16" i="98" s="1"/>
  <c r="Q14" i="98" a="1"/>
  <c r="Q14" i="98" s="1"/>
  <c r="Y19" i="98"/>
  <c r="K18" i="98" a="1"/>
  <c r="K18" i="98" s="1"/>
  <c r="J16" i="98" a="1"/>
  <c r="J16" i="98" s="1"/>
  <c r="P14" i="98" a="1"/>
  <c r="P14" i="98" s="1"/>
  <c r="U12" i="98" a="1"/>
  <c r="U12" i="98" s="1"/>
  <c r="AL236" i="114" s="1" a="1"/>
  <c r="AL236" i="114" s="1"/>
  <c r="J18" i="98" a="1"/>
  <c r="J18" i="98" s="1"/>
  <c r="H16" i="98"/>
  <c r="N14" i="98" a="1"/>
  <c r="N14" i="98" s="1"/>
  <c r="T12" i="98" a="1"/>
  <c r="T12" i="98" s="1"/>
  <c r="U19" i="98" a="1"/>
  <c r="U19" i="98" s="1"/>
  <c r="T17" i="98" a="1"/>
  <c r="T17" i="98" s="1"/>
  <c r="F16" i="98"/>
  <c r="M14" i="98" a="1"/>
  <c r="M14" i="98" s="1"/>
  <c r="L12" i="98" a="1"/>
  <c r="L12" i="98" s="1"/>
  <c r="T19" i="98" a="1"/>
  <c r="T19" i="98" s="1"/>
  <c r="S17" i="98" a="1"/>
  <c r="S17" i="98" s="1"/>
  <c r="Y15" i="98"/>
  <c r="L14" i="98" a="1"/>
  <c r="L14" i="98" s="1"/>
  <c r="K12" i="98" a="1"/>
  <c r="K12" i="98" s="1"/>
  <c r="R236" i="114" s="1" a="1"/>
  <c r="R236" i="114" s="1"/>
  <c r="R21" i="98" a="1"/>
  <c r="R21" i="98" s="1"/>
  <c r="L19" i="98" a="1"/>
  <c r="L19" i="98" s="1"/>
  <c r="R17" i="98" a="1"/>
  <c r="R17" i="98" s="1"/>
  <c r="W15" i="98" a="1"/>
  <c r="W15" i="98" s="1"/>
  <c r="J12" i="98" a="1"/>
  <c r="J12" i="98" s="1"/>
  <c r="L21" i="98" a="1"/>
  <c r="L21" i="98" s="1"/>
  <c r="K19" i="98" a="1"/>
  <c r="K19" i="98" s="1"/>
  <c r="P17" i="98" a="1"/>
  <c r="P17" i="98" s="1"/>
  <c r="AC236" i="114" s="1" a="1"/>
  <c r="U13" i="98" a="1"/>
  <c r="U13" i="98" s="1"/>
  <c r="F12" i="98"/>
  <c r="J19" i="98" a="1"/>
  <c r="J19" i="98" s="1"/>
  <c r="O17" i="98" a="1"/>
  <c r="O17" i="98" s="1"/>
  <c r="N15" i="98" a="1"/>
  <c r="N15" i="98" s="1"/>
  <c r="T13" i="98" a="1"/>
  <c r="T13" i="98" s="1"/>
  <c r="AK236" i="114" s="1" a="1"/>
  <c r="AK236" i="114" s="1"/>
  <c r="U20" i="98" a="1"/>
  <c r="U20" i="98" s="1"/>
  <c r="F19" i="98"/>
  <c r="N17" i="98" a="1"/>
  <c r="N17" i="98" s="1"/>
  <c r="M15" i="98" a="1"/>
  <c r="M15" i="98" s="1"/>
  <c r="R13" i="98" a="1"/>
  <c r="R13" i="98" s="1"/>
  <c r="T20" i="98" a="1"/>
  <c r="T20" i="98" s="1"/>
  <c r="Z18" i="98"/>
  <c r="Y16" i="98"/>
  <c r="O236" i="114" s="1" a="1"/>
  <c r="O236" i="114" s="1"/>
  <c r="L15" i="98" a="1"/>
  <c r="L15" i="98" s="1"/>
  <c r="Q13" i="98" a="1"/>
  <c r="Q13" i="98" s="1"/>
  <c r="R20" i="98" a="1"/>
  <c r="R20" i="98" s="1"/>
  <c r="Y18" i="98"/>
  <c r="W16" i="98" a="1"/>
  <c r="W16" i="98" s="1"/>
  <c r="J15" i="98" a="1"/>
  <c r="J15" i="98" s="1"/>
  <c r="V15" i="98" s="1"/>
  <c r="X15" i="98" s="1"/>
  <c r="P13" i="98" a="1"/>
  <c r="P13" i="98" s="1"/>
  <c r="Q20" i="98" a="1"/>
  <c r="Q20" i="98" s="1"/>
  <c r="P18" i="98" a="1"/>
  <c r="P18" i="98" s="1"/>
  <c r="H15" i="98"/>
  <c r="F13" i="98"/>
  <c r="P20" i="98" a="1"/>
  <c r="P20" i="98" s="1"/>
  <c r="O18" i="98" a="1"/>
  <c r="O18" i="98" s="1"/>
  <c r="T16" i="98" a="1"/>
  <c r="T16" i="98" s="1"/>
  <c r="F15" i="98"/>
  <c r="Z12" i="98"/>
  <c r="L35" i="94" a="1"/>
  <c r="L35" i="94" s="1"/>
  <c r="M35" i="94" a="1"/>
  <c r="M35" i="94" s="1"/>
  <c r="M37" i="95" a="1"/>
  <c r="M37" i="95" s="1"/>
  <c r="L37" i="95" a="1"/>
  <c r="L37" i="95" s="1"/>
  <c r="E320" i="114" a="1"/>
  <c r="E320" i="114" s="1"/>
  <c r="I97" i="103"/>
  <c r="F106" i="103" s="1" a="1"/>
  <c r="F106" i="103" s="1"/>
  <c r="E138" i="103" s="1"/>
  <c r="I33" i="115"/>
  <c r="P128" i="114" a="1"/>
  <c r="P128" i="114" s="1"/>
  <c r="F27" i="82" a="1"/>
  <c r="F27" i="82" s="1"/>
  <c r="H27" i="82" a="1"/>
  <c r="H27" i="82" s="1"/>
  <c r="G27" i="82" a="1"/>
  <c r="G27" i="82" s="1"/>
  <c r="E27" i="82" a="1"/>
  <c r="E27" i="82" s="1"/>
  <c r="H23" i="82" a="1"/>
  <c r="H23" i="82" s="1"/>
  <c r="G23" i="82" a="1"/>
  <c r="G23" i="82" s="1"/>
  <c r="F23" i="82" a="1"/>
  <c r="F23" i="82" s="1"/>
  <c r="E23" i="82" a="1"/>
  <c r="E23" i="82" s="1"/>
  <c r="M31" i="95" a="1"/>
  <c r="M31" i="95" s="1"/>
  <c r="E28" i="95"/>
  <c r="E35" i="95"/>
  <c r="M27" i="95" a="1"/>
  <c r="M27" i="95" s="1"/>
  <c r="L27" i="95" a="1"/>
  <c r="L27" i="95" s="1"/>
  <c r="M38" i="95" a="1"/>
  <c r="M38" i="95" s="1"/>
  <c r="I15" i="91" a="1"/>
  <c r="I15" i="91" s="1"/>
  <c r="M27" i="94" a="1"/>
  <c r="M27" i="94" s="1"/>
  <c r="F86" i="87" a="1"/>
  <c r="F86" i="87" s="1"/>
  <c r="M39" i="95" a="1"/>
  <c r="M39" i="95" s="1"/>
  <c r="G196" i="116"/>
  <c r="G195" i="116"/>
  <c r="G194" i="116"/>
  <c r="G197" i="116"/>
  <c r="D98" i="83"/>
  <c r="E33" i="95"/>
  <c r="E26" i="95"/>
  <c r="E31" i="95"/>
  <c r="E38" i="95"/>
  <c r="M32" i="95" a="1"/>
  <c r="M32" i="95" s="1"/>
  <c r="L28" i="95" a="1"/>
  <c r="L28" i="95" s="1"/>
  <c r="M28" i="95" a="1"/>
  <c r="M28" i="95" s="1"/>
  <c r="M40" i="95" a="1"/>
  <c r="M40" i="95" s="1"/>
  <c r="J54" i="98"/>
  <c r="E71" i="104"/>
  <c r="E108" i="103"/>
  <c r="D7" i="111"/>
  <c r="D177" i="114" s="1"/>
  <c r="F177" i="114" s="1" a="1"/>
  <c r="F177" i="114" s="1"/>
  <c r="D179" i="114"/>
  <c r="F179" i="114" s="1" a="1"/>
  <c r="F179" i="114" s="1"/>
  <c r="D178" i="114"/>
  <c r="F178" i="114" s="1" a="1"/>
  <c r="F178" i="114" s="1"/>
  <c r="G178" i="114" s="1" a="1"/>
  <c r="G178" i="114" s="1"/>
  <c r="H16" i="82" a="1"/>
  <c r="H16" i="82" s="1"/>
  <c r="G13" i="82" a="1"/>
  <c r="G13" i="82" s="1"/>
  <c r="G16" i="82" a="1"/>
  <c r="G16" i="82" s="1"/>
  <c r="F16" i="82" a="1"/>
  <c r="F16" i="82" s="1"/>
  <c r="E16" i="82" a="1"/>
  <c r="E16" i="82" s="1"/>
  <c r="H13" i="82" a="1"/>
  <c r="H13" i="82" s="1"/>
  <c r="F13" i="82" a="1"/>
  <c r="F13" i="82" s="1"/>
  <c r="E13" i="82" a="1"/>
  <c r="E13" i="82" s="1"/>
  <c r="M30" i="94" a="1"/>
  <c r="M30" i="94" s="1"/>
  <c r="F26" i="82" a="1"/>
  <c r="F26" i="82" s="1"/>
  <c r="E26" i="82" a="1"/>
  <c r="E26" i="82" s="1"/>
  <c r="H22" i="82" a="1"/>
  <c r="H22" i="82" s="1"/>
  <c r="G22" i="82" a="1"/>
  <c r="G22" i="82" s="1"/>
  <c r="F22" i="82" a="1"/>
  <c r="F22" i="82" s="1"/>
  <c r="E22" i="82" a="1"/>
  <c r="E22" i="82" s="1"/>
  <c r="H26" i="82" a="1"/>
  <c r="H26" i="82" s="1"/>
  <c r="G26" i="82" a="1"/>
  <c r="G26" i="82" s="1"/>
  <c r="M31" i="94" a="1"/>
  <c r="M31" i="94" s="1"/>
  <c r="E105" i="103"/>
  <c r="E68" i="104"/>
  <c r="H195" i="116"/>
  <c r="I175" i="116"/>
  <c r="M25" i="95" a="1"/>
  <c r="M25" i="95" s="1"/>
  <c r="L25" i="95" a="1"/>
  <c r="L25" i="95" s="1"/>
  <c r="L32" i="94" a="1"/>
  <c r="L32" i="94" s="1"/>
  <c r="M32" i="94" a="1"/>
  <c r="M32" i="94" s="1"/>
  <c r="E70" i="104"/>
  <c r="E107" i="103"/>
  <c r="E38" i="94"/>
  <c r="I38" i="94" s="1" a="1"/>
  <c r="I38" i="94" s="1"/>
  <c r="E33" i="94"/>
  <c r="J33" i="94" s="1" a="1"/>
  <c r="J33" i="94" s="1"/>
  <c r="E26" i="94"/>
  <c r="J26" i="94" s="1" a="1"/>
  <c r="J26" i="94" s="1"/>
  <c r="M34" i="94" a="1"/>
  <c r="M34" i="94" s="1"/>
  <c r="L34" i="94" a="1"/>
  <c r="L34" i="94" s="1"/>
  <c r="L35" i="95" a="1"/>
  <c r="L35" i="95" s="1"/>
  <c r="M35" i="95" a="1"/>
  <c r="M35" i="95" s="1"/>
  <c r="E191" i="84" a="1"/>
  <c r="E191" i="84" s="1"/>
  <c r="L28" i="94" a="1"/>
  <c r="L28" i="94" s="1"/>
  <c r="M28" i="94" a="1"/>
  <c r="M28" i="94" s="1"/>
  <c r="E34" i="95"/>
  <c r="E27" i="95"/>
  <c r="E36" i="95"/>
  <c r="E29" i="95"/>
  <c r="E74" i="104"/>
  <c r="E111" i="103"/>
  <c r="F111" i="103" s="1" a="1"/>
  <c r="F111" i="103" s="1"/>
  <c r="E143" i="103" s="1"/>
  <c r="D285" i="114" a="1"/>
  <c r="M33" i="94" a="1"/>
  <c r="M33" i="94" s="1"/>
  <c r="AB126" i="114" a="1"/>
  <c r="AB126" i="114" s="1"/>
  <c r="F483" i="114" a="1"/>
  <c r="F483" i="114" s="1"/>
  <c r="G483" i="114" s="1" a="1"/>
  <c r="G483" i="114" s="1"/>
  <c r="K40" i="95" a="1"/>
  <c r="K40" i="95" s="1"/>
  <c r="I16" i="98"/>
  <c r="E75" i="104"/>
  <c r="E112" i="103"/>
  <c r="G389" i="114" a="1"/>
  <c r="G389" i="114" s="1"/>
  <c r="G388" i="114" a="1"/>
  <c r="G388" i="114" s="1"/>
  <c r="G387" i="114" a="1"/>
  <c r="G387" i="114" s="1"/>
  <c r="G386" i="114" a="1"/>
  <c r="G386" i="114" s="1"/>
  <c r="J386" i="114" s="1" a="1"/>
  <c r="J386" i="114" s="1"/>
  <c r="G385" i="114" a="1"/>
  <c r="G385" i="114" s="1"/>
  <c r="G391" i="114" a="1"/>
  <c r="G391" i="114" s="1"/>
  <c r="G390" i="114" a="1"/>
  <c r="G390" i="114" s="1"/>
  <c r="X120" i="114" a="1"/>
  <c r="X120" i="114" s="1"/>
  <c r="P127" i="114" a="1"/>
  <c r="P127" i="114" s="1"/>
  <c r="AC252" i="114"/>
  <c r="F484" i="114" a="1"/>
  <c r="F484" i="114" s="1"/>
  <c r="D19" i="100" a="1"/>
  <c r="G183" i="116"/>
  <c r="W256" i="114" s="1" a="1"/>
  <c r="W256" i="114" s="1"/>
  <c r="P34" i="98"/>
  <c r="P33" i="98"/>
  <c r="D60" i="99" a="1"/>
  <c r="D60" i="99" s="1"/>
  <c r="P32" i="98"/>
  <c r="D19" i="103" a="1"/>
  <c r="P30" i="98"/>
  <c r="D58" i="100" a="1"/>
  <c r="D58" i="100" s="1"/>
  <c r="P29" i="98"/>
  <c r="D23" i="104" a="1"/>
  <c r="D23" i="104" s="1"/>
  <c r="D59" i="103" a="1"/>
  <c r="D59" i="103" s="1"/>
  <c r="P28" i="98"/>
  <c r="P27" i="98"/>
  <c r="P26" i="98"/>
  <c r="D19" i="99" a="1"/>
  <c r="E76" i="114" a="1"/>
  <c r="E76" i="114" s="1"/>
  <c r="J86" i="114" s="1" a="1"/>
  <c r="J86" i="114" s="1"/>
  <c r="T127" i="114" a="1"/>
  <c r="T127" i="114" s="1"/>
  <c r="E445" i="114"/>
  <c r="G445" i="114" s="1" a="1"/>
  <c r="G445" i="114" s="1"/>
  <c r="G453" i="114" a="1"/>
  <c r="G453" i="114" s="1"/>
  <c r="G452" i="114" a="1"/>
  <c r="G452" i="114" s="1"/>
  <c r="H452" i="114" s="1" a="1"/>
  <c r="H452" i="114" s="1"/>
  <c r="G451" i="114" a="1"/>
  <c r="G451" i="114" s="1"/>
  <c r="G450" i="114" a="1"/>
  <c r="G450" i="114" s="1"/>
  <c r="G449" i="114" a="1"/>
  <c r="G449" i="114" s="1"/>
  <c r="H449" i="114" s="1" a="1"/>
  <c r="H449" i="114" s="1"/>
  <c r="G454" i="114" a="1"/>
  <c r="G454" i="114" s="1"/>
  <c r="D47" i="88"/>
  <c r="J119" i="107" a="1"/>
  <c r="J119" i="107" s="1"/>
  <c r="J118" i="107" a="1"/>
  <c r="J118" i="107" s="1"/>
  <c r="J160" i="107" a="1"/>
  <c r="J160" i="107" s="1"/>
  <c r="D59" i="107" a="1"/>
  <c r="D157" i="107" a="1"/>
  <c r="D157" i="107" s="1"/>
  <c r="J157" i="107" s="1" a="1"/>
  <c r="J157" i="107" s="1"/>
  <c r="D21" i="107" a="1"/>
  <c r="J179" i="107" a="1"/>
  <c r="J179" i="107" s="1"/>
  <c r="J136" i="107" a="1"/>
  <c r="J136" i="107" s="1"/>
  <c r="G43" i="88"/>
  <c r="D47" i="82" s="1"/>
  <c r="D57" i="88"/>
  <c r="D116" i="107" a="1"/>
  <c r="D116" i="107" s="1"/>
  <c r="J116" i="107" s="1" a="1"/>
  <c r="J116" i="107" s="1"/>
  <c r="AB127" i="114" a="1"/>
  <c r="AB127" i="114" s="1"/>
  <c r="I17" i="108"/>
  <c r="E59" i="107" a="1"/>
  <c r="E116" i="107" a="1"/>
  <c r="E116" i="107" s="1"/>
  <c r="I545" i="114" a="1"/>
  <c r="I545" i="114" s="1"/>
  <c r="E548" i="114" s="1" a="1"/>
  <c r="E548" i="114" s="1"/>
  <c r="O90" i="116"/>
  <c r="Q89" i="116" s="1"/>
  <c r="X129" i="114" a="1"/>
  <c r="X129" i="114" s="1"/>
  <c r="F129" i="114" s="1"/>
  <c r="P126" i="114" a="1"/>
  <c r="P126" i="114" s="1"/>
  <c r="X122" i="114" a="1"/>
  <c r="X122" i="114" s="1"/>
  <c r="T129" i="114" a="1"/>
  <c r="T129" i="114" s="1"/>
  <c r="AB125" i="114" a="1"/>
  <c r="AB125" i="114" s="1"/>
  <c r="T122" i="114" a="1"/>
  <c r="T122" i="114" s="1"/>
  <c r="T120" i="114" a="1"/>
  <c r="T120" i="114" s="1"/>
  <c r="P129" i="114" a="1"/>
  <c r="P129" i="114" s="1"/>
  <c r="X125" i="114" a="1"/>
  <c r="X125" i="114" s="1"/>
  <c r="P122" i="114" a="1"/>
  <c r="P122" i="114" s="1"/>
  <c r="AB128" i="114" a="1"/>
  <c r="AB128" i="114" s="1"/>
  <c r="T125" i="114" a="1"/>
  <c r="T125" i="114" s="1"/>
  <c r="AB121" i="114" a="1"/>
  <c r="AB121" i="114" s="1"/>
  <c r="X128" i="114" a="1"/>
  <c r="X128" i="114" s="1"/>
  <c r="P125" i="114" a="1"/>
  <c r="P125" i="114" s="1"/>
  <c r="X121" i="114" a="1"/>
  <c r="X121" i="114" s="1"/>
  <c r="X127" i="114" a="1"/>
  <c r="X127" i="114" s="1"/>
  <c r="P124" i="114" a="1"/>
  <c r="P124" i="114" s="1"/>
  <c r="X126" i="114" a="1"/>
  <c r="X126" i="114" s="1"/>
  <c r="P123" i="114" a="1"/>
  <c r="P123" i="114" s="1"/>
  <c r="AB129" i="114" a="1"/>
  <c r="AB129" i="114" s="1"/>
  <c r="T126" i="114" a="1"/>
  <c r="T126" i="114" s="1"/>
  <c r="AB122" i="114" a="1"/>
  <c r="AB122" i="114" s="1"/>
  <c r="F496" i="114" a="1"/>
  <c r="F496" i="114" s="1"/>
  <c r="G496" i="114" s="1" a="1"/>
  <c r="G496" i="114" s="1"/>
  <c r="D47" i="111"/>
  <c r="D494" i="114" s="1"/>
  <c r="F494" i="114" s="1" a="1"/>
  <c r="F494" i="114" s="1"/>
  <c r="F482" i="114" a="1"/>
  <c r="F482" i="114" s="1"/>
  <c r="F481" i="114" a="1"/>
  <c r="F481" i="114" s="1"/>
  <c r="G481" i="114" s="1" a="1"/>
  <c r="G481" i="114" s="1"/>
  <c r="J137" i="107" a="1"/>
  <c r="J137" i="107" s="1"/>
  <c r="AB120" i="114" a="1"/>
  <c r="AB120" i="114" s="1"/>
  <c r="T128" i="114" a="1"/>
  <c r="T128" i="114" s="1"/>
  <c r="G447" i="114" a="1"/>
  <c r="G447" i="114" s="1"/>
  <c r="G42" i="88"/>
  <c r="D41" i="82" s="1"/>
  <c r="E316" i="114" a="1"/>
  <c r="E316" i="114" s="1"/>
  <c r="E315" i="114" a="1"/>
  <c r="E315" i="114" s="1"/>
  <c r="E317" i="114" a="1"/>
  <c r="E317" i="114" s="1"/>
  <c r="K45" i="88"/>
  <c r="D58" i="88"/>
  <c r="J165" i="107" a="1"/>
  <c r="J165" i="107" s="1"/>
  <c r="P121" i="114" a="1"/>
  <c r="P121" i="114" s="1"/>
  <c r="AA255" i="114" a="1"/>
  <c r="AA255" i="114" s="1"/>
  <c r="G448" i="114" a="1"/>
  <c r="G448" i="114" s="1"/>
  <c r="H448" i="114" s="1" a="1"/>
  <c r="H448" i="114" s="1"/>
  <c r="D41" i="88"/>
  <c r="G41" i="88"/>
  <c r="D36" i="82" s="1"/>
  <c r="L45" i="88"/>
  <c r="E45" i="88"/>
  <c r="H44" i="88"/>
  <c r="M25" i="94" a="1"/>
  <c r="M25" i="94" s="1"/>
  <c r="L37" i="94" a="1"/>
  <c r="L37" i="94" s="1"/>
  <c r="I25" i="114" a="1"/>
  <c r="I25" i="114" s="1"/>
  <c r="M25" i="114" s="1" a="1"/>
  <c r="M25" i="114" s="1"/>
  <c r="T121" i="114" a="1"/>
  <c r="T121" i="114" s="1"/>
  <c r="E41" i="88"/>
  <c r="H41" i="88"/>
  <c r="L36" i="95" a="1"/>
  <c r="L36" i="95" s="1"/>
  <c r="I26" i="114" a="1"/>
  <c r="I26" i="114" s="1"/>
  <c r="J26" i="114" s="1" a="1"/>
  <c r="J26" i="114" s="1"/>
  <c r="P120" i="114" a="1"/>
  <c r="P120" i="114" s="1"/>
  <c r="T123" i="114" a="1"/>
  <c r="T123" i="114" s="1"/>
  <c r="E463" i="114"/>
  <c r="G463" i="114" s="1" a="1"/>
  <c r="G463" i="114" s="1"/>
  <c r="H463" i="114" s="1" a="1"/>
  <c r="H463" i="114" s="1"/>
  <c r="G472" i="114" a="1"/>
  <c r="G472" i="114" s="1"/>
  <c r="G471" i="114" a="1"/>
  <c r="G471" i="114" s="1"/>
  <c r="G470" i="114" a="1"/>
  <c r="G470" i="114" s="1"/>
  <c r="G469" i="114" a="1"/>
  <c r="G469" i="114" s="1"/>
  <c r="G468" i="114" a="1"/>
  <c r="G468" i="114" s="1"/>
  <c r="H468" i="114" s="1" a="1"/>
  <c r="H468" i="114" s="1"/>
  <c r="G464" i="114" a="1"/>
  <c r="G464" i="114" s="1"/>
  <c r="H464" i="114" s="1" a="1"/>
  <c r="H464" i="114" s="1"/>
  <c r="D44" i="88"/>
  <c r="P25" i="98"/>
  <c r="P21" i="99" s="1" a="1"/>
  <c r="J87" i="115"/>
  <c r="L42" i="88"/>
  <c r="E42" i="88"/>
  <c r="D59" i="88"/>
  <c r="G45" i="88"/>
  <c r="D59" i="82" s="1"/>
  <c r="D75" i="82" s="1"/>
  <c r="D46" i="88"/>
  <c r="L30" i="95" a="1"/>
  <c r="L30" i="95" s="1"/>
  <c r="L33" i="95" a="1"/>
  <c r="L33" i="95" s="1"/>
  <c r="I27" i="114" a="1"/>
  <c r="I27" i="114" s="1"/>
  <c r="J27" i="114" s="1" a="1"/>
  <c r="J27" i="114" s="1"/>
  <c r="X123" i="114" a="1"/>
  <c r="X123" i="114" s="1"/>
  <c r="E44" i="88"/>
  <c r="P31" i="98"/>
  <c r="F159" i="114"/>
  <c r="L242" i="116"/>
  <c r="N241" i="116" s="1"/>
  <c r="F151" i="114" a="1"/>
  <c r="F151" i="114" s="1"/>
  <c r="F150" i="114" a="1"/>
  <c r="F150" i="114" s="1"/>
  <c r="F149" i="114" a="1"/>
  <c r="F149" i="114" s="1"/>
  <c r="G149" i="114" s="1" a="1"/>
  <c r="G149" i="114" s="1"/>
  <c r="F148" i="114" a="1"/>
  <c r="F148" i="114" s="1"/>
  <c r="F153" i="114" a="1"/>
  <c r="F153" i="114" s="1"/>
  <c r="I153" i="114" s="1" a="1"/>
  <c r="I153" i="114" s="1"/>
  <c r="F152" i="114" a="1"/>
  <c r="F152" i="114" s="1"/>
  <c r="I152" i="114" s="1" a="1"/>
  <c r="I152" i="114" s="1"/>
  <c r="H45" i="88"/>
  <c r="E46" i="88"/>
  <c r="J173" i="107" a="1"/>
  <c r="J173" i="107" s="1"/>
  <c r="AB123" i="114" a="1"/>
  <c r="AB123" i="114" s="1"/>
  <c r="G44" i="88"/>
  <c r="D53" i="82" s="1"/>
  <c r="D54" i="82" s="1"/>
  <c r="E58" i="114" a="1"/>
  <c r="E58" i="114" s="1"/>
  <c r="J70" i="114" s="1" a="1"/>
  <c r="J70" i="114" s="1"/>
  <c r="E39" i="114" a="1"/>
  <c r="E39" i="114" s="1"/>
  <c r="I32" i="114" a="1"/>
  <c r="I32" i="114" s="1"/>
  <c r="I28" i="114" a="1"/>
  <c r="I28" i="114" s="1"/>
  <c r="I24" i="114" a="1"/>
  <c r="I24" i="114" s="1"/>
  <c r="I23" i="114" a="1"/>
  <c r="I23" i="114" s="1"/>
  <c r="D43" i="88"/>
  <c r="K43" i="88"/>
  <c r="J123" i="107" a="1"/>
  <c r="J123" i="107" s="1"/>
  <c r="E157" i="107" a="1"/>
  <c r="E157" i="107" s="1"/>
  <c r="I30" i="114" a="1"/>
  <c r="I30" i="114" s="1"/>
  <c r="T124" i="114" a="1"/>
  <c r="T124" i="114" s="1"/>
  <c r="G465" i="114" a="1"/>
  <c r="G465" i="114" s="1"/>
  <c r="K44" i="88"/>
  <c r="E25" i="95"/>
  <c r="E32" i="95"/>
  <c r="E109" i="103"/>
  <c r="E72" i="104"/>
  <c r="H194" i="116"/>
  <c r="I174" i="116"/>
  <c r="E43" i="88"/>
  <c r="L43" i="88"/>
  <c r="E21" i="107" a="1"/>
  <c r="I31" i="114" a="1"/>
  <c r="I31" i="114" s="1"/>
  <c r="X124" i="114" a="1"/>
  <c r="X124" i="114" s="1"/>
  <c r="Y252" i="114"/>
  <c r="AA253" i="114" a="1"/>
  <c r="AA253" i="114" s="1"/>
  <c r="G382" i="114" a="1"/>
  <c r="G382" i="114" s="1"/>
  <c r="G466" i="114" a="1"/>
  <c r="G466" i="114" s="1"/>
  <c r="L44" i="88"/>
  <c r="E158" i="84" a="1"/>
  <c r="E158" i="84" s="1"/>
  <c r="E128" i="87" a="1"/>
  <c r="E128" i="87" s="1"/>
  <c r="K39" i="95" a="1"/>
  <c r="K39" i="95" s="1"/>
  <c r="I14" i="98"/>
  <c r="E252" i="114" a="1"/>
  <c r="J257" i="114" s="1" a="1"/>
  <c r="J257" i="114" s="1"/>
  <c r="E110" i="103"/>
  <c r="E73" i="104"/>
  <c r="J175" i="107" a="1"/>
  <c r="J175" i="107" s="1"/>
  <c r="AB124" i="114" a="1"/>
  <c r="AB124" i="114" s="1"/>
  <c r="G383" i="114" a="1"/>
  <c r="G383" i="114" s="1"/>
  <c r="D45" i="88"/>
  <c r="S254" i="114" a="1"/>
  <c r="S254" i="114" s="1"/>
  <c r="I19" i="93"/>
  <c r="W254" i="114" a="1"/>
  <c r="W254" i="114" s="1"/>
  <c r="W253" i="114" a="1"/>
  <c r="W253" i="114" s="1"/>
  <c r="S257" i="114" a="1"/>
  <c r="S257" i="114" s="1"/>
  <c r="H320" i="114" a="1"/>
  <c r="H320" i="114" s="1"/>
  <c r="G320" i="114" a="1"/>
  <c r="G320" i="114" s="1"/>
  <c r="F320" i="114" a="1"/>
  <c r="F320" i="114" s="1"/>
  <c r="E25" i="102" a="1"/>
  <c r="E25" i="102" s="1"/>
  <c r="F20" i="101" a="1"/>
  <c r="F20" i="101" s="1"/>
  <c r="G20" i="101" a="1"/>
  <c r="P236" i="114" a="1"/>
  <c r="P236" i="114" s="1"/>
  <c r="AD236" i="114" a="1"/>
  <c r="AD236" i="114" s="1"/>
  <c r="Z236" i="114" a="1"/>
  <c r="Z236" i="114" s="1"/>
  <c r="S259" i="114" a="1"/>
  <c r="S259" i="114" s="1"/>
  <c r="J624" i="114" a="1"/>
  <c r="J624" i="114" s="1"/>
  <c r="I285" i="114" a="1"/>
  <c r="I285" i="114" s="1"/>
  <c r="G151" i="114" a="1"/>
  <c r="G151" i="114" s="1"/>
  <c r="I140" i="114" a="1"/>
  <c r="I140" i="114" s="1"/>
  <c r="O35" i="115" a="1"/>
  <c r="O35" i="115" s="1"/>
  <c r="S48" i="115" s="1"/>
  <c r="G485" i="114" a="1"/>
  <c r="G485" i="114" s="1"/>
  <c r="P55" i="115"/>
  <c r="F55" i="115"/>
  <c r="F74" i="115"/>
  <c r="P74" i="115"/>
  <c r="G494" i="114" a="1"/>
  <c r="G494" i="114" s="1"/>
  <c r="G495" i="114" a="1"/>
  <c r="G495" i="114" s="1"/>
  <c r="E35" i="115" a="1"/>
  <c r="E35" i="115" s="1"/>
  <c r="I48" i="115" s="1"/>
  <c r="G484" i="114" a="1"/>
  <c r="G484" i="114" s="1"/>
  <c r="E61" i="115"/>
  <c r="O61" i="115"/>
  <c r="E26" i="115"/>
  <c r="O26" i="115"/>
  <c r="P90" i="115"/>
  <c r="F90" i="115"/>
  <c r="J48" i="114" a="1"/>
  <c r="J48" i="114" s="1"/>
  <c r="F635" i="114"/>
  <c r="F131" i="114"/>
  <c r="F160" i="114"/>
  <c r="F19" i="115"/>
  <c r="G137" i="114" a="1"/>
  <c r="G137" i="114" s="1"/>
  <c r="I151" i="114" a="1"/>
  <c r="I151" i="114" s="1"/>
  <c r="G177" i="114" a="1"/>
  <c r="G177" i="114" s="1"/>
  <c r="G44" i="114" a="1"/>
  <c r="G44" i="114" s="1"/>
  <c r="E203" i="114"/>
  <c r="E7" i="114"/>
  <c r="E189" i="114"/>
  <c r="E273" i="114"/>
  <c r="E101" i="114"/>
  <c r="E166" i="114"/>
  <c r="E218" i="114"/>
  <c r="E370" i="114"/>
  <c r="E338" i="114"/>
  <c r="E400" i="114"/>
  <c r="E433" i="114"/>
  <c r="E305" i="114"/>
  <c r="E576" i="114"/>
  <c r="E609" i="114"/>
  <c r="G88" i="114" a="1"/>
  <c r="G88" i="114" s="1"/>
  <c r="G80" i="114" a="1"/>
  <c r="G80" i="114" s="1"/>
  <c r="J384" i="114" a="1"/>
  <c r="J384" i="114" s="1"/>
  <c r="H384" i="114" a="1"/>
  <c r="H384" i="114" s="1"/>
  <c r="I139" i="114" a="1"/>
  <c r="I139" i="114" s="1"/>
  <c r="G139" i="114" a="1"/>
  <c r="G139" i="114" s="1"/>
  <c r="N588" i="114"/>
  <c r="F588" i="114"/>
  <c r="F93" i="114"/>
  <c r="F73" i="114"/>
  <c r="F91" i="114"/>
  <c r="F34" i="114"/>
  <c r="F90" i="114"/>
  <c r="F54" i="114"/>
  <c r="F53" i="114"/>
  <c r="F72" i="114"/>
  <c r="F94" i="114"/>
  <c r="F35" i="114"/>
  <c r="G42" i="114" a="1"/>
  <c r="G42" i="114" s="1"/>
  <c r="E182" i="114"/>
  <c r="J391" i="114" a="1"/>
  <c r="J391" i="114" s="1"/>
  <c r="H391" i="114" a="1"/>
  <c r="H391" i="114" s="1"/>
  <c r="G82" i="114" a="1"/>
  <c r="G82" i="114" s="1"/>
  <c r="G50" i="114" a="1"/>
  <c r="G50" i="114" s="1"/>
  <c r="J51" i="114" a="1"/>
  <c r="J51" i="114" s="1"/>
  <c r="G48" i="114" a="1"/>
  <c r="G48" i="114" s="1"/>
  <c r="G45" i="114" a="1"/>
  <c r="G45" i="114" s="1"/>
  <c r="J44" i="114" a="1"/>
  <c r="J44" i="114" s="1"/>
  <c r="J50" i="114" a="1"/>
  <c r="J50" i="114" s="1"/>
  <c r="G47" i="114" a="1"/>
  <c r="G47" i="114" s="1"/>
  <c r="J452" i="114" a="1"/>
  <c r="J452" i="114" s="1"/>
  <c r="I149" i="114" a="1"/>
  <c r="I149" i="114" s="1"/>
  <c r="I150" i="114" a="1"/>
  <c r="I150" i="114" s="1"/>
  <c r="G150" i="114" a="1"/>
  <c r="G150" i="114" s="1"/>
  <c r="F499" i="114"/>
  <c r="F488" i="114"/>
  <c r="F332" i="114"/>
  <c r="F516" i="114"/>
  <c r="F393" i="114"/>
  <c r="F363" i="114"/>
  <c r="F264" i="114"/>
  <c r="F498" i="114"/>
  <c r="F487" i="114"/>
  <c r="F475" i="114"/>
  <c r="F457" i="114"/>
  <c r="F426" i="114"/>
  <c r="F331" i="114"/>
  <c r="F548" i="114"/>
  <c r="F362" i="114"/>
  <c r="F267" i="114"/>
  <c r="F570" i="114"/>
  <c r="F474" i="114"/>
  <c r="F266" i="114"/>
  <c r="F181" i="114"/>
  <c r="F299" i="114"/>
  <c r="F394" i="114"/>
  <c r="F298" i="114"/>
  <c r="F517" i="114"/>
  <c r="F263" i="114"/>
  <c r="F425" i="114"/>
  <c r="F533" i="114"/>
  <c r="F456" i="114"/>
  <c r="F182" i="114"/>
  <c r="J46" i="114" a="1"/>
  <c r="J46" i="114" s="1"/>
  <c r="J63" i="114" a="1"/>
  <c r="J63" i="114" s="1"/>
  <c r="J258" i="114" a="1"/>
  <c r="J258" i="114" s="1"/>
  <c r="J261" i="114" a="1"/>
  <c r="J261" i="114" s="1"/>
  <c r="J47" i="114" a="1"/>
  <c r="J47" i="114" s="1"/>
  <c r="G51" i="114" a="1"/>
  <c r="G51" i="114" s="1"/>
  <c r="J67" i="114" a="1"/>
  <c r="J67" i="114" s="1"/>
  <c r="J83" i="114" a="1"/>
  <c r="J83" i="114" s="1"/>
  <c r="I122" i="114" a="1"/>
  <c r="I122" i="114" s="1"/>
  <c r="J87" i="114" a="1"/>
  <c r="J87" i="114" s="1"/>
  <c r="J416" i="114" a="1"/>
  <c r="J416" i="114" s="1"/>
  <c r="J420" i="114" a="1"/>
  <c r="J420" i="114" s="1"/>
  <c r="J415" i="114" a="1"/>
  <c r="J415" i="114" s="1"/>
  <c r="J417" i="114" a="1"/>
  <c r="J417" i="114" s="1"/>
  <c r="J422" i="114" a="1"/>
  <c r="J422" i="114" s="1"/>
  <c r="J421" i="114" a="1"/>
  <c r="J421" i="114" s="1"/>
  <c r="J414" i="114" a="1"/>
  <c r="J414" i="114" s="1"/>
  <c r="E517" i="114"/>
  <c r="J28" i="114" a="1"/>
  <c r="J28" i="114" s="1"/>
  <c r="J30" i="114" a="1"/>
  <c r="J30" i="114" s="1"/>
  <c r="J32" i="114" a="1"/>
  <c r="J32" i="114" s="1"/>
  <c r="G148" i="114" a="1"/>
  <c r="G148" i="114" s="1"/>
  <c r="J256" i="114" a="1"/>
  <c r="J256" i="114" s="1"/>
  <c r="F311" i="114"/>
  <c r="J80" i="114" a="1"/>
  <c r="J80" i="114" s="1"/>
  <c r="I484" i="114" a="1"/>
  <c r="I484" i="114" s="1"/>
  <c r="J45" i="114" a="1"/>
  <c r="J45" i="114" s="1"/>
  <c r="J24" i="114" a="1"/>
  <c r="J24" i="114" s="1"/>
  <c r="G138" i="114" a="1"/>
  <c r="G138" i="114" s="1"/>
  <c r="G43" i="114" a="1"/>
  <c r="G43" i="114" s="1"/>
  <c r="G49" i="114" a="1"/>
  <c r="G49" i="114" s="1"/>
  <c r="G85" i="114" a="1"/>
  <c r="G85" i="114" s="1"/>
  <c r="G140" i="114" a="1"/>
  <c r="G140" i="114" s="1"/>
  <c r="J390" i="114" a="1"/>
  <c r="J390" i="114" s="1"/>
  <c r="J385" i="114" a="1"/>
  <c r="J385" i="114" s="1"/>
  <c r="H389" i="114" a="1"/>
  <c r="H389" i="114" s="1"/>
  <c r="G46" i="114" a="1"/>
  <c r="G46" i="114" s="1"/>
  <c r="J81" i="114" a="1"/>
  <c r="J81" i="114" s="1"/>
  <c r="F132" i="114"/>
  <c r="G179" i="114" a="1"/>
  <c r="G179" i="114" s="1"/>
  <c r="J418" i="114" a="1"/>
  <c r="J418" i="114" s="1"/>
  <c r="J43" i="114" a="1"/>
  <c r="J43" i="114" s="1"/>
  <c r="J49" i="114" a="1"/>
  <c r="J49" i="114" s="1"/>
  <c r="I482" i="114" a="1"/>
  <c r="I482" i="114" s="1"/>
  <c r="G482" i="114" a="1"/>
  <c r="G482" i="114" s="1"/>
  <c r="J62" i="114" a="1"/>
  <c r="J62" i="114" s="1"/>
  <c r="F657" i="114"/>
  <c r="F656" i="114"/>
  <c r="F654" i="114"/>
  <c r="F156" i="114"/>
  <c r="F653" i="114"/>
  <c r="F155" i="114"/>
  <c r="F636" i="114"/>
  <c r="J260" i="114" a="1"/>
  <c r="J260" i="114" s="1"/>
  <c r="J419" i="114" a="1"/>
  <c r="J419" i="114" s="1"/>
  <c r="H446" i="114" a="1"/>
  <c r="H446" i="114" s="1"/>
  <c r="H447" i="114" a="1"/>
  <c r="H447" i="114" s="1"/>
  <c r="H450" i="114" a="1"/>
  <c r="H450" i="114" s="1"/>
  <c r="F143" i="114"/>
  <c r="J423" i="114" a="1"/>
  <c r="J423" i="114" s="1"/>
  <c r="H445" i="114" a="1"/>
  <c r="H445" i="114" s="1"/>
  <c r="J387" i="114" a="1"/>
  <c r="J387" i="114" s="1"/>
  <c r="J389" i="114" a="1"/>
  <c r="J389" i="114" s="1"/>
  <c r="H387" i="114" a="1"/>
  <c r="H387" i="114" s="1"/>
  <c r="H465" i="114" a="1"/>
  <c r="H465" i="114" s="1"/>
  <c r="K357" i="114" a="1"/>
  <c r="K357" i="114" s="1"/>
  <c r="K352" i="114" a="1"/>
  <c r="K352" i="114" s="1"/>
  <c r="K356" i="114" a="1"/>
  <c r="K356" i="114" s="1"/>
  <c r="K420" i="114"/>
  <c r="K415" i="114"/>
  <c r="K419" i="114"/>
  <c r="K421" i="114"/>
  <c r="J651" i="114" a="1"/>
  <c r="J651" i="114" s="1"/>
  <c r="K351" i="114" a="1"/>
  <c r="K351" i="114" s="1"/>
  <c r="K414" i="114"/>
  <c r="I495" i="114" a="1"/>
  <c r="I495" i="114" s="1"/>
  <c r="E499" i="114" s="1"/>
  <c r="J642" i="114" a="1"/>
  <c r="J642" i="114" s="1"/>
  <c r="L352" i="114"/>
  <c r="L356" i="114"/>
  <c r="L353" i="114"/>
  <c r="K358" i="114" a="1"/>
  <c r="K358" i="114" s="1"/>
  <c r="H466" i="114" a="1"/>
  <c r="H466" i="114" s="1"/>
  <c r="L351" i="114"/>
  <c r="L358" i="114"/>
  <c r="K359" i="114" a="1"/>
  <c r="K359" i="114" s="1"/>
  <c r="K422" i="114"/>
  <c r="H467" i="114" a="1"/>
  <c r="H467" i="114" s="1"/>
  <c r="J649" i="114" a="1"/>
  <c r="J649" i="114" s="1"/>
  <c r="J646" i="114" a="1"/>
  <c r="J646" i="114" s="1"/>
  <c r="J629" i="114" a="1"/>
  <c r="J629" i="114" s="1"/>
  <c r="J647" i="114" a="1"/>
  <c r="J647" i="114" s="1"/>
  <c r="E99" i="107"/>
  <c r="E7" i="107"/>
  <c r="F192" i="107"/>
  <c r="F151" i="107"/>
  <c r="I15" i="104"/>
  <c r="I57" i="104"/>
  <c r="E49" i="104"/>
  <c r="E7" i="104"/>
  <c r="F108" i="103" a="1"/>
  <c r="F108" i="103" s="1"/>
  <c r="E140" i="103" s="1"/>
  <c r="F109" i="103" a="1"/>
  <c r="F109" i="103" s="1"/>
  <c r="E141" i="103" s="1"/>
  <c r="F110" i="103" a="1"/>
  <c r="F110" i="103" s="1"/>
  <c r="E142" i="103" s="1"/>
  <c r="E43" i="103"/>
  <c r="E118" i="103"/>
  <c r="E7" i="103"/>
  <c r="E90" i="103"/>
  <c r="F105" i="103" a="1"/>
  <c r="F105" i="103" s="1"/>
  <c r="E137" i="103" s="1"/>
  <c r="G59" i="103"/>
  <c r="E7" i="102"/>
  <c r="E38" i="101"/>
  <c r="E7" i="101"/>
  <c r="I21" i="101" a="1"/>
  <c r="I21" i="101" s="1"/>
  <c r="E7" i="100"/>
  <c r="E43" i="100"/>
  <c r="F78" i="100"/>
  <c r="F58" i="100"/>
  <c r="D40" i="98"/>
  <c r="E42" i="99"/>
  <c r="N85" i="99"/>
  <c r="E7" i="99"/>
  <c r="F60" i="99"/>
  <c r="O110" i="99"/>
  <c r="N105" i="99"/>
  <c r="X13" i="98"/>
  <c r="J55" i="98"/>
  <c r="J56" i="98"/>
  <c r="I12" i="98"/>
  <c r="I13" i="98"/>
  <c r="I15" i="98"/>
  <c r="I17" i="98"/>
  <c r="I19" i="98"/>
  <c r="I54" i="98"/>
  <c r="I20" i="98"/>
  <c r="I21" i="98"/>
  <c r="E7" i="95"/>
  <c r="L8" i="95"/>
  <c r="F58" i="95"/>
  <c r="F49" i="95"/>
  <c r="F57" i="95"/>
  <c r="F46" i="95"/>
  <c r="F56" i="95"/>
  <c r="F45" i="95"/>
  <c r="F55" i="95"/>
  <c r="F44" i="95"/>
  <c r="F52" i="95"/>
  <c r="F43" i="95"/>
  <c r="F51" i="95"/>
  <c r="F50" i="95"/>
  <c r="F70" i="94"/>
  <c r="F55" i="94"/>
  <c r="F46" i="94"/>
  <c r="F45" i="94"/>
  <c r="F67" i="94"/>
  <c r="F64" i="94"/>
  <c r="F63" i="94"/>
  <c r="F57" i="94"/>
  <c r="F56" i="94"/>
  <c r="D39" i="95"/>
  <c r="L39" i="95" s="1" a="1"/>
  <c r="L39" i="95" s="1"/>
  <c r="D42" i="95"/>
  <c r="D40" i="95"/>
  <c r="L40" i="95" s="1" a="1"/>
  <c r="L40" i="95" s="1"/>
  <c r="D31" i="95"/>
  <c r="L31" i="95" s="1" a="1"/>
  <c r="L31" i="95" s="1"/>
  <c r="D38" i="95"/>
  <c r="L38" i="95" s="1" a="1"/>
  <c r="L38" i="95" s="1"/>
  <c r="D48" i="95"/>
  <c r="E7" i="94"/>
  <c r="L7" i="94"/>
  <c r="P29" i="94" a="1"/>
  <c r="P29" i="94" s="1"/>
  <c r="N29" i="94" a="1"/>
  <c r="N29" i="94" s="1"/>
  <c r="N34" i="94" a="1"/>
  <c r="N34" i="94" s="1"/>
  <c r="Q29" i="94" a="1"/>
  <c r="Q29" i="94" s="1"/>
  <c r="D30" i="94"/>
  <c r="F43" i="94"/>
  <c r="O32" i="94" a="1"/>
  <c r="O32" i="94" s="1"/>
  <c r="D39" i="94"/>
  <c r="L39" i="94" s="1" a="1"/>
  <c r="L39" i="94" s="1"/>
  <c r="F52" i="94"/>
  <c r="F62" i="94"/>
  <c r="Q35" i="94" a="1"/>
  <c r="Q35" i="94" s="1"/>
  <c r="F44" i="94"/>
  <c r="D54" i="94"/>
  <c r="Q34" i="94" a="1"/>
  <c r="Q34" i="94" s="1"/>
  <c r="D27" i="94"/>
  <c r="L27" i="94" s="1" a="1"/>
  <c r="L27" i="94" s="1"/>
  <c r="N28" i="94" a="1"/>
  <c r="N28" i="94" s="1"/>
  <c r="F49" i="94"/>
  <c r="F68" i="94"/>
  <c r="O29" i="94" a="1"/>
  <c r="O29" i="94" s="1"/>
  <c r="D36" i="94"/>
  <c r="L36" i="94" s="1" a="1"/>
  <c r="L36" i="94" s="1"/>
  <c r="F58" i="94"/>
  <c r="D31" i="94"/>
  <c r="L31" i="94" s="1" a="1"/>
  <c r="L31" i="94" s="1"/>
  <c r="N32" i="94" a="1"/>
  <c r="N32" i="94" s="1"/>
  <c r="F50" i="94"/>
  <c r="F69" i="94"/>
  <c r="D26" i="94"/>
  <c r="L26" i="94" s="1" a="1"/>
  <c r="L26" i="94" s="1"/>
  <c r="F51" i="94"/>
  <c r="F61" i="94"/>
  <c r="E18" i="91" a="1"/>
  <c r="E18" i="91" s="1"/>
  <c r="I20" i="93"/>
  <c r="L33" i="94" s="1" a="1"/>
  <c r="L33" i="94" s="1"/>
  <c r="I18" i="93"/>
  <c r="L32" i="95" s="1" a="1"/>
  <c r="L32" i="95" s="1"/>
  <c r="I17" i="93"/>
  <c r="I21" i="93"/>
  <c r="I15" i="89"/>
  <c r="E108" i="82"/>
  <c r="R40" i="83" a="1"/>
  <c r="R40" i="83" s="1"/>
  <c r="H75" i="84" a="1"/>
  <c r="H75" i="84" s="1"/>
  <c r="H56" i="89"/>
  <c r="Q56" i="89"/>
  <c r="E32" i="89"/>
  <c r="E7" i="89"/>
  <c r="Q21" i="89"/>
  <c r="H21" i="89"/>
  <c r="H26" i="89"/>
  <c r="Q26" i="89"/>
  <c r="J182" i="87"/>
  <c r="F58" i="89"/>
  <c r="G39" i="89"/>
  <c r="H46" i="89" s="1"/>
  <c r="D13" i="89"/>
  <c r="O58" i="89"/>
  <c r="E38" i="83" a="1"/>
  <c r="E38" i="83" s="1"/>
  <c r="D51" i="89"/>
  <c r="I200" i="83"/>
  <c r="I122" i="83"/>
  <c r="R72" i="84" a="1"/>
  <c r="R72" i="84" s="1"/>
  <c r="G13" i="87"/>
  <c r="T52" i="87"/>
  <c r="E167" i="87"/>
  <c r="E7" i="87"/>
  <c r="P278" i="87"/>
  <c r="T251" i="87"/>
  <c r="F209" i="87"/>
  <c r="F278" i="87"/>
  <c r="J251" i="87"/>
  <c r="P161" i="87"/>
  <c r="F161" i="87"/>
  <c r="T134" i="87"/>
  <c r="P209" i="87"/>
  <c r="J134" i="87"/>
  <c r="P73" i="84" a="1"/>
  <c r="P73" i="84" s="1"/>
  <c r="G82" i="87"/>
  <c r="J52" i="87"/>
  <c r="F112" i="87"/>
  <c r="E34" i="86"/>
  <c r="E7" i="86"/>
  <c r="R47" i="86"/>
  <c r="O49" i="86"/>
  <c r="I47" i="86"/>
  <c r="F49" i="86"/>
  <c r="I23" i="86"/>
  <c r="R23" i="86"/>
  <c r="I103" i="83"/>
  <c r="S103" i="83"/>
  <c r="G135" i="84"/>
  <c r="I28" i="86"/>
  <c r="F153" i="84"/>
  <c r="F62" i="85"/>
  <c r="T73" i="85"/>
  <c r="R71" i="84" a="1"/>
  <c r="R71" i="84" s="1"/>
  <c r="G181" i="84"/>
  <c r="H38" i="83" a="1"/>
  <c r="H38" i="83" s="1"/>
  <c r="F75" i="84" a="1"/>
  <c r="F75" i="84" s="1"/>
  <c r="E7" i="85"/>
  <c r="E112" i="85"/>
  <c r="O112" i="85"/>
  <c r="J217" i="84"/>
  <c r="T217" i="84"/>
  <c r="I68" i="83"/>
  <c r="S68" i="83"/>
  <c r="G39" i="83" a="1"/>
  <c r="G39" i="83" s="1"/>
  <c r="S22" i="85"/>
  <c r="T32" i="85"/>
  <c r="I22" i="85"/>
  <c r="J32" i="85"/>
  <c r="F74" i="84" a="1"/>
  <c r="F74" i="84" s="1"/>
  <c r="H74" i="84" a="1"/>
  <c r="H74" i="84" s="1"/>
  <c r="R229" i="83"/>
  <c r="S71" i="84"/>
  <c r="I71" i="84"/>
  <c r="P106" i="85"/>
  <c r="F106" i="85"/>
  <c r="R25" i="84"/>
  <c r="G13" i="84"/>
  <c r="H20" i="84" s="1"/>
  <c r="Q73" i="84" a="1"/>
  <c r="Q73" i="84" s="1"/>
  <c r="Q75" i="84" a="1"/>
  <c r="Q75" i="84" s="1"/>
  <c r="H100" i="84" a="1"/>
  <c r="H100" i="84" s="1"/>
  <c r="Q71" i="84" a="1"/>
  <c r="Q71" i="84" s="1"/>
  <c r="R100" i="84" a="1"/>
  <c r="R100" i="84" s="1"/>
  <c r="G75" i="84" a="1"/>
  <c r="G75" i="84" s="1"/>
  <c r="E53" i="84"/>
  <c r="O71" i="84" s="1" a="1"/>
  <c r="O71" i="84" s="1"/>
  <c r="P71" i="84" a="1"/>
  <c r="P71" i="84" s="1"/>
  <c r="G71" i="84" a="1"/>
  <c r="G71" i="84" s="1"/>
  <c r="P72" i="84" a="1"/>
  <c r="P72" i="84" s="1"/>
  <c r="E106" i="84"/>
  <c r="E7" i="84"/>
  <c r="E248" i="84"/>
  <c r="E175" i="84"/>
  <c r="E82" i="84"/>
  <c r="E41" i="84"/>
  <c r="E129" i="84"/>
  <c r="S164" i="84"/>
  <c r="I164" i="84"/>
  <c r="S100" i="84"/>
  <c r="I100" i="84"/>
  <c r="G72" i="84" a="1"/>
  <c r="G72" i="84" s="1"/>
  <c r="H72" i="84" a="1"/>
  <c r="H72" i="84" s="1"/>
  <c r="Q72" i="84" a="1"/>
  <c r="Q72" i="84" s="1"/>
  <c r="F72" i="84" a="1"/>
  <c r="F72" i="84" s="1"/>
  <c r="E54" i="84"/>
  <c r="H73" i="84" a="1"/>
  <c r="H73" i="84" s="1"/>
  <c r="F73" i="84" a="1"/>
  <c r="F73" i="84" s="1"/>
  <c r="G73" i="84" a="1"/>
  <c r="G73" i="84" s="1"/>
  <c r="R73" i="84" a="1"/>
  <c r="R73" i="84" s="1"/>
  <c r="E55" i="84"/>
  <c r="Q37" i="83" a="1"/>
  <c r="Q37" i="83" s="1"/>
  <c r="R37" i="83" a="1"/>
  <c r="R37" i="83" s="1"/>
  <c r="R35" i="84"/>
  <c r="H35" i="84"/>
  <c r="G100" i="84" a="1"/>
  <c r="G100" i="84" s="1"/>
  <c r="S62" i="84"/>
  <c r="G47" i="84"/>
  <c r="I53" i="84" s="1"/>
  <c r="H71" i="84" a="1"/>
  <c r="H71" i="84" s="1"/>
  <c r="T264" i="84"/>
  <c r="P297" i="84"/>
  <c r="F297" i="84"/>
  <c r="J264" i="84"/>
  <c r="G74" i="84" a="1"/>
  <c r="G74" i="84" s="1"/>
  <c r="R75" i="84" a="1"/>
  <c r="R75" i="84" s="1"/>
  <c r="I118" i="84"/>
  <c r="G81" i="83"/>
  <c r="D20" i="84"/>
  <c r="F100" i="84" a="1"/>
  <c r="F100" i="84" s="1"/>
  <c r="P74" i="84" a="1"/>
  <c r="P74" i="84" s="1"/>
  <c r="G41" i="83" a="1"/>
  <c r="G41" i="83" s="1"/>
  <c r="H25" i="84"/>
  <c r="E56" i="84"/>
  <c r="Q74" i="84" a="1"/>
  <c r="Q74" i="84" s="1"/>
  <c r="P100" i="84" a="1"/>
  <c r="P100" i="84" s="1"/>
  <c r="P75" i="84" a="1"/>
  <c r="P75" i="84" s="1"/>
  <c r="R74" i="84" a="1"/>
  <c r="R74" i="84" s="1"/>
  <c r="Q100" i="84" a="1"/>
  <c r="Q100" i="84" s="1"/>
  <c r="E57" i="84"/>
  <c r="F71" i="84" a="1"/>
  <c r="F71" i="84" s="1"/>
  <c r="G38" i="83" a="1"/>
  <c r="G38" i="83" s="1"/>
  <c r="F38" i="83" a="1"/>
  <c r="F38" i="83" s="1"/>
  <c r="Q39" i="83" a="1"/>
  <c r="Q39" i="83" s="1"/>
  <c r="F39" i="83" a="1"/>
  <c r="F39" i="83" s="1"/>
  <c r="R39" i="83" a="1"/>
  <c r="R39" i="83" s="1"/>
  <c r="Q38" i="83" a="1"/>
  <c r="Q38" i="83" s="1"/>
  <c r="P39" i="83" a="1"/>
  <c r="P39" i="83" s="1"/>
  <c r="R38" i="83" a="1"/>
  <c r="R38" i="83" s="1"/>
  <c r="P37" i="83" a="1"/>
  <c r="P37" i="83" s="1"/>
  <c r="H41" i="83" a="1"/>
  <c r="H41" i="83" s="1"/>
  <c r="E190" i="83"/>
  <c r="E74" i="83"/>
  <c r="E47" i="83"/>
  <c r="E218" i="83"/>
  <c r="E235" i="83"/>
  <c r="E114" i="83"/>
  <c r="E7" i="83"/>
  <c r="I37" i="83"/>
  <c r="S37" i="83"/>
  <c r="J165" i="83"/>
  <c r="T165" i="83"/>
  <c r="F68" i="83" a="1"/>
  <c r="F68" i="83" s="1"/>
  <c r="E23" i="83"/>
  <c r="F37" i="83" a="1"/>
  <c r="F37" i="83" s="1"/>
  <c r="G68" i="83" a="1"/>
  <c r="G68" i="83" s="1"/>
  <c r="I206" i="83"/>
  <c r="R41" i="83" a="1"/>
  <c r="R41" i="83" s="1"/>
  <c r="G242" i="83"/>
  <c r="H249" i="83" s="1"/>
  <c r="H254" i="83"/>
  <c r="R68" i="83" a="1"/>
  <c r="R68" i="83" s="1"/>
  <c r="E22" i="83"/>
  <c r="E19" i="83"/>
  <c r="H259" i="83"/>
  <c r="P261" i="83"/>
  <c r="F261" i="83"/>
  <c r="R259" i="83"/>
  <c r="S28" i="83"/>
  <c r="G13" i="83"/>
  <c r="I19" i="83" s="1"/>
  <c r="P155" i="83"/>
  <c r="O38" i="83" a="1"/>
  <c r="O38" i="83" s="1"/>
  <c r="G40" i="83" a="1"/>
  <c r="G40" i="83" s="1"/>
  <c r="F41" i="83" a="1"/>
  <c r="F41" i="83" s="1"/>
  <c r="P40" i="83" a="1"/>
  <c r="P40" i="83" s="1"/>
  <c r="H68" i="83" a="1"/>
  <c r="H68" i="83" s="1"/>
  <c r="F155" i="83"/>
  <c r="J131" i="83"/>
  <c r="P38" i="83" a="1"/>
  <c r="P38" i="83" s="1"/>
  <c r="H37" i="83" a="1"/>
  <c r="H37" i="83" s="1"/>
  <c r="F40" i="83" a="1"/>
  <c r="F40" i="83" s="1"/>
  <c r="E21" i="83"/>
  <c r="H39" i="83" a="1"/>
  <c r="H39" i="83" s="1"/>
  <c r="H40" i="83" a="1"/>
  <c r="H40" i="83" s="1"/>
  <c r="P68" i="83" a="1"/>
  <c r="P68" i="83" s="1"/>
  <c r="Q41" i="83" a="1"/>
  <c r="Q41" i="83" s="1"/>
  <c r="P41" i="83" a="1"/>
  <c r="P41" i="83" s="1"/>
  <c r="Q40" i="83" a="1"/>
  <c r="Q40" i="83" s="1"/>
  <c r="G37" i="83" a="1"/>
  <c r="G37" i="83" s="1"/>
  <c r="Q68" i="83" a="1"/>
  <c r="Q68" i="83" s="1"/>
  <c r="D42" i="82"/>
  <c r="D79" i="82"/>
  <c r="D43" i="82"/>
  <c r="D101" i="82"/>
  <c r="D48" i="82"/>
  <c r="D49" i="82"/>
  <c r="D94" i="82"/>
  <c r="F77" i="72"/>
  <c r="F76" i="72"/>
  <c r="F75" i="72"/>
  <c r="E77" i="72"/>
  <c r="E76" i="72"/>
  <c r="E75" i="72"/>
  <c r="G54" i="80"/>
  <c r="F56" i="80"/>
  <c r="F54" i="80"/>
  <c r="F55" i="80" s="1"/>
  <c r="F48" i="80"/>
  <c r="F46" i="80"/>
  <c r="E253" i="87" l="1"/>
  <c r="E24" i="87"/>
  <c r="E34" i="85"/>
  <c r="O272" i="84"/>
  <c r="E272" i="84"/>
  <c r="E219" i="84"/>
  <c r="O253" i="87"/>
  <c r="O24" i="87"/>
  <c r="O136" i="87"/>
  <c r="E84" i="87"/>
  <c r="E184" i="87"/>
  <c r="E223" i="87"/>
  <c r="O34" i="85"/>
  <c r="E136" i="87"/>
  <c r="O54" i="87"/>
  <c r="O219" i="84"/>
  <c r="O81" i="85"/>
  <c r="E81" i="85"/>
  <c r="O167" i="83"/>
  <c r="O184" i="87"/>
  <c r="E54" i="87"/>
  <c r="E167" i="83"/>
  <c r="V13" i="98"/>
  <c r="G103" i="83" a="1"/>
  <c r="G103" i="83" s="1"/>
  <c r="F107" i="103" a="1"/>
  <c r="F107" i="103" s="1"/>
  <c r="E139" i="103" s="1"/>
  <c r="E636" i="114"/>
  <c r="J84" i="114" a="1"/>
  <c r="J84" i="114" s="1"/>
  <c r="J259" i="114" a="1"/>
  <c r="J259" i="114" s="1"/>
  <c r="J25" i="114" a="1"/>
  <c r="J25" i="114" s="1"/>
  <c r="E252" i="114"/>
  <c r="J121" i="107" a="1"/>
  <c r="J121" i="107" s="1"/>
  <c r="J124" i="107" a="1"/>
  <c r="J124" i="107" s="1"/>
  <c r="J178" i="107" a="1"/>
  <c r="J178" i="107" s="1"/>
  <c r="K29" i="95"/>
  <c r="J29" i="95"/>
  <c r="I29" i="95"/>
  <c r="H29" i="95"/>
  <c r="G29" i="95"/>
  <c r="V16" i="98"/>
  <c r="X16" i="98" s="1"/>
  <c r="O11" i="99" s="1" a="1"/>
  <c r="V14" i="98"/>
  <c r="G26" i="94" a="1"/>
  <c r="G26" i="94" s="1"/>
  <c r="F61" i="114" a="1"/>
  <c r="D19" i="99"/>
  <c r="F19" i="99" s="1" a="1"/>
  <c r="F19" i="99" s="1"/>
  <c r="F29" i="99" a="1"/>
  <c r="F29" i="99" s="1"/>
  <c r="F28" i="99" a="1"/>
  <c r="F28" i="99" s="1"/>
  <c r="F27" i="99" a="1"/>
  <c r="F27" i="99" s="1"/>
  <c r="F26" i="99" a="1"/>
  <c r="F26" i="99" s="1"/>
  <c r="F25" i="99" a="1"/>
  <c r="F25" i="99" s="1"/>
  <c r="F37" i="99" a="1"/>
  <c r="F37" i="99" s="1"/>
  <c r="F23" i="99" a="1"/>
  <c r="F23" i="99" s="1"/>
  <c r="F36" i="99" a="1"/>
  <c r="F36" i="99" s="1"/>
  <c r="F22" i="99" a="1"/>
  <c r="F22" i="99" s="1"/>
  <c r="F35" i="99" a="1"/>
  <c r="F35" i="99" s="1"/>
  <c r="F34" i="99" a="1"/>
  <c r="F34" i="99" s="1"/>
  <c r="F33" i="99" a="1"/>
  <c r="F33" i="99" s="1"/>
  <c r="F21" i="99" a="1"/>
  <c r="F21" i="99" s="1"/>
  <c r="F31" i="99" a="1"/>
  <c r="F31" i="99" s="1"/>
  <c r="F30" i="99" a="1"/>
  <c r="F30" i="99" s="1"/>
  <c r="F24" i="99" a="1"/>
  <c r="F24" i="99" s="1"/>
  <c r="F20" i="99" a="1"/>
  <c r="F20" i="99" s="1"/>
  <c r="F32" i="99" a="1"/>
  <c r="F32" i="99" s="1"/>
  <c r="G153" i="114" a="1"/>
  <c r="G153" i="114" s="1"/>
  <c r="O21" i="99" a="1"/>
  <c r="D182" i="87"/>
  <c r="D52" i="87"/>
  <c r="D62" i="85"/>
  <c r="E62" i="85" s="1" a="1"/>
  <c r="E62" i="85" s="1"/>
  <c r="N134" i="87"/>
  <c r="N22" i="85"/>
  <c r="D187" i="84"/>
  <c r="D142" i="84"/>
  <c r="E142" i="84" s="1" a="1"/>
  <c r="E142" i="84" s="1"/>
  <c r="N165" i="83"/>
  <c r="N182" i="87"/>
  <c r="N52" i="87"/>
  <c r="N62" i="84"/>
  <c r="D206" i="83"/>
  <c r="N155" i="83"/>
  <c r="D93" i="83"/>
  <c r="E93" i="83" s="1" a="1"/>
  <c r="E93" i="83" s="1"/>
  <c r="D28" i="83"/>
  <c r="D112" i="87"/>
  <c r="E112" i="87" s="1" a="1"/>
  <c r="E112" i="87" s="1"/>
  <c r="N79" i="85"/>
  <c r="D264" i="84"/>
  <c r="D118" i="84"/>
  <c r="N71" i="84"/>
  <c r="N206" i="83"/>
  <c r="N103" i="83"/>
  <c r="D79" i="85"/>
  <c r="D71" i="84"/>
  <c r="N73" i="85"/>
  <c r="D131" i="83"/>
  <c r="D53" i="84"/>
  <c r="D165" i="83"/>
  <c r="N164" i="84"/>
  <c r="N28" i="83"/>
  <c r="N22" i="87"/>
  <c r="N217" i="84"/>
  <c r="D22" i="85"/>
  <c r="D62" i="84"/>
  <c r="N37" i="83"/>
  <c r="D39" i="82"/>
  <c r="D134" i="87"/>
  <c r="N251" i="87"/>
  <c r="D221" i="87"/>
  <c r="D82" i="87"/>
  <c r="D73" i="85"/>
  <c r="D22" i="87"/>
  <c r="D217" i="84"/>
  <c r="D153" i="84"/>
  <c r="E153" i="84" s="1" a="1"/>
  <c r="E153" i="84" s="1"/>
  <c r="D251" i="87"/>
  <c r="N32" i="85"/>
  <c r="D155" i="83"/>
  <c r="N270" i="84"/>
  <c r="D32" i="85"/>
  <c r="D72" i="82"/>
  <c r="D38" i="82"/>
  <c r="D164" i="84"/>
  <c r="D37" i="82"/>
  <c r="D270" i="84"/>
  <c r="D37" i="83"/>
  <c r="D19" i="83"/>
  <c r="D123" i="87"/>
  <c r="E123" i="87" s="1" a="1"/>
  <c r="E123" i="87" s="1"/>
  <c r="N264" i="84"/>
  <c r="N118" i="84"/>
  <c r="D103" i="83"/>
  <c r="J144" i="107" a="1"/>
  <c r="J144" i="107" s="1"/>
  <c r="D68" i="85"/>
  <c r="E68" i="85" s="1" a="1"/>
  <c r="E68" i="85" s="1"/>
  <c r="D76" i="82"/>
  <c r="D118" i="87"/>
  <c r="E118" i="87" s="1" a="1"/>
  <c r="E118" i="87" s="1"/>
  <c r="D148" i="84"/>
  <c r="E148" i="84" s="1" a="1"/>
  <c r="E148" i="84" s="1"/>
  <c r="D129" i="87"/>
  <c r="E129" i="87" s="1" a="1"/>
  <c r="E129" i="87" s="1"/>
  <c r="D159" i="84"/>
  <c r="E159" i="84" s="1" a="1"/>
  <c r="E159" i="84" s="1"/>
  <c r="AE257" i="114" a="1"/>
  <c r="AE257" i="114" s="1"/>
  <c r="K36" i="95"/>
  <c r="G36" i="95"/>
  <c r="J36" i="95"/>
  <c r="I36" i="95"/>
  <c r="H36" i="95"/>
  <c r="V19" i="98"/>
  <c r="X19" i="98" s="1"/>
  <c r="P107" i="83" a="1"/>
  <c r="P107" i="83" s="1"/>
  <c r="F112" i="103" a="1"/>
  <c r="F112" i="103" s="1"/>
  <c r="E144" i="103" s="1"/>
  <c r="I328" i="114" a="1"/>
  <c r="I328" i="114" s="1"/>
  <c r="J85" i="114" a="1"/>
  <c r="J85" i="114" s="1"/>
  <c r="G83" i="114" a="1"/>
  <c r="G83" i="114" s="1"/>
  <c r="AA257" i="114" a="1"/>
  <c r="AA257" i="114" s="1"/>
  <c r="K32" i="95"/>
  <c r="J32" i="95"/>
  <c r="I32" i="95"/>
  <c r="H32" i="95"/>
  <c r="G32" i="95"/>
  <c r="N166" i="84"/>
  <c r="D39" i="83"/>
  <c r="D230" i="87"/>
  <c r="D166" i="84"/>
  <c r="N120" i="84"/>
  <c r="N105" i="83"/>
  <c r="N30" i="83"/>
  <c r="D260" i="87"/>
  <c r="D31" i="87"/>
  <c r="D64" i="85"/>
  <c r="E64" i="85" s="1" a="1"/>
  <c r="E64" i="85" s="1"/>
  <c r="D41" i="85"/>
  <c r="D24" i="85"/>
  <c r="N266" i="84"/>
  <c r="D87" i="82"/>
  <c r="N279" i="84"/>
  <c r="D73" i="82"/>
  <c r="N226" i="84"/>
  <c r="D21" i="83"/>
  <c r="D64" i="84"/>
  <c r="D172" i="83"/>
  <c r="D61" i="87"/>
  <c r="N31" i="87"/>
  <c r="D226" i="84"/>
  <c r="D95" i="83"/>
  <c r="E95" i="83" s="1" a="1"/>
  <c r="E95" i="83" s="1"/>
  <c r="D155" i="84"/>
  <c r="E155" i="84" s="1" a="1"/>
  <c r="E155" i="84" s="1"/>
  <c r="N143" i="87"/>
  <c r="D114" i="87"/>
  <c r="E114" i="87" s="1" a="1"/>
  <c r="E114" i="87" s="1"/>
  <c r="D279" i="84"/>
  <c r="N61" i="87"/>
  <c r="D196" i="84"/>
  <c r="D143" i="87"/>
  <c r="D138" i="83"/>
  <c r="D30" i="83"/>
  <c r="N191" i="87"/>
  <c r="N75" i="85"/>
  <c r="N24" i="85"/>
  <c r="D157" i="83"/>
  <c r="N260" i="87"/>
  <c r="D191" i="87"/>
  <c r="D88" i="85"/>
  <c r="D120" i="84"/>
  <c r="N73" i="84"/>
  <c r="N64" i="84"/>
  <c r="N208" i="83"/>
  <c r="N157" i="83"/>
  <c r="D125" i="87"/>
  <c r="E125" i="87" s="1" a="1"/>
  <c r="E125" i="87" s="1"/>
  <c r="D91" i="87"/>
  <c r="D73" i="84"/>
  <c r="D208" i="83"/>
  <c r="D105" i="83"/>
  <c r="D266" i="84"/>
  <c r="D144" i="84"/>
  <c r="E144" i="84" s="1" a="1"/>
  <c r="E144" i="84" s="1"/>
  <c r="D55" i="84"/>
  <c r="N172" i="83"/>
  <c r="N39" i="83"/>
  <c r="N88" i="85"/>
  <c r="N41" i="85"/>
  <c r="D50" i="82"/>
  <c r="D75" i="85"/>
  <c r="J176" i="107" a="1"/>
  <c r="J176" i="107" s="1"/>
  <c r="AE258" i="114" a="1"/>
  <c r="AE258" i="114" s="1"/>
  <c r="I27" i="95"/>
  <c r="K27" i="95"/>
  <c r="Q27" i="95" s="1" a="1"/>
  <c r="Q27" i="95" s="1"/>
  <c r="J27" i="95"/>
  <c r="H27" i="95"/>
  <c r="G27" i="95"/>
  <c r="D88" i="83" a="1"/>
  <c r="D88" i="83" s="1"/>
  <c r="E104" i="83" s="1" a="1"/>
  <c r="E104" i="83" s="1"/>
  <c r="K38" i="95"/>
  <c r="J38" i="95"/>
  <c r="I38" i="95"/>
  <c r="H38" i="95"/>
  <c r="G38" i="95"/>
  <c r="H26" i="94" a="1"/>
  <c r="H26" i="94" s="1"/>
  <c r="G87" i="114" a="1"/>
  <c r="G87" i="114" s="1"/>
  <c r="W257" i="114" a="1"/>
  <c r="W257" i="114" s="1"/>
  <c r="AA256" i="114" a="1"/>
  <c r="AA256" i="114" s="1"/>
  <c r="I25" i="95"/>
  <c r="H25" i="95"/>
  <c r="K25" i="95"/>
  <c r="J25" i="95"/>
  <c r="G25" i="95"/>
  <c r="J164" i="107" a="1"/>
  <c r="J164" i="107" s="1"/>
  <c r="J127" i="107" a="1"/>
  <c r="J127" i="107" s="1"/>
  <c r="J134" i="107" a="1"/>
  <c r="J134" i="107" s="1"/>
  <c r="AE256" i="114" a="1"/>
  <c r="AE256" i="114" s="1"/>
  <c r="I34" i="95"/>
  <c r="G34" i="95"/>
  <c r="K34" i="95"/>
  <c r="Q34" i="95" s="1" a="1"/>
  <c r="Q34" i="95" s="1"/>
  <c r="J34" i="95"/>
  <c r="H34" i="95"/>
  <c r="I31" i="95"/>
  <c r="G31" i="95"/>
  <c r="K31" i="95"/>
  <c r="J31" i="95"/>
  <c r="H31" i="95"/>
  <c r="AE259" i="114" a="1"/>
  <c r="AE259" i="114" s="1"/>
  <c r="N25" i="84" a="1"/>
  <c r="J26" i="95"/>
  <c r="I26" i="95"/>
  <c r="H26" i="95"/>
  <c r="K26" i="95"/>
  <c r="Q26" i="95" s="1" a="1"/>
  <c r="Q26" i="95" s="1"/>
  <c r="G26" i="95"/>
  <c r="AA258" i="114" a="1"/>
  <c r="AA258" i="114" s="1"/>
  <c r="H33" i="94" a="1"/>
  <c r="H33" i="94" s="1"/>
  <c r="K33" i="94" a="1"/>
  <c r="K33" i="94" s="1"/>
  <c r="K38" i="94" a="1"/>
  <c r="K38" i="94" s="1"/>
  <c r="D55" i="82"/>
  <c r="N264" i="87"/>
  <c r="N35" i="87"/>
  <c r="N45" i="85"/>
  <c r="D230" i="84"/>
  <c r="D121" i="84"/>
  <c r="D106" i="83"/>
  <c r="N283" i="84"/>
  <c r="D65" i="84"/>
  <c r="N230" i="84"/>
  <c r="N167" i="84"/>
  <c r="D145" i="84"/>
  <c r="E145" i="84" s="1" a="1"/>
  <c r="E145" i="84" s="1"/>
  <c r="D40" i="83"/>
  <c r="D147" i="87"/>
  <c r="D200" i="84"/>
  <c r="N65" i="84"/>
  <c r="D141" i="83"/>
  <c r="D25" i="85"/>
  <c r="D115" i="87"/>
  <c r="E115" i="87" s="1" a="1"/>
  <c r="E115" i="87" s="1"/>
  <c r="D167" i="84"/>
  <c r="D56" i="82"/>
  <c r="D95" i="87"/>
  <c r="N74" i="84"/>
  <c r="N209" i="83"/>
  <c r="N76" i="85"/>
  <c r="N25" i="85"/>
  <c r="D96" i="83"/>
  <c r="E96" i="83" s="1" a="1"/>
  <c r="E96" i="83" s="1"/>
  <c r="D283" i="84"/>
  <c r="D158" i="83"/>
  <c r="N195" i="87"/>
  <c r="D65" i="87"/>
  <c r="N121" i="84"/>
  <c r="D74" i="84"/>
  <c r="D209" i="83"/>
  <c r="D195" i="87"/>
  <c r="D126" i="87"/>
  <c r="E126" i="87" s="1" a="1"/>
  <c r="E126" i="87" s="1"/>
  <c r="N267" i="84"/>
  <c r="D56" i="84"/>
  <c r="N106" i="83"/>
  <c r="N147" i="87"/>
  <c r="D175" i="83"/>
  <c r="N31" i="83"/>
  <c r="D234" i="87"/>
  <c r="D35" i="87"/>
  <c r="N92" i="85"/>
  <c r="D65" i="85"/>
  <c r="E65" i="85" s="1" a="1"/>
  <c r="E65" i="85" s="1"/>
  <c r="D267" i="84"/>
  <c r="N158" i="83"/>
  <c r="D264" i="87"/>
  <c r="D31" i="83"/>
  <c r="D45" i="85"/>
  <c r="N65" i="87"/>
  <c r="D156" i="84"/>
  <c r="E156" i="84" s="1" a="1"/>
  <c r="E156" i="84" s="1"/>
  <c r="D92" i="85"/>
  <c r="D22" i="83"/>
  <c r="D76" i="85"/>
  <c r="N40" i="83"/>
  <c r="N175" i="83"/>
  <c r="AE261" i="114" a="1"/>
  <c r="AE261" i="114" s="1"/>
  <c r="D74" i="82"/>
  <c r="H106" i="83" a="1"/>
  <c r="H106" i="83" s="1"/>
  <c r="F103" i="83" a="1"/>
  <c r="F103" i="83" s="1"/>
  <c r="G84" i="114" a="1"/>
  <c r="G84" i="114" s="1"/>
  <c r="S261" i="114" a="1"/>
  <c r="S261" i="114" s="1"/>
  <c r="AA252" i="114" a="1"/>
  <c r="AA252" i="114" s="1"/>
  <c r="J162" i="107" a="1"/>
  <c r="J162" i="107" s="1"/>
  <c r="J167" i="107" a="1"/>
  <c r="J167" i="107" s="1"/>
  <c r="AE253" i="114" a="1"/>
  <c r="AE253" i="114" s="1"/>
  <c r="J33" i="95"/>
  <c r="K33" i="95"/>
  <c r="I33" i="95"/>
  <c r="H33" i="95"/>
  <c r="G33" i="95"/>
  <c r="G37" i="94" a="1"/>
  <c r="G37" i="94" s="1"/>
  <c r="P37" i="94" s="1" a="1"/>
  <c r="P37" i="94" s="1"/>
  <c r="AE255" i="114" a="1"/>
  <c r="AE255" i="114" s="1"/>
  <c r="AE252" i="114" a="1"/>
  <c r="AE252" i="114" s="1"/>
  <c r="N88" i="83" a="1"/>
  <c r="N88" i="83" s="1"/>
  <c r="O104" i="83" s="1" a="1"/>
  <c r="O104" i="83" s="1"/>
  <c r="E98" i="83" a="1"/>
  <c r="E98" i="83" s="1"/>
  <c r="V20" i="98"/>
  <c r="X20" i="98" s="1"/>
  <c r="G38" i="94" a="1"/>
  <c r="G38" i="94" s="1"/>
  <c r="O38" i="94" s="1" a="1"/>
  <c r="O38" i="94" s="1"/>
  <c r="J159" i="107" a="1"/>
  <c r="J159" i="107" s="1"/>
  <c r="J255" i="114" a="1"/>
  <c r="J255" i="114" s="1"/>
  <c r="J65" i="114" a="1"/>
  <c r="J65" i="114" s="1"/>
  <c r="J68" i="114" a="1"/>
  <c r="J68" i="114" s="1"/>
  <c r="J254" i="114" a="1"/>
  <c r="J254" i="114" s="1"/>
  <c r="M27" i="114" a="1"/>
  <c r="M27" i="114" s="1"/>
  <c r="G152" i="114" a="1"/>
  <c r="G152" i="114" s="1"/>
  <c r="E155" i="114" s="1"/>
  <c r="G81" i="114" a="1"/>
  <c r="G81" i="114" s="1"/>
  <c r="D61" i="82"/>
  <c r="W260" i="114" a="1"/>
  <c r="W260" i="114" s="1"/>
  <c r="S252" i="114" a="1"/>
  <c r="S252" i="114" s="1"/>
  <c r="J138" i="107" a="1"/>
  <c r="J138" i="107" s="1"/>
  <c r="J185" i="107" a="1"/>
  <c r="J185" i="107" s="1"/>
  <c r="D21" i="107"/>
  <c r="G170" i="107" a="1"/>
  <c r="G170" i="107" s="1"/>
  <c r="G162" i="107" a="1"/>
  <c r="G162" i="107" s="1"/>
  <c r="G148" i="107" a="1"/>
  <c r="G148" i="107" s="1"/>
  <c r="G136" i="107" a="1"/>
  <c r="G136" i="107" s="1"/>
  <c r="G50" i="107" a="1"/>
  <c r="G50" i="107" s="1"/>
  <c r="G41" i="107" a="1"/>
  <c r="G41" i="107" s="1"/>
  <c r="G34" i="107" a="1"/>
  <c r="G34" i="107" s="1"/>
  <c r="I34" i="107" s="1" a="1"/>
  <c r="I34" i="107" s="1"/>
  <c r="H129" i="107" s="1"/>
  <c r="G26" i="107" a="1"/>
  <c r="G26" i="107" s="1"/>
  <c r="G178" i="107" a="1"/>
  <c r="G178" i="107" s="1"/>
  <c r="G169" i="107" a="1"/>
  <c r="G169" i="107" s="1"/>
  <c r="G147" i="107" a="1"/>
  <c r="G147" i="107" s="1"/>
  <c r="G126" i="107" a="1"/>
  <c r="G126" i="107" s="1"/>
  <c r="G119" i="107" a="1"/>
  <c r="G119" i="107" s="1"/>
  <c r="G190" i="107" a="1"/>
  <c r="G190" i="107" s="1"/>
  <c r="G161" i="107" a="1"/>
  <c r="G161" i="107" s="1"/>
  <c r="G146" i="107" a="1"/>
  <c r="G146" i="107" s="1"/>
  <c r="G135" i="107" a="1"/>
  <c r="G135" i="107" s="1"/>
  <c r="G48" i="107" a="1"/>
  <c r="G48" i="107" s="1"/>
  <c r="G40" i="107" a="1"/>
  <c r="G40" i="107" s="1"/>
  <c r="G33" i="107" a="1"/>
  <c r="G33" i="107" s="1"/>
  <c r="G25" i="107" a="1"/>
  <c r="G25" i="107" s="1"/>
  <c r="G189" i="107" a="1"/>
  <c r="G189" i="107" s="1"/>
  <c r="G177" i="107" a="1"/>
  <c r="G177" i="107" s="1"/>
  <c r="G145" i="107" a="1"/>
  <c r="G145" i="107" s="1"/>
  <c r="G125" i="107" a="1"/>
  <c r="G125" i="107" s="1"/>
  <c r="G118" i="107" a="1"/>
  <c r="G118" i="107" s="1"/>
  <c r="G188" i="107" a="1"/>
  <c r="G188" i="107" s="1"/>
  <c r="G167" i="107" a="1"/>
  <c r="G167" i="107" s="1"/>
  <c r="G160" i="107" a="1"/>
  <c r="G160" i="107" s="1"/>
  <c r="G134" i="107" a="1"/>
  <c r="G134" i="107" s="1"/>
  <c r="G47" i="107" a="1"/>
  <c r="G47" i="107" s="1"/>
  <c r="G39" i="107" a="1"/>
  <c r="G39" i="107" s="1"/>
  <c r="G31" i="107" a="1"/>
  <c r="G31" i="107" s="1"/>
  <c r="G24" i="107" a="1"/>
  <c r="G24" i="107" s="1"/>
  <c r="G184" i="107" a="1"/>
  <c r="G184" i="107" s="1"/>
  <c r="G165" i="107" a="1"/>
  <c r="G165" i="107" s="1"/>
  <c r="G158" i="107" a="1"/>
  <c r="G158" i="107" s="1"/>
  <c r="G140" i="107" a="1"/>
  <c r="G140" i="107" s="1"/>
  <c r="G132" i="107" a="1"/>
  <c r="G132" i="107" s="1"/>
  <c r="G53" i="107" a="1"/>
  <c r="G53" i="107" s="1"/>
  <c r="G45" i="107" a="1"/>
  <c r="G45" i="107" s="1"/>
  <c r="G37" i="107" a="1"/>
  <c r="G37" i="107" s="1"/>
  <c r="G29" i="107" a="1"/>
  <c r="G29" i="107" s="1"/>
  <c r="G22" i="107" a="1"/>
  <c r="G22" i="107" s="1"/>
  <c r="G180" i="107" a="1"/>
  <c r="G180" i="107" s="1"/>
  <c r="G172" i="107" a="1"/>
  <c r="G172" i="107" s="1"/>
  <c r="G163" i="107" a="1"/>
  <c r="G163" i="107" s="1"/>
  <c r="G137" i="107" a="1"/>
  <c r="G137" i="107" s="1"/>
  <c r="G128" i="107" a="1"/>
  <c r="G128" i="107" s="1"/>
  <c r="G51" i="107" a="1"/>
  <c r="G51" i="107" s="1"/>
  <c r="G42" i="107" a="1"/>
  <c r="G42" i="107" s="1"/>
  <c r="G35" i="107" a="1"/>
  <c r="G35" i="107" s="1"/>
  <c r="G27" i="107" a="1"/>
  <c r="G27" i="107" s="1"/>
  <c r="G171" i="107" a="1"/>
  <c r="G171" i="107" s="1"/>
  <c r="G149" i="107" a="1"/>
  <c r="G149" i="107" s="1"/>
  <c r="G120" i="107" a="1"/>
  <c r="G120" i="107" s="1"/>
  <c r="G129" i="107" a="1"/>
  <c r="G129" i="107" s="1"/>
  <c r="G52" i="107" a="1"/>
  <c r="G52" i="107" s="1"/>
  <c r="G36" i="107" a="1"/>
  <c r="G36" i="107" s="1"/>
  <c r="G175" i="107" a="1"/>
  <c r="G175" i="107" s="1"/>
  <c r="G124" i="107" a="1"/>
  <c r="G124" i="107" s="1"/>
  <c r="G174" i="107" a="1"/>
  <c r="G174" i="107" s="1"/>
  <c r="G143" i="107" a="1"/>
  <c r="G143" i="107" s="1"/>
  <c r="G123" i="107" a="1"/>
  <c r="G123" i="107" s="1"/>
  <c r="G173" i="107" a="1"/>
  <c r="G173" i="107" s="1"/>
  <c r="G142" i="107" a="1"/>
  <c r="G142" i="107" s="1"/>
  <c r="G122" i="107" a="1"/>
  <c r="G122" i="107" s="1"/>
  <c r="G46" i="107" a="1"/>
  <c r="G46" i="107" s="1"/>
  <c r="G30" i="107" a="1"/>
  <c r="G30" i="107" s="1"/>
  <c r="G141" i="107" a="1"/>
  <c r="G141" i="107" s="1"/>
  <c r="G166" i="107" a="1"/>
  <c r="G166" i="107" s="1"/>
  <c r="G139" i="107" a="1"/>
  <c r="G139" i="107" s="1"/>
  <c r="G121" i="107" a="1"/>
  <c r="G121" i="107" s="1"/>
  <c r="G187" i="107" a="1"/>
  <c r="G187" i="107" s="1"/>
  <c r="G117" i="107" a="1"/>
  <c r="G117" i="107" s="1"/>
  <c r="G44" i="107" a="1"/>
  <c r="G44" i="107" s="1"/>
  <c r="G28" i="107" a="1"/>
  <c r="G28" i="107" s="1"/>
  <c r="G186" i="107" a="1"/>
  <c r="G186" i="107" s="1"/>
  <c r="G164" i="107" a="1"/>
  <c r="G164" i="107" s="1"/>
  <c r="G183" i="107" a="1"/>
  <c r="G183" i="107" s="1"/>
  <c r="G133" i="107" a="1"/>
  <c r="G133" i="107" s="1"/>
  <c r="G182" i="107" a="1"/>
  <c r="G182" i="107" s="1"/>
  <c r="G54" i="107" a="1"/>
  <c r="G54" i="107" s="1"/>
  <c r="G38" i="107" a="1"/>
  <c r="G38" i="107" s="1"/>
  <c r="G23" i="107" a="1"/>
  <c r="G23" i="107" s="1"/>
  <c r="G181" i="107" a="1"/>
  <c r="G181" i="107" s="1"/>
  <c r="G159" i="107" a="1"/>
  <c r="G159" i="107" s="1"/>
  <c r="G131" i="107" a="1"/>
  <c r="G131" i="107" s="1"/>
  <c r="G176" i="107" a="1"/>
  <c r="G176" i="107" s="1"/>
  <c r="G130" i="107" a="1"/>
  <c r="G130" i="107" s="1"/>
  <c r="J125" i="107" a="1"/>
  <c r="J125" i="107" s="1"/>
  <c r="D19" i="103"/>
  <c r="F19" i="103" s="1" a="1"/>
  <c r="F19" i="103" s="1"/>
  <c r="G19" i="103" s="1" a="1"/>
  <c r="G19" i="103" s="1"/>
  <c r="F35" i="103" a="1"/>
  <c r="F35" i="103" s="1"/>
  <c r="G35" i="103" s="1" a="1"/>
  <c r="G35" i="103" s="1"/>
  <c r="F28" i="103" a="1"/>
  <c r="F28" i="103" s="1"/>
  <c r="G28" i="103" s="1" a="1"/>
  <c r="G28" i="103" s="1"/>
  <c r="F21" i="103" a="1"/>
  <c r="F21" i="103" s="1"/>
  <c r="G21" i="103" s="1" a="1"/>
  <c r="G21" i="103" s="1"/>
  <c r="F34" i="103" a="1"/>
  <c r="F34" i="103" s="1"/>
  <c r="G34" i="103" s="1" a="1"/>
  <c r="G34" i="103" s="1"/>
  <c r="F27" i="103" a="1"/>
  <c r="F27" i="103" s="1"/>
  <c r="G27" i="103" s="1" a="1"/>
  <c r="G27" i="103" s="1"/>
  <c r="F20" i="103" a="1"/>
  <c r="F20" i="103" s="1"/>
  <c r="G20" i="103" s="1" a="1"/>
  <c r="G20" i="103" s="1"/>
  <c r="F33" i="103" a="1"/>
  <c r="F33" i="103" s="1"/>
  <c r="G33" i="103" s="1" a="1"/>
  <c r="G33" i="103" s="1"/>
  <c r="F26" i="103" a="1"/>
  <c r="F26" i="103" s="1"/>
  <c r="G26" i="103" s="1" a="1"/>
  <c r="G26" i="103" s="1"/>
  <c r="F32" i="103" a="1"/>
  <c r="F32" i="103" s="1"/>
  <c r="G32" i="103" s="1" a="1"/>
  <c r="G32" i="103" s="1"/>
  <c r="F25" i="103" a="1"/>
  <c r="F25" i="103" s="1"/>
  <c r="G25" i="103" s="1" a="1"/>
  <c r="G25" i="103" s="1"/>
  <c r="F31" i="103" a="1"/>
  <c r="F31" i="103" s="1"/>
  <c r="G31" i="103" s="1" a="1"/>
  <c r="G31" i="103" s="1"/>
  <c r="F24" i="103" a="1"/>
  <c r="F24" i="103" s="1"/>
  <c r="G24" i="103" s="1" a="1"/>
  <c r="G24" i="103" s="1"/>
  <c r="F36" i="103" a="1"/>
  <c r="F36" i="103" s="1"/>
  <c r="G36" i="103" s="1" a="1"/>
  <c r="G36" i="103" s="1"/>
  <c r="F29" i="103" a="1"/>
  <c r="F29" i="103" s="1"/>
  <c r="G29" i="103" s="1" a="1"/>
  <c r="G29" i="103" s="1"/>
  <c r="F22" i="103" a="1"/>
  <c r="F22" i="103" s="1"/>
  <c r="G22" i="103" s="1" a="1"/>
  <c r="G22" i="103" s="1"/>
  <c r="F37" i="103" a="1"/>
  <c r="F37" i="103" s="1"/>
  <c r="G37" i="103" s="1" a="1"/>
  <c r="G37" i="103" s="1"/>
  <c r="F30" i="103" a="1"/>
  <c r="F30" i="103" s="1"/>
  <c r="G30" i="103" s="1" a="1"/>
  <c r="G30" i="103" s="1"/>
  <c r="F23" i="103" a="1"/>
  <c r="F23" i="103" s="1"/>
  <c r="G23" i="103" s="1" a="1"/>
  <c r="G23" i="103" s="1"/>
  <c r="V12" i="98"/>
  <c r="I26" i="94" a="1"/>
  <c r="I26" i="94" s="1"/>
  <c r="K26" i="94" a="1"/>
  <c r="K26" i="94" s="1"/>
  <c r="J64" i="114" a="1"/>
  <c r="J64" i="114" s="1"/>
  <c r="G86" i="114" a="1"/>
  <c r="G86" i="114" s="1"/>
  <c r="S253" i="114" a="1"/>
  <c r="S253" i="114" s="1"/>
  <c r="E21" i="107"/>
  <c r="H21" i="107" s="1" a="1"/>
  <c r="H21" i="107" s="1"/>
  <c r="H47" i="107" a="1"/>
  <c r="H47" i="107" s="1"/>
  <c r="H39" i="107" a="1"/>
  <c r="H39" i="107" s="1"/>
  <c r="H31" i="107" a="1"/>
  <c r="H31" i="107" s="1"/>
  <c r="H24" i="107" a="1"/>
  <c r="H24" i="107" s="1"/>
  <c r="H50" i="107" a="1"/>
  <c r="H50" i="107" s="1"/>
  <c r="H41" i="107" a="1"/>
  <c r="H41" i="107" s="1"/>
  <c r="H34" i="107" a="1"/>
  <c r="H34" i="107" s="1"/>
  <c r="H26" i="107" a="1"/>
  <c r="H26" i="107" s="1"/>
  <c r="H51" i="107" a="1"/>
  <c r="H51" i="107" s="1"/>
  <c r="H35" i="107" a="1"/>
  <c r="H35" i="107" s="1"/>
  <c r="H48" i="107" a="1"/>
  <c r="H48" i="107" s="1"/>
  <c r="H33" i="107" a="1"/>
  <c r="H33" i="107" s="1"/>
  <c r="H46" i="107" a="1"/>
  <c r="H46" i="107" s="1"/>
  <c r="H30" i="107" a="1"/>
  <c r="H30" i="107" s="1"/>
  <c r="H45" i="107" a="1"/>
  <c r="H45" i="107" s="1"/>
  <c r="H29" i="107" a="1"/>
  <c r="H29" i="107" s="1"/>
  <c r="H44" i="107" a="1"/>
  <c r="H44" i="107" s="1"/>
  <c r="H28" i="107" a="1"/>
  <c r="H28" i="107" s="1"/>
  <c r="H42" i="107" a="1"/>
  <c r="H42" i="107" s="1"/>
  <c r="H27" i="107" a="1"/>
  <c r="H27" i="107" s="1"/>
  <c r="H40" i="107" a="1"/>
  <c r="H40" i="107" s="1"/>
  <c r="H25" i="107" a="1"/>
  <c r="H25" i="107" s="1"/>
  <c r="H54" i="107" a="1"/>
  <c r="H54" i="107" s="1"/>
  <c r="H38" i="107" a="1"/>
  <c r="H38" i="107" s="1"/>
  <c r="H23" i="107" a="1"/>
  <c r="H23" i="107" s="1"/>
  <c r="H53" i="107" a="1"/>
  <c r="H53" i="107" s="1"/>
  <c r="I53" i="107" s="1" a="1"/>
  <c r="I53" i="107" s="1"/>
  <c r="H148" i="107" s="1"/>
  <c r="H37" i="107" a="1"/>
  <c r="H37" i="107" s="1"/>
  <c r="H22" i="107" a="1"/>
  <c r="H22" i="107" s="1"/>
  <c r="H52" i="107" a="1"/>
  <c r="H52" i="107" s="1"/>
  <c r="H36" i="107" a="1"/>
  <c r="H36" i="107" s="1"/>
  <c r="J133" i="107" a="1"/>
  <c r="J133" i="107" s="1"/>
  <c r="J120" i="107" a="1"/>
  <c r="J120" i="107" s="1"/>
  <c r="J168" i="107" a="1"/>
  <c r="J168" i="107" s="1"/>
  <c r="L30" i="94" a="1"/>
  <c r="L30" i="94" s="1"/>
  <c r="Q30" i="94" s="1" a="1"/>
  <c r="Q30" i="94" s="1"/>
  <c r="V21" i="98"/>
  <c r="X21" i="98" s="1"/>
  <c r="I33" i="94" a="1"/>
  <c r="I33" i="94" s="1"/>
  <c r="W261" i="114" a="1"/>
  <c r="W261" i="114" s="1"/>
  <c r="S260" i="114" a="1"/>
  <c r="S260" i="114" s="1"/>
  <c r="J177" i="107" a="1"/>
  <c r="J177" i="107" s="1"/>
  <c r="J158" i="107" a="1"/>
  <c r="J158" i="107" s="1"/>
  <c r="K35" i="95"/>
  <c r="J35" i="95"/>
  <c r="I35" i="95"/>
  <c r="H35" i="95"/>
  <c r="G35" i="95"/>
  <c r="D20" i="89" a="1"/>
  <c r="H28" i="95"/>
  <c r="J28" i="95"/>
  <c r="I28" i="95"/>
  <c r="K28" i="95"/>
  <c r="Q28" i="95" s="1" a="1"/>
  <c r="Q28" i="95" s="1"/>
  <c r="G28" i="95"/>
  <c r="G107" i="83" a="1"/>
  <c r="G107" i="83" s="1"/>
  <c r="J82" i="114" a="1"/>
  <c r="J82" i="114" s="1"/>
  <c r="AE260" i="114" a="1"/>
  <c r="AE260" i="114" s="1"/>
  <c r="D62" i="82"/>
  <c r="D199" i="87"/>
  <c r="D69" i="87"/>
  <c r="N77" i="85"/>
  <c r="N75" i="84"/>
  <c r="N66" i="84"/>
  <c r="D32" i="83"/>
  <c r="D23" i="83"/>
  <c r="N151" i="87"/>
  <c r="D77" i="85"/>
  <c r="D75" i="84"/>
  <c r="N199" i="87"/>
  <c r="N69" i="87"/>
  <c r="D122" i="84"/>
  <c r="D107" i="83"/>
  <c r="D116" i="87"/>
  <c r="E116" i="87" s="1" a="1"/>
  <c r="E116" i="87" s="1"/>
  <c r="D99" i="87"/>
  <c r="N39" i="87"/>
  <c r="N26" i="85"/>
  <c r="D168" i="84"/>
  <c r="D144" i="83"/>
  <c r="N268" i="87"/>
  <c r="N96" i="85"/>
  <c r="D26" i="85"/>
  <c r="D234" i="84"/>
  <c r="D41" i="83"/>
  <c r="D57" i="84"/>
  <c r="D39" i="87"/>
  <c r="N49" i="85"/>
  <c r="D97" i="83"/>
  <c r="E97" i="83" s="1" a="1"/>
  <c r="E97" i="83" s="1"/>
  <c r="D49" i="85"/>
  <c r="D159" i="83"/>
  <c r="N268" i="84"/>
  <c r="D157" i="84"/>
  <c r="E157" i="84" s="1" a="1"/>
  <c r="E157" i="84" s="1"/>
  <c r="N210" i="83"/>
  <c r="D127" i="87"/>
  <c r="E127" i="87" s="1" a="1"/>
  <c r="E127" i="87" s="1"/>
  <c r="N287" i="84"/>
  <c r="D268" i="84"/>
  <c r="N107" i="83"/>
  <c r="D66" i="85"/>
  <c r="E66" i="85" s="1" a="1"/>
  <c r="E66" i="85" s="1"/>
  <c r="D66" i="84"/>
  <c r="D210" i="83"/>
  <c r="D287" i="84"/>
  <c r="D146" i="84"/>
  <c r="E146" i="84" s="1" a="1"/>
  <c r="E146" i="84" s="1"/>
  <c r="N178" i="83"/>
  <c r="N32" i="83"/>
  <c r="D204" i="84"/>
  <c r="D178" i="83"/>
  <c r="D268" i="87"/>
  <c r="D151" i="87"/>
  <c r="N234" i="84"/>
  <c r="N168" i="84"/>
  <c r="N41" i="83"/>
  <c r="D238" i="87"/>
  <c r="D96" i="85"/>
  <c r="N159" i="83"/>
  <c r="N122" i="84"/>
  <c r="E59" i="107"/>
  <c r="H59" i="107" s="1" a="1"/>
  <c r="H59" i="107" s="1"/>
  <c r="H90" i="107" a="1"/>
  <c r="H90" i="107" s="1"/>
  <c r="H82" i="107" a="1"/>
  <c r="H82" i="107" s="1"/>
  <c r="H74" i="107" a="1"/>
  <c r="H74" i="107" s="1"/>
  <c r="H66" i="107" a="1"/>
  <c r="H66" i="107" s="1"/>
  <c r="H89" i="107" a="1"/>
  <c r="H89" i="107" s="1"/>
  <c r="H80" i="107" a="1"/>
  <c r="H80" i="107" s="1"/>
  <c r="H73" i="107" a="1"/>
  <c r="H73" i="107" s="1"/>
  <c r="H65" i="107" a="1"/>
  <c r="H65" i="107" s="1"/>
  <c r="H91" i="107" a="1"/>
  <c r="H91" i="107" s="1"/>
  <c r="H83" i="107" a="1"/>
  <c r="H83" i="107" s="1"/>
  <c r="H75" i="107" a="1"/>
  <c r="H75" i="107" s="1"/>
  <c r="H67" i="107" a="1"/>
  <c r="H67" i="107" s="1"/>
  <c r="H60" i="107" a="1"/>
  <c r="H60" i="107" s="1"/>
  <c r="H69" i="107" a="1"/>
  <c r="H69" i="107" s="1"/>
  <c r="H86" i="107" a="1"/>
  <c r="H86" i="107" s="1"/>
  <c r="H85" i="107" a="1"/>
  <c r="H85" i="107" s="1"/>
  <c r="H68" i="107" a="1"/>
  <c r="H68" i="107" s="1"/>
  <c r="H64" i="107" a="1"/>
  <c r="H64" i="107" s="1"/>
  <c r="H84" i="107" a="1"/>
  <c r="H84" i="107" s="1"/>
  <c r="H79" i="107" a="1"/>
  <c r="H79" i="107" s="1"/>
  <c r="H63" i="107" a="1"/>
  <c r="H63" i="107" s="1"/>
  <c r="H62" i="107" a="1"/>
  <c r="H62" i="107" s="1"/>
  <c r="H78" i="107" a="1"/>
  <c r="H78" i="107" s="1"/>
  <c r="H77" i="107" a="1"/>
  <c r="H77" i="107" s="1"/>
  <c r="H61" i="107" a="1"/>
  <c r="H61" i="107" s="1"/>
  <c r="H76" i="107" a="1"/>
  <c r="H76" i="107" s="1"/>
  <c r="H92" i="107" a="1"/>
  <c r="H92" i="107" s="1"/>
  <c r="H72" i="107" a="1"/>
  <c r="H72" i="107" s="1"/>
  <c r="H88" i="107" a="1"/>
  <c r="H88" i="107" s="1"/>
  <c r="H71" i="107" a="1"/>
  <c r="H71" i="107" s="1"/>
  <c r="J122" i="107" a="1"/>
  <c r="J122" i="107" s="1"/>
  <c r="J135" i="107" a="1"/>
  <c r="J135" i="107" s="1"/>
  <c r="D60" i="82"/>
  <c r="J66" i="114" a="1"/>
  <c r="J66" i="114" s="1"/>
  <c r="J69" i="114" a="1"/>
  <c r="J69" i="114" s="1"/>
  <c r="J88" i="114" a="1"/>
  <c r="J88" i="114" s="1"/>
  <c r="J253" i="114" a="1"/>
  <c r="J253" i="114" s="1"/>
  <c r="AA260" i="114" a="1"/>
  <c r="AA260" i="114" s="1"/>
  <c r="W255" i="114" a="1"/>
  <c r="W255" i="114" s="1"/>
  <c r="J174" i="107" a="1"/>
  <c r="J174" i="107" s="1"/>
  <c r="J161" i="107" a="1"/>
  <c r="J161" i="107" s="1"/>
  <c r="J132" i="107" a="1"/>
  <c r="J132" i="107" s="1"/>
  <c r="D285" i="114"/>
  <c r="F285" i="114" s="1" a="1"/>
  <c r="F285" i="114" s="1"/>
  <c r="F296" i="114" a="1"/>
  <c r="F296" i="114" s="1"/>
  <c r="F295" i="114" a="1"/>
  <c r="F295" i="114" s="1"/>
  <c r="F294" i="114" a="1"/>
  <c r="F294" i="114" s="1"/>
  <c r="F290" i="114" a="1"/>
  <c r="F290" i="114" s="1"/>
  <c r="I290" i="114" s="1" a="1"/>
  <c r="I290" i="114" s="1"/>
  <c r="F286" i="114" a="1"/>
  <c r="F286" i="114" s="1"/>
  <c r="F293" i="114" a="1"/>
  <c r="F293" i="114" s="1"/>
  <c r="F292" i="114" a="1"/>
  <c r="F292" i="114" s="1"/>
  <c r="F291" i="114" a="1"/>
  <c r="F291" i="114" s="1"/>
  <c r="F289" i="114" a="1"/>
  <c r="F289" i="114" s="1"/>
  <c r="F288" i="114" a="1"/>
  <c r="F288" i="114" s="1"/>
  <c r="F287" i="114" a="1"/>
  <c r="F287" i="114" s="1"/>
  <c r="V18" i="98"/>
  <c r="X18" i="98" s="1"/>
  <c r="AA259" i="114" a="1"/>
  <c r="AA259" i="114" s="1"/>
  <c r="W259" i="114" a="1"/>
  <c r="W259" i="114" s="1"/>
  <c r="W252" i="114" a="1"/>
  <c r="W252" i="114" s="1"/>
  <c r="W258" i="114" a="1"/>
  <c r="W258" i="114" s="1"/>
  <c r="H258" i="114" s="1" a="1"/>
  <c r="H258" i="114" s="1"/>
  <c r="S258" i="114" a="1"/>
  <c r="S258" i="114" s="1"/>
  <c r="S256" i="114" a="1"/>
  <c r="S256" i="114" s="1"/>
  <c r="S255" i="114" a="1"/>
  <c r="S255" i="114" s="1"/>
  <c r="AE254" i="114" a="1"/>
  <c r="AE254" i="114" s="1"/>
  <c r="AA254" i="114" a="1"/>
  <c r="AA254" i="114" s="1"/>
  <c r="J38" i="94" a="1"/>
  <c r="J38" i="94" s="1"/>
  <c r="J30" i="95"/>
  <c r="K30" i="95"/>
  <c r="I30" i="95"/>
  <c r="H30" i="95"/>
  <c r="G30" i="95"/>
  <c r="D59" i="107"/>
  <c r="G91" i="107" a="1"/>
  <c r="G91" i="107" s="1"/>
  <c r="I91" i="107" s="1" a="1"/>
  <c r="I91" i="107" s="1"/>
  <c r="H189" i="107" s="1"/>
  <c r="G83" i="107" a="1"/>
  <c r="G83" i="107" s="1"/>
  <c r="G75" i="107" a="1"/>
  <c r="G75" i="107" s="1"/>
  <c r="I75" i="107" s="1" a="1"/>
  <c r="I75" i="107" s="1"/>
  <c r="H173" i="107" s="1"/>
  <c r="G67" i="107" a="1"/>
  <c r="G67" i="107" s="1"/>
  <c r="I67" i="107" s="1" a="1"/>
  <c r="I67" i="107" s="1"/>
  <c r="H165" i="107" s="1"/>
  <c r="G60" i="107" a="1"/>
  <c r="G60" i="107" s="1"/>
  <c r="G90" i="107" a="1"/>
  <c r="G90" i="107" s="1"/>
  <c r="I90" i="107" s="1" a="1"/>
  <c r="I90" i="107" s="1"/>
  <c r="H188" i="107" s="1"/>
  <c r="G82" i="107" a="1"/>
  <c r="G82" i="107" s="1"/>
  <c r="G74" i="107" a="1"/>
  <c r="G74" i="107" s="1"/>
  <c r="G66" i="107" a="1"/>
  <c r="G66" i="107" s="1"/>
  <c r="G89" i="107" a="1"/>
  <c r="G89" i="107" s="1"/>
  <c r="I89" i="107" s="1" a="1"/>
  <c r="I89" i="107" s="1"/>
  <c r="H187" i="107" s="1"/>
  <c r="G80" i="107" a="1"/>
  <c r="G80" i="107" s="1"/>
  <c r="I80" i="107" s="1" a="1"/>
  <c r="I80" i="107" s="1"/>
  <c r="H178" i="107" s="1"/>
  <c r="G73" i="107" a="1"/>
  <c r="G73" i="107" s="1"/>
  <c r="G65" i="107" a="1"/>
  <c r="G65" i="107" s="1"/>
  <c r="G86" i="107" a="1"/>
  <c r="G86" i="107" s="1"/>
  <c r="G78" i="107" a="1"/>
  <c r="G78" i="107" s="1"/>
  <c r="G71" i="107" a="1"/>
  <c r="G71" i="107" s="1"/>
  <c r="G63" i="107" a="1"/>
  <c r="G63" i="107" s="1"/>
  <c r="G84" i="107" a="1"/>
  <c r="G84" i="107" s="1"/>
  <c r="G76" i="107" a="1"/>
  <c r="G76" i="107" s="1"/>
  <c r="G68" i="107" a="1"/>
  <c r="G68" i="107" s="1"/>
  <c r="G61" i="107" a="1"/>
  <c r="G61" i="107" s="1"/>
  <c r="G88" i="107" a="1"/>
  <c r="G88" i="107" s="1"/>
  <c r="I88" i="107" s="1" a="1"/>
  <c r="I88" i="107" s="1"/>
  <c r="H186" i="107" s="1"/>
  <c r="G69" i="107" a="1"/>
  <c r="G69" i="107" s="1"/>
  <c r="G85" i="107" a="1"/>
  <c r="G85" i="107" s="1"/>
  <c r="I85" i="107" s="1" a="1"/>
  <c r="I85" i="107" s="1"/>
  <c r="H183" i="107" s="1"/>
  <c r="G64" i="107" a="1"/>
  <c r="G64" i="107" s="1"/>
  <c r="G79" i="107" a="1"/>
  <c r="G79" i="107" s="1"/>
  <c r="I79" i="107" s="1" a="1"/>
  <c r="I79" i="107" s="1"/>
  <c r="H177" i="107" s="1"/>
  <c r="G62" i="107" a="1"/>
  <c r="G62" i="107" s="1"/>
  <c r="G77" i="107" a="1"/>
  <c r="G77" i="107" s="1"/>
  <c r="G92" i="107" a="1"/>
  <c r="G92" i="107" s="1"/>
  <c r="G72" i="107" a="1"/>
  <c r="G72" i="107" s="1"/>
  <c r="H108" i="83" a="1"/>
  <c r="H108" i="83" s="1"/>
  <c r="Q236" i="114" a="1"/>
  <c r="J166" i="107" a="1"/>
  <c r="J166" i="107" s="1"/>
  <c r="D23" i="85"/>
  <c r="N265" i="84"/>
  <c r="D143" i="84"/>
  <c r="E143" i="84" s="1" a="1"/>
  <c r="E143" i="84" s="1"/>
  <c r="N83" i="85"/>
  <c r="D265" i="84"/>
  <c r="N38" i="83"/>
  <c r="D225" i="87"/>
  <c r="D113" i="87"/>
  <c r="E113" i="87" s="1" a="1"/>
  <c r="E113" i="87" s="1"/>
  <c r="N138" i="87"/>
  <c r="D274" i="84"/>
  <c r="D54" i="84"/>
  <c r="N221" i="84"/>
  <c r="D86" i="87"/>
  <c r="D56" i="87"/>
  <c r="N56" i="87"/>
  <c r="D221" i="84"/>
  <c r="N23" i="85"/>
  <c r="D38" i="83"/>
  <c r="N186" i="87"/>
  <c r="D138" i="87"/>
  <c r="N26" i="87"/>
  <c r="D186" i="87"/>
  <c r="D26" i="87"/>
  <c r="D191" i="84"/>
  <c r="D83" i="85"/>
  <c r="N74" i="85"/>
  <c r="D36" i="85"/>
  <c r="N63" i="84"/>
  <c r="D134" i="83"/>
  <c r="D94" i="83"/>
  <c r="E94" i="83" s="1" a="1"/>
  <c r="E94" i="83" s="1"/>
  <c r="F104" i="83" s="1" a="1"/>
  <c r="F104" i="83" s="1"/>
  <c r="D28" i="86"/>
  <c r="M23" i="86"/>
  <c r="D154" i="84"/>
  <c r="E154" i="84" s="1" a="1"/>
  <c r="E154" i="84" s="1"/>
  <c r="N168" i="83"/>
  <c r="N156" i="83"/>
  <c r="D23" i="86"/>
  <c r="D156" i="83"/>
  <c r="M28" i="86"/>
  <c r="D74" i="85"/>
  <c r="N119" i="84"/>
  <c r="D63" i="84"/>
  <c r="D168" i="83"/>
  <c r="D124" i="87"/>
  <c r="E124" i="87" s="1" a="1"/>
  <c r="E124" i="87" s="1"/>
  <c r="M47" i="86"/>
  <c r="D63" i="85"/>
  <c r="E63" i="85" s="1" a="1"/>
  <c r="E63" i="85" s="1"/>
  <c r="N274" i="84"/>
  <c r="D119" i="84"/>
  <c r="N72" i="84"/>
  <c r="N207" i="83"/>
  <c r="N104" i="83"/>
  <c r="N29" i="83"/>
  <c r="D47" i="86"/>
  <c r="D72" i="84"/>
  <c r="D207" i="83"/>
  <c r="N255" i="87"/>
  <c r="D165" i="84"/>
  <c r="D104" i="83"/>
  <c r="N165" i="84"/>
  <c r="D29" i="83"/>
  <c r="D44" i="82"/>
  <c r="N36" i="85"/>
  <c r="D255" i="87"/>
  <c r="D20" i="83"/>
  <c r="J163" i="107" a="1"/>
  <c r="J163" i="107" s="1"/>
  <c r="J117" i="107" a="1"/>
  <c r="J117" i="107" s="1"/>
  <c r="J126" i="107" a="1"/>
  <c r="J126" i="107" s="1"/>
  <c r="D19" i="100"/>
  <c r="F19" i="100" s="1" a="1"/>
  <c r="F19" i="100" s="1"/>
  <c r="F32" i="100" a="1"/>
  <c r="F32" i="100" s="1"/>
  <c r="F31" i="100" a="1"/>
  <c r="F31" i="100" s="1"/>
  <c r="F30" i="100" a="1"/>
  <c r="F30" i="100" s="1"/>
  <c r="F29" i="100" a="1"/>
  <c r="F29" i="100" s="1"/>
  <c r="F28" i="100" a="1"/>
  <c r="F28" i="100" s="1"/>
  <c r="F27" i="100" a="1"/>
  <c r="F27" i="100" s="1"/>
  <c r="G27" i="100" s="1" a="1"/>
  <c r="G27" i="100" s="1"/>
  <c r="F26" i="100" a="1"/>
  <c r="F26" i="100" s="1"/>
  <c r="F25" i="100" a="1"/>
  <c r="F25" i="100" s="1"/>
  <c r="F24" i="100" a="1"/>
  <c r="F24" i="100" s="1"/>
  <c r="F37" i="100" a="1"/>
  <c r="F37" i="100" s="1"/>
  <c r="F23" i="100" a="1"/>
  <c r="F23" i="100" s="1"/>
  <c r="F36" i="100" a="1"/>
  <c r="F36" i="100" s="1"/>
  <c r="F22" i="100" a="1"/>
  <c r="F22" i="100" s="1"/>
  <c r="F34" i="100" a="1"/>
  <c r="F34" i="100" s="1"/>
  <c r="F20" i="100" a="1"/>
  <c r="F20" i="100" s="1"/>
  <c r="F33" i="100" a="1"/>
  <c r="F33" i="100" s="1"/>
  <c r="F35" i="100" a="1"/>
  <c r="F35" i="100" s="1"/>
  <c r="F21" i="100" a="1"/>
  <c r="F21" i="100" s="1"/>
  <c r="M20" i="89" a="1"/>
  <c r="D25" i="84" a="1"/>
  <c r="V17" i="98"/>
  <c r="X17" i="98" s="1"/>
  <c r="I37" i="95"/>
  <c r="G37" i="95"/>
  <c r="K37" i="95"/>
  <c r="Q37" i="95" s="1" a="1"/>
  <c r="Q37" i="95" s="1"/>
  <c r="J37" i="95"/>
  <c r="H37" i="95"/>
  <c r="I327" i="114" a="1"/>
  <c r="I327" i="114" s="1"/>
  <c r="I329" i="114" a="1"/>
  <c r="I329" i="114" s="1"/>
  <c r="E103" i="103"/>
  <c r="F103" i="103" s="1" a="1"/>
  <c r="F103" i="103" s="1"/>
  <c r="E135" i="103" s="1"/>
  <c r="E66" i="104"/>
  <c r="I321" i="114" a="1"/>
  <c r="I321" i="114" s="1"/>
  <c r="I323" i="114" a="1"/>
  <c r="I323" i="114" s="1"/>
  <c r="E19" i="99" a="1"/>
  <c r="E19" i="99" s="1"/>
  <c r="E34" i="99" a="1"/>
  <c r="E34" i="99" s="1"/>
  <c r="G34" i="99" s="1" a="1"/>
  <c r="G34" i="99" s="1"/>
  <c r="E36" i="100" a="1"/>
  <c r="E36" i="100" s="1"/>
  <c r="E29" i="100" a="1"/>
  <c r="E29" i="100" s="1"/>
  <c r="E22" i="100" a="1"/>
  <c r="E22" i="100" s="1"/>
  <c r="E31" i="99" a="1"/>
  <c r="E31" i="99" s="1"/>
  <c r="G31" i="99" s="1" a="1"/>
  <c r="G31" i="99" s="1"/>
  <c r="E24" i="99" a="1"/>
  <c r="E24" i="99" s="1"/>
  <c r="G24" i="99" s="1" a="1"/>
  <c r="G24" i="99" s="1"/>
  <c r="E37" i="99" a="1"/>
  <c r="E37" i="99" s="1"/>
  <c r="G37" i="99" s="1" a="1"/>
  <c r="G37" i="99" s="1"/>
  <c r="E21" i="100" a="1"/>
  <c r="E21" i="100" s="1"/>
  <c r="G21" i="100" s="1" a="1"/>
  <c r="G21" i="100" s="1"/>
  <c r="E35" i="100" a="1"/>
  <c r="E35" i="100" s="1"/>
  <c r="G35" i="100" s="1" a="1"/>
  <c r="G35" i="100" s="1"/>
  <c r="E28" i="100" a="1"/>
  <c r="E28" i="100" s="1"/>
  <c r="G28" i="100" s="1" a="1"/>
  <c r="G28" i="100" s="1"/>
  <c r="E34" i="100" a="1"/>
  <c r="E34" i="100" s="1"/>
  <c r="E27" i="100" a="1"/>
  <c r="E27" i="100" s="1"/>
  <c r="E20" i="100" a="1"/>
  <c r="E20" i="100" s="1"/>
  <c r="E36" i="99" a="1"/>
  <c r="E36" i="99" s="1"/>
  <c r="G36" i="99" s="1" a="1"/>
  <c r="G36" i="99" s="1"/>
  <c r="E29" i="99" a="1"/>
  <c r="E29" i="99" s="1"/>
  <c r="G29" i="99" s="1" a="1"/>
  <c r="G29" i="99" s="1"/>
  <c r="E22" i="99" a="1"/>
  <c r="E22" i="99" s="1"/>
  <c r="G22" i="99" s="1" a="1"/>
  <c r="G22" i="99" s="1"/>
  <c r="E33" i="100" a="1"/>
  <c r="E33" i="100" s="1"/>
  <c r="E26" i="100" a="1"/>
  <c r="E26" i="100" s="1"/>
  <c r="E35" i="99" a="1"/>
  <c r="E35" i="99" s="1"/>
  <c r="G35" i="99" s="1" a="1"/>
  <c r="G35" i="99" s="1"/>
  <c r="E28" i="99" a="1"/>
  <c r="E28" i="99" s="1"/>
  <c r="G28" i="99" s="1" a="1"/>
  <c r="G28" i="99" s="1"/>
  <c r="E25" i="100" a="1"/>
  <c r="E25" i="100" s="1"/>
  <c r="G25" i="100" s="1" a="1"/>
  <c r="G25" i="100" s="1"/>
  <c r="E32" i="100" a="1"/>
  <c r="E32" i="100" s="1"/>
  <c r="G32" i="100" s="1" a="1"/>
  <c r="G32" i="100" s="1"/>
  <c r="E21" i="99" a="1"/>
  <c r="E21" i="99" s="1"/>
  <c r="G21" i="99" s="1" a="1"/>
  <c r="G21" i="99" s="1"/>
  <c r="E27" i="99" a="1"/>
  <c r="E27" i="99" s="1"/>
  <c r="G27" i="99" s="1" a="1"/>
  <c r="G27" i="99" s="1"/>
  <c r="E31" i="100" a="1"/>
  <c r="E31" i="100" s="1"/>
  <c r="G31" i="100" s="1" a="1"/>
  <c r="G31" i="100" s="1"/>
  <c r="E24" i="100" a="1"/>
  <c r="E24" i="100" s="1"/>
  <c r="E33" i="99" a="1"/>
  <c r="E33" i="99" s="1"/>
  <c r="G33" i="99" s="1" a="1"/>
  <c r="G33" i="99" s="1"/>
  <c r="E26" i="99" a="1"/>
  <c r="E26" i="99" s="1"/>
  <c r="G26" i="99" s="1" a="1"/>
  <c r="G26" i="99" s="1"/>
  <c r="E23" i="99" a="1"/>
  <c r="E23" i="99" s="1"/>
  <c r="G23" i="99" s="1" a="1"/>
  <c r="G23" i="99" s="1"/>
  <c r="E20" i="99" a="1"/>
  <c r="E20" i="99" s="1"/>
  <c r="G20" i="99" s="1" a="1"/>
  <c r="G20" i="99" s="1"/>
  <c r="E30" i="99" a="1"/>
  <c r="E30" i="99" s="1"/>
  <c r="E37" i="100" a="1"/>
  <c r="E37" i="100" s="1"/>
  <c r="E30" i="100" a="1"/>
  <c r="E30" i="100" s="1"/>
  <c r="G30" i="100" s="1" a="1"/>
  <c r="G30" i="100" s="1"/>
  <c r="E23" i="100" a="1"/>
  <c r="E23" i="100" s="1"/>
  <c r="E32" i="99" a="1"/>
  <c r="E32" i="99" s="1"/>
  <c r="G32" i="99" s="1" a="1"/>
  <c r="G32" i="99" s="1"/>
  <c r="E25" i="99" a="1"/>
  <c r="E25" i="99" s="1"/>
  <c r="G25" i="99" s="1" a="1"/>
  <c r="G25" i="99" s="1"/>
  <c r="J323" i="114" a="1"/>
  <c r="J323" i="114" s="1"/>
  <c r="J328" i="114" a="1"/>
  <c r="J328" i="114" s="1"/>
  <c r="J325" i="114" a="1"/>
  <c r="J325" i="114" s="1"/>
  <c r="J322" i="114" a="1"/>
  <c r="J322" i="114" s="1"/>
  <c r="J324" i="114" a="1"/>
  <c r="J324" i="114" s="1"/>
  <c r="J329" i="114" a="1"/>
  <c r="J329" i="114" s="1"/>
  <c r="I324" i="114" a="1"/>
  <c r="I324" i="114" s="1"/>
  <c r="J321" i="114" a="1"/>
  <c r="J321" i="114" s="1"/>
  <c r="I322" i="114" a="1"/>
  <c r="I322" i="114" s="1"/>
  <c r="J326" i="114" a="1"/>
  <c r="J326" i="114" s="1"/>
  <c r="I325" i="114" a="1"/>
  <c r="I325" i="114" s="1"/>
  <c r="G20" i="101"/>
  <c r="I20" i="101" s="1" a="1"/>
  <c r="I20" i="101" s="1"/>
  <c r="I22" i="101" a="1"/>
  <c r="I22" i="101" s="1"/>
  <c r="J327" i="114" a="1"/>
  <c r="J327" i="114" s="1"/>
  <c r="I326" i="114" a="1"/>
  <c r="I326" i="114" s="1"/>
  <c r="P21" i="99"/>
  <c r="Q29" i="99"/>
  <c r="E143" i="114"/>
  <c r="W236" i="114" a="1"/>
  <c r="W236" i="114" s="1"/>
  <c r="AE240" i="114" a="1"/>
  <c r="AE240" i="114" s="1"/>
  <c r="S245" i="114" a="1"/>
  <c r="S245" i="114" s="1"/>
  <c r="AA239" i="114" a="1"/>
  <c r="AA239" i="114" s="1"/>
  <c r="AM236" i="114" a="1"/>
  <c r="AM236" i="114" s="1"/>
  <c r="AM243" i="114" a="1"/>
  <c r="AM243" i="114" s="1"/>
  <c r="AM245" i="114" a="1"/>
  <c r="AM245" i="114" s="1"/>
  <c r="AI236" i="114" a="1"/>
  <c r="AI236" i="114" s="1"/>
  <c r="AM240" i="114" a="1"/>
  <c r="AM240" i="114" s="1"/>
  <c r="AI237" i="114" a="1"/>
  <c r="AI237" i="114" s="1"/>
  <c r="AI244" i="114" a="1"/>
  <c r="AI244" i="114" s="1"/>
  <c r="AE245" i="114" a="1"/>
  <c r="AE245" i="114" s="1"/>
  <c r="AA238" i="114" a="1"/>
  <c r="AA238" i="114" s="1"/>
  <c r="AA245" i="114" a="1"/>
  <c r="AA245" i="114" s="1"/>
  <c r="W240" i="114" a="1"/>
  <c r="W240" i="114" s="1"/>
  <c r="S238" i="114" a="1"/>
  <c r="S238" i="114" s="1"/>
  <c r="S237" i="114" a="1"/>
  <c r="S237" i="114" s="1"/>
  <c r="S244" i="114" a="1"/>
  <c r="S244" i="114" s="1"/>
  <c r="AM244" i="114" a="1"/>
  <c r="AM244" i="114" s="1"/>
  <c r="AI240" i="114" a="1"/>
  <c r="AI240" i="114" s="1"/>
  <c r="AI241" i="114" a="1"/>
  <c r="AI241" i="114" s="1"/>
  <c r="AI243" i="114" a="1"/>
  <c r="AI243" i="114" s="1"/>
  <c r="AI242" i="114" a="1"/>
  <c r="AI242" i="114" s="1"/>
  <c r="AI238" i="114" a="1"/>
  <c r="AI238" i="114" s="1"/>
  <c r="AE241" i="114" a="1"/>
  <c r="AE241" i="114" s="1"/>
  <c r="AC236" i="114"/>
  <c r="AE236" i="114" s="1" a="1"/>
  <c r="AE236" i="114" s="1"/>
  <c r="AA240" i="114" a="1"/>
  <c r="AA240" i="114" s="1"/>
  <c r="AA243" i="114" a="1"/>
  <c r="AA243" i="114" s="1"/>
  <c r="AA237" i="114" a="1"/>
  <c r="AA237" i="114" s="1"/>
  <c r="AA244" i="114" a="1"/>
  <c r="AA244" i="114" s="1"/>
  <c r="AA241" i="114" a="1"/>
  <c r="AA241" i="114" s="1"/>
  <c r="W245" i="114" a="1"/>
  <c r="W245" i="114" s="1"/>
  <c r="W237" i="114" a="1"/>
  <c r="W237" i="114" s="1"/>
  <c r="S241" i="114" a="1"/>
  <c r="S241" i="114" s="1"/>
  <c r="S239" i="114" a="1"/>
  <c r="S239" i="114" s="1"/>
  <c r="S242" i="114" a="1"/>
  <c r="S242" i="114" s="1"/>
  <c r="AM238" i="114" a="1"/>
  <c r="AM238" i="114" s="1"/>
  <c r="AM241" i="114" a="1"/>
  <c r="AM241" i="114" s="1"/>
  <c r="AM237" i="114" a="1"/>
  <c r="AM237" i="114" s="1"/>
  <c r="AM239" i="114" a="1"/>
  <c r="AM239" i="114" s="1"/>
  <c r="AM242" i="114" a="1"/>
  <c r="AM242" i="114" s="1"/>
  <c r="AI245" i="114" a="1"/>
  <c r="AI245" i="114" s="1"/>
  <c r="AI239" i="114" a="1"/>
  <c r="AI239" i="114" s="1"/>
  <c r="AE237" i="114" a="1"/>
  <c r="AE237" i="114" s="1"/>
  <c r="AE242" i="114" a="1"/>
  <c r="AE242" i="114" s="1"/>
  <c r="AE243" i="114" a="1"/>
  <c r="AE243" i="114" s="1"/>
  <c r="AE238" i="114" a="1"/>
  <c r="AE238" i="114" s="1"/>
  <c r="AE239" i="114" a="1"/>
  <c r="AE239" i="114" s="1"/>
  <c r="AE244" i="114" a="1"/>
  <c r="AE244" i="114" s="1"/>
  <c r="Y236" i="114"/>
  <c r="AA236" i="114" s="1" a="1"/>
  <c r="AA236" i="114" s="1"/>
  <c r="AA242" i="114" a="1"/>
  <c r="AA242" i="114" s="1"/>
  <c r="W243" i="114" a="1"/>
  <c r="W243" i="114" s="1"/>
  <c r="W238" i="114" a="1"/>
  <c r="W238" i="114" s="1"/>
  <c r="W241" i="114" a="1"/>
  <c r="W241" i="114" s="1"/>
  <c r="W244" i="114" a="1"/>
  <c r="W244" i="114" s="1"/>
  <c r="W239" i="114" a="1"/>
  <c r="W239" i="114" s="1"/>
  <c r="W242" i="114" a="1"/>
  <c r="W242" i="114" s="1"/>
  <c r="S243" i="114" a="1"/>
  <c r="S243" i="114" s="1"/>
  <c r="Q236" i="114"/>
  <c r="S236" i="114" s="1" a="1"/>
  <c r="S236" i="114" s="1"/>
  <c r="S240" i="114" a="1"/>
  <c r="S240" i="114" s="1"/>
  <c r="E236" i="114" a="1"/>
  <c r="J243" i="114" s="1" a="1"/>
  <c r="J243" i="114" s="1"/>
  <c r="G285" i="114" a="1"/>
  <c r="G285" i="114" s="1"/>
  <c r="Q38" i="94" a="1"/>
  <c r="Q38" i="94" s="1"/>
  <c r="Q37" i="94" a="1"/>
  <c r="Q37" i="94" s="1"/>
  <c r="N37" i="94" a="1"/>
  <c r="N37" i="94" s="1"/>
  <c r="O37" i="94" a="1"/>
  <c r="O37" i="94" s="1"/>
  <c r="O34" i="94" a="1"/>
  <c r="O34" i="94" s="1"/>
  <c r="P34" i="94" a="1"/>
  <c r="P34" i="94" s="1"/>
  <c r="P35" i="94" a="1"/>
  <c r="P35" i="94" s="1"/>
  <c r="N35" i="94" a="1"/>
  <c r="N35" i="94" s="1"/>
  <c r="N33" i="94" a="1"/>
  <c r="N33" i="94" s="1"/>
  <c r="E49" i="94" s="1"/>
  <c r="G129" i="114" a="1"/>
  <c r="G129" i="114" s="1"/>
  <c r="I129" i="114" a="1"/>
  <c r="I129" i="114" s="1"/>
  <c r="F124" i="114"/>
  <c r="G124" i="114" s="1" a="1"/>
  <c r="G124" i="114" s="1"/>
  <c r="E498" i="114"/>
  <c r="I48" i="107" a="1"/>
  <c r="I48" i="107" s="1"/>
  <c r="H143" i="107" s="1"/>
  <c r="E142" i="114"/>
  <c r="H386" i="114" a="1"/>
  <c r="H386" i="114" s="1"/>
  <c r="E181" i="114"/>
  <c r="H261" i="114" a="1"/>
  <c r="H261" i="114" s="1"/>
  <c r="K259" i="114" a="1"/>
  <c r="K259" i="114" s="1"/>
  <c r="F122" i="114"/>
  <c r="G122" i="114" s="1" a="1"/>
  <c r="G122" i="114" s="1"/>
  <c r="H256" i="114" a="1"/>
  <c r="H256" i="114" s="1"/>
  <c r="E488" i="114"/>
  <c r="K261" i="114" a="1"/>
  <c r="K261" i="114" s="1"/>
  <c r="K254" i="114" a="1"/>
  <c r="K254" i="114" s="1"/>
  <c r="E156" i="114"/>
  <c r="F255" i="114" a="1"/>
  <c r="F255" i="114" s="1"/>
  <c r="G255" i="114" s="1" a="1"/>
  <c r="G255" i="114" s="1"/>
  <c r="F125" i="114"/>
  <c r="I125" i="114" s="1" a="1"/>
  <c r="I125" i="114" s="1"/>
  <c r="F123" i="114"/>
  <c r="I123" i="114" s="1" a="1"/>
  <c r="I123" i="114" s="1"/>
  <c r="F258" i="114" a="1"/>
  <c r="F258" i="114" s="1"/>
  <c r="G258" i="114" s="1" a="1"/>
  <c r="G258" i="114" s="1"/>
  <c r="E654" i="114"/>
  <c r="E657" i="114" s="1"/>
  <c r="K253" i="114" a="1"/>
  <c r="K253" i="114" s="1"/>
  <c r="K255" i="114" a="1"/>
  <c r="K255" i="114" s="1"/>
  <c r="F254" i="114" a="1"/>
  <c r="F254" i="114" s="1"/>
  <c r="G254" i="114" s="1" a="1"/>
  <c r="G254" i="114" s="1"/>
  <c r="K257" i="114" a="1"/>
  <c r="K257" i="114" s="1"/>
  <c r="E54" i="114"/>
  <c r="H257" i="114" a="1"/>
  <c r="H257" i="114" s="1"/>
  <c r="E487" i="114"/>
  <c r="M30" i="114" a="1"/>
  <c r="M30" i="114" s="1"/>
  <c r="H390" i="114" a="1"/>
  <c r="H390" i="114" s="1"/>
  <c r="F259" i="114" a="1"/>
  <c r="F259" i="114" s="1"/>
  <c r="G259" i="114" s="1" a="1"/>
  <c r="G259" i="114" s="1"/>
  <c r="H254" i="114" a="1"/>
  <c r="H254" i="114" s="1"/>
  <c r="H255" i="114" a="1"/>
  <c r="H255" i="114" s="1"/>
  <c r="H259" i="114" a="1"/>
  <c r="H259" i="114" s="1"/>
  <c r="F261" i="114" a="1"/>
  <c r="F261" i="114" s="1"/>
  <c r="G261" i="114" s="1" a="1"/>
  <c r="G261" i="114" s="1"/>
  <c r="F120" i="114"/>
  <c r="G120" i="114" s="1" a="1"/>
  <c r="G120" i="114" s="1"/>
  <c r="I320" i="114" a="1"/>
  <c r="I320" i="114" s="1"/>
  <c r="J320" i="114" a="1"/>
  <c r="J320" i="114" s="1"/>
  <c r="I120" i="114" a="1"/>
  <c r="I120" i="114" s="1"/>
  <c r="J383" i="114" a="1"/>
  <c r="J383" i="114" s="1"/>
  <c r="H383" i="114" a="1"/>
  <c r="H383" i="114" s="1"/>
  <c r="F127" i="114"/>
  <c r="J470" i="114" a="1"/>
  <c r="J470" i="114" s="1"/>
  <c r="H470" i="114" a="1"/>
  <c r="H470" i="114" s="1"/>
  <c r="I293" i="114" a="1"/>
  <c r="I293" i="114" s="1"/>
  <c r="G293" i="114" a="1"/>
  <c r="G293" i="114" s="1"/>
  <c r="F256" i="114" a="1"/>
  <c r="F256" i="114" s="1"/>
  <c r="G256" i="114" s="1" a="1"/>
  <c r="G256" i="114" s="1"/>
  <c r="K256" i="114" a="1"/>
  <c r="K256" i="114" s="1"/>
  <c r="J472" i="114" a="1"/>
  <c r="J472" i="114" s="1"/>
  <c r="H472" i="114" a="1"/>
  <c r="H472" i="114" s="1"/>
  <c r="F252" i="114" a="1"/>
  <c r="F252" i="114" s="1"/>
  <c r="G252" i="114" s="1" a="1"/>
  <c r="G252" i="114" s="1"/>
  <c r="K252" i="114" a="1"/>
  <c r="K252" i="114" s="1"/>
  <c r="H252" i="114" a="1"/>
  <c r="H252" i="114" s="1"/>
  <c r="I288" i="114" a="1"/>
  <c r="I288" i="114" s="1"/>
  <c r="G288" i="114" a="1"/>
  <c r="G288" i="114" s="1"/>
  <c r="F260" i="114" a="1"/>
  <c r="F260" i="114" s="1"/>
  <c r="G260" i="114" s="1" a="1"/>
  <c r="G260" i="114" s="1"/>
  <c r="K260" i="114" a="1"/>
  <c r="K260" i="114" s="1"/>
  <c r="H471" i="114" a="1"/>
  <c r="H471" i="114" s="1"/>
  <c r="J471" i="114" a="1"/>
  <c r="J471" i="114" s="1"/>
  <c r="I292" i="114" a="1"/>
  <c r="I292" i="114" s="1"/>
  <c r="G292" i="114" a="1"/>
  <c r="G292" i="114" s="1"/>
  <c r="J469" i="114" a="1"/>
  <c r="J469" i="114" s="1"/>
  <c r="H469" i="114" a="1"/>
  <c r="H469" i="114" s="1"/>
  <c r="G123" i="114" a="1"/>
  <c r="G123" i="114" s="1"/>
  <c r="G79" i="114" a="1"/>
  <c r="G79" i="114" s="1"/>
  <c r="J79" i="114" a="1"/>
  <c r="J79" i="114" s="1"/>
  <c r="E91" i="114" s="1"/>
  <c r="F253" i="114" a="1"/>
  <c r="F253" i="114" s="1"/>
  <c r="G253" i="114" s="1" a="1"/>
  <c r="G253" i="114" s="1"/>
  <c r="H260" i="114" a="1"/>
  <c r="H260" i="114" s="1"/>
  <c r="I294" i="114" a="1"/>
  <c r="I294" i="114" s="1"/>
  <c r="G294" i="114" a="1"/>
  <c r="G294" i="114" s="1"/>
  <c r="E363" i="114"/>
  <c r="F128" i="114"/>
  <c r="J31" i="114" a="1"/>
  <c r="J31" i="114" s="1"/>
  <c r="M31" i="114" a="1"/>
  <c r="M31" i="114" s="1"/>
  <c r="F126" i="114"/>
  <c r="E53" i="114"/>
  <c r="I296" i="114" a="1"/>
  <c r="I296" i="114" s="1"/>
  <c r="G296" i="114" a="1"/>
  <c r="G296" i="114" s="1"/>
  <c r="J454" i="114" a="1"/>
  <c r="J454" i="114" s="1"/>
  <c r="H454" i="114" a="1"/>
  <c r="H454" i="114" s="1"/>
  <c r="J29" i="114" a="1"/>
  <c r="J29" i="114" s="1"/>
  <c r="M29" i="114" a="1"/>
  <c r="M29" i="114" s="1"/>
  <c r="E426" i="114"/>
  <c r="H253" i="114" a="1"/>
  <c r="H253" i="114" s="1"/>
  <c r="J61" i="114" a="1"/>
  <c r="J61" i="114" s="1"/>
  <c r="E73" i="114" s="1"/>
  <c r="I286" i="114" a="1"/>
  <c r="I286" i="114" s="1"/>
  <c r="G286" i="114" a="1"/>
  <c r="G286" i="114" s="1"/>
  <c r="F257" i="114" a="1"/>
  <c r="F257" i="114" s="1"/>
  <c r="G257" i="114" s="1" a="1"/>
  <c r="G257" i="114" s="1"/>
  <c r="H385" i="114" a="1"/>
  <c r="H385" i="114" s="1"/>
  <c r="M32" i="114" a="1"/>
  <c r="M32" i="114" s="1"/>
  <c r="J252" i="114" a="1"/>
  <c r="J252" i="114" s="1"/>
  <c r="H453" i="114" a="1"/>
  <c r="H453" i="114" s="1"/>
  <c r="J453" i="114" a="1"/>
  <c r="J453" i="114" s="1"/>
  <c r="J382" i="114" a="1"/>
  <c r="J382" i="114" s="1"/>
  <c r="H382" i="114" a="1"/>
  <c r="H382" i="114" s="1"/>
  <c r="J451" i="114" a="1"/>
  <c r="J451" i="114" s="1"/>
  <c r="H451" i="114" a="1"/>
  <c r="H451" i="114" s="1"/>
  <c r="M26" i="114" a="1"/>
  <c r="M26" i="114" s="1"/>
  <c r="M23" i="114" a="1"/>
  <c r="M23" i="114" s="1"/>
  <c r="J23" i="114" a="1"/>
  <c r="J23" i="114" s="1"/>
  <c r="M28" i="114" a="1"/>
  <c r="M28" i="114" s="1"/>
  <c r="J388" i="114" a="1"/>
  <c r="J388" i="114" s="1"/>
  <c r="H388" i="114" a="1"/>
  <c r="H388" i="114" s="1"/>
  <c r="F121" i="114"/>
  <c r="G121" i="114" s="1" a="1"/>
  <c r="G121" i="114" s="1"/>
  <c r="I71" i="107" a="1"/>
  <c r="I71" i="107" s="1"/>
  <c r="H169" i="107" s="1"/>
  <c r="I178" i="107"/>
  <c r="K178" i="107" s="1" a="1"/>
  <c r="K178" i="107" s="1"/>
  <c r="I40" i="107" a="1"/>
  <c r="I40" i="107" s="1"/>
  <c r="H135" i="107" s="1"/>
  <c r="I135" i="107" s="1"/>
  <c r="K135" i="107" s="1" a="1"/>
  <c r="K135" i="107" s="1"/>
  <c r="I33" i="107" a="1"/>
  <c r="I33" i="107" s="1"/>
  <c r="H128" i="107" s="1"/>
  <c r="I41" i="107" a="1"/>
  <c r="I41" i="107" s="1"/>
  <c r="H136" i="107" s="1"/>
  <c r="I136" i="107" s="1"/>
  <c r="K136" i="107" s="1" a="1"/>
  <c r="K136" i="107" s="1"/>
  <c r="I22" i="107" a="1"/>
  <c r="I22" i="107" s="1"/>
  <c r="H117" i="107" s="1"/>
  <c r="I117" i="107" s="1"/>
  <c r="K117" i="107" s="1" a="1"/>
  <c r="K117" i="107" s="1"/>
  <c r="I63" i="107" a="1"/>
  <c r="I63" i="107" s="1"/>
  <c r="H161" i="107" s="1"/>
  <c r="I161" i="107" s="1"/>
  <c r="K161" i="107" s="1" a="1"/>
  <c r="K161" i="107" s="1"/>
  <c r="I173" i="107"/>
  <c r="K173" i="107" s="1" a="1"/>
  <c r="K173" i="107" s="1"/>
  <c r="I27" i="107" a="1"/>
  <c r="I27" i="107" s="1"/>
  <c r="H122" i="107" s="1"/>
  <c r="I122" i="107" s="1"/>
  <c r="K122" i="107" s="1" a="1"/>
  <c r="K122" i="107" s="1"/>
  <c r="I45" i="107" a="1"/>
  <c r="I45" i="107" s="1"/>
  <c r="H140" i="107" s="1"/>
  <c r="I92" i="107" a="1"/>
  <c r="I92" i="107" s="1"/>
  <c r="H190" i="107" s="1"/>
  <c r="I185" i="107" s="1"/>
  <c r="K185" i="107" s="1" a="1"/>
  <c r="K185" i="107" s="1"/>
  <c r="I29" i="107" a="1"/>
  <c r="I29" i="107" s="1"/>
  <c r="H124" i="107" s="1"/>
  <c r="I124" i="107" s="1"/>
  <c r="K124" i="107" s="1" a="1"/>
  <c r="K124" i="107" s="1"/>
  <c r="I54" i="107" a="1"/>
  <c r="I54" i="107" s="1"/>
  <c r="H149" i="107" s="1"/>
  <c r="I165" i="107"/>
  <c r="K165" i="107" s="1" a="1"/>
  <c r="K165" i="107" s="1"/>
  <c r="I37" i="107" a="1"/>
  <c r="I37" i="107" s="1"/>
  <c r="H132" i="107" s="1"/>
  <c r="I132" i="107" s="1"/>
  <c r="K132" i="107" s="1" a="1"/>
  <c r="K132" i="107" s="1"/>
  <c r="I74" i="107" a="1"/>
  <c r="I74" i="107" s="1"/>
  <c r="H172" i="107" s="1"/>
  <c r="I78" i="107" a="1"/>
  <c r="I78" i="107" s="1"/>
  <c r="H176" i="107" s="1"/>
  <c r="I176" i="107" s="1"/>
  <c r="K176" i="107" s="1" a="1"/>
  <c r="K176" i="107" s="1"/>
  <c r="I82" i="107" a="1"/>
  <c r="I82" i="107" s="1"/>
  <c r="H180" i="107" s="1"/>
  <c r="I24" i="107" a="1"/>
  <c r="I24" i="107" s="1"/>
  <c r="H119" i="107" s="1"/>
  <c r="I119" i="107" s="1"/>
  <c r="K119" i="107" s="1" a="1"/>
  <c r="K119" i="107" s="1"/>
  <c r="I50" i="107" a="1"/>
  <c r="I50" i="107" s="1"/>
  <c r="H145" i="107" s="1"/>
  <c r="I23" i="107" a="1"/>
  <c r="I23" i="107" s="1"/>
  <c r="H118" i="107" s="1"/>
  <c r="I118" i="107" s="1"/>
  <c r="K118" i="107" s="1" a="1"/>
  <c r="K118" i="107" s="1"/>
  <c r="I66" i="107" a="1"/>
  <c r="I66" i="107" s="1"/>
  <c r="H164" i="107" s="1"/>
  <c r="I164" i="107" s="1"/>
  <c r="K164" i="107" s="1" a="1"/>
  <c r="K164" i="107" s="1"/>
  <c r="I84" i="107" a="1"/>
  <c r="I84" i="107" s="1"/>
  <c r="H182" i="107" s="1"/>
  <c r="I44" i="107" a="1"/>
  <c r="I44" i="107" s="1"/>
  <c r="H139" i="107" s="1"/>
  <c r="I36" i="107" a="1"/>
  <c r="I36" i="107" s="1"/>
  <c r="H131" i="107" s="1"/>
  <c r="I28" i="107" a="1"/>
  <c r="I28" i="107" s="1"/>
  <c r="H123" i="107" s="1"/>
  <c r="I123" i="107" s="1"/>
  <c r="K123" i="107" s="1" a="1"/>
  <c r="K123" i="107" s="1"/>
  <c r="I68" i="107" a="1"/>
  <c r="I68" i="107" s="1"/>
  <c r="H166" i="107" s="1"/>
  <c r="I166" i="107" s="1"/>
  <c r="K166" i="107" s="1" a="1"/>
  <c r="K166" i="107" s="1"/>
  <c r="I47" i="107" a="1"/>
  <c r="I47" i="107" s="1"/>
  <c r="H142" i="107" s="1"/>
  <c r="I46" i="107" a="1"/>
  <c r="I46" i="107" s="1"/>
  <c r="H141" i="107" s="1"/>
  <c r="I52" i="107" a="1"/>
  <c r="I52" i="107" s="1"/>
  <c r="H147" i="107" s="1"/>
  <c r="I86" i="107" a="1"/>
  <c r="I86" i="107" s="1"/>
  <c r="H184" i="107" s="1"/>
  <c r="I76" i="107" a="1"/>
  <c r="I76" i="107" s="1"/>
  <c r="H174" i="107" s="1"/>
  <c r="I174" i="107" s="1"/>
  <c r="K174" i="107" s="1" a="1"/>
  <c r="K174" i="107" s="1"/>
  <c r="I26" i="107" a="1"/>
  <c r="I26" i="107" s="1"/>
  <c r="H121" i="107" s="1"/>
  <c r="I121" i="107" s="1"/>
  <c r="K121" i="107" s="1" a="1"/>
  <c r="K121" i="107" s="1"/>
  <c r="I42" i="107" a="1"/>
  <c r="I42" i="107" s="1"/>
  <c r="H137" i="107" s="1"/>
  <c r="I137" i="107" s="1"/>
  <c r="K137" i="107" s="1" a="1"/>
  <c r="K137" i="107" s="1"/>
  <c r="I177" i="107"/>
  <c r="K177" i="107" s="1" a="1"/>
  <c r="K177" i="107" s="1"/>
  <c r="I25" i="107" a="1"/>
  <c r="I25" i="107" s="1"/>
  <c r="H120" i="107" s="1"/>
  <c r="I120" i="107" s="1"/>
  <c r="K120" i="107" s="1" a="1"/>
  <c r="K120" i="107" s="1"/>
  <c r="I61" i="107" a="1"/>
  <c r="I61" i="107" s="1"/>
  <c r="H159" i="107" s="1"/>
  <c r="I159" i="107" s="1"/>
  <c r="K159" i="107" s="1" a="1"/>
  <c r="K159" i="107" s="1"/>
  <c r="I39" i="107" a="1"/>
  <c r="I39" i="107" s="1"/>
  <c r="H134" i="107" s="1"/>
  <c r="I134" i="107" s="1"/>
  <c r="K134" i="107" s="1" a="1"/>
  <c r="K134" i="107" s="1"/>
  <c r="I38" i="107" a="1"/>
  <c r="I38" i="107" s="1"/>
  <c r="H133" i="107" s="1"/>
  <c r="I133" i="107" s="1"/>
  <c r="K133" i="107" s="1" a="1"/>
  <c r="K133" i="107" s="1"/>
  <c r="I35" i="107" a="1"/>
  <c r="I35" i="107" s="1"/>
  <c r="H130" i="107" s="1"/>
  <c r="I31" i="107" a="1"/>
  <c r="I31" i="107" s="1"/>
  <c r="H126" i="107" s="1"/>
  <c r="I126" i="107" s="1"/>
  <c r="K126" i="107" s="1" a="1"/>
  <c r="K126" i="107" s="1"/>
  <c r="I30" i="107" a="1"/>
  <c r="I30" i="107" s="1"/>
  <c r="H125" i="107" s="1"/>
  <c r="I125" i="107" s="1"/>
  <c r="K125" i="107" s="1" a="1"/>
  <c r="K125" i="107" s="1"/>
  <c r="G22" i="100" a="1"/>
  <c r="G22" i="100" s="1"/>
  <c r="G37" i="100" a="1"/>
  <c r="G37" i="100" s="1"/>
  <c r="E32" i="101"/>
  <c r="K44" i="101" s="1"/>
  <c r="G29" i="100" a="1"/>
  <c r="G29" i="100" s="1"/>
  <c r="G36" i="100" a="1"/>
  <c r="G36" i="100" s="1"/>
  <c r="G33" i="100" a="1"/>
  <c r="G33" i="100" s="1"/>
  <c r="G26" i="100" a="1"/>
  <c r="G26" i="100" s="1"/>
  <c r="G24" i="100" a="1"/>
  <c r="G24" i="100" s="1"/>
  <c r="G34" i="100" a="1"/>
  <c r="G34" i="100" s="1"/>
  <c r="G20" i="100" a="1"/>
  <c r="G20" i="100" s="1"/>
  <c r="Q39" i="95" a="1"/>
  <c r="Q39" i="95" s="1"/>
  <c r="Q32" i="95" a="1"/>
  <c r="Q32" i="95" s="1"/>
  <c r="P25" i="95" a="1"/>
  <c r="P25" i="95" s="1"/>
  <c r="O25" i="95" a="1"/>
  <c r="O25" i="95" s="1"/>
  <c r="N25" i="95" a="1"/>
  <c r="N25" i="95" s="1"/>
  <c r="O36" i="95" a="1"/>
  <c r="O36" i="95" s="1"/>
  <c r="N36" i="95" a="1"/>
  <c r="N36" i="95" s="1"/>
  <c r="P36" i="95" a="1"/>
  <c r="P36" i="95" s="1"/>
  <c r="N35" i="95" a="1"/>
  <c r="N35" i="95" s="1"/>
  <c r="P40" i="95" a="1"/>
  <c r="P40" i="95" s="1"/>
  <c r="O40" i="95" a="1"/>
  <c r="O40" i="95" s="1"/>
  <c r="N40" i="95" a="1"/>
  <c r="N40" i="95" s="1"/>
  <c r="O35" i="95" a="1"/>
  <c r="O35" i="95" s="1"/>
  <c r="O29" i="95" a="1"/>
  <c r="O29" i="95" s="1"/>
  <c r="N29" i="95" a="1"/>
  <c r="N29" i="95" s="1"/>
  <c r="P29" i="95" a="1"/>
  <c r="P29" i="95" s="1"/>
  <c r="P35" i="95" a="1"/>
  <c r="P35" i="95" s="1"/>
  <c r="Q25" i="95" a="1"/>
  <c r="Q25" i="95" s="1"/>
  <c r="Q40" i="95" a="1"/>
  <c r="Q40" i="95" s="1"/>
  <c r="O28" i="95" a="1"/>
  <c r="O28" i="95" s="1"/>
  <c r="P38" i="95" a="1"/>
  <c r="P38" i="95" s="1"/>
  <c r="O38" i="95" a="1"/>
  <c r="O38" i="95" s="1"/>
  <c r="N38" i="95" a="1"/>
  <c r="N38" i="95" s="1"/>
  <c r="Q38" i="95" a="1"/>
  <c r="Q38" i="95" s="1"/>
  <c r="P28" i="95" a="1"/>
  <c r="P28" i="95" s="1"/>
  <c r="Q36" i="95" a="1"/>
  <c r="Q36" i="95" s="1"/>
  <c r="N28" i="95" a="1"/>
  <c r="N28" i="95" s="1"/>
  <c r="P32" i="95" a="1"/>
  <c r="P32" i="95" s="1"/>
  <c r="O32" i="95" a="1"/>
  <c r="O32" i="95" s="1"/>
  <c r="N32" i="95" a="1"/>
  <c r="N32" i="95" s="1"/>
  <c r="P31" i="95" a="1"/>
  <c r="P31" i="95" s="1"/>
  <c r="O31" i="95" a="1"/>
  <c r="O31" i="95" s="1"/>
  <c r="N31" i="95" a="1"/>
  <c r="N31" i="95" s="1"/>
  <c r="Q31" i="95" a="1"/>
  <c r="Q31" i="95" s="1"/>
  <c r="P39" i="95" a="1"/>
  <c r="P39" i="95" s="1"/>
  <c r="O39" i="95" a="1"/>
  <c r="O39" i="95" s="1"/>
  <c r="N39" i="95" a="1"/>
  <c r="N39" i="95" s="1"/>
  <c r="Q39" i="94" a="1"/>
  <c r="Q39" i="94" s="1"/>
  <c r="P39" i="94" a="1"/>
  <c r="P39" i="94" s="1"/>
  <c r="O39" i="94" a="1"/>
  <c r="O39" i="94" s="1"/>
  <c r="N39" i="94" a="1"/>
  <c r="N39" i="94" s="1"/>
  <c r="Q28" i="94" a="1"/>
  <c r="Q28" i="94" s="1"/>
  <c r="P33" i="94" a="1"/>
  <c r="P33" i="94" s="1"/>
  <c r="E51" i="94" s="1"/>
  <c r="O28" i="94" a="1"/>
  <c r="O28" i="94" s="1"/>
  <c r="P28" i="94" a="1"/>
  <c r="P28" i="94" s="1"/>
  <c r="Q25" i="94" a="1"/>
  <c r="Q25" i="94" s="1"/>
  <c r="P25" i="94" a="1"/>
  <c r="P25" i="94" s="1"/>
  <c r="O25" i="94" a="1"/>
  <c r="O25" i="94" s="1"/>
  <c r="N25" i="94" a="1"/>
  <c r="N25" i="94" s="1"/>
  <c r="O33" i="94" a="1"/>
  <c r="O33" i="94" s="1"/>
  <c r="E50" i="94" s="1"/>
  <c r="Q26" i="94" a="1"/>
  <c r="Q26" i="94" s="1"/>
  <c r="P26" i="94" a="1"/>
  <c r="P26" i="94" s="1"/>
  <c r="O26" i="94" a="1"/>
  <c r="O26" i="94" s="1"/>
  <c r="N26" i="94" a="1"/>
  <c r="N26" i="94" s="1"/>
  <c r="N38" i="94" a="1"/>
  <c r="N38" i="94" s="1"/>
  <c r="P31" i="94" a="1"/>
  <c r="P31" i="94" s="1"/>
  <c r="O31" i="94" a="1"/>
  <c r="O31" i="94" s="1"/>
  <c r="N31" i="94" a="1"/>
  <c r="N31" i="94" s="1"/>
  <c r="O35" i="94" a="1"/>
  <c r="O35" i="94" s="1"/>
  <c r="P38" i="94" a="1"/>
  <c r="P38" i="94" s="1"/>
  <c r="P32" i="94" a="1"/>
  <c r="P32" i="94" s="1"/>
  <c r="O30" i="94" a="1"/>
  <c r="O30" i="94" s="1"/>
  <c r="N30" i="94" a="1"/>
  <c r="N30" i="94" s="1"/>
  <c r="P30" i="94" a="1"/>
  <c r="P30" i="94" s="1"/>
  <c r="N36" i="94" a="1"/>
  <c r="N36" i="94" s="1"/>
  <c r="E55" i="94" s="1"/>
  <c r="Q36" i="94" a="1"/>
  <c r="Q36" i="94" s="1"/>
  <c r="E58" i="94" s="1"/>
  <c r="O36" i="94" a="1"/>
  <c r="O36" i="94" s="1"/>
  <c r="P36" i="94" a="1"/>
  <c r="P36" i="94" s="1"/>
  <c r="Q32" i="94" a="1"/>
  <c r="Q32" i="94" s="1"/>
  <c r="Q33" i="94" a="1"/>
  <c r="Q33" i="94" s="1"/>
  <c r="E52" i="94" s="1"/>
  <c r="N27" i="94" a="1"/>
  <c r="N27" i="94" s="1"/>
  <c r="Q27" i="94" a="1"/>
  <c r="Q27" i="94" s="1"/>
  <c r="P27" i="94" a="1"/>
  <c r="P27" i="94" s="1"/>
  <c r="O27" i="94" a="1"/>
  <c r="O27" i="94" s="1"/>
  <c r="Q31" i="94" a="1"/>
  <c r="Q31" i="94" s="1"/>
  <c r="T22" i="87"/>
  <c r="J22" i="87"/>
  <c r="E100" i="84" a="1"/>
  <c r="E100" i="84" s="1"/>
  <c r="E71" i="84" a="1"/>
  <c r="E71" i="84" s="1"/>
  <c r="E73" i="84" a="1"/>
  <c r="E73" i="84" s="1"/>
  <c r="O73" i="84" a="1"/>
  <c r="O73" i="84" s="1"/>
  <c r="E74" i="84" a="1"/>
  <c r="E74" i="84" s="1"/>
  <c r="O74" i="84" a="1"/>
  <c r="O74" i="84" s="1"/>
  <c r="O72" i="84" a="1"/>
  <c r="O72" i="84" s="1"/>
  <c r="E72" i="84" a="1"/>
  <c r="E72" i="84" s="1"/>
  <c r="O75" i="84" a="1"/>
  <c r="O75" i="84" s="1"/>
  <c r="E75" i="84" a="1"/>
  <c r="E75" i="84" s="1"/>
  <c r="O68" i="83" a="1"/>
  <c r="O68" i="83" s="1"/>
  <c r="H88" i="83"/>
  <c r="R88" i="83"/>
  <c r="O100" i="84" a="1"/>
  <c r="O100" i="84" s="1"/>
  <c r="E68" i="83" a="1"/>
  <c r="E68" i="83" s="1"/>
  <c r="E40" i="83" a="1"/>
  <c r="E40" i="83" s="1"/>
  <c r="E106" i="83" s="1" a="1"/>
  <c r="E106" i="83" s="1"/>
  <c r="O40" i="83" a="1"/>
  <c r="O40" i="83" s="1"/>
  <c r="E37" i="83" a="1"/>
  <c r="E37" i="83" s="1"/>
  <c r="E103" i="83" s="1" a="1"/>
  <c r="E103" i="83" s="1"/>
  <c r="O37" i="83" a="1"/>
  <c r="O37" i="83" s="1"/>
  <c r="O41" i="83" a="1"/>
  <c r="O41" i="83" s="1"/>
  <c r="E41" i="83" a="1"/>
  <c r="E41" i="83" s="1"/>
  <c r="O39" i="83" a="1"/>
  <c r="O39" i="83" s="1"/>
  <c r="E39" i="83" a="1"/>
  <c r="E39" i="83" s="1"/>
  <c r="R107" i="83" l="1" a="1"/>
  <c r="R107" i="83" s="1"/>
  <c r="R106" i="83" a="1"/>
  <c r="R106" i="83" s="1"/>
  <c r="G105" i="83" a="1"/>
  <c r="G105" i="83" s="1"/>
  <c r="F105" i="83" a="1"/>
  <c r="F105" i="83" s="1"/>
  <c r="F106" i="83" a="1"/>
  <c r="F106" i="83" s="1"/>
  <c r="H103" i="83" a="1"/>
  <c r="H103" i="83" s="1"/>
  <c r="F108" i="83" a="1"/>
  <c r="F108" i="83" s="1"/>
  <c r="P105" i="83" a="1"/>
  <c r="P105" i="83" s="1"/>
  <c r="Q103" i="83" a="1"/>
  <c r="Q103" i="83" s="1"/>
  <c r="R105" i="83" a="1"/>
  <c r="R105" i="83" s="1"/>
  <c r="O108" i="83" a="1"/>
  <c r="O108" i="83" s="1"/>
  <c r="P103" i="83" a="1"/>
  <c r="P103" i="83" s="1"/>
  <c r="R108" i="83" a="1"/>
  <c r="R108" i="83" s="1"/>
  <c r="E107" i="83" a="1"/>
  <c r="E107" i="83" s="1"/>
  <c r="G108" i="83" a="1"/>
  <c r="G108" i="83" s="1"/>
  <c r="H104" i="83" a="1"/>
  <c r="H104" i="83" s="1"/>
  <c r="H105" i="83" a="1"/>
  <c r="H105" i="83" s="1"/>
  <c r="R103" i="83" a="1"/>
  <c r="R103" i="83" s="1"/>
  <c r="Q105" i="83" a="1"/>
  <c r="Q105" i="83" s="1"/>
  <c r="O11" i="99"/>
  <c r="Q14" i="99"/>
  <c r="Q13" i="99"/>
  <c r="H107" i="83" a="1"/>
  <c r="H107" i="83" s="1"/>
  <c r="Q35" i="95" a="1"/>
  <c r="Q35" i="95" s="1"/>
  <c r="Q29" i="95" a="1"/>
  <c r="Q29" i="95" s="1"/>
  <c r="Q108" i="83" a="1"/>
  <c r="Q108" i="83" s="1"/>
  <c r="G23" i="100" a="1"/>
  <c r="G23" i="100" s="1"/>
  <c r="I72" i="107" a="1"/>
  <c r="I72" i="107" s="1"/>
  <c r="H170" i="107" s="1"/>
  <c r="I83" i="107" a="1"/>
  <c r="I83" i="107" s="1"/>
  <c r="H181" i="107" s="1"/>
  <c r="I179" i="107" s="1"/>
  <c r="K179" i="107" s="1" a="1"/>
  <c r="K179" i="107" s="1"/>
  <c r="K258" i="114" a="1"/>
  <c r="K258" i="114" s="1"/>
  <c r="I51" i="107" a="1"/>
  <c r="I51" i="107" s="1"/>
  <c r="H146" i="107" s="1"/>
  <c r="P108" i="83" a="1"/>
  <c r="P108" i="83" s="1"/>
  <c r="O134" i="87"/>
  <c r="E187" i="84" a="1"/>
  <c r="E187" i="84" s="1"/>
  <c r="O165" i="83"/>
  <c r="O217" i="84"/>
  <c r="E79" i="85"/>
  <c r="E182" i="87"/>
  <c r="E52" i="87"/>
  <c r="E165" i="83"/>
  <c r="O270" i="84"/>
  <c r="E270" i="84"/>
  <c r="O251" i="87"/>
  <c r="E221" i="87"/>
  <c r="E82" i="87"/>
  <c r="E22" i="87"/>
  <c r="E217" i="84"/>
  <c r="E251" i="87"/>
  <c r="O52" i="87"/>
  <c r="O32" i="85"/>
  <c r="E134" i="87"/>
  <c r="O22" i="87"/>
  <c r="O182" i="87"/>
  <c r="E32" i="85"/>
  <c r="O79" i="85"/>
  <c r="E131" i="83" a="1"/>
  <c r="E131" i="83" s="1"/>
  <c r="G106" i="83" a="1"/>
  <c r="G106" i="83" s="1"/>
  <c r="E224" i="87"/>
  <c r="E254" i="87"/>
  <c r="E25" i="87"/>
  <c r="E35" i="85"/>
  <c r="O273" i="84"/>
  <c r="E273" i="84"/>
  <c r="O137" i="87"/>
  <c r="O185" i="87"/>
  <c r="E55" i="87"/>
  <c r="E137" i="87"/>
  <c r="E85" i="87"/>
  <c r="O55" i="87"/>
  <c r="O220" i="84"/>
  <c r="O254" i="87"/>
  <c r="E185" i="87"/>
  <c r="E82" i="85"/>
  <c r="O82" i="85"/>
  <c r="O35" i="85"/>
  <c r="E220" i="84"/>
  <c r="O25" i="87"/>
  <c r="P33" i="95" a="1"/>
  <c r="P33" i="95" s="1"/>
  <c r="O33" i="95" a="1"/>
  <c r="O33" i="95" s="1"/>
  <c r="N33" i="95" a="1"/>
  <c r="N33" i="95" s="1"/>
  <c r="E218" i="84"/>
  <c r="O252" i="87"/>
  <c r="O23" i="87"/>
  <c r="O33" i="85"/>
  <c r="O135" i="87"/>
  <c r="O166" i="83"/>
  <c r="E135" i="87"/>
  <c r="E166" i="83"/>
  <c r="E271" i="84"/>
  <c r="O218" i="84"/>
  <c r="E222" i="87"/>
  <c r="E83" i="87"/>
  <c r="E23" i="87"/>
  <c r="O53" i="87"/>
  <c r="O183" i="87"/>
  <c r="E53" i="87"/>
  <c r="E33" i="85"/>
  <c r="E183" i="87"/>
  <c r="E252" i="87"/>
  <c r="O80" i="85"/>
  <c r="E80" i="85"/>
  <c r="O271" i="84"/>
  <c r="Q35" i="84" a="1"/>
  <c r="Q35" i="84" s="1"/>
  <c r="N25" i="84"/>
  <c r="N35" i="84" s="1" a="1"/>
  <c r="N35" i="84" s="1"/>
  <c r="O35" i="84" a="1"/>
  <c r="O35" i="84" s="1"/>
  <c r="P35" i="84" a="1"/>
  <c r="P35" i="84" s="1"/>
  <c r="G290" i="114" a="1"/>
  <c r="G290" i="114" s="1"/>
  <c r="E19" i="100" a="1"/>
  <c r="E19" i="100" s="1"/>
  <c r="I77" i="107" a="1"/>
  <c r="I77" i="107" s="1"/>
  <c r="H175" i="107" s="1"/>
  <c r="I175" i="107" s="1"/>
  <c r="K175" i="107" s="1" a="1"/>
  <c r="K175" i="107" s="1"/>
  <c r="G59" i="107" a="1"/>
  <c r="G59" i="107" s="1"/>
  <c r="I59" i="107" s="1" a="1"/>
  <c r="I59" i="107" s="1"/>
  <c r="H157" i="107" s="1"/>
  <c r="Q106" i="83" a="1"/>
  <c r="Q106" i="83" s="1"/>
  <c r="G30" i="99" a="1"/>
  <c r="G30" i="99" s="1"/>
  <c r="P37" i="95" a="1"/>
  <c r="P37" i="95" s="1"/>
  <c r="I62" i="107" a="1"/>
  <c r="I62" i="107" s="1"/>
  <c r="H160" i="107" s="1"/>
  <c r="I160" i="107" s="1"/>
  <c r="K160" i="107" s="1" a="1"/>
  <c r="K160" i="107" s="1"/>
  <c r="I65" i="107" a="1"/>
  <c r="I65" i="107" s="1"/>
  <c r="H163" i="107" s="1"/>
  <c r="I163" i="107" s="1"/>
  <c r="K163" i="107" s="1" a="1"/>
  <c r="K163" i="107" s="1"/>
  <c r="I295" i="114" a="1"/>
  <c r="I295" i="114" s="1"/>
  <c r="G295" i="114" a="1"/>
  <c r="G295" i="114" s="1"/>
  <c r="I73" i="107" a="1"/>
  <c r="I73" i="107" s="1"/>
  <c r="H171" i="107" s="1"/>
  <c r="P30" i="95" a="1"/>
  <c r="P30" i="95" s="1"/>
  <c r="O30" i="95" a="1"/>
  <c r="O30" i="95" s="1"/>
  <c r="N30" i="95" a="1"/>
  <c r="N30" i="95" s="1"/>
  <c r="Q33" i="95" a="1"/>
  <c r="Q33" i="95" s="1"/>
  <c r="I64" i="107" a="1"/>
  <c r="I64" i="107" s="1"/>
  <c r="H162" i="107" s="1"/>
  <c r="I162" i="107" s="1"/>
  <c r="K162" i="107" s="1" a="1"/>
  <c r="K162" i="107" s="1"/>
  <c r="D26" i="89" a="1"/>
  <c r="D26" i="89" s="1"/>
  <c r="D56" i="89" s="1" a="1"/>
  <c r="D56" i="89" s="1"/>
  <c r="F26" i="89" a="1"/>
  <c r="F26" i="89" s="1"/>
  <c r="F56" i="89" s="1" a="1"/>
  <c r="F56" i="89" s="1"/>
  <c r="D20" i="89"/>
  <c r="E26" i="89" a="1"/>
  <c r="E26" i="89" s="1"/>
  <c r="E56" i="89" s="1" a="1"/>
  <c r="E56" i="89" s="1"/>
  <c r="G26" i="89" a="1"/>
  <c r="G26" i="89" s="1"/>
  <c r="G56" i="89" s="1" a="1"/>
  <c r="G56" i="89" s="1"/>
  <c r="R104" i="83" a="1"/>
  <c r="R104" i="83" s="1"/>
  <c r="F61" i="114"/>
  <c r="G61" i="114" s="1" a="1"/>
  <c r="G61" i="114" s="1"/>
  <c r="G64" i="114" a="1"/>
  <c r="G64" i="114" s="1"/>
  <c r="G68" i="114" a="1"/>
  <c r="G68" i="114" s="1"/>
  <c r="G62" i="114" a="1"/>
  <c r="G62" i="114" s="1"/>
  <c r="G63" i="114" a="1"/>
  <c r="G63" i="114" s="1"/>
  <c r="G66" i="114" a="1"/>
  <c r="G66" i="114" s="1"/>
  <c r="G69" i="114" a="1"/>
  <c r="G69" i="114" s="1"/>
  <c r="G65" i="114" a="1"/>
  <c r="G65" i="114" s="1"/>
  <c r="G67" i="114" a="1"/>
  <c r="G67" i="114" s="1"/>
  <c r="G70" i="114" a="1"/>
  <c r="G70" i="114" s="1"/>
  <c r="D25" i="84"/>
  <c r="D35" i="84" s="1" a="1"/>
  <c r="D35" i="84" s="1"/>
  <c r="E121" i="84" s="1" a="1"/>
  <c r="E121" i="84" s="1"/>
  <c r="E25" i="85" s="1"/>
  <c r="E35" i="84" a="1"/>
  <c r="E35" i="84" s="1"/>
  <c r="F35" i="84" a="1"/>
  <c r="F35" i="84" s="1"/>
  <c r="G35" i="84" a="1"/>
  <c r="G35" i="84" s="1"/>
  <c r="P104" i="83" a="1"/>
  <c r="P104" i="83" s="1"/>
  <c r="N27" i="95" a="1"/>
  <c r="N27" i="95" s="1"/>
  <c r="P27" i="95" a="1"/>
  <c r="P27" i="95" s="1"/>
  <c r="O27" i="95" a="1"/>
  <c r="O27" i="95" s="1"/>
  <c r="E44" i="95" s="1"/>
  <c r="E62" i="94"/>
  <c r="M26" i="89" a="1"/>
  <c r="M26" i="89" s="1"/>
  <c r="M56" i="89" s="1" a="1"/>
  <c r="M56" i="89" s="1"/>
  <c r="M20" i="89"/>
  <c r="N26" i="89" a="1"/>
  <c r="N26" i="89" s="1"/>
  <c r="N56" i="89" s="1" a="1"/>
  <c r="N56" i="89" s="1"/>
  <c r="P26" i="89" a="1"/>
  <c r="P26" i="89" s="1"/>
  <c r="P56" i="89" s="1" a="1"/>
  <c r="P56" i="89" s="1"/>
  <c r="O26" i="89" a="1"/>
  <c r="O26" i="89" s="1"/>
  <c r="O56" i="89" s="1" a="1"/>
  <c r="O56" i="89" s="1"/>
  <c r="I69" i="107" a="1"/>
  <c r="I69" i="107" s="1"/>
  <c r="H167" i="107" s="1"/>
  <c r="I167" i="107" s="1"/>
  <c r="K167" i="107" s="1" a="1"/>
  <c r="K167" i="107" s="1"/>
  <c r="Q30" i="95" a="1"/>
  <c r="Q30" i="95" s="1"/>
  <c r="Q104" i="83" a="1"/>
  <c r="Q104" i="83" s="1"/>
  <c r="O21" i="99"/>
  <c r="Q25" i="99"/>
  <c r="Q27" i="99"/>
  <c r="Q22" i="99"/>
  <c r="Q24" i="99"/>
  <c r="Q26" i="99"/>
  <c r="Q28" i="99"/>
  <c r="Q30" i="99"/>
  <c r="Q23" i="99"/>
  <c r="E90" i="114"/>
  <c r="G287" i="114" a="1"/>
  <c r="G287" i="114" s="1"/>
  <c r="I287" i="114" a="1"/>
  <c r="I287" i="114" s="1"/>
  <c r="G21" i="107" a="1"/>
  <c r="G21" i="107" s="1"/>
  <c r="I21" i="107" s="1" a="1"/>
  <c r="I21" i="107" s="1"/>
  <c r="H116" i="107" s="1"/>
  <c r="G157" i="107" a="1"/>
  <c r="G157" i="107" s="1"/>
  <c r="I157" i="107" s="1"/>
  <c r="K157" i="107" s="1" a="1"/>
  <c r="K157" i="107" s="1"/>
  <c r="G116" i="107" a="1"/>
  <c r="G116" i="107" s="1"/>
  <c r="P26" i="95" a="1"/>
  <c r="P26" i="95" s="1"/>
  <c r="E45" i="95" s="1"/>
  <c r="N26" i="95" a="1"/>
  <c r="N26" i="95" s="1"/>
  <c r="O26" i="95" a="1"/>
  <c r="O26" i="95" s="1"/>
  <c r="N37" i="95" a="1"/>
  <c r="N37" i="95" s="1"/>
  <c r="P11" i="99" a="1"/>
  <c r="P11" i="99" s="1"/>
  <c r="I289" i="114" a="1"/>
  <c r="I289" i="114" s="1"/>
  <c r="G289" i="114" a="1"/>
  <c r="G289" i="114" s="1"/>
  <c r="G104" i="83" a="1"/>
  <c r="G104" i="83" s="1"/>
  <c r="I60" i="107" a="1"/>
  <c r="I60" i="107" s="1"/>
  <c r="H158" i="107" s="1"/>
  <c r="I158" i="107" s="1"/>
  <c r="K158" i="107" s="1" a="1"/>
  <c r="K158" i="107" s="1"/>
  <c r="I291" i="114" a="1"/>
  <c r="I291" i="114" s="1"/>
  <c r="G291" i="114" a="1"/>
  <c r="G291" i="114" s="1"/>
  <c r="N34" i="95" a="1"/>
  <c r="N34" i="95" s="1"/>
  <c r="E49" i="95" s="1"/>
  <c r="P34" i="95" a="1"/>
  <c r="P34" i="95" s="1"/>
  <c r="O34" i="95" a="1"/>
  <c r="O34" i="95" s="1"/>
  <c r="Q107" i="83" a="1"/>
  <c r="Q107" i="83" s="1"/>
  <c r="F107" i="83" a="1"/>
  <c r="F107" i="83" s="1"/>
  <c r="P106" i="83" a="1"/>
  <c r="P106" i="83" s="1"/>
  <c r="O37" i="95" a="1"/>
  <c r="O37" i="95" s="1"/>
  <c r="E34" i="103"/>
  <c r="H34" i="103" s="1" a="1"/>
  <c r="H34" i="103" s="1"/>
  <c r="E74" i="103" s="1"/>
  <c r="E38" i="104"/>
  <c r="E36" i="103"/>
  <c r="H36" i="103" s="1" a="1"/>
  <c r="H36" i="103" s="1"/>
  <c r="E76" i="103" s="1"/>
  <c r="E40" i="104"/>
  <c r="E41" i="104"/>
  <c r="E37" i="103"/>
  <c r="H37" i="103" s="1" a="1"/>
  <c r="H37" i="103" s="1"/>
  <c r="E77" i="103" s="1"/>
  <c r="E28" i="104"/>
  <c r="E24" i="103"/>
  <c r="H24" i="103" s="1" a="1"/>
  <c r="H24" i="103" s="1"/>
  <c r="E64" i="103" s="1"/>
  <c r="E32" i="104"/>
  <c r="E28" i="103"/>
  <c r="H28" i="103" s="1" a="1"/>
  <c r="H28" i="103" s="1"/>
  <c r="E68" i="103" s="1"/>
  <c r="E35" i="103"/>
  <c r="H35" i="103" s="1" a="1"/>
  <c r="H35" i="103" s="1"/>
  <c r="E75" i="103" s="1"/>
  <c r="E39" i="104"/>
  <c r="E31" i="103"/>
  <c r="H31" i="103" s="1" a="1"/>
  <c r="H31" i="103" s="1"/>
  <c r="E71" i="103" s="1"/>
  <c r="E35" i="104"/>
  <c r="E104" i="103"/>
  <c r="F104" i="103" s="1" a="1"/>
  <c r="F104" i="103" s="1"/>
  <c r="E136" i="103" s="1"/>
  <c r="E67" i="104"/>
  <c r="E34" i="104"/>
  <c r="E30" i="103"/>
  <c r="H30" i="103" s="1" a="1"/>
  <c r="H30" i="103" s="1"/>
  <c r="E70" i="103" s="1"/>
  <c r="E102" i="103"/>
  <c r="F102" i="103" s="1" a="1"/>
  <c r="F102" i="103" s="1"/>
  <c r="E134" i="103" s="1"/>
  <c r="E65" i="104"/>
  <c r="E24" i="104"/>
  <c r="E20" i="103"/>
  <c r="H20" i="103" s="1" a="1"/>
  <c r="H20" i="103" s="1"/>
  <c r="E60" i="103" s="1"/>
  <c r="E23" i="103"/>
  <c r="H23" i="103" s="1" a="1"/>
  <c r="H23" i="103" s="1"/>
  <c r="E63" i="103" s="1"/>
  <c r="E27" i="104"/>
  <c r="E22" i="103"/>
  <c r="H22" i="103" s="1" a="1"/>
  <c r="H22" i="103" s="1"/>
  <c r="E62" i="103" s="1"/>
  <c r="E26" i="104"/>
  <c r="E32" i="103"/>
  <c r="H32" i="103" s="1" a="1"/>
  <c r="H32" i="103" s="1"/>
  <c r="E72" i="103" s="1"/>
  <c r="E36" i="104"/>
  <c r="E25" i="104"/>
  <c r="E21" i="103"/>
  <c r="H21" i="103" s="1" a="1"/>
  <c r="H21" i="103" s="1"/>
  <c r="E61" i="103" s="1"/>
  <c r="E33" i="104"/>
  <c r="E29" i="103"/>
  <c r="H29" i="103" s="1" a="1"/>
  <c r="H29" i="103" s="1"/>
  <c r="E69" i="103" s="1"/>
  <c r="E25" i="103"/>
  <c r="H25" i="103" s="1" a="1"/>
  <c r="H25" i="103" s="1"/>
  <c r="E65" i="103" s="1"/>
  <c r="E29" i="104"/>
  <c r="E26" i="103"/>
  <c r="H26" i="103" s="1" a="1"/>
  <c r="H26" i="103" s="1"/>
  <c r="E66" i="103" s="1"/>
  <c r="E30" i="104"/>
  <c r="E33" i="103"/>
  <c r="H33" i="103" s="1" a="1"/>
  <c r="H33" i="103" s="1"/>
  <c r="E73" i="103" s="1"/>
  <c r="E37" i="104"/>
  <c r="E332" i="114"/>
  <c r="E331" i="114"/>
  <c r="N34" i="99"/>
  <c r="Q21" i="99"/>
  <c r="E27" i="103"/>
  <c r="H27" i="103" s="1" a="1"/>
  <c r="H27" i="103" s="1"/>
  <c r="E67" i="103" s="1"/>
  <c r="E31" i="104"/>
  <c r="H241" i="114" a="1"/>
  <c r="H241" i="114" s="1"/>
  <c r="F245" i="114" a="1"/>
  <c r="F245" i="114" s="1"/>
  <c r="G245" i="114" s="1" a="1"/>
  <c r="G245" i="114" s="1"/>
  <c r="J238" i="114" a="1"/>
  <c r="J238" i="114" s="1"/>
  <c r="F237" i="114" a="1"/>
  <c r="F237" i="114" s="1"/>
  <c r="G237" i="114" s="1" a="1"/>
  <c r="G237" i="114" s="1"/>
  <c r="H242" i="114" a="1"/>
  <c r="H242" i="114" s="1"/>
  <c r="F242" i="114" a="1"/>
  <c r="F242" i="114" s="1"/>
  <c r="G242" i="114" s="1" a="1"/>
  <c r="G242" i="114" s="1"/>
  <c r="F244" i="114" a="1"/>
  <c r="F244" i="114" s="1"/>
  <c r="G244" i="114" s="1" a="1"/>
  <c r="G244" i="114" s="1"/>
  <c r="F241" i="114" a="1"/>
  <c r="F241" i="114" s="1"/>
  <c r="G241" i="114" s="1" a="1"/>
  <c r="G241" i="114" s="1"/>
  <c r="F236" i="114" a="1"/>
  <c r="F236" i="114" s="1"/>
  <c r="K242" i="114" a="1"/>
  <c r="K242" i="114" s="1"/>
  <c r="J239" i="114" a="1"/>
  <c r="J239" i="114" s="1"/>
  <c r="J245" i="114" a="1"/>
  <c r="J245" i="114" s="1"/>
  <c r="H240" i="114" a="1"/>
  <c r="H240" i="114" s="1"/>
  <c r="K238" i="114" a="1"/>
  <c r="K238" i="114" s="1"/>
  <c r="H245" i="114" a="1"/>
  <c r="H245" i="114" s="1"/>
  <c r="K245" i="114" a="1"/>
  <c r="K245" i="114" s="1"/>
  <c r="K237" i="114" a="1"/>
  <c r="K237" i="114" s="1"/>
  <c r="H239" i="114" a="1"/>
  <c r="H239" i="114" s="1"/>
  <c r="J240" i="114" a="1"/>
  <c r="J240" i="114" s="1"/>
  <c r="J237" i="114" a="1"/>
  <c r="J237" i="114" s="1"/>
  <c r="H237" i="114" a="1"/>
  <c r="H237" i="114" s="1"/>
  <c r="K239" i="114" a="1"/>
  <c r="K239" i="114" s="1"/>
  <c r="K243" i="114" a="1"/>
  <c r="K243" i="114" s="1"/>
  <c r="K241" i="114" a="1"/>
  <c r="K241" i="114" s="1"/>
  <c r="F243" i="114" a="1"/>
  <c r="F243" i="114" s="1"/>
  <c r="G243" i="114" s="1" a="1"/>
  <c r="G243" i="114" s="1"/>
  <c r="H238" i="114" a="1"/>
  <c r="H238" i="114" s="1"/>
  <c r="K240" i="114" a="1"/>
  <c r="K240" i="114" s="1"/>
  <c r="H243" i="114" a="1"/>
  <c r="H243" i="114" s="1"/>
  <c r="F240" i="114" a="1"/>
  <c r="F240" i="114" s="1"/>
  <c r="G240" i="114" s="1" a="1"/>
  <c r="G240" i="114" s="1"/>
  <c r="H244" i="114" a="1"/>
  <c r="H244" i="114" s="1"/>
  <c r="F238" i="114" a="1"/>
  <c r="F238" i="114" s="1"/>
  <c r="G238" i="114" s="1" a="1"/>
  <c r="G238" i="114" s="1"/>
  <c r="K244" i="114" a="1"/>
  <c r="K244" i="114" s="1"/>
  <c r="F239" i="114" a="1"/>
  <c r="F239" i="114" s="1"/>
  <c r="G239" i="114" s="1" a="1"/>
  <c r="G239" i="114" s="1"/>
  <c r="J241" i="114" a="1"/>
  <c r="J241" i="114" s="1"/>
  <c r="J244" i="114" a="1"/>
  <c r="J244" i="114" s="1"/>
  <c r="J242" i="114" a="1"/>
  <c r="J242" i="114" s="1"/>
  <c r="E236" i="114"/>
  <c r="G125" i="114" a="1"/>
  <c r="G125" i="114" s="1"/>
  <c r="E64" i="94"/>
  <c r="E57" i="94"/>
  <c r="I124" i="114" a="1"/>
  <c r="I124" i="114" s="1"/>
  <c r="E474" i="114"/>
  <c r="F38" i="13" s="1" a="1"/>
  <c r="F38" i="13" s="1"/>
  <c r="I38" i="13" s="1"/>
  <c r="E298" i="114"/>
  <c r="E299" i="114"/>
  <c r="E456" i="114"/>
  <c r="E393" i="114"/>
  <c r="E475" i="114"/>
  <c r="I127" i="114" a="1"/>
  <c r="I127" i="114" s="1"/>
  <c r="G127" i="114" a="1"/>
  <c r="G127" i="114" s="1"/>
  <c r="E394" i="114"/>
  <c r="I126" i="114" a="1"/>
  <c r="I126" i="114" s="1"/>
  <c r="G126" i="114" a="1"/>
  <c r="G126" i="114" s="1"/>
  <c r="I128" i="114" a="1"/>
  <c r="I128" i="114" s="1"/>
  <c r="G128" i="114" a="1"/>
  <c r="G128" i="114" s="1"/>
  <c r="E34" i="114"/>
  <c r="E35" i="114"/>
  <c r="E94" i="114" s="1"/>
  <c r="E457" i="114"/>
  <c r="G19" i="100" a="1"/>
  <c r="G19" i="100" s="1"/>
  <c r="I168" i="107"/>
  <c r="K168" i="107" s="1" a="1"/>
  <c r="K168" i="107" s="1"/>
  <c r="I127" i="107"/>
  <c r="K127" i="107" s="1" a="1"/>
  <c r="K127" i="107" s="1"/>
  <c r="I138" i="107"/>
  <c r="K138" i="107" s="1" a="1"/>
  <c r="K138" i="107" s="1"/>
  <c r="I144" i="107"/>
  <c r="K144" i="107" s="1" a="1"/>
  <c r="K144" i="107" s="1"/>
  <c r="I116" i="107"/>
  <c r="K116" i="107" s="1" a="1"/>
  <c r="K116" i="107" s="1"/>
  <c r="G19" i="99" a="1"/>
  <c r="G19" i="99" s="1"/>
  <c r="E61" i="94"/>
  <c r="E52" i="95"/>
  <c r="E56" i="94"/>
  <c r="E51" i="95"/>
  <c r="E63" i="94"/>
  <c r="E46" i="95"/>
  <c r="E43" i="95"/>
  <c r="E50" i="95"/>
  <c r="E46" i="94"/>
  <c r="E70" i="94" s="1"/>
  <c r="I530" i="114" s="1"/>
  <c r="E45" i="94"/>
  <c r="E44" i="94"/>
  <c r="E43" i="94"/>
  <c r="O107" i="83" a="1"/>
  <c r="O107" i="83" s="1"/>
  <c r="O121" i="84" a="1"/>
  <c r="O121" i="84" s="1"/>
  <c r="O25" i="85" s="1"/>
  <c r="O120" i="84" a="1"/>
  <c r="O120" i="84" s="1"/>
  <c r="O24" i="85" s="1"/>
  <c r="O119" i="84" a="1"/>
  <c r="O119" i="84" s="1"/>
  <c r="O123" i="84" a="1"/>
  <c r="O123" i="84" s="1"/>
  <c r="O27" i="85" s="1"/>
  <c r="O122" i="84" a="1"/>
  <c r="O122" i="84" s="1"/>
  <c r="O26" i="85" s="1"/>
  <c r="O118" i="84" a="1"/>
  <c r="O118" i="84" s="1"/>
  <c r="O22" i="85" s="1"/>
  <c r="O106" i="83" a="1"/>
  <c r="O106" i="83" s="1"/>
  <c r="E105" i="83" a="1"/>
  <c r="E105" i="83" s="1"/>
  <c r="E108" i="83" a="1"/>
  <c r="E108" i="83" s="1"/>
  <c r="O105" i="83" a="1"/>
  <c r="O105" i="83" s="1"/>
  <c r="O103" i="83" a="1"/>
  <c r="O103" i="83" s="1"/>
  <c r="F34" i="13" a="1"/>
  <c r="F34" i="13" s="1"/>
  <c r="I34" i="13" s="1"/>
  <c r="E120" i="84" l="1" a="1"/>
  <c r="E120" i="84" s="1"/>
  <c r="E24" i="85" s="1"/>
  <c r="E122" i="84" a="1"/>
  <c r="E122" i="84" s="1"/>
  <c r="E26" i="85" s="1"/>
  <c r="E118" i="84" a="1"/>
  <c r="E118" i="84" s="1"/>
  <c r="E22" i="85" s="1"/>
  <c r="E123" i="84" a="1"/>
  <c r="E123" i="84" s="1"/>
  <c r="E27" i="85" s="1"/>
  <c r="E119" i="84" a="1"/>
  <c r="E119" i="84" s="1"/>
  <c r="N58" i="89"/>
  <c r="P60" i="89" s="1"/>
  <c r="Q15" i="99"/>
  <c r="Q18" i="99"/>
  <c r="E72" i="114"/>
  <c r="E34" i="13" s="1" a="1"/>
  <c r="E34" i="13" s="1"/>
  <c r="Q12" i="99"/>
  <c r="H123" i="84" a="1"/>
  <c r="H123" i="84" s="1"/>
  <c r="H122" i="84" a="1"/>
  <c r="H122" i="84" s="1"/>
  <c r="H118" i="84" a="1"/>
  <c r="H118" i="84" s="1"/>
  <c r="H121" i="84" a="1"/>
  <c r="H121" i="84" s="1"/>
  <c r="H120" i="84" a="1"/>
  <c r="H120" i="84" s="1"/>
  <c r="H119" i="84" a="1"/>
  <c r="H119" i="84" s="1"/>
  <c r="Q19" i="99"/>
  <c r="G120" i="84" a="1"/>
  <c r="G120" i="84" s="1"/>
  <c r="G122" i="84" a="1"/>
  <c r="G122" i="84" s="1"/>
  <c r="G123" i="84" a="1"/>
  <c r="G123" i="84" s="1"/>
  <c r="G118" i="84" a="1"/>
  <c r="G118" i="84" s="1"/>
  <c r="G121" i="84" a="1"/>
  <c r="G121" i="84" s="1"/>
  <c r="G119" i="84" a="1"/>
  <c r="G119" i="84" s="1"/>
  <c r="Q120" i="84" a="1"/>
  <c r="Q120" i="84" s="1"/>
  <c r="Q123" i="84" a="1"/>
  <c r="Q123" i="84" s="1"/>
  <c r="Q121" i="84" a="1"/>
  <c r="Q121" i="84" s="1"/>
  <c r="Q122" i="84" a="1"/>
  <c r="Q122" i="84" s="1"/>
  <c r="Q118" i="84" a="1"/>
  <c r="Q118" i="84" s="1"/>
  <c r="Q119" i="84" a="1"/>
  <c r="Q119" i="84" s="1"/>
  <c r="Q16" i="99"/>
  <c r="F123" i="84" a="1"/>
  <c r="F123" i="84" s="1"/>
  <c r="F120" i="84" a="1"/>
  <c r="F120" i="84" s="1"/>
  <c r="F122" i="84" a="1"/>
  <c r="F122" i="84" s="1"/>
  <c r="F121" i="84" a="1"/>
  <c r="F121" i="84" s="1"/>
  <c r="F118" i="84" a="1"/>
  <c r="F118" i="84" s="1"/>
  <c r="F119" i="84" a="1"/>
  <c r="F119" i="84" s="1"/>
  <c r="P120" i="84" a="1"/>
  <c r="P120" i="84" s="1"/>
  <c r="P119" i="84" a="1"/>
  <c r="P119" i="84" s="1"/>
  <c r="P118" i="84" a="1"/>
  <c r="P118" i="84" s="1"/>
  <c r="P122" i="84" a="1"/>
  <c r="P122" i="84" s="1"/>
  <c r="P121" i="84" a="1"/>
  <c r="P121" i="84" s="1"/>
  <c r="P123" i="84" a="1"/>
  <c r="P123" i="84" s="1"/>
  <c r="Q17" i="99"/>
  <c r="Q20" i="99"/>
  <c r="N33" i="99" s="1"/>
  <c r="R119" i="84" a="1"/>
  <c r="R119" i="84" s="1"/>
  <c r="R122" i="84" a="1"/>
  <c r="R122" i="84" s="1"/>
  <c r="R121" i="84" a="1"/>
  <c r="R121" i="84" s="1"/>
  <c r="R123" i="84" a="1"/>
  <c r="R123" i="84" s="1"/>
  <c r="R120" i="84" a="1"/>
  <c r="R120" i="84" s="1"/>
  <c r="R118" i="84" a="1"/>
  <c r="R118" i="84" s="1"/>
  <c r="Q11" i="99"/>
  <c r="E58" i="89"/>
  <c r="G60" i="89" s="1"/>
  <c r="E23" i="104"/>
  <c r="E19" i="103"/>
  <c r="H19" i="103" s="1" a="1"/>
  <c r="H19" i="103" s="1"/>
  <c r="E59" i="103" s="1"/>
  <c r="G236" i="114" a="1"/>
  <c r="G236" i="114" s="1"/>
  <c r="E263" i="114" s="1"/>
  <c r="H236" i="114" a="1"/>
  <c r="H236" i="114" s="1"/>
  <c r="E266" i="114" s="1"/>
  <c r="J236" i="114" a="1"/>
  <c r="J236" i="114" s="1"/>
  <c r="E264" i="114" s="1"/>
  <c r="K236" i="114" a="1"/>
  <c r="K236" i="114" s="1"/>
  <c r="E267" i="114" s="1"/>
  <c r="E38" i="13" a="1"/>
  <c r="E38" i="13" s="1"/>
  <c r="H38" i="13" s="1"/>
  <c r="O23" i="85"/>
  <c r="N23" i="86"/>
  <c r="E23" i="85"/>
  <c r="E23" i="86"/>
  <c r="E131" i="114"/>
  <c r="E159" i="114" s="1"/>
  <c r="E35" i="13" s="1" a="1"/>
  <c r="E35" i="13" s="1"/>
  <c r="E192" i="107"/>
  <c r="E603" i="114" s="1"/>
  <c r="E132" i="114"/>
  <c r="E160" i="114" s="1"/>
  <c r="E151" i="107"/>
  <c r="E20" i="13" s="1" a="1"/>
  <c r="E20" i="13" s="1"/>
  <c r="F20" i="13" s="1"/>
  <c r="I20" i="13" s="1"/>
  <c r="E67" i="94"/>
  <c r="E14" i="13" s="1" a="1"/>
  <c r="E14" i="13" s="1"/>
  <c r="E68" i="94"/>
  <c r="E15" i="13" s="1" a="1"/>
  <c r="E15" i="13" s="1"/>
  <c r="F15" i="13" s="1"/>
  <c r="E57" i="95"/>
  <c r="E19" i="13" s="1" a="1"/>
  <c r="E19" i="13" s="1"/>
  <c r="F19" i="13" s="1"/>
  <c r="E69" i="94"/>
  <c r="E16" i="13" s="1" a="1"/>
  <c r="E16" i="13" s="1"/>
  <c r="F16" i="13" s="1"/>
  <c r="E58" i="95"/>
  <c r="I531" i="114" s="1"/>
  <c r="E533" i="114" s="1" a="1"/>
  <c r="E533" i="114" s="1"/>
  <c r="E55" i="95"/>
  <c r="E17" i="13" s="1" a="1"/>
  <c r="E17" i="13" s="1"/>
  <c r="E56" i="95"/>
  <c r="E18" i="13" s="1" a="1"/>
  <c r="E18" i="13" s="1"/>
  <c r="F18" i="13" s="1"/>
  <c r="O166" i="84" a="1"/>
  <c r="O166" i="84" s="1"/>
  <c r="O165" i="84" a="1"/>
  <c r="O165" i="84" s="1"/>
  <c r="O167" i="84" a="1"/>
  <c r="O167" i="84" s="1"/>
  <c r="E169" i="84" a="1"/>
  <c r="E169" i="84" s="1"/>
  <c r="E165" i="84" a="1"/>
  <c r="E165" i="84" s="1"/>
  <c r="E167" i="84" a="1"/>
  <c r="E167" i="84" s="1"/>
  <c r="O164" i="84" a="1"/>
  <c r="O164" i="84" s="1"/>
  <c r="O168" i="84" a="1"/>
  <c r="O168" i="84" s="1"/>
  <c r="O169" i="84" a="1"/>
  <c r="O169" i="84" s="1"/>
  <c r="F9" i="13" a="1"/>
  <c r="F9" i="13" s="1"/>
  <c r="E164" i="84" l="1" a="1"/>
  <c r="E164" i="84" s="1"/>
  <c r="E166" i="84" a="1"/>
  <c r="E166" i="84" s="1"/>
  <c r="E168" i="84" a="1"/>
  <c r="E168" i="84" s="1"/>
  <c r="E9" i="13" a="1"/>
  <c r="E9" i="13" s="1"/>
  <c r="N35" i="99"/>
  <c r="S92" i="99"/>
  <c r="R22" i="85"/>
  <c r="R164" i="84" a="1"/>
  <c r="R164" i="84" s="1"/>
  <c r="P22" i="85"/>
  <c r="P164" i="84" a="1"/>
  <c r="P164" i="84" s="1"/>
  <c r="Q25" i="85"/>
  <c r="Q167" i="84" a="1"/>
  <c r="Q167" i="84" s="1"/>
  <c r="H166" i="84" a="1"/>
  <c r="H166" i="84" s="1"/>
  <c r="H24" i="85"/>
  <c r="R24" i="85"/>
  <c r="R166" i="84" a="1"/>
  <c r="R166" i="84" s="1"/>
  <c r="P23" i="85"/>
  <c r="P165" i="84" a="1"/>
  <c r="P165" i="84" s="1"/>
  <c r="O23" i="86"/>
  <c r="Q27" i="85"/>
  <c r="Q169" i="84" a="1"/>
  <c r="Q169" i="84" s="1"/>
  <c r="H25" i="85"/>
  <c r="H167" i="84" a="1"/>
  <c r="H167" i="84" s="1"/>
  <c r="R169" i="84" a="1"/>
  <c r="R169" i="84" s="1"/>
  <c r="R27" i="85"/>
  <c r="P24" i="85"/>
  <c r="P166" i="84" a="1"/>
  <c r="P166" i="84" s="1"/>
  <c r="Q24" i="85"/>
  <c r="Q166" i="84" a="1"/>
  <c r="Q166" i="84" s="1"/>
  <c r="H22" i="85"/>
  <c r="H164" i="84" a="1"/>
  <c r="H164" i="84" s="1"/>
  <c r="R167" i="84" a="1"/>
  <c r="R167" i="84" s="1"/>
  <c r="R25" i="85"/>
  <c r="F23" i="86"/>
  <c r="F23" i="85"/>
  <c r="F165" i="84" a="1"/>
  <c r="F165" i="84" s="1"/>
  <c r="G165" i="84" a="1"/>
  <c r="G165" i="84" s="1"/>
  <c r="G23" i="86"/>
  <c r="G23" i="85"/>
  <c r="H26" i="85"/>
  <c r="H168" i="84" a="1"/>
  <c r="H168" i="84" s="1"/>
  <c r="H169" i="84" a="1"/>
  <c r="H169" i="84" s="1"/>
  <c r="H27" i="85"/>
  <c r="R168" i="84" a="1"/>
  <c r="R168" i="84" s="1"/>
  <c r="R26" i="85"/>
  <c r="F164" i="84" a="1"/>
  <c r="F164" i="84" s="1"/>
  <c r="F22" i="85"/>
  <c r="G25" i="85"/>
  <c r="G167" i="84" a="1"/>
  <c r="G167" i="84" s="1"/>
  <c r="Q23" i="86"/>
  <c r="R23" i="85"/>
  <c r="R165" i="84" a="1"/>
  <c r="R165" i="84" s="1"/>
  <c r="F167" i="84" a="1"/>
  <c r="F167" i="84" s="1"/>
  <c r="F25" i="85"/>
  <c r="G22" i="85"/>
  <c r="G164" i="84" a="1"/>
  <c r="G164" i="84" s="1"/>
  <c r="F26" i="85"/>
  <c r="F168" i="84" a="1"/>
  <c r="F168" i="84" s="1"/>
  <c r="F24" i="85"/>
  <c r="F166" i="84" a="1"/>
  <c r="F166" i="84" s="1"/>
  <c r="G26" i="85"/>
  <c r="G168" i="84" a="1"/>
  <c r="G168" i="84" s="1"/>
  <c r="E93" i="114"/>
  <c r="G27" i="85"/>
  <c r="G169" i="84" a="1"/>
  <c r="G169" i="84" s="1"/>
  <c r="F27" i="85"/>
  <c r="F169" i="84" a="1"/>
  <c r="F169" i="84" s="1"/>
  <c r="G24" i="85"/>
  <c r="G166" i="84" a="1"/>
  <c r="G166" i="84" s="1"/>
  <c r="P27" i="85"/>
  <c r="P169" i="84" a="1"/>
  <c r="P169" i="84" s="1"/>
  <c r="P23" i="86"/>
  <c r="Q23" i="85"/>
  <c r="Q165" i="84" a="1"/>
  <c r="Q165" i="84" s="1"/>
  <c r="P25" i="85"/>
  <c r="P167" i="84" a="1"/>
  <c r="P167" i="84" s="1"/>
  <c r="Q164" i="84" a="1"/>
  <c r="Q164" i="84" s="1"/>
  <c r="Q22" i="85"/>
  <c r="P26" i="85"/>
  <c r="P168" i="84" a="1"/>
  <c r="P168" i="84" s="1"/>
  <c r="Q168" i="84" a="1"/>
  <c r="Q168" i="84" s="1"/>
  <c r="Q26" i="85"/>
  <c r="H23" i="86"/>
  <c r="H165" i="84" a="1"/>
  <c r="H165" i="84" s="1"/>
  <c r="H23" i="85"/>
  <c r="H20" i="13"/>
  <c r="F35" i="13" a="1"/>
  <c r="F35" i="13" s="1"/>
  <c r="F14" i="13"/>
  <c r="I14" i="13" s="1"/>
  <c r="H14" i="13"/>
  <c r="F17" i="13"/>
  <c r="I17" i="13" s="1"/>
  <c r="H17" i="13"/>
  <c r="P239" i="84" a="1"/>
  <c r="P239" i="84" s="1"/>
  <c r="P44" i="87" s="1"/>
  <c r="P240" i="84" a="1"/>
  <c r="P240" i="84" s="1"/>
  <c r="P45" i="87" s="1"/>
  <c r="P241" i="84" a="1"/>
  <c r="P241" i="84" s="1"/>
  <c r="P46" i="87" s="1"/>
  <c r="P242" i="84" a="1"/>
  <c r="P242" i="84" s="1"/>
  <c r="P238" i="84" a="1"/>
  <c r="P238" i="84" s="1"/>
  <c r="P43" i="87" s="1"/>
  <c r="F242" i="84" a="1"/>
  <c r="F242" i="84" s="1"/>
  <c r="F238" i="84" a="1"/>
  <c r="F238" i="84" s="1"/>
  <c r="F43" i="87" s="1"/>
  <c r="F240" i="84" a="1"/>
  <c r="F240" i="84" s="1"/>
  <c r="F45" i="87" s="1"/>
  <c r="F239" i="84" a="1"/>
  <c r="F239" i="84" s="1"/>
  <c r="F44" i="87" s="1"/>
  <c r="F241" i="84" a="1"/>
  <c r="F241" i="84" s="1"/>
  <c r="F46" i="87" s="1"/>
  <c r="F232" i="84" a="1"/>
  <c r="F232" i="84" s="1"/>
  <c r="F37" i="87" s="1"/>
  <c r="F230" i="84" a="1"/>
  <c r="F230" i="84" s="1"/>
  <c r="F35" i="87" s="1"/>
  <c r="F231" i="84" a="1"/>
  <c r="F231" i="84" s="1"/>
  <c r="F36" i="87" s="1"/>
  <c r="F233" i="84" a="1"/>
  <c r="F233" i="84" s="1"/>
  <c r="F235" i="84" a="1"/>
  <c r="F235" i="84" s="1"/>
  <c r="F40" i="87" s="1"/>
  <c r="F237" i="84" a="1"/>
  <c r="F237" i="84" s="1"/>
  <c r="F236" i="84" a="1"/>
  <c r="F236" i="84" s="1"/>
  <c r="F41" i="87" s="1"/>
  <c r="F234" i="84" a="1"/>
  <c r="F234" i="84" s="1"/>
  <c r="F39" i="87" s="1"/>
  <c r="P237" i="84" a="1"/>
  <c r="P237" i="84" s="1"/>
  <c r="P236" i="84" a="1"/>
  <c r="P236" i="84" s="1"/>
  <c r="P41" i="87" s="1"/>
  <c r="P235" i="84" a="1"/>
  <c r="P235" i="84" s="1"/>
  <c r="P40" i="87" s="1"/>
  <c r="P234" i="84" a="1"/>
  <c r="P234" i="84" s="1"/>
  <c r="P39" i="87" s="1"/>
  <c r="F229" i="84" a="1"/>
  <c r="F229" i="84" s="1"/>
  <c r="F227" i="84" a="1"/>
  <c r="F227" i="84" s="1"/>
  <c r="F32" i="87" s="1"/>
  <c r="F226" i="84" a="1"/>
  <c r="F226" i="84" s="1"/>
  <c r="F31" i="87" s="1"/>
  <c r="F228" i="84" a="1"/>
  <c r="F228" i="84" s="1"/>
  <c r="F33" i="87" s="1"/>
  <c r="P218" i="84" a="1"/>
  <c r="P218" i="84" s="1"/>
  <c r="P23" i="87" s="1"/>
  <c r="P217" i="84" a="1"/>
  <c r="P217" i="84" s="1"/>
  <c r="P22" i="87" s="1"/>
  <c r="P220" i="84" a="1"/>
  <c r="P220" i="84" s="1"/>
  <c r="P219" i="84" a="1"/>
  <c r="P219" i="84" s="1"/>
  <c r="P24" i="87" s="1"/>
  <c r="P233" i="84" a="1"/>
  <c r="P233" i="84" s="1"/>
  <c r="P232" i="84" a="1"/>
  <c r="P232" i="84" s="1"/>
  <c r="P37" i="87" s="1"/>
  <c r="P230" i="84" a="1"/>
  <c r="P230" i="84" s="1"/>
  <c r="P35" i="87" s="1"/>
  <c r="P231" i="84" a="1"/>
  <c r="P231" i="84" s="1"/>
  <c r="P36" i="87" s="1"/>
  <c r="P221" i="84" a="1"/>
  <c r="P221" i="84" s="1"/>
  <c r="P26" i="87" s="1"/>
  <c r="P223" i="84" a="1"/>
  <c r="P223" i="84" s="1"/>
  <c r="P28" i="87" s="1"/>
  <c r="P222" i="84" a="1"/>
  <c r="P222" i="84" s="1"/>
  <c r="P27" i="87" s="1"/>
  <c r="P224" i="84" a="1"/>
  <c r="P224" i="84" s="1"/>
  <c r="P29" i="87" s="1"/>
  <c r="P225" i="84" a="1"/>
  <c r="P225" i="84" s="1"/>
  <c r="P227" i="84" a="1"/>
  <c r="P227" i="84" s="1"/>
  <c r="P32" i="87" s="1"/>
  <c r="P226" i="84" a="1"/>
  <c r="P226" i="84" s="1"/>
  <c r="P31" i="87" s="1"/>
  <c r="P229" i="84" a="1"/>
  <c r="P229" i="84" s="1"/>
  <c r="P228" i="84" a="1"/>
  <c r="P228" i="84" s="1"/>
  <c r="P33" i="87" s="1"/>
  <c r="F219" i="84" a="1"/>
  <c r="F219" i="84" s="1"/>
  <c r="F24" i="87" s="1"/>
  <c r="F218" i="84" a="1"/>
  <c r="F218" i="84" s="1"/>
  <c r="F23" i="87" s="1"/>
  <c r="F217" i="84" a="1"/>
  <c r="F217" i="84" s="1"/>
  <c r="F22" i="87" s="1"/>
  <c r="F220" i="84" a="1"/>
  <c r="F220" i="84" s="1"/>
  <c r="F222" i="84" a="1"/>
  <c r="F222" i="84" s="1"/>
  <c r="F27" i="87" s="1"/>
  <c r="F225" i="84" a="1"/>
  <c r="F225" i="84" s="1"/>
  <c r="F223" i="84" a="1"/>
  <c r="F223" i="84" s="1"/>
  <c r="F28" i="87" s="1"/>
  <c r="F224" i="84" a="1"/>
  <c r="F224" i="84" s="1"/>
  <c r="F29" i="87" s="1"/>
  <c r="F221" i="84" a="1"/>
  <c r="F221" i="84" s="1"/>
  <c r="F26" i="87" s="1"/>
  <c r="J54" i="78"/>
  <c r="J35" i="78"/>
  <c r="J34" i="78"/>
  <c r="J30" i="78"/>
  <c r="D10" i="78"/>
  <c r="D9" i="78"/>
  <c r="D8" i="78"/>
  <c r="D12" i="78"/>
  <c r="D11" i="78"/>
  <c r="I16" i="81"/>
  <c r="I15" i="81"/>
  <c r="I14" i="81"/>
  <c r="I13" i="81"/>
  <c r="I12" i="81"/>
  <c r="I11" i="81"/>
  <c r="I10" i="81"/>
  <c r="I9" i="81"/>
  <c r="I8" i="81"/>
  <c r="I7" i="81"/>
  <c r="E22" i="72" s="1"/>
  <c r="Q236" i="84" l="1" a="1"/>
  <c r="Q236" i="84" s="1"/>
  <c r="Q235" i="84" a="1"/>
  <c r="Q235" i="84" s="1"/>
  <c r="Q237" i="84" a="1"/>
  <c r="Q237" i="84" s="1"/>
  <c r="Q234" i="84" a="1"/>
  <c r="Q234" i="84" s="1"/>
  <c r="H234" i="84" a="1"/>
  <c r="H234" i="84" s="1"/>
  <c r="H237" i="84" a="1"/>
  <c r="H237" i="84" s="1"/>
  <c r="H236" i="84" a="1"/>
  <c r="H236" i="84" s="1"/>
  <c r="H235" i="84" a="1"/>
  <c r="H235" i="84" s="1"/>
  <c r="S242" i="84" a="1"/>
  <c r="S242" i="84" s="1"/>
  <c r="S240" i="84" a="1"/>
  <c r="S240" i="84" s="1"/>
  <c r="S239" i="84" a="1"/>
  <c r="S239" i="84" s="1"/>
  <c r="S241" i="84" a="1"/>
  <c r="S241" i="84" s="1"/>
  <c r="S238" i="84" a="1"/>
  <c r="S238" i="84" s="1"/>
  <c r="S221" i="84" a="1"/>
  <c r="S221" i="84" s="1"/>
  <c r="S223" i="84" a="1"/>
  <c r="S223" i="84" s="1"/>
  <c r="S225" i="84" a="1"/>
  <c r="S225" i="84" s="1"/>
  <c r="S222" i="84" a="1"/>
  <c r="S222" i="84" s="1"/>
  <c r="S224" i="84" a="1"/>
  <c r="S224" i="84" s="1"/>
  <c r="S233" i="84" a="1"/>
  <c r="S233" i="84" s="1"/>
  <c r="S231" i="84" a="1"/>
  <c r="S231" i="84" s="1"/>
  <c r="S230" i="84" a="1"/>
  <c r="S230" i="84" s="1"/>
  <c r="S232" i="84" a="1"/>
  <c r="S232" i="84" s="1"/>
  <c r="I233" i="84" a="1"/>
  <c r="I233" i="84" s="1"/>
  <c r="I230" i="84" a="1"/>
  <c r="I230" i="84" s="1"/>
  <c r="I231" i="84" a="1"/>
  <c r="I231" i="84" s="1"/>
  <c r="I232" i="84" a="1"/>
  <c r="I232" i="84" s="1"/>
  <c r="I240" i="84" a="1"/>
  <c r="I240" i="84" s="1"/>
  <c r="I238" i="84" a="1"/>
  <c r="I238" i="84" s="1"/>
  <c r="I239" i="84" a="1"/>
  <c r="I239" i="84" s="1"/>
  <c r="I242" i="84" a="1"/>
  <c r="I242" i="84" s="1"/>
  <c r="I241" i="84" a="1"/>
  <c r="I241" i="84" s="1"/>
  <c r="I228" i="84" a="1"/>
  <c r="I228" i="84" s="1"/>
  <c r="I229" i="84" a="1"/>
  <c r="I229" i="84" s="1"/>
  <c r="I227" i="84" a="1"/>
  <c r="I227" i="84" s="1"/>
  <c r="I226" i="84" a="1"/>
  <c r="I226" i="84" s="1"/>
  <c r="I237" i="84" a="1"/>
  <c r="I237" i="84" s="1"/>
  <c r="I234" i="84" a="1"/>
  <c r="I234" i="84" s="1"/>
  <c r="I236" i="84" a="1"/>
  <c r="I236" i="84" s="1"/>
  <c r="I235" i="84" a="1"/>
  <c r="I235" i="84" s="1"/>
  <c r="R219" i="84" a="1"/>
  <c r="R219" i="84" s="1"/>
  <c r="R217" i="84" a="1"/>
  <c r="R217" i="84" s="1"/>
  <c r="R220" i="84" a="1"/>
  <c r="R220" i="84" s="1"/>
  <c r="R218" i="84" a="1"/>
  <c r="R218" i="84" s="1"/>
  <c r="H226" i="84" a="1"/>
  <c r="H226" i="84" s="1"/>
  <c r="H228" i="84" a="1"/>
  <c r="H228" i="84" s="1"/>
  <c r="H227" i="84" a="1"/>
  <c r="H227" i="84" s="1"/>
  <c r="H229" i="84" a="1"/>
  <c r="H229" i="84" s="1"/>
  <c r="G226" i="84" a="1"/>
  <c r="G226" i="84" s="1"/>
  <c r="G227" i="84" a="1"/>
  <c r="G227" i="84" s="1"/>
  <c r="G228" i="84" a="1"/>
  <c r="G228" i="84" s="1"/>
  <c r="G229" i="84" a="1"/>
  <c r="G229" i="84" s="1"/>
  <c r="I217" i="84" a="1"/>
  <c r="I217" i="84" s="1"/>
  <c r="I219" i="84" a="1"/>
  <c r="I219" i="84" s="1"/>
  <c r="I218" i="84" a="1"/>
  <c r="I218" i="84" s="1"/>
  <c r="I220" i="84" a="1"/>
  <c r="I220" i="84" s="1"/>
  <c r="R242" i="84" a="1"/>
  <c r="R242" i="84" s="1"/>
  <c r="R240" i="84" a="1"/>
  <c r="R240" i="84" s="1"/>
  <c r="R241" i="84" a="1"/>
  <c r="R241" i="84" s="1"/>
  <c r="R238" i="84" a="1"/>
  <c r="R238" i="84" s="1"/>
  <c r="R239" i="84" a="1"/>
  <c r="R239" i="84" s="1"/>
  <c r="R233" i="84" a="1"/>
  <c r="R233" i="84" s="1"/>
  <c r="R230" i="84" a="1"/>
  <c r="R230" i="84" s="1"/>
  <c r="R231" i="84" a="1"/>
  <c r="R231" i="84" s="1"/>
  <c r="R232" i="84" a="1"/>
  <c r="R232" i="84" s="1"/>
  <c r="Q230" i="84" a="1"/>
  <c r="Q230" i="84" s="1"/>
  <c r="Q232" i="84" a="1"/>
  <c r="Q232" i="84" s="1"/>
  <c r="Q233" i="84" a="1"/>
  <c r="Q233" i="84" s="1"/>
  <c r="Q231" i="84" a="1"/>
  <c r="Q231" i="84" s="1"/>
  <c r="H230" i="84" a="1"/>
  <c r="H230" i="84" s="1"/>
  <c r="H233" i="84" a="1"/>
  <c r="H233" i="84" s="1"/>
  <c r="H231" i="84" a="1"/>
  <c r="H231" i="84" s="1"/>
  <c r="H232" i="84" a="1"/>
  <c r="H232" i="84" s="1"/>
  <c r="R226" i="84" a="1"/>
  <c r="R226" i="84" s="1"/>
  <c r="R229" i="84" a="1"/>
  <c r="R229" i="84" s="1"/>
  <c r="R228" i="84" a="1"/>
  <c r="R228" i="84" s="1"/>
  <c r="R227" i="84" a="1"/>
  <c r="R227" i="84" s="1"/>
  <c r="G239" i="84" a="1"/>
  <c r="G239" i="84" s="1"/>
  <c r="G238" i="84" a="1"/>
  <c r="G238" i="84" s="1"/>
  <c r="G240" i="84" a="1"/>
  <c r="G240" i="84" s="1"/>
  <c r="G242" i="84" a="1"/>
  <c r="G242" i="84" s="1"/>
  <c r="G241" i="84" a="1"/>
  <c r="G241" i="84" s="1"/>
  <c r="I224" i="84" a="1"/>
  <c r="I224" i="84" s="1"/>
  <c r="I223" i="84" a="1"/>
  <c r="I223" i="84" s="1"/>
  <c r="I222" i="84" a="1"/>
  <c r="I222" i="84" s="1"/>
  <c r="I221" i="84" a="1"/>
  <c r="I221" i="84" s="1"/>
  <c r="I225" i="84" a="1"/>
  <c r="I225" i="84" s="1"/>
  <c r="G236" i="84" a="1"/>
  <c r="G236" i="84" s="1"/>
  <c r="G234" i="84" a="1"/>
  <c r="G234" i="84" s="1"/>
  <c r="G237" i="84" a="1"/>
  <c r="G237" i="84" s="1"/>
  <c r="G235" i="84" a="1"/>
  <c r="G235" i="84" s="1"/>
  <c r="Q217" i="84" a="1"/>
  <c r="Q217" i="84" s="1"/>
  <c r="Q220" i="84" a="1"/>
  <c r="Q220" i="84" s="1"/>
  <c r="Q218" i="84" a="1"/>
  <c r="Q218" i="84" s="1"/>
  <c r="Q219" i="84" a="1"/>
  <c r="Q219" i="84" s="1"/>
  <c r="F52" i="80"/>
  <c r="F53" i="80" s="1"/>
  <c r="F44" i="80"/>
  <c r="R225" i="84" a="1"/>
  <c r="R225" i="84" s="1"/>
  <c r="R222" i="84" a="1"/>
  <c r="R222" i="84" s="1"/>
  <c r="R223" i="84" a="1"/>
  <c r="R223" i="84" s="1"/>
  <c r="R224" i="84" a="1"/>
  <c r="R224" i="84" s="1"/>
  <c r="R221" i="84" a="1"/>
  <c r="R221" i="84" s="1"/>
  <c r="H224" i="84" a="1"/>
  <c r="H224" i="84" s="1"/>
  <c r="H225" i="84" a="1"/>
  <c r="H225" i="84" s="1"/>
  <c r="H221" i="84" a="1"/>
  <c r="H221" i="84" s="1"/>
  <c r="H223" i="84" a="1"/>
  <c r="H223" i="84" s="1"/>
  <c r="H222" i="84" a="1"/>
  <c r="H222" i="84" s="1"/>
  <c r="Q222" i="84" a="1"/>
  <c r="Q222" i="84" s="1"/>
  <c r="Q221" i="84" a="1"/>
  <c r="Q221" i="84" s="1"/>
  <c r="Q224" i="84" a="1"/>
  <c r="Q224" i="84" s="1"/>
  <c r="Q225" i="84" a="1"/>
  <c r="Q225" i="84" s="1"/>
  <c r="Q223" i="84" a="1"/>
  <c r="Q223" i="84" s="1"/>
  <c r="S218" i="84" a="1"/>
  <c r="S218" i="84" s="1"/>
  <c r="S217" i="84" a="1"/>
  <c r="S217" i="84" s="1"/>
  <c r="S219" i="84" a="1"/>
  <c r="S219" i="84" s="1"/>
  <c r="S220" i="84" a="1"/>
  <c r="S220" i="84" s="1"/>
  <c r="H241" i="84" a="1"/>
  <c r="H241" i="84" s="1"/>
  <c r="H239" i="84" a="1"/>
  <c r="H239" i="84" s="1"/>
  <c r="H240" i="84" a="1"/>
  <c r="H240" i="84" s="1"/>
  <c r="H242" i="84" a="1"/>
  <c r="H242" i="84" s="1"/>
  <c r="H238" i="84" a="1"/>
  <c r="H238" i="84" s="1"/>
  <c r="H218" i="84" a="1"/>
  <c r="H218" i="84" s="1"/>
  <c r="H219" i="84" a="1"/>
  <c r="H219" i="84" s="1"/>
  <c r="H217" i="84" a="1"/>
  <c r="H217" i="84" s="1"/>
  <c r="H220" i="84" a="1"/>
  <c r="H220" i="84" s="1"/>
  <c r="G217" i="84" a="1"/>
  <c r="G217" i="84" s="1"/>
  <c r="G219" i="84" a="1"/>
  <c r="G219" i="84" s="1"/>
  <c r="G218" i="84" a="1"/>
  <c r="G218" i="84" s="1"/>
  <c r="G220" i="84" a="1"/>
  <c r="G220" i="84" s="1"/>
  <c r="G221" i="84" a="1"/>
  <c r="G221" i="84" s="1"/>
  <c r="G225" i="84" a="1"/>
  <c r="G225" i="84" s="1"/>
  <c r="G222" i="84" a="1"/>
  <c r="G222" i="84" s="1"/>
  <c r="G224" i="84" a="1"/>
  <c r="G224" i="84" s="1"/>
  <c r="G223" i="84" a="1"/>
  <c r="G223" i="84" s="1"/>
  <c r="Q227" i="84" a="1"/>
  <c r="Q227" i="84" s="1"/>
  <c r="Q226" i="84" a="1"/>
  <c r="Q226" i="84" s="1"/>
  <c r="Q229" i="84" a="1"/>
  <c r="Q229" i="84" s="1"/>
  <c r="Q228" i="84" a="1"/>
  <c r="Q228" i="84" s="1"/>
  <c r="R236" i="84" a="1"/>
  <c r="R236" i="84" s="1"/>
  <c r="R234" i="84" a="1"/>
  <c r="R234" i="84" s="1"/>
  <c r="R235" i="84" a="1"/>
  <c r="R235" i="84" s="1"/>
  <c r="R237" i="84" a="1"/>
  <c r="R237" i="84" s="1"/>
  <c r="S228" i="84" a="1"/>
  <c r="S228" i="84" s="1"/>
  <c r="S229" i="84" a="1"/>
  <c r="S229" i="84" s="1"/>
  <c r="S226" i="84" a="1"/>
  <c r="S226" i="84" s="1"/>
  <c r="S227" i="84" a="1"/>
  <c r="S227" i="84" s="1"/>
  <c r="Q240" i="84" a="1"/>
  <c r="Q240" i="84" s="1"/>
  <c r="Q239" i="84" a="1"/>
  <c r="Q239" i="84" s="1"/>
  <c r="Q238" i="84" a="1"/>
  <c r="Q238" i="84" s="1"/>
  <c r="Q242" i="84" a="1"/>
  <c r="Q242" i="84" s="1"/>
  <c r="Q241" i="84" a="1"/>
  <c r="Q241" i="84" s="1"/>
  <c r="G230" i="84" a="1"/>
  <c r="G230" i="84" s="1"/>
  <c r="G231" i="84" a="1"/>
  <c r="G231" i="84" s="1"/>
  <c r="G233" i="84" a="1"/>
  <c r="G233" i="84" s="1"/>
  <c r="G232" i="84" a="1"/>
  <c r="G232" i="84" s="1"/>
  <c r="S236" i="84" a="1"/>
  <c r="S236" i="84" s="1"/>
  <c r="S235" i="84" a="1"/>
  <c r="S235" i="84" s="1"/>
  <c r="S234" i="84" a="1"/>
  <c r="S234" i="84" s="1"/>
  <c r="S237" i="84" a="1"/>
  <c r="S237" i="84" s="1"/>
  <c r="R76" i="99"/>
  <c r="N79" i="99" s="1" a="1"/>
  <c r="N79" i="99" s="1"/>
  <c r="O107" i="99" s="1"/>
  <c r="R60" i="99"/>
  <c r="N63" i="99" s="1" a="1"/>
  <c r="N63" i="99" s="1"/>
  <c r="O106" i="99" s="1"/>
  <c r="R46" i="99"/>
  <c r="N49" i="99" s="1" a="1"/>
  <c r="N49" i="99" s="1"/>
  <c r="O105" i="99" s="1"/>
  <c r="S93" i="99" s="1"/>
  <c r="P57" i="85"/>
  <c r="P47" i="87"/>
  <c r="F57" i="85"/>
  <c r="F47" i="87"/>
  <c r="P52" i="85"/>
  <c r="P42" i="87"/>
  <c r="F52" i="85"/>
  <c r="F42" i="87"/>
  <c r="P48" i="85"/>
  <c r="P38" i="87"/>
  <c r="F48" i="85"/>
  <c r="F38" i="87"/>
  <c r="P44" i="85"/>
  <c r="P34" i="87"/>
  <c r="F44" i="85"/>
  <c r="F34" i="87"/>
  <c r="P40" i="85"/>
  <c r="P30" i="87"/>
  <c r="F40" i="85"/>
  <c r="F30" i="87"/>
  <c r="P35" i="85"/>
  <c r="P25" i="87"/>
  <c r="F35" i="85"/>
  <c r="F25" i="87"/>
  <c r="P56" i="85"/>
  <c r="F56" i="85"/>
  <c r="P55" i="85"/>
  <c r="F55" i="85"/>
  <c r="P54" i="85"/>
  <c r="F54" i="85"/>
  <c r="P53" i="85"/>
  <c r="F53" i="85"/>
  <c r="P51" i="85"/>
  <c r="F51" i="85"/>
  <c r="P50" i="85"/>
  <c r="F50" i="85"/>
  <c r="P49" i="85"/>
  <c r="F49" i="85"/>
  <c r="P47" i="85"/>
  <c r="F47" i="85"/>
  <c r="P46" i="85"/>
  <c r="F46" i="85"/>
  <c r="P45" i="85"/>
  <c r="F45" i="85"/>
  <c r="P43" i="85"/>
  <c r="F43" i="85"/>
  <c r="P42" i="85"/>
  <c r="F42" i="85"/>
  <c r="P41" i="85"/>
  <c r="F41" i="85"/>
  <c r="P39" i="85"/>
  <c r="F39" i="85"/>
  <c r="P38" i="85"/>
  <c r="F38" i="85"/>
  <c r="P37" i="85"/>
  <c r="F37" i="85"/>
  <c r="P36" i="85"/>
  <c r="F36" i="85"/>
  <c r="P34" i="85"/>
  <c r="F34" i="85"/>
  <c r="P33" i="85"/>
  <c r="F33" i="85"/>
  <c r="P32" i="85"/>
  <c r="F32" i="85"/>
  <c r="G55" i="80"/>
  <c r="G52" i="80"/>
  <c r="G53" i="80" s="1"/>
  <c r="G37" i="87" l="1"/>
  <c r="G47" i="85"/>
  <c r="R40" i="87"/>
  <c r="R50" i="85"/>
  <c r="G24" i="87"/>
  <c r="G34" i="85"/>
  <c r="S23" i="87"/>
  <c r="S33" i="85"/>
  <c r="R27" i="87"/>
  <c r="R37" i="85"/>
  <c r="I27" i="87"/>
  <c r="I37" i="85"/>
  <c r="H48" i="85"/>
  <c r="H38" i="87"/>
  <c r="R57" i="85"/>
  <c r="R47" i="87"/>
  <c r="R35" i="85"/>
  <c r="R25" i="87"/>
  <c r="I43" i="87"/>
  <c r="I53" i="85"/>
  <c r="S26" i="87"/>
  <c r="S36" i="85"/>
  <c r="Q44" i="87"/>
  <c r="Q54" i="85"/>
  <c r="G48" i="85"/>
  <c r="G38" i="87"/>
  <c r="R39" i="87"/>
  <c r="R49" i="85"/>
  <c r="G22" i="87"/>
  <c r="G32" i="85"/>
  <c r="Q28" i="87"/>
  <c r="Q38" i="85"/>
  <c r="R40" i="85"/>
  <c r="R30" i="87"/>
  <c r="I28" i="87"/>
  <c r="I38" i="85"/>
  <c r="H35" i="87"/>
  <c r="H45" i="85"/>
  <c r="I35" i="85"/>
  <c r="I25" i="87"/>
  <c r="R22" i="87"/>
  <c r="R32" i="85"/>
  <c r="I45" i="87"/>
  <c r="I55" i="85"/>
  <c r="S43" i="87"/>
  <c r="S53" i="85"/>
  <c r="G36" i="87"/>
  <c r="G46" i="85"/>
  <c r="R41" i="87"/>
  <c r="R51" i="85"/>
  <c r="Q40" i="85"/>
  <c r="Q30" i="87"/>
  <c r="I29" i="87"/>
  <c r="I39" i="85"/>
  <c r="Q36" i="87"/>
  <c r="Q46" i="85"/>
  <c r="I23" i="87"/>
  <c r="I33" i="85"/>
  <c r="R24" i="87"/>
  <c r="R34" i="85"/>
  <c r="I37" i="87"/>
  <c r="I47" i="85"/>
  <c r="S46" i="87"/>
  <c r="S56" i="85"/>
  <c r="H35" i="85"/>
  <c r="H25" i="87"/>
  <c r="G35" i="87"/>
  <c r="G45" i="85"/>
  <c r="Q33" i="87"/>
  <c r="Q43" i="85"/>
  <c r="H22" i="87"/>
  <c r="H32" i="85"/>
  <c r="Q29" i="87"/>
  <c r="Q39" i="85"/>
  <c r="G46" i="87"/>
  <c r="G56" i="85"/>
  <c r="Q48" i="85"/>
  <c r="Q38" i="87"/>
  <c r="I24" i="87"/>
  <c r="I34" i="85"/>
  <c r="I40" i="87"/>
  <c r="I50" i="85"/>
  <c r="I36" i="87"/>
  <c r="I46" i="85"/>
  <c r="S44" i="87"/>
  <c r="S54" i="85"/>
  <c r="Q46" i="87"/>
  <c r="Q56" i="85"/>
  <c r="Q44" i="85"/>
  <c r="Q34" i="87"/>
  <c r="H24" i="87"/>
  <c r="H34" i="85"/>
  <c r="Q26" i="87"/>
  <c r="Q36" i="85"/>
  <c r="Q24" i="87"/>
  <c r="Q34" i="85"/>
  <c r="G57" i="85"/>
  <c r="G47" i="87"/>
  <c r="Q37" i="87"/>
  <c r="Q47" i="85"/>
  <c r="I22" i="87"/>
  <c r="I32" i="85"/>
  <c r="I41" i="87"/>
  <c r="I51" i="85"/>
  <c r="I35" i="87"/>
  <c r="I45" i="85"/>
  <c r="S45" i="87"/>
  <c r="S55" i="85"/>
  <c r="Q57" i="85"/>
  <c r="Q47" i="87"/>
  <c r="G44" i="85"/>
  <c r="G34" i="87"/>
  <c r="I39" i="87"/>
  <c r="I49" i="85"/>
  <c r="I48" i="85"/>
  <c r="I38" i="87"/>
  <c r="S57" i="85"/>
  <c r="S47" i="87"/>
  <c r="Q31" i="87"/>
  <c r="Q41" i="85"/>
  <c r="H23" i="87"/>
  <c r="H33" i="85"/>
  <c r="Q27" i="87"/>
  <c r="Q37" i="85"/>
  <c r="Q23" i="87"/>
  <c r="Q33" i="85"/>
  <c r="G45" i="87"/>
  <c r="G55" i="85"/>
  <c r="Q35" i="87"/>
  <c r="Q45" i="85"/>
  <c r="Q43" i="87"/>
  <c r="Q53" i="85"/>
  <c r="Q32" i="87"/>
  <c r="Q42" i="85"/>
  <c r="H43" i="87"/>
  <c r="H53" i="85"/>
  <c r="H27" i="87"/>
  <c r="H37" i="85"/>
  <c r="Q35" i="85"/>
  <c r="Q25" i="87"/>
  <c r="G43" i="87"/>
  <c r="G53" i="85"/>
  <c r="R37" i="87"/>
  <c r="R47" i="85"/>
  <c r="G33" i="87"/>
  <c r="G43" i="85"/>
  <c r="I52" i="85"/>
  <c r="I42" i="87"/>
  <c r="S37" i="87"/>
  <c r="S47" i="85"/>
  <c r="H40" i="87"/>
  <c r="H50" i="85"/>
  <c r="R36" i="87"/>
  <c r="R46" i="85"/>
  <c r="G32" i="87"/>
  <c r="G42" i="85"/>
  <c r="I31" i="87"/>
  <c r="I41" i="85"/>
  <c r="S35" i="87"/>
  <c r="S45" i="85"/>
  <c r="H41" i="87"/>
  <c r="H51" i="85"/>
  <c r="G31" i="87"/>
  <c r="G41" i="85"/>
  <c r="I32" i="87"/>
  <c r="I42" i="85"/>
  <c r="S36" i="87"/>
  <c r="S46" i="85"/>
  <c r="H52" i="85"/>
  <c r="H42" i="87"/>
  <c r="H45" i="87"/>
  <c r="H55" i="85"/>
  <c r="R32" i="87"/>
  <c r="R42" i="85"/>
  <c r="G52" i="85"/>
  <c r="G42" i="87"/>
  <c r="R33" i="87"/>
  <c r="R43" i="85"/>
  <c r="R38" i="87"/>
  <c r="R48" i="85"/>
  <c r="H44" i="85"/>
  <c r="H34" i="87"/>
  <c r="I34" i="87"/>
  <c r="I44" i="85"/>
  <c r="S38" i="87"/>
  <c r="S48" i="85"/>
  <c r="H39" i="87"/>
  <c r="H49" i="85"/>
  <c r="H47" i="87"/>
  <c r="H57" i="85"/>
  <c r="G44" i="87"/>
  <c r="G54" i="85"/>
  <c r="Q45" i="87"/>
  <c r="Q55" i="85"/>
  <c r="H40" i="85"/>
  <c r="H30" i="87"/>
  <c r="S31" i="87"/>
  <c r="S41" i="85"/>
  <c r="G30" i="87"/>
  <c r="G40" i="85"/>
  <c r="H46" i="87"/>
  <c r="H56" i="85"/>
  <c r="H29" i="87"/>
  <c r="H39" i="85"/>
  <c r="G39" i="87"/>
  <c r="G49" i="85"/>
  <c r="R44" i="85"/>
  <c r="R34" i="87"/>
  <c r="R44" i="87"/>
  <c r="R54" i="85"/>
  <c r="H32" i="87"/>
  <c r="H42" i="85"/>
  <c r="I33" i="87"/>
  <c r="I43" i="85"/>
  <c r="S29" i="87"/>
  <c r="S39" i="85"/>
  <c r="Q39" i="87"/>
  <c r="Q49" i="85"/>
  <c r="H28" i="87"/>
  <c r="H38" i="85"/>
  <c r="G40" i="87"/>
  <c r="G50" i="85"/>
  <c r="S32" i="87"/>
  <c r="S42" i="85"/>
  <c r="S52" i="85"/>
  <c r="S42" i="87"/>
  <c r="S39" i="87"/>
  <c r="S49" i="85"/>
  <c r="S44" i="85"/>
  <c r="S34" i="87"/>
  <c r="G26" i="87"/>
  <c r="G36" i="85"/>
  <c r="S35" i="85"/>
  <c r="S25" i="87"/>
  <c r="R26" i="87"/>
  <c r="R36" i="85"/>
  <c r="G41" i="87"/>
  <c r="G51" i="85"/>
  <c r="R31" i="87"/>
  <c r="R41" i="85"/>
  <c r="R43" i="87"/>
  <c r="R53" i="85"/>
  <c r="H33" i="87"/>
  <c r="H43" i="85"/>
  <c r="I46" i="87"/>
  <c r="I56" i="85"/>
  <c r="S27" i="87"/>
  <c r="S37" i="85"/>
  <c r="Q52" i="85"/>
  <c r="Q42" i="87"/>
  <c r="G28" i="87"/>
  <c r="G38" i="85"/>
  <c r="G29" i="87"/>
  <c r="G39" i="85"/>
  <c r="H26" i="87"/>
  <c r="H36" i="85"/>
  <c r="G27" i="87"/>
  <c r="G37" i="85"/>
  <c r="S40" i="87"/>
  <c r="S50" i="85"/>
  <c r="S33" i="87"/>
  <c r="S43" i="85"/>
  <c r="G35" i="85"/>
  <c r="G25" i="87"/>
  <c r="S24" i="87"/>
  <c r="S34" i="85"/>
  <c r="R29" i="87"/>
  <c r="R39" i="85"/>
  <c r="I40" i="85"/>
  <c r="I30" i="87"/>
  <c r="H37" i="87"/>
  <c r="H47" i="85"/>
  <c r="R46" i="87"/>
  <c r="R56" i="85"/>
  <c r="H31" i="87"/>
  <c r="H41" i="85"/>
  <c r="I47" i="87"/>
  <c r="I57" i="85"/>
  <c r="S40" i="85"/>
  <c r="S30" i="87"/>
  <c r="Q40" i="87"/>
  <c r="Q50" i="85"/>
  <c r="Q22" i="87"/>
  <c r="Q32" i="85"/>
  <c r="R35" i="87"/>
  <c r="R45" i="85"/>
  <c r="H44" i="87"/>
  <c r="H54" i="85"/>
  <c r="S41" i="87"/>
  <c r="S51" i="85"/>
  <c r="R52" i="85"/>
  <c r="R42" i="87"/>
  <c r="G23" i="87"/>
  <c r="G33" i="85"/>
  <c r="S22" i="87"/>
  <c r="S32" i="85"/>
  <c r="R28" i="87"/>
  <c r="R38" i="85"/>
  <c r="I26" i="87"/>
  <c r="I36" i="85"/>
  <c r="H36" i="87"/>
  <c r="H46" i="85"/>
  <c r="R45" i="87"/>
  <c r="R55" i="85"/>
  <c r="R23" i="87"/>
  <c r="R33" i="85"/>
  <c r="I44" i="87"/>
  <c r="I54" i="85"/>
  <c r="S28" i="87"/>
  <c r="S38" i="85"/>
  <c r="Q41" i="87"/>
  <c r="Q51" i="85"/>
  <c r="D39" i="80"/>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H34" i="13"/>
  <c r="F74" i="72" l="1"/>
  <c r="E74" i="72"/>
  <c r="D73" i="72"/>
  <c r="F40" i="13"/>
  <c r="I40" i="13" s="1"/>
  <c r="H40" i="13"/>
  <c r="F42" i="13"/>
  <c r="I42" i="13" s="1"/>
  <c r="H42" i="13"/>
  <c r="F41" i="13"/>
  <c r="I41" i="13" s="1"/>
  <c r="H41" i="13"/>
  <c r="I45" i="13" l="1"/>
  <c r="H45" i="13"/>
  <c r="D41" i="13"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G53" i="101" l="1"/>
  <c r="P113" i="99"/>
  <c r="G83" i="99"/>
  <c r="G97" i="104"/>
  <c r="Q128" i="85"/>
  <c r="G82" i="103"/>
  <c r="G149" i="103"/>
  <c r="G591" i="114"/>
  <c r="Q300" i="84"/>
  <c r="G300" i="84"/>
  <c r="P52" i="86"/>
  <c r="G52" i="86"/>
  <c r="Q264" i="83"/>
  <c r="O591" i="114"/>
  <c r="G264" i="83"/>
  <c r="G128" i="85"/>
  <c r="P61" i="89"/>
  <c r="N63" i="89" s="1" a="1"/>
  <c r="N63" i="89" s="1"/>
  <c r="G61" i="89"/>
  <c r="E63" i="89" s="1" a="1"/>
  <c r="E63" i="89" s="1"/>
  <c r="I68" i="115"/>
  <c r="I56" i="104"/>
  <c r="I14" i="86"/>
  <c r="I14" i="104"/>
  <c r="I201" i="83"/>
  <c r="I125" i="83"/>
  <c r="D170" i="79"/>
  <c r="I41" i="86"/>
  <c r="S94" i="99"/>
  <c r="N110" i="99" s="1" a="1"/>
  <c r="N110" i="99" s="1"/>
  <c r="P112" i="99" s="1"/>
  <c r="N115" i="99" s="1" a="1"/>
  <c r="N115" i="99" s="1"/>
  <c r="I51" i="100"/>
  <c r="I126" i="103"/>
  <c r="E158" i="83"/>
  <c r="E160" i="83"/>
  <c r="E156" i="83"/>
  <c r="E157" i="83"/>
  <c r="E159" i="83"/>
  <c r="O156" i="83"/>
  <c r="E155" i="83"/>
  <c r="I119" i="85"/>
  <c r="O108" i="99" a="1"/>
  <c r="O108" i="99" s="1"/>
  <c r="I49" i="115"/>
  <c r="I50" i="99"/>
  <c r="J50" i="103"/>
  <c r="I125" i="103"/>
  <c r="O158" i="83"/>
  <c r="O160" i="83"/>
  <c r="O155" i="83"/>
  <c r="O157" i="83"/>
  <c r="O159" i="83"/>
  <c r="I9" i="13" a="1"/>
  <c r="I9" i="13" s="1"/>
  <c r="I19" i="13" a="1"/>
  <c r="I19" i="13" s="1"/>
  <c r="I18" i="13" a="1"/>
  <c r="I18" i="13" s="1"/>
  <c r="H18" i="13" a="1"/>
  <c r="H18" i="13" s="1"/>
  <c r="H15" i="13" a="1"/>
  <c r="H15" i="13" s="1"/>
  <c r="I16" i="13" a="1"/>
  <c r="I16" i="13" s="1"/>
  <c r="H19" i="13" a="1"/>
  <c r="H19" i="13" s="1"/>
  <c r="H16" i="13" a="1"/>
  <c r="H16" i="13" s="1"/>
  <c r="I15" i="13" a="1"/>
  <c r="I15" i="13" s="1"/>
  <c r="E50" i="72"/>
  <c r="F50" i="72"/>
  <c r="H9" i="13" a="1"/>
  <c r="H9" i="13" s="1"/>
  <c r="H27" i="13"/>
  <c r="H28" i="13" s="1"/>
  <c r="J46" i="78"/>
  <c r="J57" i="78"/>
  <c r="J37" i="78"/>
  <c r="J14" i="78"/>
  <c r="E58" i="78" s="1"/>
  <c r="J25" i="78"/>
  <c r="D49" i="72"/>
  <c r="E63" i="72"/>
  <c r="E67" i="72" s="1"/>
  <c r="E64" i="72"/>
  <c r="H48" i="79"/>
  <c r="I20" i="102" s="1"/>
  <c r="E22" i="75"/>
  <c r="H51" i="79"/>
  <c r="E19" i="75"/>
  <c r="H53" i="79"/>
  <c r="H50" i="79"/>
  <c r="J88" i="115" s="1"/>
  <c r="H54" i="79"/>
  <c r="H52" i="79"/>
  <c r="H49" i="79"/>
  <c r="H27" i="102" l="1" a="1"/>
  <c r="H27" i="102" s="1"/>
  <c r="H26" i="102" a="1"/>
  <c r="H26" i="102" s="1"/>
  <c r="H28" i="102" a="1"/>
  <c r="H28" i="102" s="1"/>
  <c r="H29" i="102" a="1"/>
  <c r="H29" i="102" s="1"/>
  <c r="H25" i="102" a="1"/>
  <c r="H25" i="102" s="1"/>
  <c r="E31" i="102" s="1"/>
  <c r="I55" i="99"/>
  <c r="I53" i="115"/>
  <c r="I129" i="103"/>
  <c r="J54" i="103"/>
  <c r="S99" i="99"/>
  <c r="N106" i="99" s="1"/>
  <c r="N108" i="99" s="1"/>
  <c r="I123" i="85"/>
  <c r="G183" i="83" a="1"/>
  <c r="G183" i="83" s="1"/>
  <c r="G209" i="83" a="1"/>
  <c r="G209" i="83" s="1"/>
  <c r="I173" i="83" a="1"/>
  <c r="I173" i="83" s="1"/>
  <c r="H173" i="83" a="1"/>
  <c r="H173" i="83" s="1"/>
  <c r="H170" i="83" a="1"/>
  <c r="H170" i="83" s="1"/>
  <c r="I183" i="83" a="1"/>
  <c r="I183" i="83" s="1"/>
  <c r="F209" i="83" a="1"/>
  <c r="F209" i="83" s="1"/>
  <c r="H180" i="83" a="1"/>
  <c r="H180" i="83" s="1"/>
  <c r="G170" i="83" a="1"/>
  <c r="G170" i="83" s="1"/>
  <c r="I180" i="83" a="1"/>
  <c r="I180" i="83" s="1"/>
  <c r="G180" i="83" a="1"/>
  <c r="G180" i="83" s="1"/>
  <c r="G173" i="83" a="1"/>
  <c r="G173" i="83" s="1"/>
  <c r="F170" i="83" a="1"/>
  <c r="F170" i="83" s="1"/>
  <c r="H183" i="83" a="1"/>
  <c r="H183" i="83" s="1"/>
  <c r="H209" i="83" a="1"/>
  <c r="H209" i="83" s="1"/>
  <c r="I170" i="83" a="1"/>
  <c r="I170" i="83" s="1"/>
  <c r="E209" i="83" a="1"/>
  <c r="E209" i="83" s="1"/>
  <c r="F166" i="83" a="1"/>
  <c r="F166" i="83" s="1"/>
  <c r="F180" i="83" a="1"/>
  <c r="F180" i="83" s="1"/>
  <c r="F183" i="83" a="1"/>
  <c r="F183" i="83" s="1"/>
  <c r="H166" i="83" a="1"/>
  <c r="H166" i="83" s="1"/>
  <c r="G166" i="83" a="1"/>
  <c r="G166" i="83" s="1"/>
  <c r="I166" i="83" a="1"/>
  <c r="I166" i="83" s="1"/>
  <c r="F173" i="83" a="1"/>
  <c r="F173" i="83" s="1"/>
  <c r="K46" i="101"/>
  <c r="I51" i="99"/>
  <c r="I256" i="84"/>
  <c r="I120" i="85"/>
  <c r="H211" i="83" a="1"/>
  <c r="H211" i="83" s="1"/>
  <c r="G211" i="83" a="1"/>
  <c r="G211" i="83" s="1"/>
  <c r="F211" i="83" a="1"/>
  <c r="F211" i="83" s="1"/>
  <c r="E211" i="83" a="1"/>
  <c r="E211" i="83" s="1"/>
  <c r="I42" i="86"/>
  <c r="F41" i="104" a="1"/>
  <c r="F41" i="104" s="1"/>
  <c r="F37" i="104" a="1"/>
  <c r="F37" i="104" s="1"/>
  <c r="F26" i="104" a="1"/>
  <c r="F26" i="104" s="1"/>
  <c r="F27" i="104" a="1"/>
  <c r="F27" i="104" s="1"/>
  <c r="F31" i="104" a="1"/>
  <c r="F31" i="104" s="1"/>
  <c r="F39" i="104" a="1"/>
  <c r="F39" i="104" s="1"/>
  <c r="F32" i="104" a="1"/>
  <c r="F32" i="104" s="1"/>
  <c r="F40" i="104" a="1"/>
  <c r="F40" i="104" s="1"/>
  <c r="F38" i="104" a="1"/>
  <c r="F38" i="104" s="1"/>
  <c r="F25" i="104" a="1"/>
  <c r="F25" i="104" s="1"/>
  <c r="F30" i="104" a="1"/>
  <c r="F30" i="104" s="1"/>
  <c r="F36" i="104" a="1"/>
  <c r="F36" i="104" s="1"/>
  <c r="F35" i="104" a="1"/>
  <c r="F35" i="104" s="1"/>
  <c r="F24" i="104" a="1"/>
  <c r="F24" i="104" s="1"/>
  <c r="F33" i="104" a="1"/>
  <c r="F33" i="104" s="1"/>
  <c r="F28" i="104" a="1"/>
  <c r="F28" i="104" s="1"/>
  <c r="F34" i="104" a="1"/>
  <c r="F34" i="104" s="1"/>
  <c r="F29" i="104" a="1"/>
  <c r="F29" i="104" s="1"/>
  <c r="F23" i="104" a="1"/>
  <c r="F23" i="104" s="1"/>
  <c r="J51" i="103"/>
  <c r="F60" i="103" s="1" a="1"/>
  <c r="F60" i="103" s="1"/>
  <c r="F66" i="104" a="1"/>
  <c r="F66" i="104" s="1"/>
  <c r="F69" i="104" a="1"/>
  <c r="F69" i="104" s="1"/>
  <c r="F75" i="104" a="1"/>
  <c r="F75" i="104" s="1"/>
  <c r="F68" i="104" a="1"/>
  <c r="F68" i="104" s="1"/>
  <c r="F74" i="104" a="1"/>
  <c r="F74" i="104" s="1"/>
  <c r="F73" i="104" a="1"/>
  <c r="F73" i="104" s="1"/>
  <c r="F71" i="104" a="1"/>
  <c r="F71" i="104" s="1"/>
  <c r="F72" i="104" a="1"/>
  <c r="F72" i="104" s="1"/>
  <c r="F70" i="104" a="1"/>
  <c r="F70" i="104" s="1"/>
  <c r="F67" i="104" a="1"/>
  <c r="F67" i="104" s="1"/>
  <c r="F65" i="104" a="1"/>
  <c r="F65" i="104" s="1"/>
  <c r="E66" i="100" a="1"/>
  <c r="E66" i="100" s="1"/>
  <c r="E72" i="100" a="1"/>
  <c r="E72" i="100" s="1"/>
  <c r="E76" i="100" a="1"/>
  <c r="E76" i="100" s="1"/>
  <c r="E75" i="100" a="1"/>
  <c r="E75" i="100" s="1"/>
  <c r="E59" i="100" a="1"/>
  <c r="E59" i="100" s="1"/>
  <c r="E63" i="100" a="1"/>
  <c r="E63" i="100" s="1"/>
  <c r="E64" i="100" a="1"/>
  <c r="E64" i="100" s="1"/>
  <c r="E60" i="100" a="1"/>
  <c r="E60" i="100" s="1"/>
  <c r="E69" i="100" a="1"/>
  <c r="E69" i="100" s="1"/>
  <c r="E65" i="100" a="1"/>
  <c r="E65" i="100" s="1"/>
  <c r="E67" i="100" a="1"/>
  <c r="E67" i="100" s="1"/>
  <c r="E68" i="100" a="1"/>
  <c r="E68" i="100" s="1"/>
  <c r="E61" i="100" a="1"/>
  <c r="E61" i="100" s="1"/>
  <c r="E73" i="100" a="1"/>
  <c r="E73" i="100" s="1"/>
  <c r="E70" i="100" a="1"/>
  <c r="E70" i="100" s="1"/>
  <c r="E71" i="100" a="1"/>
  <c r="E71" i="100" s="1"/>
  <c r="E74" i="100" a="1"/>
  <c r="E74" i="100" s="1"/>
  <c r="E58" i="100" a="1"/>
  <c r="E58" i="100" s="1"/>
  <c r="E62" i="100" a="1"/>
  <c r="E62" i="100" s="1"/>
  <c r="E74" i="115" a="1"/>
  <c r="E74" i="115" s="1"/>
  <c r="J86" i="115" s="1"/>
  <c r="E90" i="115" s="1" a="1"/>
  <c r="E90" i="115" s="1"/>
  <c r="O74" i="115" a="1"/>
  <c r="O74" i="115" s="1"/>
  <c r="T86" i="115" s="1"/>
  <c r="O90" i="115" s="1" a="1"/>
  <c r="O90" i="115" s="1"/>
  <c r="R586" i="114" s="1"/>
  <c r="R207" i="83" a="1"/>
  <c r="R207" i="83" s="1"/>
  <c r="P207" i="83" a="1"/>
  <c r="P207" i="83" s="1"/>
  <c r="O207" i="83" a="1"/>
  <c r="O207" i="83" s="1"/>
  <c r="Q207" i="83" a="1"/>
  <c r="Q207" i="83" s="1"/>
  <c r="J92" i="104"/>
  <c r="F168" i="83" a="1"/>
  <c r="F168" i="83" s="1"/>
  <c r="F206" i="83" a="1"/>
  <c r="F206" i="83" s="1"/>
  <c r="I181" i="83" a="1"/>
  <c r="I181" i="83" s="1"/>
  <c r="G172" i="83" a="1"/>
  <c r="G172" i="83" s="1"/>
  <c r="H181" i="83" a="1"/>
  <c r="H181" i="83" s="1"/>
  <c r="G178" i="83" a="1"/>
  <c r="G178" i="83" s="1"/>
  <c r="I168" i="83" a="1"/>
  <c r="I168" i="83" s="1"/>
  <c r="H168" i="83" a="1"/>
  <c r="H168" i="83" s="1"/>
  <c r="H178" i="83" a="1"/>
  <c r="H178" i="83" s="1"/>
  <c r="I172" i="83" a="1"/>
  <c r="I172" i="83" s="1"/>
  <c r="I178" i="83" a="1"/>
  <c r="I178" i="83" s="1"/>
  <c r="G168" i="83" a="1"/>
  <c r="G168" i="83" s="1"/>
  <c r="G206" i="83" a="1"/>
  <c r="G206" i="83" s="1"/>
  <c r="I175" i="83" a="1"/>
  <c r="I175" i="83" s="1"/>
  <c r="H206" i="83" a="1"/>
  <c r="H206" i="83" s="1"/>
  <c r="G181" i="83" a="1"/>
  <c r="G181" i="83" s="1"/>
  <c r="H175" i="83" a="1"/>
  <c r="H175" i="83" s="1"/>
  <c r="G175" i="83" a="1"/>
  <c r="G175" i="83" s="1"/>
  <c r="H172" i="83" a="1"/>
  <c r="H172" i="83" s="1"/>
  <c r="F175" i="83" a="1"/>
  <c r="F175" i="83" s="1"/>
  <c r="F178" i="83" a="1"/>
  <c r="F178" i="83" s="1"/>
  <c r="E206" i="83" a="1"/>
  <c r="E206" i="83" s="1"/>
  <c r="F181" i="83" a="1"/>
  <c r="F181" i="83" s="1"/>
  <c r="F172" i="83" a="1"/>
  <c r="F172" i="83" s="1"/>
  <c r="G171" i="83" a="1"/>
  <c r="G171" i="83" s="1"/>
  <c r="H210" i="83" a="1"/>
  <c r="H210" i="83" s="1"/>
  <c r="I184" i="83" a="1"/>
  <c r="I184" i="83" s="1"/>
  <c r="F210" i="83" a="1"/>
  <c r="F210" i="83" s="1"/>
  <c r="I171" i="83" a="1"/>
  <c r="I171" i="83" s="1"/>
  <c r="H184" i="83" a="1"/>
  <c r="H184" i="83" s="1"/>
  <c r="I167" i="83" a="1"/>
  <c r="I167" i="83" s="1"/>
  <c r="F171" i="83" a="1"/>
  <c r="F171" i="83" s="1"/>
  <c r="G174" i="83" a="1"/>
  <c r="G174" i="83" s="1"/>
  <c r="H177" i="83" a="1"/>
  <c r="H177" i="83" s="1"/>
  <c r="H174" i="83" a="1"/>
  <c r="H174" i="83" s="1"/>
  <c r="G167" i="83" a="1"/>
  <c r="G167" i="83" s="1"/>
  <c r="G177" i="83" a="1"/>
  <c r="G177" i="83" s="1"/>
  <c r="G184" i="83" a="1"/>
  <c r="G184" i="83" s="1"/>
  <c r="G210" i="83" a="1"/>
  <c r="G210" i="83" s="1"/>
  <c r="I177" i="83" a="1"/>
  <c r="I177" i="83" s="1"/>
  <c r="H167" i="83" a="1"/>
  <c r="H167" i="83" s="1"/>
  <c r="H171" i="83" a="1"/>
  <c r="H171" i="83" s="1"/>
  <c r="I174" i="83" a="1"/>
  <c r="I174" i="83" s="1"/>
  <c r="F167" i="83" a="1"/>
  <c r="F167" i="83" s="1"/>
  <c r="E210" i="83" a="1"/>
  <c r="E210" i="83" s="1"/>
  <c r="F177" i="83" a="1"/>
  <c r="F177" i="83" s="1"/>
  <c r="F184" i="83" a="1"/>
  <c r="F184" i="83" s="1"/>
  <c r="F174" i="83" a="1"/>
  <c r="F174" i="83" s="1"/>
  <c r="J15" i="115"/>
  <c r="H179" i="83" a="1"/>
  <c r="H179" i="83" s="1"/>
  <c r="F169" i="83" a="1"/>
  <c r="F169" i="83" s="1"/>
  <c r="I179" i="83" a="1"/>
  <c r="I179" i="83" s="1"/>
  <c r="I176" i="83" a="1"/>
  <c r="I176" i="83" s="1"/>
  <c r="G176" i="83" a="1"/>
  <c r="G176" i="83" s="1"/>
  <c r="G179" i="83" a="1"/>
  <c r="G179" i="83" s="1"/>
  <c r="F208" i="83" a="1"/>
  <c r="F208" i="83" s="1"/>
  <c r="H169" i="83" a="1"/>
  <c r="H169" i="83" s="1"/>
  <c r="G208" i="83" a="1"/>
  <c r="G208" i="83" s="1"/>
  <c r="H208" i="83" a="1"/>
  <c r="H208" i="83" s="1"/>
  <c r="G169" i="83" a="1"/>
  <c r="G169" i="83" s="1"/>
  <c r="I182" i="83" a="1"/>
  <c r="I182" i="83" s="1"/>
  <c r="H182" i="83" a="1"/>
  <c r="H182" i="83" s="1"/>
  <c r="G182" i="83" a="1"/>
  <c r="G182" i="83" s="1"/>
  <c r="H176" i="83" a="1"/>
  <c r="H176" i="83" s="1"/>
  <c r="I169" i="83" a="1"/>
  <c r="I169" i="83" s="1"/>
  <c r="F176" i="83" a="1"/>
  <c r="F176" i="83" s="1"/>
  <c r="F165" i="83" a="1"/>
  <c r="F165" i="83" s="1"/>
  <c r="E208" i="83" a="1"/>
  <c r="E208" i="83" s="1"/>
  <c r="F179" i="83" a="1"/>
  <c r="F179" i="83" s="1"/>
  <c r="F182" i="83" a="1"/>
  <c r="F182" i="83" s="1"/>
  <c r="I165" i="83" a="1"/>
  <c r="I165" i="83" s="1"/>
  <c r="H165" i="83" a="1"/>
  <c r="H165" i="83" s="1"/>
  <c r="G165" i="83" a="1"/>
  <c r="G165" i="83" s="1"/>
  <c r="I50" i="115"/>
  <c r="F207" i="83" a="1"/>
  <c r="F207" i="83" s="1"/>
  <c r="H207" i="83" a="1"/>
  <c r="H207" i="83" s="1"/>
  <c r="E207" i="83" a="1"/>
  <c r="E207" i="83" s="1"/>
  <c r="G207" i="83" a="1"/>
  <c r="G207" i="83" s="1"/>
  <c r="F138" i="103" a="1"/>
  <c r="F138" i="103" s="1"/>
  <c r="F141" i="103" a="1"/>
  <c r="F141" i="103" s="1"/>
  <c r="F144" i="103" a="1"/>
  <c r="F144" i="103" s="1"/>
  <c r="F143" i="103" a="1"/>
  <c r="F143" i="103" s="1"/>
  <c r="F135" i="103" a="1"/>
  <c r="F135" i="103" s="1"/>
  <c r="F142" i="103" a="1"/>
  <c r="F142" i="103" s="1"/>
  <c r="F139" i="103" a="1"/>
  <c r="F139" i="103" s="1"/>
  <c r="F140" i="103" a="1"/>
  <c r="F140" i="103" s="1"/>
  <c r="F137" i="103" a="1"/>
  <c r="F137" i="103" s="1"/>
  <c r="F134" i="103" a="1"/>
  <c r="F134" i="103" s="1"/>
  <c r="F136" i="103" a="1"/>
  <c r="F136" i="103" s="1"/>
  <c r="Q177" i="83" a="1"/>
  <c r="Q177" i="83" s="1"/>
  <c r="R184" i="83" a="1"/>
  <c r="R184" i="83" s="1"/>
  <c r="Q171" i="83" a="1"/>
  <c r="Q171" i="83" s="1"/>
  <c r="S177" i="83" a="1"/>
  <c r="S177" i="83" s="1"/>
  <c r="R171" i="83" a="1"/>
  <c r="R171" i="83" s="1"/>
  <c r="Q184" i="83" a="1"/>
  <c r="Q184" i="83" s="1"/>
  <c r="Q167" i="83" a="1"/>
  <c r="Q167" i="83" s="1"/>
  <c r="S171" i="83" a="1"/>
  <c r="S171" i="83" s="1"/>
  <c r="Q210" i="83" a="1"/>
  <c r="Q210" i="83" s="1"/>
  <c r="S167" i="83" a="1"/>
  <c r="S167" i="83" s="1"/>
  <c r="S174" i="83" a="1"/>
  <c r="S174" i="83" s="1"/>
  <c r="P210" i="83" a="1"/>
  <c r="P210" i="83" s="1"/>
  <c r="R210" i="83" a="1"/>
  <c r="R210" i="83" s="1"/>
  <c r="S184" i="83" a="1"/>
  <c r="S184" i="83" s="1"/>
  <c r="Q174" i="83" a="1"/>
  <c r="Q174" i="83" s="1"/>
  <c r="R177" i="83" a="1"/>
  <c r="R177" i="83" s="1"/>
  <c r="R174" i="83" a="1"/>
  <c r="R174" i="83" s="1"/>
  <c r="O210" i="83" a="1"/>
  <c r="O210" i="83" s="1"/>
  <c r="P184" i="83" a="1"/>
  <c r="P184" i="83" s="1"/>
  <c r="R167" i="83" a="1"/>
  <c r="R167" i="83" s="1"/>
  <c r="P171" i="83" a="1"/>
  <c r="P171" i="83" s="1"/>
  <c r="P174" i="83" a="1"/>
  <c r="P174" i="83" s="1"/>
  <c r="P177" i="83" a="1"/>
  <c r="P177" i="83" s="1"/>
  <c r="P167" i="83" a="1"/>
  <c r="P167" i="83" s="1"/>
  <c r="E61" i="99" a="1"/>
  <c r="E61" i="99" s="1"/>
  <c r="E68" i="99" a="1"/>
  <c r="E68" i="99" s="1"/>
  <c r="E74" i="99" a="1"/>
  <c r="E74" i="99" s="1"/>
  <c r="E72" i="99" a="1"/>
  <c r="E72" i="99" s="1"/>
  <c r="E76" i="99" a="1"/>
  <c r="E76" i="99" s="1"/>
  <c r="E67" i="99" a="1"/>
  <c r="E67" i="99" s="1"/>
  <c r="E63" i="99" a="1"/>
  <c r="E63" i="99" s="1"/>
  <c r="E64" i="99" a="1"/>
  <c r="E64" i="99" s="1"/>
  <c r="E71" i="99" a="1"/>
  <c r="E71" i="99" s="1"/>
  <c r="E65" i="99" a="1"/>
  <c r="E65" i="99" s="1"/>
  <c r="E70" i="99" a="1"/>
  <c r="E70" i="99" s="1"/>
  <c r="E77" i="99" a="1"/>
  <c r="E77" i="99" s="1"/>
  <c r="E78" i="99" a="1"/>
  <c r="E78" i="99" s="1"/>
  <c r="E66" i="99" a="1"/>
  <c r="E66" i="99" s="1"/>
  <c r="E69" i="99" a="1"/>
  <c r="E69" i="99" s="1"/>
  <c r="E73" i="99" a="1"/>
  <c r="E73" i="99" s="1"/>
  <c r="E75" i="99" a="1"/>
  <c r="E75" i="99" s="1"/>
  <c r="E62" i="99" a="1"/>
  <c r="E62" i="99" s="1"/>
  <c r="E60" i="99" a="1"/>
  <c r="E60" i="99" s="1"/>
  <c r="Q211" i="83" a="1"/>
  <c r="Q211" i="83" s="1"/>
  <c r="R211" i="83" a="1"/>
  <c r="R211" i="83" s="1"/>
  <c r="P211" i="83" a="1"/>
  <c r="P211" i="83" s="1"/>
  <c r="O211" i="83" a="1"/>
  <c r="O211" i="83" s="1"/>
  <c r="F64" i="103" a="1"/>
  <c r="F64" i="103" s="1"/>
  <c r="F62" i="103" a="1"/>
  <c r="F62" i="103" s="1"/>
  <c r="F61" i="103" a="1"/>
  <c r="F61" i="103" s="1"/>
  <c r="F72" i="103" a="1"/>
  <c r="F72" i="103" s="1"/>
  <c r="F70" i="103" a="1"/>
  <c r="F70" i="103" s="1"/>
  <c r="F77" i="103" a="1"/>
  <c r="F77" i="103" s="1"/>
  <c r="F71" i="103" a="1"/>
  <c r="F71" i="103" s="1"/>
  <c r="F76" i="103" a="1"/>
  <c r="F76" i="103" s="1"/>
  <c r="F65" i="103" a="1"/>
  <c r="F65" i="103" s="1"/>
  <c r="F75" i="103" a="1"/>
  <c r="F75" i="103" s="1"/>
  <c r="S170" i="83" a="1"/>
  <c r="S170" i="83" s="1"/>
  <c r="Q170" i="83" a="1"/>
  <c r="Q170" i="83" s="1"/>
  <c r="R173" i="83" a="1"/>
  <c r="R173" i="83" s="1"/>
  <c r="Q173" i="83" a="1"/>
  <c r="Q173" i="83" s="1"/>
  <c r="S173" i="83" a="1"/>
  <c r="S173" i="83" s="1"/>
  <c r="R180" i="83" a="1"/>
  <c r="R180" i="83" s="1"/>
  <c r="R170" i="83" a="1"/>
  <c r="R170" i="83" s="1"/>
  <c r="P209" i="83" a="1"/>
  <c r="P209" i="83" s="1"/>
  <c r="R183" i="83" a="1"/>
  <c r="R183" i="83" s="1"/>
  <c r="S180" i="83" a="1"/>
  <c r="S180" i="83" s="1"/>
  <c r="S183" i="83" a="1"/>
  <c r="S183" i="83" s="1"/>
  <c r="S166" i="83" a="1"/>
  <c r="S166" i="83" s="1"/>
  <c r="R209" i="83" a="1"/>
  <c r="R209" i="83" s="1"/>
  <c r="Q183" i="83" a="1"/>
  <c r="Q183" i="83" s="1"/>
  <c r="Q166" i="83" a="1"/>
  <c r="Q166" i="83" s="1"/>
  <c r="Q180" i="83" a="1"/>
  <c r="Q180" i="83" s="1"/>
  <c r="Q209" i="83" a="1"/>
  <c r="Q209" i="83" s="1"/>
  <c r="P183" i="83" a="1"/>
  <c r="P183" i="83" s="1"/>
  <c r="O209" i="83" a="1"/>
  <c r="O209" i="83" s="1"/>
  <c r="P170" i="83" a="1"/>
  <c r="P170" i="83" s="1"/>
  <c r="R166" i="83" a="1"/>
  <c r="R166" i="83" s="1"/>
  <c r="P173" i="83" a="1"/>
  <c r="P173" i="83" s="1"/>
  <c r="P166" i="83" a="1"/>
  <c r="P166" i="83" s="1"/>
  <c r="P180" i="83" a="1"/>
  <c r="P180" i="83" s="1"/>
  <c r="O55" i="115" a="1"/>
  <c r="O55" i="115" s="1"/>
  <c r="R585" i="114" s="1"/>
  <c r="E55" i="115" a="1"/>
  <c r="E55" i="115" s="1"/>
  <c r="P208" i="83" a="1"/>
  <c r="P208" i="83" s="1"/>
  <c r="Q169" i="83" a="1"/>
  <c r="Q169" i="83" s="1"/>
  <c r="Q176" i="83" a="1"/>
  <c r="Q176" i="83" s="1"/>
  <c r="Q179" i="83" a="1"/>
  <c r="Q179" i="83" s="1"/>
  <c r="S179" i="83" a="1"/>
  <c r="S179" i="83" s="1"/>
  <c r="S182" i="83" a="1"/>
  <c r="S182" i="83" s="1"/>
  <c r="Q182" i="83" a="1"/>
  <c r="Q182" i="83" s="1"/>
  <c r="R169" i="83" a="1"/>
  <c r="R169" i="83" s="1"/>
  <c r="R208" i="83" a="1"/>
  <c r="R208" i="83" s="1"/>
  <c r="R182" i="83" a="1"/>
  <c r="R182" i="83" s="1"/>
  <c r="Q165" i="83" a="1"/>
  <c r="Q165" i="83" s="1"/>
  <c r="R179" i="83" a="1"/>
  <c r="R179" i="83" s="1"/>
  <c r="S169" i="83" a="1"/>
  <c r="S169" i="83" s="1"/>
  <c r="Q208" i="83" a="1"/>
  <c r="Q208" i="83" s="1"/>
  <c r="S165" i="83" a="1"/>
  <c r="S165" i="83" s="1"/>
  <c r="R176" i="83" a="1"/>
  <c r="R176" i="83" s="1"/>
  <c r="S176" i="83" a="1"/>
  <c r="S176" i="83" s="1"/>
  <c r="R165" i="83" a="1"/>
  <c r="R165" i="83" s="1"/>
  <c r="P169" i="83" a="1"/>
  <c r="P169" i="83" s="1"/>
  <c r="O208" i="83" a="1"/>
  <c r="O208" i="83" s="1"/>
  <c r="P182" i="83" a="1"/>
  <c r="P182" i="83" s="1"/>
  <c r="P165" i="83" a="1"/>
  <c r="P165" i="83" s="1"/>
  <c r="P179" i="83" a="1"/>
  <c r="P179" i="83" s="1"/>
  <c r="P176" i="83" a="1"/>
  <c r="P176" i="83" s="1"/>
  <c r="Q168" i="83" a="1"/>
  <c r="Q168" i="83" s="1"/>
  <c r="S168" i="83" a="1"/>
  <c r="S168" i="83" s="1"/>
  <c r="R206" i="83" a="1"/>
  <c r="R206" i="83" s="1"/>
  <c r="P206" i="83" a="1"/>
  <c r="P206" i="83" s="1"/>
  <c r="Q181" i="83" a="1"/>
  <c r="Q181" i="83" s="1"/>
  <c r="S172" i="83" a="1"/>
  <c r="S172" i="83" s="1"/>
  <c r="S178" i="83" a="1"/>
  <c r="S178" i="83" s="1"/>
  <c r="Q175" i="83" a="1"/>
  <c r="Q175" i="83" s="1"/>
  <c r="Q206" i="83" a="1"/>
  <c r="Q206" i="83" s="1"/>
  <c r="Q172" i="83" a="1"/>
  <c r="Q172" i="83" s="1"/>
  <c r="R175" i="83" a="1"/>
  <c r="R175" i="83" s="1"/>
  <c r="R178" i="83" a="1"/>
  <c r="R178" i="83" s="1"/>
  <c r="S175" i="83" a="1"/>
  <c r="S175" i="83" s="1"/>
  <c r="R172" i="83" a="1"/>
  <c r="R172" i="83" s="1"/>
  <c r="R181" i="83" a="1"/>
  <c r="R181" i="83" s="1"/>
  <c r="S181" i="83" a="1"/>
  <c r="S181" i="83" s="1"/>
  <c r="R168" i="83" a="1"/>
  <c r="R168" i="83" s="1"/>
  <c r="Q178" i="83" a="1"/>
  <c r="Q178" i="83" s="1"/>
  <c r="P181" i="83" a="1"/>
  <c r="P181" i="83" s="1"/>
  <c r="P168" i="83" a="1"/>
  <c r="P168" i="83" s="1"/>
  <c r="O206" i="83" a="1"/>
  <c r="O206" i="83" s="1"/>
  <c r="P172" i="83" a="1"/>
  <c r="P172" i="83" s="1"/>
  <c r="P175" i="83" a="1"/>
  <c r="P175" i="83" s="1"/>
  <c r="P178" i="83" a="1"/>
  <c r="P178" i="83" s="1"/>
  <c r="E13" i="72"/>
  <c r="E18" i="75"/>
  <c r="E20" i="75" s="1"/>
  <c r="E21" i="75" s="1"/>
  <c r="E20" i="72"/>
  <c r="D229" i="83" l="1" a="1"/>
  <c r="D229" i="83" s="1"/>
  <c r="D259" i="83" s="1" a="1"/>
  <c r="D259" i="83" s="1"/>
  <c r="F66" i="103" a="1"/>
  <c r="F66" i="103" s="1"/>
  <c r="F74" i="103" a="1"/>
  <c r="F74" i="103" s="1"/>
  <c r="J17" i="115"/>
  <c r="J14" i="115" s="1"/>
  <c r="K48" i="101"/>
  <c r="K45" i="101" s="1"/>
  <c r="E50" i="101" s="1" a="1"/>
  <c r="E50" i="101" s="1"/>
  <c r="G52" i="101" s="1"/>
  <c r="E55" i="101" s="1" a="1"/>
  <c r="E55" i="101" s="1"/>
  <c r="F63" i="103" a="1"/>
  <c r="F63" i="103" s="1"/>
  <c r="F267" i="84" a="1"/>
  <c r="F267" i="84" s="1"/>
  <c r="P268" i="84" a="1"/>
  <c r="P268" i="84" s="1"/>
  <c r="P265" i="84" a="1"/>
  <c r="P265" i="84" s="1"/>
  <c r="P269" i="84" a="1"/>
  <c r="P269" i="84" s="1"/>
  <c r="F269" i="84" a="1"/>
  <c r="F269" i="84" s="1"/>
  <c r="F268" i="84" a="1"/>
  <c r="F268" i="84" s="1"/>
  <c r="F264" i="84" a="1"/>
  <c r="F264" i="84" s="1"/>
  <c r="P264" i="84" a="1"/>
  <c r="P264" i="84" s="1"/>
  <c r="F265" i="84" a="1"/>
  <c r="F265" i="84" s="1"/>
  <c r="P267" i="84" a="1"/>
  <c r="P267" i="84" s="1"/>
  <c r="P266" i="84" a="1"/>
  <c r="P266" i="84" s="1"/>
  <c r="F266" i="84" a="1"/>
  <c r="F266" i="84" s="1"/>
  <c r="S269" i="84" a="1"/>
  <c r="S269" i="84" s="1"/>
  <c r="Q268" i="84" a="1"/>
  <c r="Q268" i="84" s="1"/>
  <c r="Q269" i="84" a="1"/>
  <c r="Q269" i="84" s="1"/>
  <c r="S264" i="84" a="1"/>
  <c r="S264" i="84" s="1"/>
  <c r="S266" i="84" a="1"/>
  <c r="S266" i="84" s="1"/>
  <c r="G265" i="84" a="1"/>
  <c r="G265" i="84" s="1"/>
  <c r="S268" i="84" a="1"/>
  <c r="S268" i="84" s="1"/>
  <c r="R268" i="84" a="1"/>
  <c r="R268" i="84" s="1"/>
  <c r="Q266" i="84" a="1"/>
  <c r="Q266" i="84" s="1"/>
  <c r="G264" i="84" a="1"/>
  <c r="G264" i="84" s="1"/>
  <c r="H264" i="84" a="1"/>
  <c r="H264" i="84" s="1"/>
  <c r="H269" i="84" a="1"/>
  <c r="H269" i="84" s="1"/>
  <c r="G268" i="84" a="1"/>
  <c r="G268" i="84" s="1"/>
  <c r="R266" i="84" a="1"/>
  <c r="R266" i="84" s="1"/>
  <c r="H265" i="84" a="1"/>
  <c r="H265" i="84" s="1"/>
  <c r="R265" i="84" a="1"/>
  <c r="R265" i="84" s="1"/>
  <c r="I265" i="84" a="1"/>
  <c r="I265" i="84" s="1"/>
  <c r="Q265" i="84" a="1"/>
  <c r="Q265" i="84" s="1"/>
  <c r="G269" i="84" a="1"/>
  <c r="G269" i="84" s="1"/>
  <c r="Q264" i="84" a="1"/>
  <c r="Q264" i="84" s="1"/>
  <c r="R269" i="84" a="1"/>
  <c r="R269" i="84" s="1"/>
  <c r="I268" i="84" a="1"/>
  <c r="I268" i="84" s="1"/>
  <c r="H267" i="84" a="1"/>
  <c r="H267" i="84" s="1"/>
  <c r="Q267" i="84" a="1"/>
  <c r="Q267" i="84" s="1"/>
  <c r="R267" i="84" a="1"/>
  <c r="R267" i="84" s="1"/>
  <c r="I267" i="84" a="1"/>
  <c r="I267" i="84" s="1"/>
  <c r="I264" i="84" a="1"/>
  <c r="I264" i="84" s="1"/>
  <c r="G266" i="84" a="1"/>
  <c r="G266" i="84" s="1"/>
  <c r="H266" i="84" a="1"/>
  <c r="H266" i="84" s="1"/>
  <c r="S267" i="84" a="1"/>
  <c r="S267" i="84" s="1"/>
  <c r="S265" i="84" a="1"/>
  <c r="S265" i="84" s="1"/>
  <c r="R264" i="84" a="1"/>
  <c r="R264" i="84" s="1"/>
  <c r="H268" i="84" a="1"/>
  <c r="H268" i="84" s="1"/>
  <c r="I269" i="84" a="1"/>
  <c r="I269" i="84" s="1"/>
  <c r="I266" i="84" a="1"/>
  <c r="I266" i="84" s="1"/>
  <c r="G267" i="84" a="1"/>
  <c r="G267" i="84" s="1"/>
  <c r="F287" i="84" a="1"/>
  <c r="F287" i="84" s="1"/>
  <c r="F277" i="84" a="1"/>
  <c r="F277" i="84" s="1"/>
  <c r="P280" i="84" a="1"/>
  <c r="P280" i="84" s="1"/>
  <c r="F284" i="84" a="1"/>
  <c r="F284" i="84" s="1"/>
  <c r="P291" i="84" a="1"/>
  <c r="P291" i="84" s="1"/>
  <c r="P281" i="84" a="1"/>
  <c r="P281" i="84" s="1"/>
  <c r="P272" i="84" a="1"/>
  <c r="P272" i="84" s="1"/>
  <c r="F272" i="84" a="1"/>
  <c r="F272" i="84" s="1"/>
  <c r="F285" i="84" a="1"/>
  <c r="F285" i="84" s="1"/>
  <c r="F276" i="84" a="1"/>
  <c r="F276" i="84" s="1"/>
  <c r="P279" i="84" a="1"/>
  <c r="P279" i="84" s="1"/>
  <c r="F291" i="84" a="1"/>
  <c r="F291" i="84" s="1"/>
  <c r="P276" i="84" a="1"/>
  <c r="P276" i="84" s="1"/>
  <c r="P271" i="84" a="1"/>
  <c r="P271" i="84" s="1"/>
  <c r="P294" i="84" a="1"/>
  <c r="P294" i="84" s="1"/>
  <c r="P285" i="84" a="1"/>
  <c r="P285" i="84" s="1"/>
  <c r="F275" i="84" a="1"/>
  <c r="F275" i="84" s="1"/>
  <c r="P289" i="84" a="1"/>
  <c r="P289" i="84" s="1"/>
  <c r="P293" i="84" a="1"/>
  <c r="P293" i="84" s="1"/>
  <c r="F289" i="84" a="1"/>
  <c r="F289" i="84" s="1"/>
  <c r="P284" i="84" a="1"/>
  <c r="P284" i="84" s="1"/>
  <c r="F280" i="84" a="1"/>
  <c r="F280" i="84" s="1"/>
  <c r="P275" i="84" a="1"/>
  <c r="P275" i="84" s="1"/>
  <c r="F271" i="84" a="1"/>
  <c r="F271" i="84" s="1"/>
  <c r="P274" i="84" a="1"/>
  <c r="P274" i="84" s="1"/>
  <c r="F293" i="84" a="1"/>
  <c r="F293" i="84" s="1"/>
  <c r="P288" i="84" a="1"/>
  <c r="P288" i="84" s="1"/>
  <c r="P292" i="84" a="1"/>
  <c r="P292" i="84" s="1"/>
  <c r="F288" i="84" a="1"/>
  <c r="F288" i="84" s="1"/>
  <c r="P283" i="84" a="1"/>
  <c r="P283" i="84" s="1"/>
  <c r="F270" i="84" a="1"/>
  <c r="F270" i="84" s="1"/>
  <c r="P287" i="84" a="1"/>
  <c r="P287" i="84" s="1"/>
  <c r="F274" i="84" a="1"/>
  <c r="F274" i="84" s="1"/>
  <c r="F281" i="84" a="1"/>
  <c r="F281" i="84" s="1"/>
  <c r="F294" i="84" a="1"/>
  <c r="F294" i="84" s="1"/>
  <c r="F279" i="84" a="1"/>
  <c r="F279" i="84" s="1"/>
  <c r="F292" i="84" a="1"/>
  <c r="F292" i="84" s="1"/>
  <c r="F283" i="84" a="1"/>
  <c r="F283" i="84" s="1"/>
  <c r="P277" i="84" a="1"/>
  <c r="P277" i="84" s="1"/>
  <c r="P270" i="84" a="1"/>
  <c r="P270" i="84" s="1"/>
  <c r="S274" i="84" a="1"/>
  <c r="S274" i="84" s="1"/>
  <c r="Q276" i="84" a="1"/>
  <c r="Q276" i="84" s="1"/>
  <c r="I285" i="84" a="1"/>
  <c r="I285" i="84" s="1"/>
  <c r="H270" i="84" a="1"/>
  <c r="H270" i="84" s="1"/>
  <c r="I288" i="84" a="1"/>
  <c r="I288" i="84" s="1"/>
  <c r="H272" i="84" a="1"/>
  <c r="H272" i="84" s="1"/>
  <c r="G291" i="84" a="1"/>
  <c r="G291" i="84" s="1"/>
  <c r="H289" i="84" a="1"/>
  <c r="H289" i="84" s="1"/>
  <c r="H293" i="84" a="1"/>
  <c r="H293" i="84" s="1"/>
  <c r="R293" i="84" a="1"/>
  <c r="R293" i="84" s="1"/>
  <c r="R279" i="84" a="1"/>
  <c r="R279" i="84" s="1"/>
  <c r="G285" i="84" a="1"/>
  <c r="G285" i="84" s="1"/>
  <c r="I270" i="84" a="1"/>
  <c r="I270" i="84" s="1"/>
  <c r="Q275" i="84" a="1"/>
  <c r="Q275" i="84" s="1"/>
  <c r="G287" i="84" a="1"/>
  <c r="G287" i="84" s="1"/>
  <c r="S277" i="84" a="1"/>
  <c r="S277" i="84" s="1"/>
  <c r="R274" i="84" a="1"/>
  <c r="R274" i="84" s="1"/>
  <c r="R283" i="84" a="1"/>
  <c r="R283" i="84" s="1"/>
  <c r="S270" i="84" a="1"/>
  <c r="S270" i="84" s="1"/>
  <c r="I275" i="84" a="1"/>
  <c r="I275" i="84" s="1"/>
  <c r="I293" i="84" a="1"/>
  <c r="I293" i="84" s="1"/>
  <c r="Q280" i="84" a="1"/>
  <c r="Q280" i="84" s="1"/>
  <c r="R285" i="84" a="1"/>
  <c r="R285" i="84" s="1"/>
  <c r="R284" i="84" a="1"/>
  <c r="R284" i="84" s="1"/>
  <c r="I294" i="84" a="1"/>
  <c r="I294" i="84" s="1"/>
  <c r="H274" i="84" a="1"/>
  <c r="H274" i="84" s="1"/>
  <c r="S272" i="84" a="1"/>
  <c r="S272" i="84" s="1"/>
  <c r="H279" i="84" a="1"/>
  <c r="H279" i="84" s="1"/>
  <c r="R271" i="84" a="1"/>
  <c r="R271" i="84" s="1"/>
  <c r="H292" i="84" a="1"/>
  <c r="H292" i="84" s="1"/>
  <c r="R276" i="84" a="1"/>
  <c r="R276" i="84" s="1"/>
  <c r="I277" i="84" a="1"/>
  <c r="I277" i="84" s="1"/>
  <c r="Q277" i="84" a="1"/>
  <c r="Q277" i="84" s="1"/>
  <c r="I284" i="84" a="1"/>
  <c r="I284" i="84" s="1"/>
  <c r="Q274" i="84" a="1"/>
  <c r="Q274" i="84" s="1"/>
  <c r="I289" i="84" a="1"/>
  <c r="I289" i="84" s="1"/>
  <c r="I287" i="84" a="1"/>
  <c r="I287" i="84" s="1"/>
  <c r="G279" i="84" a="1"/>
  <c r="G279" i="84" s="1"/>
  <c r="R280" i="84" a="1"/>
  <c r="R280" i="84" s="1"/>
  <c r="R288" i="84" a="1"/>
  <c r="R288" i="84" s="1"/>
  <c r="Q292" i="84" a="1"/>
  <c r="Q292" i="84" s="1"/>
  <c r="S294" i="84" a="1"/>
  <c r="S294" i="84" s="1"/>
  <c r="Q271" i="84" a="1"/>
  <c r="Q271" i="84" s="1"/>
  <c r="S279" i="84" a="1"/>
  <c r="S279" i="84" s="1"/>
  <c r="Q287" i="84" a="1"/>
  <c r="Q287" i="84" s="1"/>
  <c r="G289" i="84" a="1"/>
  <c r="G289" i="84" s="1"/>
  <c r="G275" i="84" a="1"/>
  <c r="G275" i="84" s="1"/>
  <c r="I280" i="84" a="1"/>
  <c r="I280" i="84" s="1"/>
  <c r="R292" i="84" a="1"/>
  <c r="R292" i="84" s="1"/>
  <c r="R277" i="84" a="1"/>
  <c r="R277" i="84" s="1"/>
  <c r="S291" i="84" a="1"/>
  <c r="S291" i="84" s="1"/>
  <c r="Q284" i="84" a="1"/>
  <c r="Q284" i="84" s="1"/>
  <c r="H291" i="84" a="1"/>
  <c r="H291" i="84" s="1"/>
  <c r="G281" i="84" a="1"/>
  <c r="G281" i="84" s="1"/>
  <c r="G280" i="84" a="1"/>
  <c r="G280" i="84" s="1"/>
  <c r="H287" i="84" a="1"/>
  <c r="H287" i="84" s="1"/>
  <c r="S287" i="84" a="1"/>
  <c r="S287" i="84" s="1"/>
  <c r="S275" i="84" a="1"/>
  <c r="S275" i="84" s="1"/>
  <c r="I283" i="84" a="1"/>
  <c r="I283" i="84" s="1"/>
  <c r="G276" i="84" a="1"/>
  <c r="G276" i="84" s="1"/>
  <c r="I276" i="84" a="1"/>
  <c r="I276" i="84" s="1"/>
  <c r="G294" i="84" a="1"/>
  <c r="G294" i="84" s="1"/>
  <c r="S292" i="84" a="1"/>
  <c r="S292" i="84" s="1"/>
  <c r="G272" i="84" a="1"/>
  <c r="G272" i="84" s="1"/>
  <c r="Q272" i="84" a="1"/>
  <c r="Q272" i="84" s="1"/>
  <c r="G293" i="84" a="1"/>
  <c r="G293" i="84" s="1"/>
  <c r="R287" i="84" a="1"/>
  <c r="R287" i="84" s="1"/>
  <c r="H283" i="84" a="1"/>
  <c r="H283" i="84" s="1"/>
  <c r="I271" i="84" a="1"/>
  <c r="I271" i="84" s="1"/>
  <c r="G283" i="84" a="1"/>
  <c r="G283" i="84" s="1"/>
  <c r="I279" i="84" a="1"/>
  <c r="I279" i="84" s="1"/>
  <c r="R281" i="84" a="1"/>
  <c r="R281" i="84" s="1"/>
  <c r="H276" i="84" a="1"/>
  <c r="H276" i="84" s="1"/>
  <c r="S288" i="84" a="1"/>
  <c r="S288" i="84" s="1"/>
  <c r="S289" i="84" a="1"/>
  <c r="S289" i="84" s="1"/>
  <c r="S276" i="84" a="1"/>
  <c r="S276" i="84" s="1"/>
  <c r="H294" i="84" a="1"/>
  <c r="H294" i="84" s="1"/>
  <c r="R291" i="84" a="1"/>
  <c r="R291" i="84" s="1"/>
  <c r="G284" i="84" a="1"/>
  <c r="G284" i="84" s="1"/>
  <c r="Q294" i="84" a="1"/>
  <c r="Q294" i="84" s="1"/>
  <c r="S293" i="84" a="1"/>
  <c r="S293" i="84" s="1"/>
  <c r="Q279" i="84" a="1"/>
  <c r="Q279" i="84" s="1"/>
  <c r="H275" i="84" a="1"/>
  <c r="H275" i="84" s="1"/>
  <c r="S284" i="84" a="1"/>
  <c r="S284" i="84" s="1"/>
  <c r="S271" i="84" a="1"/>
  <c r="S271" i="84" s="1"/>
  <c r="Q283" i="84" a="1"/>
  <c r="Q283" i="84" s="1"/>
  <c r="S285" i="84" a="1"/>
  <c r="S285" i="84" s="1"/>
  <c r="G292" i="84" a="1"/>
  <c r="G292" i="84" s="1"/>
  <c r="H280" i="84" a="1"/>
  <c r="H280" i="84" s="1"/>
  <c r="G274" i="84" a="1"/>
  <c r="G274" i="84" s="1"/>
  <c r="H284" i="84" a="1"/>
  <c r="H284" i="84" s="1"/>
  <c r="I291" i="84" a="1"/>
  <c r="I291" i="84" s="1"/>
  <c r="G270" i="84" a="1"/>
  <c r="G270" i="84" s="1"/>
  <c r="R289" i="84" a="1"/>
  <c r="R289" i="84" s="1"/>
  <c r="I272" i="84" a="1"/>
  <c r="I272" i="84" s="1"/>
  <c r="Q285" i="84" a="1"/>
  <c r="Q285" i="84" s="1"/>
  <c r="S283" i="84" a="1"/>
  <c r="S283" i="84" s="1"/>
  <c r="G288" i="84" a="1"/>
  <c r="G288" i="84" s="1"/>
  <c r="S281" i="84" a="1"/>
  <c r="S281" i="84" s="1"/>
  <c r="H285" i="84" a="1"/>
  <c r="H285" i="84" s="1"/>
  <c r="Q289" i="84" a="1"/>
  <c r="Q289" i="84" s="1"/>
  <c r="I274" i="84" a="1"/>
  <c r="I274" i="84" s="1"/>
  <c r="R272" i="84" a="1"/>
  <c r="R272" i="84" s="1"/>
  <c r="Q281" i="84" a="1"/>
  <c r="Q281" i="84" s="1"/>
  <c r="H277" i="84" a="1"/>
  <c r="H277" i="84" s="1"/>
  <c r="I281" i="84" a="1"/>
  <c r="I281" i="84" s="1"/>
  <c r="Q270" i="84" a="1"/>
  <c r="Q270" i="84" s="1"/>
  <c r="G271" i="84" a="1"/>
  <c r="G271" i="84" s="1"/>
  <c r="R294" i="84" a="1"/>
  <c r="R294" i="84" s="1"/>
  <c r="S280" i="84" a="1"/>
  <c r="S280" i="84" s="1"/>
  <c r="R275" i="84" a="1"/>
  <c r="R275" i="84" s="1"/>
  <c r="R270" i="84" a="1"/>
  <c r="R270" i="84" s="1"/>
  <c r="H271" i="84" a="1"/>
  <c r="H271" i="84" s="1"/>
  <c r="Q291" i="84" a="1"/>
  <c r="Q291" i="84" s="1"/>
  <c r="H288" i="84" a="1"/>
  <c r="H288" i="84" s="1"/>
  <c r="Q293" i="84" a="1"/>
  <c r="Q293" i="84" s="1"/>
  <c r="H281" i="84" a="1"/>
  <c r="H281" i="84" s="1"/>
  <c r="G277" i="84" a="1"/>
  <c r="G277" i="84" s="1"/>
  <c r="I292" i="84" a="1"/>
  <c r="I292" i="84" s="1"/>
  <c r="Q288" i="84" a="1"/>
  <c r="Q288" i="84" s="1"/>
  <c r="E78" i="100"/>
  <c r="P229" i="83" a="1"/>
  <c r="P229" i="83" s="1"/>
  <c r="P259" i="83" s="1" a="1"/>
  <c r="P259" i="83" s="1"/>
  <c r="F69" i="103" a="1"/>
  <c r="F69" i="103" s="1"/>
  <c r="E43" i="104"/>
  <c r="J89" i="104" s="1"/>
  <c r="E94" i="104" s="1" a="1"/>
  <c r="E94" i="104" s="1"/>
  <c r="G96" i="104" s="1"/>
  <c r="E99" i="104" s="1" a="1"/>
  <c r="E99" i="104" s="1"/>
  <c r="O229" i="83" a="1"/>
  <c r="O229" i="83" s="1"/>
  <c r="O259" i="83" s="1" a="1"/>
  <c r="O259" i="83" s="1"/>
  <c r="F73" i="103" a="1"/>
  <c r="F73" i="103" s="1"/>
  <c r="E229" i="83" a="1"/>
  <c r="E229" i="83" s="1"/>
  <c r="E259" i="83" s="1" a="1"/>
  <c r="E259" i="83" s="1"/>
  <c r="E77" i="104"/>
  <c r="J90" i="104" s="1"/>
  <c r="E261" i="83"/>
  <c r="D6" i="82"/>
  <c r="D7" i="82"/>
  <c r="E30" i="90"/>
  <c r="E80" i="99"/>
  <c r="G82" i="99" s="1"/>
  <c r="E85" i="99" s="1" a="1"/>
  <c r="E85" i="99" s="1"/>
  <c r="F59" i="103" a="1"/>
  <c r="F59" i="103" s="1"/>
  <c r="F68" i="103" a="1"/>
  <c r="F68" i="103" s="1"/>
  <c r="G229" i="83" a="1"/>
  <c r="G229" i="83" s="1"/>
  <c r="G259" i="83" s="1" a="1"/>
  <c r="G259" i="83" s="1"/>
  <c r="N229" i="83" a="1"/>
  <c r="N229" i="83" s="1"/>
  <c r="N259" i="83" s="1" a="1"/>
  <c r="N259" i="83" s="1"/>
  <c r="F67" i="103" a="1"/>
  <c r="F67" i="103" s="1"/>
  <c r="E79" i="103" s="1"/>
  <c r="G81" i="103" s="1"/>
  <c r="E84" i="103" s="1" a="1"/>
  <c r="E84" i="103" s="1"/>
  <c r="F229" i="83" a="1"/>
  <c r="F229" i="83" s="1"/>
  <c r="F259" i="83" s="1" a="1"/>
  <c r="F259" i="83" s="1"/>
  <c r="Q229" i="83" a="1"/>
  <c r="Q229" i="83" s="1"/>
  <c r="Q259" i="83" s="1" a="1"/>
  <c r="Q259" i="83" s="1"/>
  <c r="E146" i="103"/>
  <c r="G148" i="103" s="1"/>
  <c r="E151" i="103" s="1" a="1"/>
  <c r="E151" i="103" s="1"/>
  <c r="J585" i="114"/>
  <c r="D4" i="13"/>
  <c r="D53" i="13"/>
  <c r="D48" i="13"/>
  <c r="D34" i="72"/>
  <c r="F47" i="80"/>
  <c r="G46" i="80"/>
  <c r="G47" i="80" s="1"/>
  <c r="F45" i="80"/>
  <c r="G44" i="80"/>
  <c r="G45" i="80" s="1"/>
  <c r="O297" i="84" l="1"/>
  <c r="Q299" i="84" s="1"/>
  <c r="O302" i="84" s="1" a="1"/>
  <c r="O302" i="84" s="1"/>
  <c r="E297" i="84"/>
  <c r="G299" i="84" s="1"/>
  <c r="E302" i="84" s="1" a="1"/>
  <c r="E302" i="84" s="1"/>
  <c r="O261" i="83"/>
  <c r="J586" i="114"/>
  <c r="E19" i="115" a="1"/>
  <c r="E19" i="115" s="1"/>
  <c r="J584" i="114" s="1"/>
  <c r="E588" i="114" s="1" a="1"/>
  <c r="E588" i="114" s="1"/>
  <c r="G590" i="114" s="1"/>
  <c r="E593" i="114" s="1" a="1"/>
  <c r="E593" i="114" s="1"/>
  <c r="O19" i="115" a="1"/>
  <c r="O19" i="115" s="1"/>
  <c r="R584" i="114" s="1"/>
  <c r="M588" i="114" s="1" a="1"/>
  <c r="M588" i="114" s="1"/>
  <c r="O590" i="114" s="1"/>
  <c r="M593" i="114" s="1" a="1"/>
  <c r="M593" i="114" s="1"/>
  <c r="I38" i="90"/>
  <c r="I48" i="90"/>
  <c r="I46" i="90"/>
  <c r="E50" i="90" s="1"/>
  <c r="I47" i="90"/>
  <c r="I39" i="90"/>
  <c r="I37" i="90"/>
  <c r="E41" i="90" s="1"/>
  <c r="N28" i="86" a="1"/>
  <c r="N28" i="86" s="1"/>
  <c r="N47" i="86" s="1" a="1"/>
  <c r="N47" i="86" s="1"/>
  <c r="I566" i="114" l="1"/>
  <c r="J35" i="91"/>
  <c r="I565" i="114"/>
  <c r="E570" i="114" s="1" a="1"/>
  <c r="E570" i="114" s="1"/>
  <c r="J34" i="91"/>
  <c r="E39" i="91" s="1" a="1"/>
  <c r="E39" i="91" s="1"/>
  <c r="P78" i="85" a="1"/>
  <c r="P78" i="85" s="1"/>
  <c r="P73" i="85" a="1"/>
  <c r="P73" i="85" s="1"/>
  <c r="P76" i="85" a="1"/>
  <c r="P76" i="85" s="1"/>
  <c r="P74" i="85" a="1"/>
  <c r="P74" i="85" s="1"/>
  <c r="P77" i="85" a="1"/>
  <c r="P77" i="85" s="1"/>
  <c r="P75" i="85" a="1"/>
  <c r="P75" i="85" s="1"/>
  <c r="I74" i="85" l="1" a="1"/>
  <c r="I74" i="85" s="1"/>
  <c r="H28" i="86" a="1"/>
  <c r="H28" i="86" s="1"/>
  <c r="H47" i="86" s="1" a="1"/>
  <c r="H47" i="86" s="1"/>
  <c r="F74" i="85" a="1"/>
  <c r="F74" i="85" s="1"/>
  <c r="E28" i="86" a="1"/>
  <c r="E28" i="86" s="1"/>
  <c r="E47" i="86" s="1" a="1"/>
  <c r="E47" i="86" s="1"/>
  <c r="G74" i="85" a="1"/>
  <c r="G74" i="85" s="1"/>
  <c r="F28" i="86" a="1"/>
  <c r="F28" i="86" s="1"/>
  <c r="F47" i="86" s="1" a="1"/>
  <c r="F47" i="86" s="1"/>
  <c r="Q74" i="85" a="1"/>
  <c r="Q74" i="85" s="1"/>
  <c r="O28" i="86" a="1"/>
  <c r="O28" i="86" s="1"/>
  <c r="O47" i="86" s="1" a="1"/>
  <c r="O47" i="86" s="1"/>
  <c r="H74" i="85" a="1"/>
  <c r="H74" i="85" s="1"/>
  <c r="G28" i="86" a="1"/>
  <c r="G28" i="86" s="1"/>
  <c r="G47" i="86" s="1" a="1"/>
  <c r="G47" i="86" s="1"/>
  <c r="S74" i="85" a="1"/>
  <c r="S74" i="85" s="1"/>
  <c r="Q28" i="86" a="1"/>
  <c r="Q28" i="86" s="1"/>
  <c r="Q47" i="86" s="1" a="1"/>
  <c r="Q47" i="86" s="1"/>
  <c r="R74" i="85" a="1"/>
  <c r="R74" i="85" s="1"/>
  <c r="P28" i="86" a="1"/>
  <c r="P28" i="86" s="1"/>
  <c r="P47" i="86" s="1" a="1"/>
  <c r="P47" i="86" s="1"/>
  <c r="S76" i="85" a="1"/>
  <c r="S76" i="85" s="1"/>
  <c r="F76" i="85" a="1"/>
  <c r="F76" i="85" s="1"/>
  <c r="I75" i="85" a="1"/>
  <c r="I75" i="85" s="1"/>
  <c r="F73" i="85" a="1"/>
  <c r="F73" i="85" s="1"/>
  <c r="I73" i="85" a="1"/>
  <c r="I73" i="85" s="1"/>
  <c r="I76" i="85" a="1"/>
  <c r="I76" i="85" s="1"/>
  <c r="R78" i="85" a="1"/>
  <c r="R78" i="85" s="1"/>
  <c r="G78" i="85" a="1"/>
  <c r="G78" i="85" s="1"/>
  <c r="I77" i="85" a="1"/>
  <c r="I77" i="85" s="1"/>
  <c r="F75" i="85" a="1"/>
  <c r="F75" i="85" s="1"/>
  <c r="S78" i="85" a="1"/>
  <c r="S78" i="85" s="1"/>
  <c r="S73" i="85" a="1"/>
  <c r="S73" i="85" s="1"/>
  <c r="S75" i="85" a="1"/>
  <c r="S75" i="85" s="1"/>
  <c r="H73" i="85" a="1"/>
  <c r="H73" i="85" s="1"/>
  <c r="Q73" i="85" a="1"/>
  <c r="Q73" i="85" s="1"/>
  <c r="S77" i="85" a="1"/>
  <c r="S77" i="85" s="1"/>
  <c r="G77" i="85" a="1"/>
  <c r="G77" i="85" s="1"/>
  <c r="H77" i="85" a="1"/>
  <c r="H77" i="85" s="1"/>
  <c r="R73" i="85" a="1"/>
  <c r="R73" i="85" s="1"/>
  <c r="G76" i="85" a="1"/>
  <c r="G76" i="85" s="1"/>
  <c r="G73" i="85" a="1"/>
  <c r="G73" i="85" s="1"/>
  <c r="Q76" i="85" a="1"/>
  <c r="Q76" i="85" s="1"/>
  <c r="F78" i="85" a="1"/>
  <c r="F78" i="85" s="1"/>
  <c r="R75" i="85" a="1"/>
  <c r="R75" i="85" s="1"/>
  <c r="Q77" i="85" a="1"/>
  <c r="Q77" i="85" s="1"/>
  <c r="H78" i="85" a="1"/>
  <c r="H78" i="85" s="1"/>
  <c r="H76" i="85" a="1"/>
  <c r="H76" i="85" s="1"/>
  <c r="R76" i="85" a="1"/>
  <c r="R76" i="85" s="1"/>
  <c r="G75" i="85" a="1"/>
  <c r="G75" i="85" s="1"/>
  <c r="Q78" i="85" a="1"/>
  <c r="Q78" i="85" s="1"/>
  <c r="Q75" i="85" a="1"/>
  <c r="Q75" i="85" s="1"/>
  <c r="H75" i="85" a="1"/>
  <c r="H75" i="85" s="1"/>
  <c r="I78" i="85" a="1"/>
  <c r="I78" i="85" s="1"/>
  <c r="F77" i="85" a="1"/>
  <c r="F77" i="85" s="1"/>
  <c r="R77" i="85" a="1"/>
  <c r="R77" i="85" s="1"/>
  <c r="N49" i="86" l="1"/>
  <c r="P51" i="86" s="1"/>
  <c r="N54" i="86" s="1" a="1"/>
  <c r="N54" i="86" s="1"/>
  <c r="E49" i="86"/>
  <c r="G51" i="86" s="1"/>
  <c r="E54" i="86" s="1" a="1"/>
  <c r="E54" i="86" s="1"/>
  <c r="Q56" i="87" l="1"/>
  <c r="Q58" i="87"/>
  <c r="Q57" i="87"/>
  <c r="Q59" i="87"/>
  <c r="G59" i="87"/>
  <c r="G57" i="87"/>
  <c r="G56" i="87"/>
  <c r="G58" i="87"/>
  <c r="R58" i="87"/>
  <c r="R57" i="87"/>
  <c r="R59" i="87"/>
  <c r="R56" i="87"/>
  <c r="I57" i="87"/>
  <c r="I56" i="87"/>
  <c r="I59" i="87"/>
  <c r="I58" i="87"/>
  <c r="P57" i="87"/>
  <c r="P58" i="87"/>
  <c r="P56" i="87"/>
  <c r="P59" i="87"/>
  <c r="F58" i="87"/>
  <c r="F59" i="87"/>
  <c r="F57" i="87"/>
  <c r="F56" i="87"/>
  <c r="S58" i="87"/>
  <c r="S57" i="87"/>
  <c r="S59" i="87"/>
  <c r="S56" i="87"/>
  <c r="H56" i="87"/>
  <c r="H57" i="87"/>
  <c r="H59" i="87"/>
  <c r="H58" i="87"/>
  <c r="E13" i="13" l="1" a="1"/>
  <c r="E13" i="13" s="1"/>
  <c r="H13" i="13" s="1" a="1"/>
  <c r="H13" i="13" s="1"/>
  <c r="F13" i="13" a="1"/>
  <c r="F13" i="13" s="1"/>
  <c r="I13" i="13" s="1" a="1"/>
  <c r="I13" i="13" s="1"/>
  <c r="G145" i="87" l="1" a="1"/>
  <c r="G145" i="87" s="1"/>
  <c r="G193" i="87" a="1"/>
  <c r="G193" i="87" s="1"/>
  <c r="G262" i="87" a="1"/>
  <c r="G262" i="87" s="1"/>
  <c r="Q205" i="87" a="1"/>
  <c r="Q205" i="87" s="1"/>
  <c r="Q157" i="87" a="1"/>
  <c r="Q157" i="87" s="1"/>
  <c r="Q274" i="87" a="1"/>
  <c r="Q274" i="87" s="1"/>
  <c r="G190" i="87" a="1"/>
  <c r="G190" i="87" s="1"/>
  <c r="G259" i="87" a="1"/>
  <c r="G259" i="87" s="1"/>
  <c r="G142" i="87" a="1"/>
  <c r="G142" i="87" s="1"/>
  <c r="F189" i="87" a="1"/>
  <c r="F189" i="87" s="1"/>
  <c r="F141" i="87" a="1"/>
  <c r="F141" i="87" s="1"/>
  <c r="F258" i="87" a="1"/>
  <c r="F258" i="87" s="1"/>
  <c r="H145" i="87" a="1"/>
  <c r="H145" i="87" s="1"/>
  <c r="H193" i="87" a="1"/>
  <c r="H193" i="87" s="1"/>
  <c r="H262" i="87" a="1"/>
  <c r="H262" i="87" s="1"/>
  <c r="F100" i="85" a="1"/>
  <c r="F100" i="85" s="1"/>
  <c r="F257" i="87" a="1"/>
  <c r="F257" i="87" s="1"/>
  <c r="F188" i="87" a="1"/>
  <c r="F188" i="87" s="1"/>
  <c r="F140" i="87" a="1"/>
  <c r="F140" i="87" s="1"/>
  <c r="P194" i="87" a="1"/>
  <c r="P194" i="87" s="1"/>
  <c r="P146" i="87" a="1"/>
  <c r="P146" i="87" s="1"/>
  <c r="P263" i="87" a="1"/>
  <c r="P263" i="87" s="1"/>
  <c r="F152" i="87" a="1"/>
  <c r="F152" i="87" s="1"/>
  <c r="F269" i="87" a="1"/>
  <c r="F269" i="87" s="1"/>
  <c r="F200" i="87" a="1"/>
  <c r="F200" i="87" s="1"/>
  <c r="S139" i="87" a="1"/>
  <c r="S139" i="87" s="1"/>
  <c r="S187" i="87" a="1"/>
  <c r="S187" i="87" s="1"/>
  <c r="S256" i="87" a="1"/>
  <c r="S256" i="87" s="1"/>
  <c r="I152" i="87" a="1"/>
  <c r="I152" i="87" s="1"/>
  <c r="I269" i="87" a="1"/>
  <c r="I269" i="87" s="1"/>
  <c r="I200" i="87" a="1"/>
  <c r="I200" i="87" s="1"/>
  <c r="F145" i="87" a="1"/>
  <c r="F145" i="87" s="1"/>
  <c r="F193" i="87" a="1"/>
  <c r="F193" i="87" s="1"/>
  <c r="F262" i="87" a="1"/>
  <c r="F262" i="87" s="1"/>
  <c r="I270" i="87" a="1"/>
  <c r="I270" i="87" s="1"/>
  <c r="I201" i="87" a="1"/>
  <c r="I201" i="87" s="1"/>
  <c r="I153" i="87" a="1"/>
  <c r="I153" i="87" s="1"/>
  <c r="Q190" i="87" a="1"/>
  <c r="Q190" i="87" s="1"/>
  <c r="Q259" i="87" a="1"/>
  <c r="Q259" i="87" s="1"/>
  <c r="Q142" i="87" a="1"/>
  <c r="Q142" i="87" s="1"/>
  <c r="S265" i="87" a="1"/>
  <c r="S265" i="87" s="1"/>
  <c r="S148" i="87" a="1"/>
  <c r="S148" i="87" s="1"/>
  <c r="S196" i="87" a="1"/>
  <c r="S196" i="87" s="1"/>
  <c r="F266" i="87" a="1"/>
  <c r="F266" i="87" s="1"/>
  <c r="F149" i="87" a="1"/>
  <c r="F149" i="87" s="1"/>
  <c r="F197" i="87" a="1"/>
  <c r="F197" i="87" s="1"/>
  <c r="P144" i="87" a="1"/>
  <c r="P144" i="87" s="1"/>
  <c r="P261" i="87" a="1"/>
  <c r="P261" i="87" s="1"/>
  <c r="P192" i="87" a="1"/>
  <c r="P192" i="87" s="1"/>
  <c r="Q193" i="87" a="1"/>
  <c r="Q193" i="87" s="1"/>
  <c r="Q145" i="87" a="1"/>
  <c r="Q145" i="87" s="1"/>
  <c r="Q262" i="87" a="1"/>
  <c r="Q262" i="87" s="1"/>
  <c r="I191" i="87" a="1"/>
  <c r="I191" i="87" s="1"/>
  <c r="I143" i="87" a="1"/>
  <c r="I143" i="87" s="1"/>
  <c r="I260" i="87" a="1"/>
  <c r="I260" i="87" s="1"/>
  <c r="Q152" i="87" a="1"/>
  <c r="Q152" i="87" s="1"/>
  <c r="Q269" i="87" a="1"/>
  <c r="Q269" i="87" s="1"/>
  <c r="Q200" i="87" a="1"/>
  <c r="Q200" i="87" s="1"/>
  <c r="Q154" i="87" a="1"/>
  <c r="Q154" i="87" s="1"/>
  <c r="Q202" i="87" a="1"/>
  <c r="Q202" i="87" s="1"/>
  <c r="Q271" i="87" a="1"/>
  <c r="Q271" i="87" s="1"/>
  <c r="P143" i="87" a="1"/>
  <c r="P143" i="87" s="1"/>
  <c r="P191" i="87" a="1"/>
  <c r="P191" i="87" s="1"/>
  <c r="P260" i="87" a="1"/>
  <c r="P260" i="87" s="1"/>
  <c r="I189" i="87" a="1"/>
  <c r="I189" i="87" s="1"/>
  <c r="I141" i="87" a="1"/>
  <c r="I141" i="87" s="1"/>
  <c r="I258" i="87" a="1"/>
  <c r="I258" i="87" s="1"/>
  <c r="S138" i="87" a="1"/>
  <c r="S138" i="87" s="1"/>
  <c r="S186" i="87" a="1"/>
  <c r="S186" i="87" s="1"/>
  <c r="S255" i="87" a="1"/>
  <c r="S255" i="87" s="1"/>
  <c r="I204" i="87" a="1"/>
  <c r="I204" i="87" s="1"/>
  <c r="I156" i="87" a="1"/>
  <c r="I156" i="87" s="1"/>
  <c r="I273" i="87" a="1"/>
  <c r="I273" i="87" s="1"/>
  <c r="R206" i="87" a="1"/>
  <c r="R206" i="87" s="1"/>
  <c r="R275" i="87" a="1"/>
  <c r="R275" i="87" s="1"/>
  <c r="R158" i="87" a="1"/>
  <c r="R158" i="87" s="1"/>
  <c r="P190" i="87" a="1"/>
  <c r="P190" i="87" s="1"/>
  <c r="P259" i="87" a="1"/>
  <c r="P259" i="87" s="1"/>
  <c r="P142" i="87" a="1"/>
  <c r="P142" i="87" s="1"/>
  <c r="H149" i="87" a="1"/>
  <c r="H149" i="87" s="1"/>
  <c r="H197" i="87" a="1"/>
  <c r="H197" i="87" s="1"/>
  <c r="H266" i="87" a="1"/>
  <c r="H266" i="87" s="1"/>
  <c r="S143" i="87" a="1"/>
  <c r="S143" i="87" s="1"/>
  <c r="S191" i="87" a="1"/>
  <c r="S191" i="87" s="1"/>
  <c r="S260" i="87" a="1"/>
  <c r="S260" i="87" s="1"/>
  <c r="P148" i="87" a="1"/>
  <c r="P148" i="87" s="1"/>
  <c r="P196" i="87" a="1"/>
  <c r="P196" i="87" s="1"/>
  <c r="P265" i="87" a="1"/>
  <c r="P265" i="87" s="1"/>
  <c r="Q198" i="87" a="1"/>
  <c r="Q198" i="87" s="1"/>
  <c r="Q267" i="87" a="1"/>
  <c r="Q267" i="87" s="1"/>
  <c r="Q150" i="87" a="1"/>
  <c r="Q150" i="87" s="1"/>
  <c r="Q141" i="87" a="1"/>
  <c r="Q141" i="87" s="1"/>
  <c r="Q189" i="87" a="1"/>
  <c r="Q189" i="87" s="1"/>
  <c r="Q258" i="87" a="1"/>
  <c r="Q258" i="87" s="1"/>
  <c r="G187" i="87" a="1"/>
  <c r="G187" i="87" s="1"/>
  <c r="G139" i="87" a="1"/>
  <c r="G139" i="87" s="1"/>
  <c r="G256" i="87" a="1"/>
  <c r="G256" i="87" s="1"/>
  <c r="R147" i="87" a="1"/>
  <c r="R147" i="87" s="1"/>
  <c r="R195" i="87" a="1"/>
  <c r="R195" i="87" s="1"/>
  <c r="R264" i="87" a="1"/>
  <c r="R264" i="87" s="1"/>
  <c r="H205" i="87" a="1"/>
  <c r="H205" i="87" s="1"/>
  <c r="H157" i="87" a="1"/>
  <c r="H157" i="87" s="1"/>
  <c r="H274" i="87" a="1"/>
  <c r="H274" i="87" s="1"/>
  <c r="Q139" i="87" a="1"/>
  <c r="Q139" i="87" s="1"/>
  <c r="Q256" i="87" a="1"/>
  <c r="Q256" i="87" s="1"/>
  <c r="Q187" i="87" a="1"/>
  <c r="Q187" i="87" s="1"/>
  <c r="R257" i="87" a="1"/>
  <c r="R257" i="87" s="1"/>
  <c r="R188" i="87" a="1"/>
  <c r="R188" i="87" s="1"/>
  <c r="R140" i="87" a="1"/>
  <c r="R140" i="87" s="1"/>
  <c r="G188" i="87" a="1"/>
  <c r="G188" i="87" s="1"/>
  <c r="G257" i="87" a="1"/>
  <c r="G257" i="87" s="1"/>
  <c r="G140" i="87" a="1"/>
  <c r="G140" i="87" s="1"/>
  <c r="R192" i="87" a="1"/>
  <c r="R192" i="87" s="1"/>
  <c r="R144" i="87" a="1"/>
  <c r="R144" i="87" s="1"/>
  <c r="R261" i="87" a="1"/>
  <c r="R261" i="87" s="1"/>
  <c r="S200" i="87" a="1"/>
  <c r="S200" i="87" s="1"/>
  <c r="S269" i="87" a="1"/>
  <c r="S269" i="87" s="1"/>
  <c r="S152" i="87" a="1"/>
  <c r="S152" i="87" s="1"/>
  <c r="Q184" i="87" a="1"/>
  <c r="Q184" i="87" s="1"/>
  <c r="Q136" i="87" a="1"/>
  <c r="Q136" i="87" s="1"/>
  <c r="Q253" i="87" a="1"/>
  <c r="Q253" i="87" s="1"/>
  <c r="R265" i="87" a="1"/>
  <c r="R265" i="87" s="1"/>
  <c r="R196" i="87" a="1"/>
  <c r="R196" i="87" s="1"/>
  <c r="R148" i="87" a="1"/>
  <c r="R148" i="87" s="1"/>
  <c r="G148" i="87" a="1"/>
  <c r="G148" i="87" s="1"/>
  <c r="G196" i="87" a="1"/>
  <c r="G196" i="87" s="1"/>
  <c r="G265" i="87" a="1"/>
  <c r="G265" i="87" s="1"/>
  <c r="G204" i="87" a="1"/>
  <c r="G204" i="87" s="1"/>
  <c r="G273" i="87" a="1"/>
  <c r="G273" i="87" s="1"/>
  <c r="G156" i="87" a="1"/>
  <c r="G156" i="87" s="1"/>
  <c r="S205" i="87" a="1"/>
  <c r="S205" i="87" s="1"/>
  <c r="S274" i="87" a="1"/>
  <c r="S274" i="87" s="1"/>
  <c r="S157" i="87" a="1"/>
  <c r="S157" i="87" s="1"/>
  <c r="F271" i="87" a="1"/>
  <c r="F271" i="87" s="1"/>
  <c r="F202" i="87" a="1"/>
  <c r="F202" i="87" s="1"/>
  <c r="F154" i="87" a="1"/>
  <c r="F154" i="87" s="1"/>
  <c r="G198" i="87" a="1"/>
  <c r="G198" i="87" s="1"/>
  <c r="G267" i="87" a="1"/>
  <c r="G267" i="87" s="1"/>
  <c r="G150" i="87" a="1"/>
  <c r="G150" i="87" s="1"/>
  <c r="I262" i="87" a="1"/>
  <c r="I262" i="87" s="1"/>
  <c r="I193" i="87" a="1"/>
  <c r="I193" i="87" s="1"/>
  <c r="I145" i="87" a="1"/>
  <c r="I145" i="87" s="1"/>
  <c r="Q201" i="87" a="1"/>
  <c r="Q201" i="87" s="1"/>
  <c r="Q153" i="87" a="1"/>
  <c r="Q153" i="87" s="1"/>
  <c r="Q270" i="87" a="1"/>
  <c r="Q270" i="87" s="1"/>
  <c r="P262" i="87" a="1"/>
  <c r="P262" i="87" s="1"/>
  <c r="P145" i="87" a="1"/>
  <c r="P145" i="87" s="1"/>
  <c r="P193" i="87" a="1"/>
  <c r="P193" i="87" s="1"/>
  <c r="S258" i="87" a="1"/>
  <c r="S258" i="87" s="1"/>
  <c r="S141" i="87" a="1"/>
  <c r="S141" i="87" s="1"/>
  <c r="S189" i="87" a="1"/>
  <c r="S189" i="87" s="1"/>
  <c r="P154" i="87" a="1"/>
  <c r="P154" i="87" s="1"/>
  <c r="P202" i="87" a="1"/>
  <c r="P202" i="87" s="1"/>
  <c r="P271" i="87" a="1"/>
  <c r="P271" i="87" s="1"/>
  <c r="P187" i="87" a="1"/>
  <c r="P187" i="87" s="1"/>
  <c r="P256" i="87" a="1"/>
  <c r="P256" i="87" s="1"/>
  <c r="P139" i="87" a="1"/>
  <c r="P139" i="87" s="1"/>
  <c r="H192" i="87" a="1"/>
  <c r="H192" i="87" s="1"/>
  <c r="H144" i="87" a="1"/>
  <c r="H144" i="87" s="1"/>
  <c r="H261" i="87" a="1"/>
  <c r="H261" i="87" s="1"/>
  <c r="F103" i="85" a="1"/>
  <c r="F103" i="85" s="1"/>
  <c r="I154" i="87" a="1"/>
  <c r="I154" i="87" s="1"/>
  <c r="I271" i="87" a="1"/>
  <c r="I271" i="87" s="1"/>
  <c r="I202" i="87" a="1"/>
  <c r="I202" i="87" s="1"/>
  <c r="G153" i="87" a="1"/>
  <c r="G153" i="87" s="1"/>
  <c r="G270" i="87" a="1"/>
  <c r="G270" i="87" s="1"/>
  <c r="G201" i="87" a="1"/>
  <c r="G201" i="87" s="1"/>
  <c r="H143" i="87" a="1"/>
  <c r="H143" i="87" s="1"/>
  <c r="H260" i="87" a="1"/>
  <c r="H260" i="87" s="1"/>
  <c r="H191" i="87" a="1"/>
  <c r="H191" i="87" s="1"/>
  <c r="F195" i="87" a="1"/>
  <c r="F195" i="87" s="1"/>
  <c r="F147" i="87" a="1"/>
  <c r="F147" i="87" s="1"/>
  <c r="F264" i="87" a="1"/>
  <c r="F264" i="87" s="1"/>
  <c r="G147" i="87" a="1"/>
  <c r="G147" i="87" s="1"/>
  <c r="G195" i="87" a="1"/>
  <c r="G195" i="87" s="1"/>
  <c r="G264" i="87" a="1"/>
  <c r="G264" i="87" s="1"/>
  <c r="R100" i="85" a="1"/>
  <c r="R100" i="85" s="1"/>
  <c r="R262" i="87" a="1"/>
  <c r="R262" i="87" s="1"/>
  <c r="R145" i="87" a="1"/>
  <c r="R145" i="87" s="1"/>
  <c r="R193" i="87" a="1"/>
  <c r="R193" i="87" s="1"/>
  <c r="G266" i="87" a="1"/>
  <c r="G266" i="87" s="1"/>
  <c r="G149" i="87" a="1"/>
  <c r="G149" i="87" s="1"/>
  <c r="G197" i="87" a="1"/>
  <c r="G197" i="87" s="1"/>
  <c r="H151" i="87" a="1"/>
  <c r="H151" i="87" s="1"/>
  <c r="H199" i="87" a="1"/>
  <c r="H199" i="87" s="1"/>
  <c r="H268" i="87" a="1"/>
  <c r="H268" i="87" s="1"/>
  <c r="H255" i="87" a="1"/>
  <c r="H255" i="87" s="1"/>
  <c r="H138" i="87" a="1"/>
  <c r="H138" i="87" s="1"/>
  <c r="H186" i="87" a="1"/>
  <c r="H186" i="87" s="1"/>
  <c r="R186" i="87" a="1"/>
  <c r="R186" i="87" s="1"/>
  <c r="R255" i="87" a="1"/>
  <c r="R255" i="87" s="1"/>
  <c r="R138" i="87" a="1"/>
  <c r="R138" i="87" s="1"/>
  <c r="G138" i="87" a="1"/>
  <c r="G138" i="87" s="1"/>
  <c r="G255" i="87" a="1"/>
  <c r="G255" i="87" s="1"/>
  <c r="G186" i="87" a="1"/>
  <c r="G186" i="87" s="1"/>
  <c r="R143" i="87" a="1"/>
  <c r="R143" i="87" s="1"/>
  <c r="R260" i="87" a="1"/>
  <c r="R260" i="87" s="1"/>
  <c r="R191" i="87" a="1"/>
  <c r="R191" i="87" s="1"/>
  <c r="S153" i="87" a="1"/>
  <c r="S153" i="87" s="1"/>
  <c r="S270" i="87" a="1"/>
  <c r="S270" i="87" s="1"/>
  <c r="S201" i="87" a="1"/>
  <c r="S201" i="87" s="1"/>
  <c r="Q134" i="87" a="1"/>
  <c r="Q134" i="87" s="1"/>
  <c r="Q251" i="87" a="1"/>
  <c r="Q251" i="87" s="1"/>
  <c r="Q182" i="87" a="1"/>
  <c r="Q182" i="87" s="1"/>
  <c r="R266" i="87" a="1"/>
  <c r="R266" i="87" s="1"/>
  <c r="R197" i="87" a="1"/>
  <c r="R197" i="87" s="1"/>
  <c r="R149" i="87" a="1"/>
  <c r="R149" i="87" s="1"/>
  <c r="S103" i="85" a="1"/>
  <c r="S103" i="85" s="1"/>
  <c r="H204" i="87" a="1"/>
  <c r="H204" i="87" s="1"/>
  <c r="H273" i="87" a="1"/>
  <c r="H273" i="87" s="1"/>
  <c r="H156" i="87" a="1"/>
  <c r="H156" i="87" s="1"/>
  <c r="H190" i="87" a="1"/>
  <c r="H190" i="87" s="1"/>
  <c r="H259" i="87" a="1"/>
  <c r="H259" i="87" s="1"/>
  <c r="H142" i="87" a="1"/>
  <c r="H142" i="87" s="1"/>
  <c r="I198" i="87" a="1"/>
  <c r="I198" i="87" s="1"/>
  <c r="I150" i="87" a="1"/>
  <c r="I150" i="87" s="1"/>
  <c r="I267" i="87" a="1"/>
  <c r="I267" i="87" s="1"/>
  <c r="P152" i="87" a="1"/>
  <c r="P152" i="87" s="1"/>
  <c r="P269" i="87" a="1"/>
  <c r="P269" i="87" s="1"/>
  <c r="P200" i="87" a="1"/>
  <c r="P200" i="87" s="1"/>
  <c r="I146" i="87" a="1"/>
  <c r="I146" i="87" s="1"/>
  <c r="I263" i="87" a="1"/>
  <c r="I263" i="87" s="1"/>
  <c r="I194" i="87" a="1"/>
  <c r="I194" i="87" s="1"/>
  <c r="G151" i="87" a="1"/>
  <c r="G151" i="87" s="1"/>
  <c r="G268" i="87" a="1"/>
  <c r="G268" i="87" s="1"/>
  <c r="G199" i="87" a="1"/>
  <c r="G199" i="87" s="1"/>
  <c r="S193" i="87" a="1"/>
  <c r="S193" i="87" s="1"/>
  <c r="S262" i="87" a="1"/>
  <c r="S262" i="87" s="1"/>
  <c r="S145" i="87" a="1"/>
  <c r="S145" i="87" s="1"/>
  <c r="R204" i="87" a="1"/>
  <c r="R204" i="87" s="1"/>
  <c r="R156" i="87" a="1"/>
  <c r="R156" i="87" s="1"/>
  <c r="R273" i="87" a="1"/>
  <c r="R273" i="87" s="1"/>
  <c r="Q137" i="87" a="1"/>
  <c r="Q137" i="87" s="1"/>
  <c r="Q254" i="87" a="1"/>
  <c r="Q254" i="87" s="1"/>
  <c r="Q185" i="87" a="1"/>
  <c r="Q185" i="87" s="1"/>
  <c r="F151" i="87" a="1"/>
  <c r="F151" i="87" s="1"/>
  <c r="F199" i="87" a="1"/>
  <c r="F199" i="87" s="1"/>
  <c r="F268" i="87" a="1"/>
  <c r="F268" i="87" s="1"/>
  <c r="P195" i="87" a="1"/>
  <c r="P195" i="87" s="1"/>
  <c r="P147" i="87" a="1"/>
  <c r="P147" i="87" s="1"/>
  <c r="P264" i="87" a="1"/>
  <c r="P264" i="87" s="1"/>
  <c r="S261" i="87" a="1"/>
  <c r="S261" i="87" s="1"/>
  <c r="S144" i="87" a="1"/>
  <c r="S144" i="87" s="1"/>
  <c r="S192" i="87" a="1"/>
  <c r="S192" i="87" s="1"/>
  <c r="G102" i="85" a="1"/>
  <c r="G102" i="85" s="1"/>
  <c r="P149" i="87" a="1"/>
  <c r="P149" i="87" s="1"/>
  <c r="P197" i="87" a="1"/>
  <c r="P197" i="87" s="1"/>
  <c r="P266" i="87" a="1"/>
  <c r="P266" i="87" s="1"/>
  <c r="I197" i="87" a="1"/>
  <c r="I197" i="87" s="1"/>
  <c r="I149" i="87" a="1"/>
  <c r="I149" i="87" s="1"/>
  <c r="I266" i="87" a="1"/>
  <c r="I266" i="87" s="1"/>
  <c r="P100" i="85" a="1"/>
  <c r="P100" i="85" s="1"/>
  <c r="R157" i="87" a="1"/>
  <c r="R157" i="87" s="1"/>
  <c r="R205" i="87" a="1"/>
  <c r="R205" i="87" s="1"/>
  <c r="R274" i="87" a="1"/>
  <c r="R274" i="87" s="1"/>
  <c r="S190" i="87" a="1"/>
  <c r="S190" i="87" s="1"/>
  <c r="S259" i="87" a="1"/>
  <c r="S259" i="87" s="1"/>
  <c r="S142" i="87" a="1"/>
  <c r="S142" i="87" s="1"/>
  <c r="H148" i="87" a="1"/>
  <c r="H148" i="87" s="1"/>
  <c r="H196" i="87" a="1"/>
  <c r="H196" i="87" s="1"/>
  <c r="H265" i="87" a="1"/>
  <c r="H265" i="87" s="1"/>
  <c r="S264" i="87" a="1"/>
  <c r="S264" i="87" s="1"/>
  <c r="S147" i="87" a="1"/>
  <c r="S147" i="87" s="1"/>
  <c r="S195" i="87" a="1"/>
  <c r="S195" i="87" s="1"/>
  <c r="I147" i="87" a="1"/>
  <c r="I147" i="87" s="1"/>
  <c r="I195" i="87" a="1"/>
  <c r="I195" i="87" s="1"/>
  <c r="I264" i="87" a="1"/>
  <c r="I264" i="87" s="1"/>
  <c r="Q194" i="87" a="1"/>
  <c r="Q194" i="87" s="1"/>
  <c r="Q146" i="87" a="1"/>
  <c r="Q146" i="87" s="1"/>
  <c r="Q263" i="87" a="1"/>
  <c r="Q263" i="87" s="1"/>
  <c r="F265" i="87" a="1"/>
  <c r="F265" i="87" s="1"/>
  <c r="F148" i="87" a="1"/>
  <c r="F148" i="87" s="1"/>
  <c r="F196" i="87" a="1"/>
  <c r="F196" i="87" s="1"/>
  <c r="I190" i="87" a="1"/>
  <c r="I190" i="87" s="1"/>
  <c r="I259" i="87" a="1"/>
  <c r="I259" i="87" s="1"/>
  <c r="I142" i="87" a="1"/>
  <c r="I142" i="87" s="1"/>
  <c r="H141" i="87" a="1"/>
  <c r="H141" i="87" s="1"/>
  <c r="H189" i="87" a="1"/>
  <c r="H189" i="87" s="1"/>
  <c r="H258" i="87" a="1"/>
  <c r="H258" i="87" s="1"/>
  <c r="R189" i="87" a="1"/>
  <c r="R189" i="87" s="1"/>
  <c r="R258" i="87" a="1"/>
  <c r="R258" i="87" s="1"/>
  <c r="R141" i="87" a="1"/>
  <c r="R141" i="87" s="1"/>
  <c r="G258" i="87" a="1"/>
  <c r="G258" i="87" s="1"/>
  <c r="G141" i="87" a="1"/>
  <c r="G141" i="87" s="1"/>
  <c r="G189" i="87" a="1"/>
  <c r="G189" i="87" s="1"/>
  <c r="S199" i="87" a="1"/>
  <c r="S199" i="87" s="1"/>
  <c r="S151" i="87" a="1"/>
  <c r="S151" i="87" s="1"/>
  <c r="S268" i="87" a="1"/>
  <c r="S268" i="87" s="1"/>
  <c r="Q252" i="87" a="1"/>
  <c r="Q252" i="87" s="1"/>
  <c r="Q135" i="87" a="1"/>
  <c r="Q135" i="87" s="1"/>
  <c r="Q183" i="87" a="1"/>
  <c r="Q183" i="87" s="1"/>
  <c r="R199" i="87" a="1"/>
  <c r="R199" i="87" s="1"/>
  <c r="R151" i="87" a="1"/>
  <c r="R151" i="87" s="1"/>
  <c r="R268" i="87" a="1"/>
  <c r="R268" i="87" s="1"/>
  <c r="Q273" i="87" a="1"/>
  <c r="Q273" i="87" s="1"/>
  <c r="Q156" i="87" a="1"/>
  <c r="Q156" i="87" s="1"/>
  <c r="Q204" i="87" a="1"/>
  <c r="Q204" i="87" s="1"/>
  <c r="S273" i="87" a="1"/>
  <c r="S273" i="87" s="1"/>
  <c r="S204" i="87" a="1"/>
  <c r="S204" i="87" s="1"/>
  <c r="S156" i="87" a="1"/>
  <c r="S156" i="87" s="1"/>
  <c r="H158" i="87" a="1"/>
  <c r="H158" i="87" s="1"/>
  <c r="H206" i="87" a="1"/>
  <c r="H206" i="87" s="1"/>
  <c r="H275" i="87" a="1"/>
  <c r="H275" i="87" s="1"/>
  <c r="H263" i="87" a="1"/>
  <c r="H263" i="87" s="1"/>
  <c r="H146" i="87" a="1"/>
  <c r="H146" i="87" s="1"/>
  <c r="H194" i="87" a="1"/>
  <c r="H194" i="87" s="1"/>
  <c r="R267" i="87" a="1"/>
  <c r="R267" i="87" s="1"/>
  <c r="R150" i="87" a="1"/>
  <c r="R150" i="87" s="1"/>
  <c r="R198" i="87" a="1"/>
  <c r="R198" i="87" s="1"/>
  <c r="Q266" i="87" a="1"/>
  <c r="Q266" i="87" s="1"/>
  <c r="Q197" i="87" a="1"/>
  <c r="Q197" i="87" s="1"/>
  <c r="Q149" i="87" a="1"/>
  <c r="Q149" i="87" s="1"/>
  <c r="F205" i="87" a="1"/>
  <c r="F205" i="87" s="1"/>
  <c r="F274" i="87" a="1"/>
  <c r="F274" i="87" s="1"/>
  <c r="F157" i="87" a="1"/>
  <c r="F157" i="87" s="1"/>
  <c r="P141" i="87" a="1"/>
  <c r="P141" i="87" s="1"/>
  <c r="P189" i="87" a="1"/>
  <c r="P189" i="87" s="1"/>
  <c r="P258" i="87" a="1"/>
  <c r="P258" i="87" s="1"/>
  <c r="I206" i="87" a="1"/>
  <c r="I206" i="87" s="1"/>
  <c r="I275" i="87" a="1"/>
  <c r="I275" i="87" s="1"/>
  <c r="I158" i="87" a="1"/>
  <c r="I158" i="87" s="1"/>
  <c r="G269" i="87" a="1"/>
  <c r="G269" i="87" s="1"/>
  <c r="G200" i="87" a="1"/>
  <c r="G200" i="87" s="1"/>
  <c r="G152" i="87" a="1"/>
  <c r="G152" i="87" s="1"/>
  <c r="Q199" i="87" a="1"/>
  <c r="Q199" i="87" s="1"/>
  <c r="Q268" i="87" a="1"/>
  <c r="Q268" i="87" s="1"/>
  <c r="Q151" i="87" a="1"/>
  <c r="Q151" i="87" s="1"/>
  <c r="I274" i="87" a="1"/>
  <c r="I274" i="87" s="1"/>
  <c r="I157" i="87" a="1"/>
  <c r="I157" i="87" s="1"/>
  <c r="I205" i="87" a="1"/>
  <c r="I205" i="87" s="1"/>
  <c r="P255" i="87" a="1"/>
  <c r="P255" i="87" s="1"/>
  <c r="P186" i="87" a="1"/>
  <c r="P186" i="87" s="1"/>
  <c r="P138" i="87" a="1"/>
  <c r="P138" i="87" s="1"/>
  <c r="I100" i="85" a="1"/>
  <c r="I100" i="85" s="1"/>
  <c r="S154" i="87" a="1"/>
  <c r="S154" i="87" s="1"/>
  <c r="S202" i="87" a="1"/>
  <c r="S202" i="87" s="1"/>
  <c r="S271" i="87" a="1"/>
  <c r="S271" i="87" s="1"/>
  <c r="F270" i="87" a="1"/>
  <c r="F270" i="87" s="1"/>
  <c r="F201" i="87" a="1"/>
  <c r="F201" i="87" s="1"/>
  <c r="F153" i="87" a="1"/>
  <c r="F153" i="87" s="1"/>
  <c r="I139" i="87" a="1"/>
  <c r="I139" i="87" s="1"/>
  <c r="I256" i="87" a="1"/>
  <c r="I256" i="87" s="1"/>
  <c r="I187" i="87" a="1"/>
  <c r="I187" i="87" s="1"/>
  <c r="P204" i="87" a="1"/>
  <c r="P204" i="87" s="1"/>
  <c r="P156" i="87" a="1"/>
  <c r="P156" i="87" s="1"/>
  <c r="P273" i="87" a="1"/>
  <c r="P273" i="87" s="1"/>
  <c r="S267" i="87" a="1"/>
  <c r="S267" i="87" s="1"/>
  <c r="S150" i="87" a="1"/>
  <c r="S150" i="87" s="1"/>
  <c r="S198" i="87" a="1"/>
  <c r="S198" i="87" s="1"/>
  <c r="I199" i="87" a="1"/>
  <c r="I199" i="87" s="1"/>
  <c r="I268" i="87" a="1"/>
  <c r="I268" i="87" s="1"/>
  <c r="I151" i="87" a="1"/>
  <c r="I151" i="87" s="1"/>
  <c r="H271" i="87" a="1"/>
  <c r="H271" i="87" s="1"/>
  <c r="H202" i="87" a="1"/>
  <c r="H202" i="87" s="1"/>
  <c r="H154" i="87" a="1"/>
  <c r="H154" i="87" s="1"/>
  <c r="Q257" i="87" a="1"/>
  <c r="Q257" i="87" s="1"/>
  <c r="Q140" i="87" a="1"/>
  <c r="Q140" i="87" s="1"/>
  <c r="Q188" i="87" a="1"/>
  <c r="Q188" i="87" s="1"/>
  <c r="S197" i="87" a="1"/>
  <c r="S197" i="87" s="1"/>
  <c r="S266" i="87" a="1"/>
  <c r="S266" i="87" s="1"/>
  <c r="S149" i="87" a="1"/>
  <c r="S149" i="87" s="1"/>
  <c r="G103" i="85" a="1"/>
  <c r="G103" i="85" s="1"/>
  <c r="F263" i="87" a="1"/>
  <c r="F263" i="87" s="1"/>
  <c r="F146" i="87" a="1"/>
  <c r="F146" i="87" s="1"/>
  <c r="F194" i="87" a="1"/>
  <c r="F194" i="87" s="1"/>
  <c r="Q138" i="87" a="1"/>
  <c r="Q138" i="87" s="1"/>
  <c r="Q255" i="87" a="1"/>
  <c r="Q255" i="87" s="1"/>
  <c r="Q186" i="87" a="1"/>
  <c r="Q186" i="87" s="1"/>
  <c r="H203" i="87" a="1"/>
  <c r="H203" i="87" s="1"/>
  <c r="H272" i="87" a="1"/>
  <c r="H272" i="87" s="1"/>
  <c r="H155" i="87" a="1"/>
  <c r="H155" i="87" s="1"/>
  <c r="H195" i="87" a="1"/>
  <c r="H195" i="87" s="1"/>
  <c r="H264" i="87" a="1"/>
  <c r="H264" i="87" s="1"/>
  <c r="H147" i="87" a="1"/>
  <c r="H147" i="87" s="1"/>
  <c r="I148" i="87" a="1"/>
  <c r="I148" i="87" s="1"/>
  <c r="I196" i="87" a="1"/>
  <c r="I196" i="87" s="1"/>
  <c r="I265" i="87" a="1"/>
  <c r="I265" i="87" s="1"/>
  <c r="G100" i="85" a="1"/>
  <c r="G100" i="85" s="1"/>
  <c r="F198" i="87" a="1"/>
  <c r="F198" i="87" s="1"/>
  <c r="F267" i="87" a="1"/>
  <c r="F267" i="87" s="1"/>
  <c r="F150" i="87" a="1"/>
  <c r="F150" i="87" s="1"/>
  <c r="H152" i="87" a="1"/>
  <c r="H152" i="87" s="1"/>
  <c r="H269" i="87" a="1"/>
  <c r="H269" i="87" s="1"/>
  <c r="H200" i="87" a="1"/>
  <c r="H200" i="87" s="1"/>
  <c r="H153" i="87" a="1"/>
  <c r="H153" i="87" s="1"/>
  <c r="H201" i="87" a="1"/>
  <c r="H201" i="87" s="1"/>
  <c r="H270" i="87" a="1"/>
  <c r="H270" i="87" s="1"/>
  <c r="H139" i="87" a="1"/>
  <c r="H139" i="87" s="1"/>
  <c r="H256" i="87" a="1"/>
  <c r="H256" i="87" s="1"/>
  <c r="H187" i="87" a="1"/>
  <c r="H187" i="87" s="1"/>
  <c r="R187" i="87" a="1"/>
  <c r="R187" i="87" s="1"/>
  <c r="R139" i="87" a="1"/>
  <c r="R139" i="87" s="1"/>
  <c r="R256" i="87" a="1"/>
  <c r="R256" i="87" s="1"/>
  <c r="G192" i="87" a="1"/>
  <c r="G192" i="87" s="1"/>
  <c r="G261" i="87" a="1"/>
  <c r="G261" i="87" s="1"/>
  <c r="G144" i="87" a="1"/>
  <c r="G144" i="87" s="1"/>
  <c r="Q148" i="87" a="1"/>
  <c r="Q148" i="87" s="1"/>
  <c r="Q196" i="87" a="1"/>
  <c r="Q196" i="87" s="1"/>
  <c r="Q265" i="87" a="1"/>
  <c r="Q265" i="87" s="1"/>
  <c r="Q260" i="87" a="1"/>
  <c r="Q260" i="87" s="1"/>
  <c r="Q143" i="87" a="1"/>
  <c r="Q143" i="87" s="1"/>
  <c r="Q191" i="87" a="1"/>
  <c r="Q191" i="87" s="1"/>
  <c r="P201" i="87" a="1"/>
  <c r="P201" i="87" s="1"/>
  <c r="P270" i="87" a="1"/>
  <c r="P270" i="87" s="1"/>
  <c r="P153" i="87" a="1"/>
  <c r="P153" i="87" s="1"/>
  <c r="R201" i="87" a="1"/>
  <c r="R201" i="87" s="1"/>
  <c r="R153" i="87" a="1"/>
  <c r="R153" i="87" s="1"/>
  <c r="R270" i="87" a="1"/>
  <c r="R270" i="87" s="1"/>
  <c r="Q275" i="87" a="1"/>
  <c r="Q275" i="87" s="1"/>
  <c r="Q158" i="87" a="1"/>
  <c r="Q158" i="87" s="1"/>
  <c r="Q206" i="87" a="1"/>
  <c r="Q206" i="87" s="1"/>
  <c r="S155" i="87" a="1"/>
  <c r="S155" i="87" s="1"/>
  <c r="S272" i="87" a="1"/>
  <c r="S272" i="87" s="1"/>
  <c r="S203" i="87" a="1"/>
  <c r="S203" i="87" s="1"/>
  <c r="R259" i="87" a="1"/>
  <c r="R259" i="87" s="1"/>
  <c r="R142" i="87" a="1"/>
  <c r="R142" i="87" s="1"/>
  <c r="R190" i="87" a="1"/>
  <c r="R190" i="87" s="1"/>
  <c r="R154" i="87" a="1"/>
  <c r="R154" i="87" s="1"/>
  <c r="R271" i="87" a="1"/>
  <c r="R271" i="87" s="1"/>
  <c r="R202" i="87" a="1"/>
  <c r="R202" i="87" s="1"/>
  <c r="F187" i="87" a="1"/>
  <c r="F187" i="87" s="1"/>
  <c r="F256" i="87" a="1"/>
  <c r="F256" i="87" s="1"/>
  <c r="F139" i="87" a="1"/>
  <c r="F139" i="87" s="1"/>
  <c r="P150" i="87" a="1"/>
  <c r="P150" i="87" s="1"/>
  <c r="P198" i="87" a="1"/>
  <c r="P198" i="87" s="1"/>
  <c r="P267" i="87" a="1"/>
  <c r="P267" i="87" s="1"/>
  <c r="I188" i="87" a="1"/>
  <c r="I188" i="87" s="1"/>
  <c r="I257" i="87" a="1"/>
  <c r="I257" i="87" s="1"/>
  <c r="I140" i="87" a="1"/>
  <c r="I140" i="87" s="1"/>
  <c r="F142" i="87" a="1"/>
  <c r="F142" i="87" s="1"/>
  <c r="F259" i="87" a="1"/>
  <c r="F259" i="87" s="1"/>
  <c r="F190" i="87" a="1"/>
  <c r="F190" i="87" s="1"/>
  <c r="S188" i="87" a="1"/>
  <c r="S188" i="87" s="1"/>
  <c r="S257" i="87" a="1"/>
  <c r="S257" i="87" s="1"/>
  <c r="S140" i="87" a="1"/>
  <c r="S140" i="87" s="1"/>
  <c r="G202" i="87" a="1"/>
  <c r="G202" i="87" s="1"/>
  <c r="G271" i="87" a="1"/>
  <c r="G271" i="87" s="1"/>
  <c r="G154" i="87" a="1"/>
  <c r="G154" i="87" s="1"/>
  <c r="F143" i="87" a="1"/>
  <c r="F143" i="87" s="1"/>
  <c r="F191" i="87" a="1"/>
  <c r="F191" i="87" s="1"/>
  <c r="F260" i="87" a="1"/>
  <c r="F260" i="87" s="1"/>
  <c r="I255" i="87" a="1"/>
  <c r="I255" i="87" s="1"/>
  <c r="I186" i="87" a="1"/>
  <c r="I186" i="87" s="1"/>
  <c r="I138" i="87" a="1"/>
  <c r="I138" i="87" s="1"/>
  <c r="P157" i="87" a="1"/>
  <c r="P157" i="87" s="1"/>
  <c r="P274" i="87" a="1"/>
  <c r="P274" i="87" s="1"/>
  <c r="P205" i="87" a="1"/>
  <c r="P205" i="87" s="1"/>
  <c r="R146" i="87" a="1"/>
  <c r="R146" i="87" s="1"/>
  <c r="R194" i="87" a="1"/>
  <c r="R194" i="87" s="1"/>
  <c r="R263" i="87" a="1"/>
  <c r="R263" i="87" s="1"/>
  <c r="P188" i="87" a="1"/>
  <c r="P188" i="87" s="1"/>
  <c r="P140" i="87" a="1"/>
  <c r="P140" i="87" s="1"/>
  <c r="P257" i="87" a="1"/>
  <c r="P257" i="87" s="1"/>
  <c r="F144" i="87" a="1"/>
  <c r="F144" i="87" s="1"/>
  <c r="F192" i="87" a="1"/>
  <c r="F192" i="87" s="1"/>
  <c r="F261" i="87" a="1"/>
  <c r="F261" i="87" s="1"/>
  <c r="P206" i="87" a="1"/>
  <c r="P206" i="87" s="1"/>
  <c r="P275" i="87" a="1"/>
  <c r="P275" i="87" s="1"/>
  <c r="P158" i="87" a="1"/>
  <c r="P158" i="87" s="1"/>
  <c r="H150" i="87" a="1"/>
  <c r="H150" i="87" s="1"/>
  <c r="H198" i="87" a="1"/>
  <c r="H198" i="87" s="1"/>
  <c r="H267" i="87" a="1"/>
  <c r="H267" i="87" s="1"/>
  <c r="F138" i="87" a="1"/>
  <c r="F138" i="87" s="1"/>
  <c r="F255" i="87" a="1"/>
  <c r="F255" i="87" s="1"/>
  <c r="F186" i="87" a="1"/>
  <c r="F186" i="87" s="1"/>
  <c r="H188" i="87" a="1"/>
  <c r="H188" i="87" s="1"/>
  <c r="H257" i="87" a="1"/>
  <c r="H257" i="87" s="1"/>
  <c r="H140" i="87" a="1"/>
  <c r="H140" i="87" s="1"/>
  <c r="I261" i="87" a="1"/>
  <c r="I261" i="87" s="1"/>
  <c r="I192" i="87" a="1"/>
  <c r="I192" i="87" s="1"/>
  <c r="I144" i="87" a="1"/>
  <c r="I144" i="87" s="1"/>
  <c r="G260" i="87" a="1"/>
  <c r="G260" i="87" s="1"/>
  <c r="G143" i="87" a="1"/>
  <c r="G143" i="87" s="1"/>
  <c r="G191" i="87" a="1"/>
  <c r="G191" i="87" s="1"/>
  <c r="Q195" i="87" a="1"/>
  <c r="Q195" i="87" s="1"/>
  <c r="Q147" i="87" a="1"/>
  <c r="Q147" i="87" s="1"/>
  <c r="Q264" i="87" a="1"/>
  <c r="Q264" i="87" s="1"/>
  <c r="Q144" i="87" a="1"/>
  <c r="Q144" i="87" s="1"/>
  <c r="Q261" i="87" a="1"/>
  <c r="Q261" i="87" s="1"/>
  <c r="Q192" i="87" a="1"/>
  <c r="Q192" i="87" s="1"/>
  <c r="P199" i="87" a="1"/>
  <c r="P199" i="87" s="1"/>
  <c r="P151" i="87" a="1"/>
  <c r="P151" i="87" s="1"/>
  <c r="P268" i="87" a="1"/>
  <c r="P268" i="87" s="1"/>
  <c r="R152" i="87" a="1"/>
  <c r="R152" i="87" s="1"/>
  <c r="R269" i="87" a="1"/>
  <c r="R269" i="87" s="1"/>
  <c r="R200" i="87" a="1"/>
  <c r="R200" i="87" s="1"/>
  <c r="Q272" i="87" a="1"/>
  <c r="Q272" i="87" s="1"/>
  <c r="Q155" i="87" a="1"/>
  <c r="Q155" i="87" s="1"/>
  <c r="Q203" i="87" a="1"/>
  <c r="Q203" i="87" s="1"/>
  <c r="F273" i="87" a="1"/>
  <c r="F273" i="87" s="1"/>
  <c r="F204" i="87" a="1"/>
  <c r="F204" i="87" s="1"/>
  <c r="F156" i="87" a="1"/>
  <c r="F156" i="87" s="1"/>
  <c r="S194" i="87" a="1"/>
  <c r="S194" i="87" s="1"/>
  <c r="S146" i="87" a="1"/>
  <c r="S146" i="87" s="1"/>
  <c r="S263" i="87" a="1"/>
  <c r="S263" i="87" s="1"/>
  <c r="G263" i="87" a="1"/>
  <c r="G263" i="87" s="1"/>
  <c r="G146" i="87" a="1"/>
  <c r="G146" i="87" s="1"/>
  <c r="G194" i="87" a="1"/>
  <c r="G194" i="87" s="1"/>
  <c r="I85" i="85" a="1"/>
  <c r="I85" i="85" s="1"/>
  <c r="P84" i="85" a="1"/>
  <c r="P84" i="85" s="1"/>
  <c r="I102" i="85" a="1"/>
  <c r="I102" i="85" s="1"/>
  <c r="P83" i="85" a="1"/>
  <c r="P83" i="85" s="1"/>
  <c r="P85" i="85" a="1"/>
  <c r="P85" i="85" s="1"/>
  <c r="P101" i="85" a="1"/>
  <c r="P101" i="85" s="1"/>
  <c r="G85" i="85" a="1"/>
  <c r="G85" i="85" s="1"/>
  <c r="G93" i="85" a="1"/>
  <c r="G93" i="85" s="1"/>
  <c r="F84" i="85" a="1"/>
  <c r="F84" i="85" s="1"/>
  <c r="P89" i="85" a="1"/>
  <c r="P89" i="85" s="1"/>
  <c r="I90" i="85" a="1"/>
  <c r="I90" i="85" s="1"/>
  <c r="G90" i="85" a="1"/>
  <c r="G90" i="85" s="1"/>
  <c r="Q94" i="85" a="1"/>
  <c r="Q94" i="85" s="1"/>
  <c r="Q90" i="85" a="1"/>
  <c r="Q90" i="85" s="1"/>
  <c r="P97" i="85" a="1"/>
  <c r="P97" i="85" s="1"/>
  <c r="Q98" i="85" a="1"/>
  <c r="Q98" i="85" s="1"/>
  <c r="Q102" i="85" a="1"/>
  <c r="Q102" i="85" s="1"/>
  <c r="F102" i="85" a="1"/>
  <c r="F102" i="85" s="1"/>
  <c r="P102" i="85" a="1"/>
  <c r="P102" i="85" s="1"/>
  <c r="I88" i="85" a="1"/>
  <c r="I88" i="85" s="1"/>
  <c r="Q97" i="85" a="1"/>
  <c r="Q97" i="85" s="1"/>
  <c r="P88" i="85" a="1"/>
  <c r="P88" i="85" s="1"/>
  <c r="H89" i="85" a="1"/>
  <c r="H89" i="85" s="1"/>
  <c r="S90" i="85" a="1"/>
  <c r="S90" i="85" s="1"/>
  <c r="R102" i="85" a="1"/>
  <c r="R102" i="85" s="1"/>
  <c r="S86" i="85" a="1"/>
  <c r="S86" i="85" s="1"/>
  <c r="I103" i="85" a="1"/>
  <c r="I103" i="85" s="1"/>
  <c r="I86" i="85" a="1"/>
  <c r="I86" i="85" s="1"/>
  <c r="G98" i="85" a="1"/>
  <c r="G98" i="85" s="1"/>
  <c r="I83" i="85" a="1"/>
  <c r="I83" i="85" s="1"/>
  <c r="I84" i="85" a="1"/>
  <c r="I84" i="85" s="1"/>
  <c r="P103" i="85" a="1"/>
  <c r="P103" i="85" s="1"/>
  <c r="Q85" i="85" a="1"/>
  <c r="Q85" i="85" s="1"/>
  <c r="H94" i="85" a="1"/>
  <c r="H94" i="85" s="1"/>
  <c r="P94" i="85" a="1"/>
  <c r="P94" i="85" s="1"/>
  <c r="S94" i="85" a="1"/>
  <c r="S94" i="85" s="1"/>
  <c r="F94" i="85" a="1"/>
  <c r="F94" i="85" s="1"/>
  <c r="I94" i="85" a="1"/>
  <c r="I94" i="85" s="1"/>
  <c r="S88" i="85" a="1"/>
  <c r="S88" i="85" s="1"/>
  <c r="Q83" i="85" a="1"/>
  <c r="Q83" i="85" s="1"/>
  <c r="H93" i="85" a="1"/>
  <c r="H93" i="85" s="1"/>
  <c r="P93" i="85" a="1"/>
  <c r="P93" i="85" s="1"/>
  <c r="S92" i="85" a="1"/>
  <c r="S92" i="85" s="1"/>
  <c r="F92" i="85" a="1"/>
  <c r="F92" i="85" s="1"/>
  <c r="I92" i="85" a="1"/>
  <c r="I92" i="85" s="1"/>
  <c r="G92" i="85" a="1"/>
  <c r="G92" i="85" s="1"/>
  <c r="H100" i="85" a="1"/>
  <c r="H100" i="85" s="1"/>
  <c r="P86" i="85" a="1"/>
  <c r="P86" i="85" s="1"/>
  <c r="G97" i="85" a="1"/>
  <c r="G97" i="85" s="1"/>
  <c r="F88" i="85" a="1"/>
  <c r="F88" i="85" s="1"/>
  <c r="H88" i="85" a="1"/>
  <c r="H88" i="85" s="1"/>
  <c r="F90" i="85" a="1"/>
  <c r="F90" i="85" s="1"/>
  <c r="F89" i="85" a="1"/>
  <c r="F89" i="85" s="1"/>
  <c r="R103" i="85" a="1"/>
  <c r="R103" i="85" s="1"/>
  <c r="Q86" i="85" a="1"/>
  <c r="Q86" i="85" s="1"/>
  <c r="H92" i="85" a="1"/>
  <c r="H92" i="85" s="1"/>
  <c r="G84" i="85" a="1"/>
  <c r="G84" i="85" s="1"/>
  <c r="R90" i="85" a="1"/>
  <c r="R90" i="85" s="1"/>
  <c r="F93" i="85" a="1"/>
  <c r="F93" i="85" s="1"/>
  <c r="I93" i="85" a="1"/>
  <c r="I93" i="85" s="1"/>
  <c r="R92" i="85" a="1"/>
  <c r="R92" i="85" s="1"/>
  <c r="G94" i="85" a="1"/>
  <c r="G94" i="85" s="1"/>
  <c r="H102" i="85" a="1"/>
  <c r="H102" i="85" s="1"/>
  <c r="P90" i="85" a="1"/>
  <c r="P90" i="85" s="1"/>
  <c r="S85" i="85" a="1"/>
  <c r="S85" i="85" s="1"/>
  <c r="F97" i="85" a="1"/>
  <c r="F97" i="85" s="1"/>
  <c r="G96" i="85" a="1"/>
  <c r="G96" i="85" s="1"/>
  <c r="I101" i="85" a="1"/>
  <c r="I101" i="85" s="1"/>
  <c r="I96" i="85" a="1"/>
  <c r="I96" i="85" s="1"/>
  <c r="R85" i="85" a="1"/>
  <c r="R85" i="85" s="1"/>
  <c r="S97" i="85" a="1"/>
  <c r="S97" i="85" s="1"/>
  <c r="R93" i="85" a="1"/>
  <c r="R93" i="85" s="1"/>
  <c r="H96" i="85" a="1"/>
  <c r="H96" i="85" s="1"/>
  <c r="H83" i="85" a="1"/>
  <c r="H83" i="85" s="1"/>
  <c r="R83" i="85" a="1"/>
  <c r="R83" i="85" s="1"/>
  <c r="G83" i="85" a="1"/>
  <c r="G83" i="85" s="1"/>
  <c r="R88" i="85" a="1"/>
  <c r="R88" i="85" s="1"/>
  <c r="S98" i="85" a="1"/>
  <c r="S98" i="85" s="1"/>
  <c r="Q79" i="85" a="1"/>
  <c r="Q79" i="85" s="1"/>
  <c r="R94" i="85" a="1"/>
  <c r="R94" i="85" s="1"/>
  <c r="H101" i="85" a="1"/>
  <c r="H101" i="85" s="1"/>
  <c r="F86" i="85" a="1"/>
  <c r="F86" i="85" s="1"/>
  <c r="H90" i="85" a="1"/>
  <c r="H90" i="85" s="1"/>
  <c r="Q96" i="85" a="1"/>
  <c r="Q96" i="85" s="1"/>
  <c r="S84" i="85" a="1"/>
  <c r="S84" i="85" s="1"/>
  <c r="S83" i="85" a="1"/>
  <c r="S83" i="85" s="1"/>
  <c r="R101" i="85" a="1"/>
  <c r="R101" i="85" s="1"/>
  <c r="S93" i="85" a="1"/>
  <c r="S93" i="85" s="1"/>
  <c r="S89" i="85" a="1"/>
  <c r="S89" i="85" s="1"/>
  <c r="Q84" i="85" a="1"/>
  <c r="Q84" i="85" s="1"/>
  <c r="R89" i="85" a="1"/>
  <c r="R89" i="85" s="1"/>
  <c r="Q81" i="85" a="1"/>
  <c r="Q81" i="85" s="1"/>
  <c r="H97" i="85" a="1"/>
  <c r="H97" i="85" s="1"/>
  <c r="R86" i="85" a="1"/>
  <c r="R86" i="85" s="1"/>
  <c r="G86" i="85" a="1"/>
  <c r="G86" i="85" s="1"/>
  <c r="S96" i="85" a="1"/>
  <c r="S96" i="85" s="1"/>
  <c r="Q80" i="85" a="1"/>
  <c r="Q80" i="85" s="1"/>
  <c r="R96" i="85" a="1"/>
  <c r="R96" i="85" s="1"/>
  <c r="Q101" i="85" a="1"/>
  <c r="Q101" i="85" s="1"/>
  <c r="S101" i="85" a="1"/>
  <c r="S101" i="85" s="1"/>
  <c r="H103" i="85" a="1"/>
  <c r="H103" i="85" s="1"/>
  <c r="R84" i="85" a="1"/>
  <c r="R84" i="85" s="1"/>
  <c r="G89" i="85" a="1"/>
  <c r="G89" i="85" s="1"/>
  <c r="Q93" i="85" a="1"/>
  <c r="Q93" i="85" s="1"/>
  <c r="Q88" i="85" a="1"/>
  <c r="Q88" i="85" s="1"/>
  <c r="P98" i="85" a="1"/>
  <c r="P98" i="85" s="1"/>
  <c r="R98" i="85" a="1"/>
  <c r="R98" i="85" s="1"/>
  <c r="Q103" i="85" a="1"/>
  <c r="Q103" i="85" s="1"/>
  <c r="S100" i="85" a="1"/>
  <c r="S100" i="85" s="1"/>
  <c r="F85" i="85" a="1"/>
  <c r="F85" i="85" s="1"/>
  <c r="I97" i="85" a="1"/>
  <c r="I97" i="85" s="1"/>
  <c r="F98" i="85" a="1"/>
  <c r="F98" i="85" s="1"/>
  <c r="I98" i="85" a="1"/>
  <c r="I98" i="85" s="1"/>
  <c r="F96" i="85" a="1"/>
  <c r="F96" i="85" s="1"/>
  <c r="P92" i="85" a="1"/>
  <c r="P92" i="85" s="1"/>
  <c r="G101" i="85" a="1"/>
  <c r="G101" i="85" s="1"/>
  <c r="S102" i="85" a="1"/>
  <c r="S102" i="85" s="1"/>
  <c r="H86" i="85" a="1"/>
  <c r="H86" i="85" s="1"/>
  <c r="H98" i="85" a="1"/>
  <c r="H98" i="85" s="1"/>
  <c r="H84" i="85" a="1"/>
  <c r="H84" i="85" s="1"/>
  <c r="F83" i="85" a="1"/>
  <c r="F83" i="85" s="1"/>
  <c r="H85" i="85" a="1"/>
  <c r="H85" i="85" s="1"/>
  <c r="I89" i="85" a="1"/>
  <c r="I89" i="85" s="1"/>
  <c r="G88" i="85" a="1"/>
  <c r="G88" i="85" s="1"/>
  <c r="Q92" i="85" a="1"/>
  <c r="Q92" i="85" s="1"/>
  <c r="Q89" i="85" a="1"/>
  <c r="Q89" i="85" s="1"/>
  <c r="P96" i="85" a="1"/>
  <c r="P96" i="85" s="1"/>
  <c r="R97" i="85" a="1"/>
  <c r="R97" i="85" s="1"/>
  <c r="Q100" i="85" a="1"/>
  <c r="Q100" i="85" s="1"/>
  <c r="F101" i="85" a="1"/>
  <c r="F101" i="85" s="1"/>
  <c r="P276" i="87" l="1" a="1"/>
  <c r="P276" i="87" s="1"/>
  <c r="P159" i="87" a="1"/>
  <c r="P159" i="87" s="1"/>
  <c r="P207" i="87" a="1"/>
  <c r="P207" i="87" s="1"/>
  <c r="R79" i="85" a="1"/>
  <c r="R79" i="85" s="1"/>
  <c r="S79" i="85" a="1"/>
  <c r="S79" i="85" s="1"/>
  <c r="P155" i="87" a="1"/>
  <c r="P155" i="87" s="1"/>
  <c r="P272" i="87" a="1"/>
  <c r="P272" i="87" s="1"/>
  <c r="P203" i="87" a="1"/>
  <c r="P203" i="87" s="1"/>
  <c r="R155" i="87" a="1"/>
  <c r="R155" i="87" s="1"/>
  <c r="R272" i="87" a="1"/>
  <c r="R272" i="87" s="1"/>
  <c r="R203" i="87" a="1"/>
  <c r="R203" i="87" s="1"/>
  <c r="Q159" i="87" a="1"/>
  <c r="Q159" i="87" s="1"/>
  <c r="Q207" i="87" a="1"/>
  <c r="Q207" i="87" s="1"/>
  <c r="Q276" i="87" a="1"/>
  <c r="Q276" i="87" s="1"/>
  <c r="F80" i="85" a="1"/>
  <c r="F80" i="85" s="1"/>
  <c r="R185" i="87" a="1"/>
  <c r="R185" i="87" s="1"/>
  <c r="R137" i="87" a="1"/>
  <c r="R137" i="87" s="1"/>
  <c r="R254" i="87" a="1"/>
  <c r="R254" i="87" s="1"/>
  <c r="H81" i="85" a="1"/>
  <c r="H81" i="85" s="1"/>
  <c r="R81" i="85" a="1"/>
  <c r="R81" i="85" s="1"/>
  <c r="F79" i="85" a="1"/>
  <c r="F79" i="85" s="1"/>
  <c r="I80" i="85" a="1"/>
  <c r="I80" i="85" s="1"/>
  <c r="S137" i="87" a="1"/>
  <c r="S137" i="87" s="1"/>
  <c r="S185" i="87" a="1"/>
  <c r="S185" i="87" s="1"/>
  <c r="S254" i="87" a="1"/>
  <c r="S254" i="87" s="1"/>
  <c r="S81" i="85" a="1"/>
  <c r="S81" i="85" s="1"/>
  <c r="I79" i="85" a="1"/>
  <c r="I79" i="85" s="1"/>
  <c r="G155" i="87" a="1"/>
  <c r="G155" i="87" s="1"/>
  <c r="G203" i="87" a="1"/>
  <c r="G203" i="87" s="1"/>
  <c r="G272" i="87" a="1"/>
  <c r="G272" i="87" s="1"/>
  <c r="P185" i="87" a="1"/>
  <c r="P185" i="87" s="1"/>
  <c r="P137" i="87" a="1"/>
  <c r="P137" i="87" s="1"/>
  <c r="P254" i="87" a="1"/>
  <c r="P254" i="87" s="1"/>
  <c r="I254" i="87" a="1"/>
  <c r="I254" i="87" s="1"/>
  <c r="I137" i="87" a="1"/>
  <c r="I137" i="87" s="1"/>
  <c r="I185" i="87" a="1"/>
  <c r="I185" i="87" s="1"/>
  <c r="S206" i="87" a="1"/>
  <c r="S206" i="87" s="1"/>
  <c r="S275" i="87" a="1"/>
  <c r="S275" i="87" s="1"/>
  <c r="S158" i="87" a="1"/>
  <c r="S158" i="87" s="1"/>
  <c r="H276" i="87" a="1"/>
  <c r="H276" i="87" s="1"/>
  <c r="H207" i="87" a="1"/>
  <c r="H207" i="87" s="1"/>
  <c r="H159" i="87" a="1"/>
  <c r="H159" i="87" s="1"/>
  <c r="F81" i="85" a="1"/>
  <c r="F81" i="85" s="1"/>
  <c r="G80" i="85" a="1"/>
  <c r="G80" i="85" s="1"/>
  <c r="G81" i="85" a="1"/>
  <c r="G81" i="85" s="1"/>
  <c r="G206" i="87" a="1"/>
  <c r="G206" i="87" s="1"/>
  <c r="G158" i="87" a="1"/>
  <c r="G158" i="87" s="1"/>
  <c r="G275" i="87" a="1"/>
  <c r="G275" i="87" s="1"/>
  <c r="G137" i="87" a="1"/>
  <c r="G137" i="87" s="1"/>
  <c r="G254" i="87" a="1"/>
  <c r="G254" i="87" s="1"/>
  <c r="G185" i="87" a="1"/>
  <c r="G185" i="87" s="1"/>
  <c r="I207" i="87" a="1"/>
  <c r="I207" i="87" s="1"/>
  <c r="I276" i="87" a="1"/>
  <c r="I276" i="87" s="1"/>
  <c r="I159" i="87" a="1"/>
  <c r="I159" i="87" s="1"/>
  <c r="H254" i="87" a="1"/>
  <c r="H254" i="87" s="1"/>
  <c r="H185" i="87" a="1"/>
  <c r="H185" i="87" s="1"/>
  <c r="H137" i="87" a="1"/>
  <c r="H137" i="87" s="1"/>
  <c r="H79" i="85" a="1"/>
  <c r="H79" i="85" s="1"/>
  <c r="S80" i="85" a="1"/>
  <c r="S80" i="85" s="1"/>
  <c r="S207" i="87" a="1"/>
  <c r="S207" i="87" s="1"/>
  <c r="S159" i="87" a="1"/>
  <c r="S159" i="87" s="1"/>
  <c r="S276" i="87" a="1"/>
  <c r="S276" i="87" s="1"/>
  <c r="R80" i="85" a="1"/>
  <c r="R80" i="85" s="1"/>
  <c r="G79" i="85" a="1"/>
  <c r="G79" i="85" s="1"/>
  <c r="F276" i="87" a="1"/>
  <c r="F276" i="87" s="1"/>
  <c r="F159" i="87" a="1"/>
  <c r="F159" i="87" s="1"/>
  <c r="F207" i="87" a="1"/>
  <c r="F207" i="87" s="1"/>
  <c r="P81" i="85" a="1"/>
  <c r="P81" i="85" s="1"/>
  <c r="F203" i="87" a="1"/>
  <c r="F203" i="87" s="1"/>
  <c r="F272" i="87" a="1"/>
  <c r="F272" i="87" s="1"/>
  <c r="F155" i="87" a="1"/>
  <c r="F155" i="87" s="1"/>
  <c r="I81" i="85" a="1"/>
  <c r="I81" i="85" s="1"/>
  <c r="F206" i="87" a="1"/>
  <c r="F206" i="87" s="1"/>
  <c r="F275" i="87" a="1"/>
  <c r="F275" i="87" s="1"/>
  <c r="F158" i="87" a="1"/>
  <c r="F158" i="87" s="1"/>
  <c r="R159" i="87" a="1"/>
  <c r="R159" i="87" s="1"/>
  <c r="R276" i="87" a="1"/>
  <c r="R276" i="87" s="1"/>
  <c r="R207" i="87" a="1"/>
  <c r="R207" i="87" s="1"/>
  <c r="P80" i="85" a="1"/>
  <c r="P80" i="85" s="1"/>
  <c r="G274" i="87" a="1"/>
  <c r="G274" i="87" s="1"/>
  <c r="G205" i="87" a="1"/>
  <c r="G205" i="87" s="1"/>
  <c r="G157" i="87" a="1"/>
  <c r="G157" i="87" s="1"/>
  <c r="F137" i="87" a="1"/>
  <c r="F137" i="87" s="1"/>
  <c r="F185" i="87" a="1"/>
  <c r="F185" i="87" s="1"/>
  <c r="F254" i="87" a="1"/>
  <c r="F254" i="87" s="1"/>
  <c r="H80" i="85" a="1"/>
  <c r="H80" i="85" s="1"/>
  <c r="P79" i="85" a="1"/>
  <c r="P79" i="85" s="1"/>
  <c r="I203" i="87" a="1"/>
  <c r="I203" i="87" s="1"/>
  <c r="I155" i="87" a="1"/>
  <c r="I155" i="87" s="1"/>
  <c r="I272" i="87" a="1"/>
  <c r="I272" i="87" s="1"/>
  <c r="G207" i="87" a="1"/>
  <c r="G207" i="87" s="1"/>
  <c r="G276" i="87" a="1"/>
  <c r="G276" i="87" s="1"/>
  <c r="G159" i="87" a="1"/>
  <c r="G159" i="87" s="1"/>
  <c r="O106" i="85" l="1"/>
  <c r="E106" i="85"/>
  <c r="I118" i="85" s="1"/>
  <c r="E125" i="85" s="1" a="1"/>
  <c r="E125" i="85" s="1"/>
  <c r="G127" i="85" s="1"/>
  <c r="E130" i="85" s="1" a="1"/>
  <c r="E130" i="85" s="1"/>
  <c r="P182" i="87" a="1"/>
  <c r="P182" i="87" s="1"/>
  <c r="P134" i="87" a="1"/>
  <c r="P134" i="87" s="1"/>
  <c r="P251" i="87" a="1"/>
  <c r="P251" i="87" s="1"/>
  <c r="G251" i="87" a="1"/>
  <c r="G251" i="87" s="1"/>
  <c r="G182" i="87" a="1"/>
  <c r="G182" i="87" s="1"/>
  <c r="G134" i="87" a="1"/>
  <c r="G134" i="87" s="1"/>
  <c r="F253" i="87" a="1"/>
  <c r="F253" i="87" s="1"/>
  <c r="F184" i="87" a="1"/>
  <c r="F184" i="87" s="1"/>
  <c r="F136" i="87" a="1"/>
  <c r="F136" i="87" s="1"/>
  <c r="F182" i="87" a="1"/>
  <c r="F182" i="87" s="1"/>
  <c r="F134" i="87" a="1"/>
  <c r="F134" i="87" s="1"/>
  <c r="F251" i="87" a="1"/>
  <c r="F251" i="87" s="1"/>
  <c r="H135" i="87" a="1"/>
  <c r="H135" i="87" s="1"/>
  <c r="H252" i="87" a="1"/>
  <c r="H252" i="87" s="1"/>
  <c r="H183" i="87" a="1"/>
  <c r="H183" i="87" s="1"/>
  <c r="I136" i="87" a="1"/>
  <c r="I136" i="87" s="1"/>
  <c r="I184" i="87" a="1"/>
  <c r="I184" i="87" s="1"/>
  <c r="I253" i="87" a="1"/>
  <c r="I253" i="87" s="1"/>
  <c r="H136" i="87" a="1"/>
  <c r="H136" i="87" s="1"/>
  <c r="H184" i="87" a="1"/>
  <c r="H184" i="87" s="1"/>
  <c r="H253" i="87" a="1"/>
  <c r="H253" i="87" s="1"/>
  <c r="I182" i="87" a="1"/>
  <c r="I182" i="87" s="1"/>
  <c r="I251" i="87" a="1"/>
  <c r="I251" i="87" s="1"/>
  <c r="I134" i="87" a="1"/>
  <c r="I134" i="87" s="1"/>
  <c r="S134" i="87" a="1"/>
  <c r="S134" i="87" s="1"/>
  <c r="S182" i="87" a="1"/>
  <c r="S182" i="87" s="1"/>
  <c r="S251" i="87" a="1"/>
  <c r="S251" i="87" s="1"/>
  <c r="S135" i="87" a="1"/>
  <c r="S135" i="87" s="1"/>
  <c r="S183" i="87" a="1"/>
  <c r="S183" i="87" s="1"/>
  <c r="S252" i="87" a="1"/>
  <c r="S252" i="87" s="1"/>
  <c r="S184" i="87" a="1"/>
  <c r="S184" i="87" s="1"/>
  <c r="S136" i="87" a="1"/>
  <c r="S136" i="87" s="1"/>
  <c r="S253" i="87" a="1"/>
  <c r="S253" i="87" s="1"/>
  <c r="R134" i="87" a="1"/>
  <c r="R134" i="87" s="1"/>
  <c r="R182" i="87" a="1"/>
  <c r="R182" i="87" s="1"/>
  <c r="R251" i="87" a="1"/>
  <c r="R251" i="87" s="1"/>
  <c r="R252" i="87" a="1"/>
  <c r="R252" i="87" s="1"/>
  <c r="R183" i="87" a="1"/>
  <c r="R183" i="87" s="1"/>
  <c r="R135" i="87" a="1"/>
  <c r="R135" i="87" s="1"/>
  <c r="P184" i="87" a="1"/>
  <c r="P184" i="87" s="1"/>
  <c r="P253" i="87" a="1"/>
  <c r="P253" i="87" s="1"/>
  <c r="P136" i="87" a="1"/>
  <c r="P136" i="87" s="1"/>
  <c r="H182" i="87" a="1"/>
  <c r="H182" i="87" s="1"/>
  <c r="H251" i="87" a="1"/>
  <c r="H251" i="87" s="1"/>
  <c r="H134" i="87" a="1"/>
  <c r="H134" i="87" s="1"/>
  <c r="F252" i="87" a="1"/>
  <c r="F252" i="87" s="1"/>
  <c r="F183" i="87" a="1"/>
  <c r="F183" i="87" s="1"/>
  <c r="F135" i="87" a="1"/>
  <c r="F135" i="87" s="1"/>
  <c r="P135" i="87" a="1"/>
  <c r="P135" i="87" s="1"/>
  <c r="P183" i="87" a="1"/>
  <c r="P183" i="87" s="1"/>
  <c r="P252" i="87" a="1"/>
  <c r="P252" i="87" s="1"/>
  <c r="G136" i="87" a="1"/>
  <c r="G136" i="87" s="1"/>
  <c r="G184" i="87" a="1"/>
  <c r="G184" i="87" s="1"/>
  <c r="G253" i="87" a="1"/>
  <c r="G253" i="87" s="1"/>
  <c r="R253" i="87" a="1"/>
  <c r="R253" i="87" s="1"/>
  <c r="R184" i="87" a="1"/>
  <c r="R184" i="87" s="1"/>
  <c r="R136" i="87" a="1"/>
  <c r="R136" i="87" s="1"/>
  <c r="G135" i="87" a="1"/>
  <c r="G135" i="87" s="1"/>
  <c r="G252" i="87" a="1"/>
  <c r="G252" i="87" s="1"/>
  <c r="G183" i="87" a="1"/>
  <c r="G183" i="87" s="1"/>
  <c r="I135" i="87" a="1"/>
  <c r="I135" i="87" s="1"/>
  <c r="I183" i="87" a="1"/>
  <c r="I183" i="87" s="1"/>
  <c r="I252" i="87" a="1"/>
  <c r="I252" i="87" s="1"/>
  <c r="G263" i="83"/>
  <c r="E266" i="83" s="1" a="1"/>
  <c r="E266" i="83" s="1"/>
  <c r="Q263" i="83"/>
  <c r="O266" i="83" s="1" a="1"/>
  <c r="O266" i="83" s="1"/>
  <c r="S118" i="85" l="1"/>
  <c r="O125" i="85" s="1" a="1"/>
  <c r="O125" i="85" s="1"/>
  <c r="Q127" i="85" s="1"/>
  <c r="O130" i="85" s="1" a="1"/>
  <c r="O130" i="85" s="1"/>
  <c r="E278" i="87"/>
  <c r="E161" i="87"/>
  <c r="E209" i="87"/>
  <c r="O278" i="87"/>
  <c r="O161" i="87"/>
  <c r="O209" i="87"/>
  <c r="E11" i="13" a="1"/>
  <c r="E11" i="13" s="1"/>
  <c r="H11" i="13" s="1" a="1"/>
  <c r="H11" i="13" s="1"/>
  <c r="F11" i="13" a="1"/>
  <c r="F11" i="13" s="1"/>
  <c r="I11" i="13" s="1" a="1"/>
  <c r="I11" i="13" s="1"/>
  <c r="F10" i="13" a="1"/>
  <c r="F10" i="13" s="1"/>
  <c r="I10" i="13" s="1" a="1"/>
  <c r="I10" i="13" s="1"/>
  <c r="E10" i="13" a="1"/>
  <c r="E10" i="13" s="1"/>
  <c r="H10" i="13" s="1" a="1"/>
  <c r="H10" i="13" s="1"/>
  <c r="F12" i="13" l="1" a="1"/>
  <c r="F12" i="13" s="1"/>
  <c r="I12" i="13" s="1" a="1"/>
  <c r="I12" i="13" s="1"/>
  <c r="I21" i="13" s="1"/>
  <c r="F56" i="13" s="1"/>
  <c r="E12" i="13" a="1"/>
  <c r="E12" i="13" s="1"/>
  <c r="H12" i="13" s="1" a="1"/>
  <c r="H12" i="13" s="1"/>
  <c r="H21" i="13" s="1"/>
  <c r="E56" i="13" s="1"/>
  <c r="E49" i="72" l="1"/>
  <c r="E57" i="13"/>
  <c r="F49" i="72"/>
  <c r="F57" i="13"/>
  <c r="F73" i="72" l="1"/>
  <c r="F78" i="72" s="1"/>
  <c r="F37" i="80" s="1"/>
  <c r="F54" i="72"/>
  <c r="F36" i="80" s="1"/>
  <c r="E54" i="72"/>
  <c r="E36" i="80" s="1"/>
  <c r="E73" i="72"/>
  <c r="E78" i="72" s="1"/>
  <c r="E37" i="80" s="1"/>
  <c r="I53" i="80" l="1"/>
  <c r="I45" i="80"/>
  <c r="I55" i="80"/>
  <c r="I47" i="80"/>
  <c r="H52" i="80"/>
  <c r="H44" i="80"/>
  <c r="H46" i="80"/>
  <c r="H54" i="80"/>
  <c r="H53" i="80"/>
  <c r="H47" i="80"/>
  <c r="H45" i="80"/>
  <c r="H55" i="80"/>
  <c r="I52" i="80"/>
  <c r="I54" i="80"/>
  <c r="I44" i="80"/>
  <c r="I46"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<sst xmlns="http://schemas.openxmlformats.org/spreadsheetml/2006/main" count="3762" uniqueCount="1178">
  <si>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</si>
  <si>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</si>
  <si>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</si>
  <si>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</si>
  <si>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</si>
  <si>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</si>
  <si>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</si>
  <si>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</si>
  <si>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</si>
  <si>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</si>
  <si>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</si>
  <si>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</si>
  <si>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</si>
  <si>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</si>
  <si>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</si>
  <si>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</si>
  <si>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</si>
  <si>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</si>
  <si>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</si>
  <si>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</si>
  <si>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</si>
  <si>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</si>
  <si>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</si>
  <si>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</si>
  <si>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</si>
  <si>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</si>
  <si>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</si>
  <si>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</si>
  <si>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</si>
  <si>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</si>
  <si>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</si>
  <si>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</si>
  <si>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</si>
  <si>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</si>
  <si>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</si>
  <si>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</si>
  <si>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</si>
  <si>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</si>
  <si>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</si>
  <si>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</si>
  <si>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</si>
  <si>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</si>
  <si>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</si>
  <si>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</si>
  <si>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</si>
  <si>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</si>
  <si>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</si>
  <si>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</si>
  <si>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</si>
  <si>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</si>
  <si>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</si>
  <si>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</si>
  <si>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</si>
  <si>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</si>
  <si>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</si>
  <si>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</si>
  <si>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</si>
  <si>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</si>
  <si>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</si>
  <si>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</si>
  <si>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</si>
  <si>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</si>
  <si>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</si>
  <si>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</si>
  <si>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</si>
  <si>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</si>
  <si>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</si>
  <si>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</si>
  <si>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</si>
  <si>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</si>
  <si>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</si>
  <si>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</si>
  <si>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</si>
  <si>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</si>
  <si>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</si>
  <si>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</si>
  <si>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</si>
  <si>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</si>
  <si>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</si>
  <si>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</si>
  <si>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</si>
  <si>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</si>
  <si>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</si>
  <si>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</si>
  <si>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</si>
  <si>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</si>
  <si>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</si>
  <si>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</si>
  <si>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</si>
  <si>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</si>
  <si>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</si>
  <si>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</si>
  <si>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</si>
  <si>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</si>
  <si>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</si>
  <si>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</si>
  <si>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</si>
  <si>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</si>
  <si>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</si>
  <si>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</si>
  <si>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</si>
  <si>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</si>
  <si>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</si>
  <si>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</si>
  <si>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</si>
  <si>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</si>
  <si>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</si>
  <si>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</si>
  <si>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</si>
  <si>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</si>
  <si>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</si>
  <si>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</si>
  <si>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</si>
  <si>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</si>
  <si>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</si>
  <si>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</si>
  <si>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</si>
  <si>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</si>
  <si>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</si>
  <si>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</si>
  <si>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</si>
  <si>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</si>
  <si>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</si>
  <si>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</si>
  <si>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</si>
  <si>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</si>
  <si>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</si>
  <si>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</si>
  <si>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</si>
  <si>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</si>
  <si>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</si>
  <si>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</si>
  <si>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</si>
  <si>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</si>
  <si>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</si>
  <si>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</si>
  <si>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</si>
  <si>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</si>
  <si>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</si>
  <si>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</si>
  <si>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</si>
  <si>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</si>
  <si>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</si>
  <si>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</si>
  <si>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</si>
  <si>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</si>
  <si>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</si>
  <si>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</si>
  <si>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</si>
  <si>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</si>
  <si>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</si>
  <si>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</si>
  <si>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</si>
  <si>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</si>
  <si>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</si>
  <si>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</si>
  <si>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</si>
  <si>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</si>
  <si>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</si>
  <si>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</si>
  <si>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</si>
  <si>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</si>
  <si>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</si>
  <si>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</si>
  <si>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</si>
  <si>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</si>
  <si>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</si>
  <si>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</si>
  <si>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</si>
  <si>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</si>
  <si>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</si>
  <si>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</si>
  <si>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</si>
  <si>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</si>
  <si>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</si>
  <si>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</si>
  <si>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</si>
  <si>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</si>
  <si>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</si>
  <si>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</si>
  <si>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</si>
  <si>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</si>
  <si>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</si>
  <si>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</si>
  <si>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</si>
  <si>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</si>
  <si>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</si>
  <si>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</si>
  <si>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</si>
  <si>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</si>
  <si>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</si>
  <si>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</si>
  <si>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</si>
  <si>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</si>
  <si>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</si>
  <si>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</si>
  <si>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</si>
  <si>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</si>
  <si>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</si>
  <si>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</si>
  <si>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</si>
  <si>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</si>
  <si>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</si>
  <si>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</si>
  <si>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</si>
  <si>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</si>
  <si>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</si>
  <si>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</si>
  <si>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</si>
  <si>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</si>
  <si>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</si>
  <si>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</si>
  <si>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</si>
  <si>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</si>
  <si>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</si>
  <si>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</si>
  <si>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</si>
  <si>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</si>
  <si>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</si>
  <si>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</si>
  <si>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</si>
  <si>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</si>
  <si>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</si>
  <si>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</si>
  <si>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</si>
  <si>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</si>
  <si>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</si>
  <si>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</si>
  <si>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</si>
  <si>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</si>
  <si>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</si>
  <si>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</si>
  <si>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</si>
  <si>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</si>
  <si>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</si>
  <si>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</si>
  <si>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</si>
  <si>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</si>
  <si>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</si>
  <si>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</si>
  <si>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</si>
  <si>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</si>
  <si>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</si>
  <si>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</si>
  <si>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</si>
  <si>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</si>
  <si>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</si>
  <si>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</si>
  <si>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</si>
  <si>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</si>
  <si>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</si>
  <si>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</si>
  <si>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</si>
  <si>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</si>
  <si>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</si>
  <si>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</si>
  <si>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</si>
  <si>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</si>
  <si>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</si>
  <si>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</si>
  <si>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</si>
  <si>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</si>
  <si>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</si>
  <si>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</si>
  <si>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</si>
  <si>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</si>
  <si>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</si>
  <si>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</si>
  <si>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</si>
  <si>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</si>
  <si>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</si>
  <si>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</si>
  <si>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</si>
  <si>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</si>
  <si>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</si>
  <si>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</si>
  <si>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</si>
  <si>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</si>
  <si>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</si>
  <si>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</si>
  <si>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</si>
  <si>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</si>
  <si>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</si>
  <si>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</si>
  <si>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</si>
  <si>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</si>
  <si>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</si>
  <si>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</si>
  <si>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</si>
  <si>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Input -Swine</t>
  </si>
  <si>
    <t>Boars</t>
  </si>
  <si>
    <t>Sows</t>
  </si>
  <si>
    <t>Others</t>
  </si>
  <si>
    <t>Head</t>
  </si>
  <si>
    <t>Feed intake</t>
  </si>
  <si>
    <t>Method 1 default values (Do not edit)</t>
  </si>
  <si>
    <t>kg/head/day</t>
  </si>
  <si>
    <t>Method 2 custom values (Edit if known)</t>
  </si>
  <si>
    <t>Manure production</t>
  </si>
  <si>
    <t>Volatile solids produced per head per day</t>
  </si>
  <si>
    <t>Nitrogen produced in swine waste per head per day</t>
  </si>
  <si>
    <t>kg N/head/day</t>
  </si>
  <si>
    <t>Manure management systems</t>
  </si>
  <si>
    <t>Production system</t>
  </si>
  <si>
    <t>Outdoor/free range</t>
  </si>
  <si>
    <t>Stage 1 MMS</t>
  </si>
  <si>
    <t>Percent</t>
  </si>
  <si>
    <t>Yes</t>
  </si>
  <si>
    <t>Solid storage (after solid separation) - Method 1</t>
  </si>
  <si>
    <t>Solid storage (after solid separation) - Method 2</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</si>
  <si>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</si>
  <si>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</si>
  <si>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</si>
  <si>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</si>
  <si>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</si>
  <si>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</si>
  <si>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</si>
  <si>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</si>
  <si>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</si>
  <si>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</si>
  <si>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</si>
  <si>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Function name</t>
  </si>
  <si>
    <t>Variable</t>
  </si>
  <si>
    <t>Table_MMS_j_m_T-1</t>
  </si>
  <si>
    <t>Fraction VS sent to MMS other than solid storage in stage 1</t>
  </si>
  <si>
    <t>Stage 1 management</t>
  </si>
  <si>
    <t>M1_Table_SS_m</t>
  </si>
  <si>
    <t>M2_Table_SS_m-1-7-9</t>
  </si>
  <si>
    <t>Fraction separated solids sent from MMS other than solid storage to solid storage in stage 1 (Method 1)</t>
  </si>
  <si>
    <t>Fraction separated solids sent from MMS other than solid storage to solid storage in stage 1 (Method 2)</t>
  </si>
  <si>
    <t>M1_Table_FVS_j_m_T-1</t>
  </si>
  <si>
    <t>M2_Table_FVS_j_m_T-1</t>
  </si>
  <si>
    <t>Fraction VS in MMS other than solid storage in stage 1 (Method 1)</t>
  </si>
  <si>
    <t>Fraction VS in MMS other than solid storage in stage 1 (Method 2)</t>
  </si>
  <si>
    <t>Table_MMS_j_m-4_T-1</t>
  </si>
  <si>
    <t>Fraction primary system solid storage</t>
  </si>
  <si>
    <t>M1_Table_FVS_j_m-4_T-1</t>
  </si>
  <si>
    <t>M2_Table_FVS_j_m-4_T-1</t>
  </si>
  <si>
    <t>Fraction VS in stage 1 solid storage (Method 1)</t>
  </si>
  <si>
    <t>Fraction VS in stage 1 solid storage (Method 2)</t>
  </si>
  <si>
    <t>M1_Table_VS_j</t>
  </si>
  <si>
    <t>M2_Table_VS_j</t>
  </si>
  <si>
    <t>Daily volatile solid production (Method 1)</t>
  </si>
  <si>
    <t>Daily volatile solid production (Method 2)</t>
  </si>
  <si>
    <t>Table_VSL_m_T-1</t>
  </si>
  <si>
    <t>Fraction volatile solids lost during storage in primary system</t>
  </si>
  <si>
    <r>
      <t>VSL</t>
    </r>
    <r>
      <rPr>
        <b/>
        <vertAlign val="subscript"/>
        <sz val="10"/>
        <color rgb="FF183C1B"/>
        <rFont val="Arial"/>
        <family val="1"/>
      </rPr>
      <t>m,T=1</t>
    </r>
  </si>
  <si>
    <t>create source data in sourcedata file</t>
  </si>
  <si>
    <t>M1 Table_VST_j_m_T-2</t>
  </si>
  <si>
    <t>M2 Table_VST_j_m_T-2</t>
  </si>
  <si>
    <t>Volatile solids transferred from stage 1 to stage 2 (Method 1)</t>
  </si>
  <si>
    <t>Volatile solids transferred from stage 1 to stage 2 (Method 2)</t>
  </si>
  <si>
    <t>Table_MMS_j_m_T-2</t>
  </si>
  <si>
    <t>Fraction of manure in each secondary system</t>
  </si>
  <si>
    <t>Stage 2 management</t>
  </si>
  <si>
    <t>NOTE: Drylot MCF is state-based rather than temperature-based.</t>
  </si>
  <si>
    <t>M1_Table_MCF_i_m</t>
  </si>
  <si>
    <t>Methane conversion factor for state (Method 1)</t>
  </si>
  <si>
    <t>Methane conversion factor for temperature zone (Method 2)</t>
  </si>
  <si>
    <t>MMS</t>
  </si>
  <si>
    <r>
      <t>MCF</t>
    </r>
    <r>
      <rPr>
        <b/>
        <vertAlign val="subscript"/>
        <sz val="10"/>
        <color rgb="FF183C1B"/>
        <rFont val="Arial"/>
        <family val="1"/>
      </rPr>
      <t>im</t>
    </r>
  </si>
  <si>
    <t>M1_Table_M_i_j_m_T-2</t>
  </si>
  <si>
    <t>M2_Table_M_i_j_m_T-2</t>
  </si>
  <si>
    <t>Production of methane for each MMS in stage 2 (Method 1)</t>
  </si>
  <si>
    <t>Production of methane for each MMS in stage 2 (Method 2)</t>
  </si>
  <si>
    <t>M1_Table_M_i_j_m_T-1</t>
  </si>
  <si>
    <t>M2_Table_M_i_j_m_T-1</t>
  </si>
  <si>
    <t>Production of methane for each MMS in stage 1 (Method 1)</t>
  </si>
  <si>
    <t>Production of methane for each MMS in stage 1 (Method 2)</t>
  </si>
  <si>
    <t>M1_Table_M_m_j</t>
  </si>
  <si>
    <t>M2_Table_M_m_j</t>
  </si>
  <si>
    <t>Production of methane for all MMS in stages 1 and 2 (Method 1)</t>
  </si>
  <si>
    <t>Production of methane for all MMS in stages 1 and 2 (Method 2)</t>
  </si>
  <si>
    <t>Table_D_j</t>
  </si>
  <si>
    <t>Duration of stay of each class of swine</t>
  </si>
  <si>
    <t>Table_N_j</t>
  </si>
  <si>
    <t>Number of head for each swine class</t>
  </si>
  <si>
    <t>M1_Table_E_CH4</t>
  </si>
  <si>
    <t>M2_Table_E_CH4</t>
  </si>
  <si>
    <t>Methane emissions from manure management (Method 1)</t>
  </si>
  <si>
    <t>Methane emissions from manure management (Method 2)</t>
  </si>
  <si>
    <t>ECH4</t>
  </si>
  <si>
    <r>
      <t>E</t>
    </r>
    <r>
      <rPr>
        <vertAlign val="subscript"/>
        <sz val="10"/>
        <color theme="1" tint="0.24994659260841701"/>
        <rFont val="Arial"/>
        <family val="1"/>
      </rPr>
      <t>CO2e</t>
    </r>
  </si>
  <si>
    <t>M1_Table_NW_j</t>
  </si>
  <si>
    <t>M2_Table_NW_j</t>
  </si>
  <si>
    <t>Nitrogen produced per class (Method 1)</t>
  </si>
  <si>
    <t>Nitrogen produced per class (Method 2)</t>
  </si>
  <si>
    <t>Duration of stay for each swine class</t>
  </si>
  <si>
    <t>M1_Table_AE_j</t>
  </si>
  <si>
    <t>M2_Table_AE_j</t>
  </si>
  <si>
    <t>Annual nitrogen excretion (Method 1)</t>
  </si>
  <si>
    <t>Annual nitrogen excretion (Method 2)</t>
  </si>
  <si>
    <t>Table_MMS_j_m-1-7-9-8_T-1</t>
  </si>
  <si>
    <t>Fraction N sent to MMS other than solid storage in stage 1</t>
  </si>
  <si>
    <t>M1_Table_SN_m-1-7-9</t>
  </si>
  <si>
    <t>M2_Table_SN_m-1-7-9</t>
  </si>
  <si>
    <t>Fraction of nitrogen separated to solid storage (Method 1)</t>
  </si>
  <si>
    <t>Fraction of nitrogen separated to solid storage (Method 2)</t>
  </si>
  <si>
    <t>M1_Table_FN_j_m_T-1</t>
  </si>
  <si>
    <t>M2_Table_FN_j_m_T-1</t>
  </si>
  <si>
    <t>Fraction N in each primary MMS (Method 1)</t>
  </si>
  <si>
    <t>Fraction N in each primary MMS (Method 2)</t>
  </si>
  <si>
    <t>fraction</t>
  </si>
  <si>
    <t>M1_Table_MN_j_m_T-1</t>
  </si>
  <si>
    <t>M2_Table_MN_j_m_T-1</t>
  </si>
  <si>
    <t>Nitrogen in treatment stage 1 MMS (Method 1)</t>
  </si>
  <si>
    <t>Nitrogen in treatment stage 1 MMS (Method 2)</t>
  </si>
  <si>
    <t>Table_FracGASM_m_t-1</t>
  </si>
  <si>
    <t>Fraction of N volatilised from stage 1 MMS</t>
  </si>
  <si>
    <t>FracGASMm</t>
  </si>
  <si>
    <t>Table_EF_m_t-1</t>
  </si>
  <si>
    <t>Nitrous oxide emissions factor for stage 1 MMS</t>
  </si>
  <si>
    <t>EF</t>
  </si>
  <si>
    <t>M1_Table_NT_j_m_T-2</t>
  </si>
  <si>
    <t>M2_Table_NT_j_m_T-2</t>
  </si>
  <si>
    <t>Nitrogen transferred to treatment stage 2 (Method 1)</t>
  </si>
  <si>
    <t>Nitrogen transferred to treatment stage 2 (Method 2)</t>
  </si>
  <si>
    <t>M1_Table_MN_j_m_T-2</t>
  </si>
  <si>
    <t>M2_Table_MN_j_m_T-2</t>
  </si>
  <si>
    <t>Nitrogen in stage 2 MMS (Method 1)</t>
  </si>
  <si>
    <t>Nitrogen in stage 2 MMS (Method 2)</t>
  </si>
  <si>
    <r>
      <rPr>
        <b/>
        <sz val="10"/>
        <color rgb="FF0070C0"/>
        <rFont val="Arial"/>
        <family val="1"/>
      </rPr>
      <t>Note:</t>
    </r>
    <r>
      <rPr>
        <sz val="10"/>
        <color rgb="FF0070C0"/>
        <rFont val="Arial"/>
        <family val="1"/>
      </rPr>
      <t xml:space="preserve"> Manure that is directly applied to soil after stage 1 is</t>
    </r>
    <r>
      <rPr>
        <i/>
        <sz val="10"/>
        <color rgb="FF0070C0"/>
        <rFont val="Arial"/>
        <family val="1"/>
      </rPr>
      <t xml:space="preserve"> not</t>
    </r>
    <r>
      <rPr>
        <sz val="10"/>
        <color rgb="FF0070C0"/>
        <rFont val="Arial"/>
        <family val="1"/>
      </rPr>
      <t xml:space="preserve"> included in Direct N2O calculations</t>
    </r>
  </si>
  <si>
    <t>and instead is handled in 'Manure applied to soils'.</t>
  </si>
  <si>
    <t>M1_Table_E_N2O_dir</t>
  </si>
  <si>
    <t>M2_Table_E_N2O_dir</t>
  </si>
  <si>
    <t>Total direct nitrous oxide emissions from MMS (Method 1)</t>
  </si>
  <si>
    <t>Total direct nitrous oxide emissions from MMS (Method 2)</t>
  </si>
  <si>
    <r>
      <t>E</t>
    </r>
    <r>
      <rPr>
        <b/>
        <vertAlign val="subscript"/>
        <sz val="14"/>
        <color theme="1" tint="0.24994659260841701"/>
        <rFont val="Arial"/>
        <family val="1"/>
      </rPr>
      <t>N2O,dir</t>
    </r>
  </si>
  <si>
    <t>4.5.1.5-6 Atmospheric deposition N2O</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</si>
  <si>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</si>
  <si>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Table_FracGASM_m_t</t>
  </si>
  <si>
    <t>Fraction of N volatilised from MMS</t>
  </si>
  <si>
    <r>
      <t>MMS</t>
    </r>
    <r>
      <rPr>
        <b/>
        <vertAlign val="subscript"/>
        <sz val="10"/>
        <color theme="1" tint="0.24994659260841701"/>
        <rFont val="Arial"/>
        <family val="1"/>
      </rPr>
      <t>ATMOS</t>
    </r>
  </si>
  <si>
    <r>
      <t>MMS</t>
    </r>
    <r>
      <rPr>
        <b/>
        <vertAlign val="subscript"/>
        <sz val="14"/>
        <color theme="1" tint="0.24994659260841701"/>
        <rFont val="Arial"/>
        <family val="1"/>
      </rPr>
      <t>ATMOS</t>
    </r>
  </si>
  <si>
    <t>4.5.1.7-8 Leaching and runoff</t>
  </si>
  <si>
    <r>
      <t xml:space="preserve">This infers that drylot is </t>
    </r>
    <r>
      <rPr>
        <b/>
        <sz val="10"/>
        <color theme="1" tint="0.24994659260841701"/>
        <rFont val="Arial"/>
        <family val="1"/>
      </rPr>
      <t>not</t>
    </r>
    <r>
      <rPr>
        <sz val="10"/>
        <color theme="1" tint="0.24994659260841701"/>
        <rFont val="Arial"/>
        <family val="1"/>
      </rPr>
      <t xml:space="preserve"> a stage 2 MMS option</t>
    </r>
  </si>
  <si>
    <t>Doc has typo - refers to 'solid storage'</t>
  </si>
  <si>
    <t>M1_Table_MN_j_m-5_T-1</t>
  </si>
  <si>
    <t>M2_Table_MN_j_m-5_T-1</t>
  </si>
  <si>
    <t>Nitrogen in stage 1 drylot (Method 1)</t>
  </si>
  <si>
    <t>Nitrogen in stage 1 drylot (Method 2)</t>
  </si>
  <si>
    <t>M1_Table_MN_leach_j_m-5</t>
  </si>
  <si>
    <t>Mass of nitrogen lost to leaching (Method 1)</t>
  </si>
  <si>
    <t>M1_Table_E_N2O_leach</t>
  </si>
  <si>
    <t>M2_Table_E_N2O_leach</t>
  </si>
  <si>
    <t>Annual emissions from leaching and runoff (Method 1)</t>
  </si>
  <si>
    <t>Annual emissions from leaching and runoff (Method 2)</t>
  </si>
  <si>
    <r>
      <t>E</t>
    </r>
    <r>
      <rPr>
        <b/>
        <vertAlign val="subscript"/>
        <sz val="14"/>
        <color theme="1" tint="0.24994659260841701"/>
        <rFont val="Arial"/>
        <family val="1"/>
      </rPr>
      <t>N2O,leach</t>
    </r>
  </si>
  <si>
    <t>4.5.1.9 Manure applied to soils</t>
  </si>
  <si>
    <t>MNleachjm=5 infers stage 1 and 2 drylot MMS</t>
  </si>
  <si>
    <t xml:space="preserve"> but 4.5.1.7, Equation (2) says MNleachjm=5 only comes from stage 1 MMS</t>
  </si>
  <si>
    <t>N lost through leaching and runoff from stage 1 drylot MMS</t>
  </si>
  <si>
    <t>M1_Table_PF</t>
  </si>
  <si>
    <t>Fraction of manure applied to soil (Method 1)</t>
  </si>
  <si>
    <t>PF</t>
  </si>
  <si>
    <t>Table_EF_m_T</t>
  </si>
  <si>
    <t>Nitrous oxide emissions factor for MMS</t>
  </si>
  <si>
    <t>M1_Table_MNSoil_scope1</t>
  </si>
  <si>
    <t>Mass of nitrogen applied to soils for scope 1 emissions</t>
  </si>
  <si>
    <r>
      <t>MNSoil</t>
    </r>
    <r>
      <rPr>
        <b/>
        <vertAlign val="subscript"/>
        <sz val="14"/>
        <color theme="1" tint="0.24994659260841701"/>
        <rFont val="Arial"/>
        <family val="1"/>
      </rPr>
      <t>scope1</t>
    </r>
  </si>
  <si>
    <t>M1_Table_MNSoil_scope3</t>
  </si>
  <si>
    <t>Mass of nitrogen applied to soils for scope 3 emissions</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</si>
  <si>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</si>
  <si>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</si>
  <si>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</si>
  <si>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</si>
  <si>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</si>
  <si>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0"/>
        <color rgb="FF183C1B"/>
        <rFont val="Arial"/>
        <family val="1"/>
      </rPr>
      <t>fert</t>
    </r>
  </si>
  <si>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</si>
  <si>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</si>
  <si>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</si>
  <si>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</si>
  <si>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4"/>
        <color theme="1" tint="0.24994659260841701"/>
        <rFont val="Arial"/>
        <family val="1"/>
      </rPr>
      <t>scope1,fert</t>
    </r>
  </si>
  <si>
    <t>Constants - Swine</t>
  </si>
  <si>
    <t>Swine crop or pasture production systems</t>
  </si>
  <si>
    <t>Irrigation methods</t>
  </si>
  <si>
    <t>Livestock classes</t>
  </si>
  <si>
    <t>Table_LivestockClasses_Swine</t>
  </si>
  <si>
    <t>Livestock class</t>
  </si>
  <si>
    <t>Pasture</t>
  </si>
  <si>
    <t>Not irrigated</t>
  </si>
  <si>
    <t>Drip irrigation</t>
  </si>
  <si>
    <t>Surface irrigation</t>
  </si>
  <si>
    <t>Other irrigation</t>
  </si>
  <si>
    <t>CHange title to match source</t>
  </si>
  <si>
    <t>CHange source</t>
  </si>
  <si>
    <t>NSW</t>
  </si>
  <si>
    <t>ACT</t>
  </si>
  <si>
    <t>QLD</t>
  </si>
  <si>
    <t>NT</t>
  </si>
  <si>
    <t>SA</t>
  </si>
  <si>
    <t>TAS</t>
  </si>
  <si>
    <t>VIC</t>
  </si>
  <si>
    <t>WA</t>
  </si>
  <si>
    <t>NIR definition</t>
  </si>
  <si>
    <t>Swine Manure management systems</t>
  </si>
  <si>
    <t>Swine Manure management systems excl. solid storage and direct application</t>
  </si>
  <si>
    <t>Swine Manure management systems excl. direct application</t>
  </si>
  <si>
    <t>Symbol and MMS</t>
  </si>
  <si>
    <t>Swine housing</t>
  </si>
  <si>
    <t>VSL</t>
  </si>
  <si>
    <t>Class</t>
  </si>
  <si>
    <t>VSj</t>
  </si>
  <si>
    <t>Ij</t>
  </si>
  <si>
    <t>NWj</t>
  </si>
  <si>
    <t>NWj Daily</t>
  </si>
  <si>
    <t>Class name</t>
  </si>
  <si>
    <t>MMSm</t>
  </si>
  <si>
    <t>FracGASMmT</t>
  </si>
  <si>
    <t>NIR reference</t>
  </si>
  <si>
    <t>EFmT</t>
  </si>
  <si>
    <t>Livestock type j</t>
  </si>
  <si>
    <t>Average liveweight (kg)</t>
  </si>
  <si>
    <t>3.5.1.1-2 Enteric methane</t>
  </si>
  <si>
    <t>M1_Table_I_j</t>
  </si>
  <si>
    <t>M2_Table_I_j</t>
  </si>
  <si>
    <t>Feed intake (Method 1)</t>
  </si>
  <si>
    <t>Feed intake (Method 2)</t>
  </si>
  <si>
    <t>M1_Table_M_j</t>
  </si>
  <si>
    <t>Daily enteric methane production (Method 1)</t>
  </si>
  <si>
    <t>M1_Table_E_enteric</t>
  </si>
  <si>
    <t>M2_Table_E_enteric</t>
  </si>
  <si>
    <t>Methane emissions from enteric fermentation (Method 1)</t>
  </si>
  <si>
    <t>Methane emissions from enteric fermentation (Method 2)</t>
  </si>
  <si>
    <r>
      <t>E</t>
    </r>
    <r>
      <rPr>
        <b/>
        <vertAlign val="subscript"/>
        <sz val="10"/>
        <color theme="1" tint="0.24994659260841701"/>
        <rFont val="Arial"/>
        <family val="1"/>
      </rPr>
      <t>CO2e</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</si>
  <si>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</si>
  <si>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</si>
  <si>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</si>
  <si>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</si>
  <si>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</si>
  <si>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</si>
  <si>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</si>
  <si>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</si>
  <si>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</si>
  <si>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</si>
  <si>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</si>
  <si>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</si>
  <si>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</si>
  <si>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</si>
  <si>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</si>
  <si>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</si>
  <si>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</si>
  <si>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</si>
  <si>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</si>
  <si>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</si>
  <si>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</si>
  <si>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</si>
  <si>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</si>
  <si>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</si>
  <si>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</si>
  <si>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</si>
  <si>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</si>
  <si>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</si>
  <si>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</si>
  <si>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</si>
  <si>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</si>
  <si>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</si>
  <si>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</si>
  <si>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</si>
  <si>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</si>
  <si>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</si>
  <si>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</si>
  <si>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</si>
  <si>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</si>
  <si>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</si>
  <si>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</si>
  <si>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</si>
  <si>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</si>
  <si>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</si>
  <si>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</si>
  <si>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</si>
  <si>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</si>
  <si>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</si>
  <si>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</si>
  <si>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</si>
  <si>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</si>
  <si>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</si>
  <si>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</si>
  <si>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</si>
  <si>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</si>
  <si>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</si>
  <si>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</si>
  <si>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</si>
  <si>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</si>
  <si>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</si>
  <si>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</si>
  <si>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</si>
  <si>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</si>
  <si>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</si>
  <si>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</si>
  <si>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</si>
  <si>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</si>
  <si>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</si>
  <si>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</si>
  <si>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</si>
  <si>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</si>
  <si>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</si>
  <si>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</si>
  <si>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</si>
  <si>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</si>
  <si>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</si>
  <si>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</si>
  <si>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</si>
  <si>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</si>
  <si>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</si>
  <si>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</si>
  <si>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</si>
  <si>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</si>
  <si>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</si>
  <si>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</si>
  <si>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</si>
  <si>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</si>
  <si>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</si>
  <si>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</si>
  <si>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</si>
  <si>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</si>
  <si>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</si>
  <si>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</si>
  <si>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</si>
  <si>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</si>
  <si>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</si>
  <si>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</si>
  <si>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</si>
  <si>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</si>
  <si>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</si>
  <si>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</si>
  <si>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</si>
  <si>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</si>
  <si>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</si>
  <si>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</si>
  <si>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</si>
  <si>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</si>
  <si>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</si>
  <si>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</si>
  <si>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</si>
  <si>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</si>
  <si>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</si>
  <si>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</si>
  <si>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</si>
  <si>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</si>
  <si>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</si>
  <si>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</si>
  <si>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</si>
  <si>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</si>
  <si>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</si>
  <si>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</si>
  <si>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</si>
  <si>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</si>
  <si>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</si>
  <si>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</si>
  <si>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</si>
  <si>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</si>
  <si>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</si>
  <si>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</si>
  <si>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</si>
  <si>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</si>
  <si>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</si>
  <si>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</si>
  <si>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</si>
  <si>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</si>
  <si>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</si>
  <si>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</si>
  <si>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</si>
  <si>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</si>
  <si>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</si>
  <si>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</si>
  <si>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</si>
  <si>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</si>
  <si>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</si>
  <si>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</si>
  <si>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</si>
  <si>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</si>
  <si>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</si>
  <si>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</si>
  <si>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</si>
  <si>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</si>
  <si>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</si>
  <si>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</si>
  <si>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</si>
  <si>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</si>
  <si>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</si>
  <si>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</si>
  <si>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</si>
  <si>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</si>
  <si>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</si>
  <si>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</si>
  <si>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</si>
  <si>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</si>
  <si>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</si>
  <si>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</si>
  <si>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</si>
  <si>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</si>
  <si>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</si>
  <si>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</si>
  <si>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</si>
  <si>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</si>
  <si>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</si>
  <si>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</si>
  <si>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</si>
  <si>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</si>
  <si>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</si>
  <si>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</si>
  <si>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</si>
  <si>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</si>
  <si>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</si>
  <si>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</si>
  <si>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</si>
  <si>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</si>
  <si>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</si>
  <si>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</si>
  <si>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</si>
  <si>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</si>
  <si>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</si>
  <si>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</si>
  <si>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</si>
  <si>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</si>
  <si>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</si>
  <si>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</si>
  <si>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</si>
  <si>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</si>
  <si>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</si>
  <si>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</si>
  <si>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</si>
  <si>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</si>
  <si>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</si>
  <si>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</si>
  <si>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</si>
  <si>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</si>
  <si>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</si>
  <si>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</si>
  <si>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</si>
  <si>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</si>
  <si>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</si>
  <si>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</si>
  <si>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</si>
  <si>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</si>
  <si>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</si>
  <si>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</si>
  <si>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</si>
  <si>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</si>
  <si>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</si>
  <si>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</si>
  <si>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</si>
  <si>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</si>
  <si>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</si>
  <si>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</si>
  <si>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</si>
  <si>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</si>
  <si>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</si>
  <si>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</si>
  <si>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</si>
  <si>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</si>
  <si>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</si>
  <si>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</si>
  <si>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</si>
  <si>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</si>
  <si>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</si>
  <si>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</si>
  <si>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</si>
  <si>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</si>
  <si>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</si>
  <si>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</si>
  <si>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</si>
  <si>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</si>
  <si>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</si>
  <si>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</si>
  <si>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</si>
  <si>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</si>
  <si>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</si>
  <si>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</si>
  <si>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</si>
  <si>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</si>
  <si>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</si>
  <si>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</si>
  <si>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</si>
  <si>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</si>
  <si>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</si>
  <si>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</si>
  <si>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</si>
  <si>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</si>
  <si>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</si>
  <si>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</si>
  <si>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</si>
  <si>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</si>
  <si>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</si>
  <si>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</si>
  <si>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</si>
  <si>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</si>
  <si>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</si>
  <si>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</si>
  <si>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</si>
  <si>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</si>
  <si>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</si>
  <si>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</si>
  <si>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</si>
  <si>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</si>
  <si>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</si>
  <si>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</si>
  <si>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</si>
  <si>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</si>
  <si>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</si>
  <si>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</si>
  <si>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</si>
  <si>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</si>
  <si>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</si>
  <si>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</si>
  <si>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</si>
  <si>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</si>
  <si>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</si>
  <si>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</si>
  <si>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</si>
  <si>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</si>
  <si>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</si>
  <si>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</si>
  <si>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</si>
  <si>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</si>
  <si>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</si>
  <si>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</si>
  <si>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</si>
  <si>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</si>
  <si>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</si>
  <si>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</si>
  <si>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</si>
  <si>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</si>
  <si>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</si>
  <si>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</si>
  <si>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</si>
  <si>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</si>
  <si>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</si>
  <si>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</si>
  <si>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</si>
  <si>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</si>
  <si>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</si>
  <si>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</si>
  <si>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</si>
  <si>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</si>
  <si>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</si>
  <si>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</si>
  <si>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</si>
  <si>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</si>
  <si>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</si>
  <si>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</si>
  <si>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</si>
  <si>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</si>
  <si>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</si>
  <si>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</si>
  <si>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</si>
  <si>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</si>
  <si>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</si>
  <si>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</si>
  <si>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</si>
  <si>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</si>
  <si>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</si>
  <si>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</si>
  <si>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</si>
  <si>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</si>
  <si>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</si>
  <si>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</si>
  <si>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</si>
  <si>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</si>
  <si>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</si>
  <si>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</si>
  <si>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</si>
  <si>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</si>
  <si>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</si>
  <si>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</si>
  <si>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</si>
  <si>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</si>
  <si>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</si>
  <si>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</si>
  <si>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</si>
  <si>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</si>
  <si>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</si>
  <si>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</si>
  <si>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</si>
  <si>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</si>
  <si>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</si>
  <si>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</si>
  <si>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</si>
  <si>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</si>
  <si>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</si>
  <si>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</si>
  <si>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</si>
  <si>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</si>
  <si>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</si>
  <si>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</si>
  <si>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</si>
  <si>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</si>
  <si>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</si>
  <si>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</si>
  <si>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</si>
  <si>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</si>
  <si>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</si>
  <si>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</si>
  <si>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</si>
  <si>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</si>
  <si>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</si>
  <si>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</si>
  <si>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</si>
  <si>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</si>
  <si>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</si>
  <si>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</si>
  <si>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</si>
  <si>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</si>
  <si>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</si>
  <si>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</si>
  <si>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</si>
  <si>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</si>
  <si>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</si>
  <si>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</si>
  <si>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</si>
  <si>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</si>
  <si>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</si>
  <si>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</si>
  <si>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</si>
  <si>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</si>
  <si>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</si>
  <si>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</si>
  <si>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</si>
  <si>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</si>
  <si>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</si>
  <si>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</si>
  <si>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</si>
  <si>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</si>
  <si>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</si>
  <si>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</si>
  <si>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</si>
  <si>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Pig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</si>
  <si>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</si>
  <si>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</si>
  <si>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</si>
  <si>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</si>
  <si>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Pigs from Pam</t>
  </si>
  <si>
    <t>Swine from Samantha</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</si>
  <si>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</si>
  <si>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</si>
  <si>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</si>
  <si>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</si>
  <si>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</si>
  <si>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</si>
  <si>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</si>
  <si>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</si>
  <si>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</si>
  <si>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</si>
  <si>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</si>
  <si>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</si>
  <si>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</si>
  <si>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</si>
  <si>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</si>
  <si>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</si>
  <si>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</si>
  <si>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</si>
  <si>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</si>
  <si>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</si>
  <si>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</si>
  <si>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</si>
  <si>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</si>
  <si>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</si>
  <si>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</si>
  <si>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</si>
  <si>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</si>
  <si>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</si>
  <si>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</si>
  <si>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</si>
  <si>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</si>
  <si>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</si>
  <si>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</si>
  <si>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</si>
  <si>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</si>
  <si>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</si>
  <si>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</si>
  <si>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</si>
  <si>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</si>
  <si>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</si>
  <si>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</si>
  <si>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</si>
  <si>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</si>
  <si>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</si>
  <si>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</si>
  <si>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</si>
  <si>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</si>
  <si>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</si>
  <si>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</si>
  <si>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</si>
  <si>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</si>
  <si>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</si>
  <si>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</si>
  <si>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</si>
  <si>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</si>
  <si>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</si>
  <si>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</si>
  <si>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</si>
  <si>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</si>
  <si>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</si>
  <si>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</si>
  <si>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</si>
  <si>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</si>
  <si>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</si>
  <si>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</si>
  <si>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</si>
  <si>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</si>
  <si>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</si>
  <si>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</si>
  <si>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</si>
  <si>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</si>
  <si>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</si>
  <si>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</si>
  <si>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</si>
  <si>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</si>
  <si>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</si>
  <si>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</si>
  <si>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</si>
  <si>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</si>
  <si>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</si>
  <si>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</si>
  <si>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</si>
  <si>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</si>
  <si>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</si>
  <si>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</si>
  <si>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</si>
  <si>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</si>
  <si>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</si>
  <si>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</si>
  <si>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</si>
  <si>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</si>
  <si>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</si>
  <si>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</si>
  <si>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</si>
  <si>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</si>
  <si>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</si>
  <si>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</si>
  <si>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</si>
  <si>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</si>
  <si>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</si>
  <si>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</si>
  <si>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</si>
  <si>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</si>
  <si>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</si>
  <si>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</si>
  <si>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</si>
  <si>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</si>
  <si>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</si>
  <si>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</si>
  <si>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</si>
  <si>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</si>
  <si>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</si>
  <si>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</si>
  <si>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</si>
  <si>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</si>
  <si>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</si>
  <si>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</si>
  <si>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</si>
  <si>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</si>
  <si>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</si>
  <si>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</si>
  <si>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</si>
  <si>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</si>
  <si>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</si>
  <si>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</si>
  <si>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</si>
  <si>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</si>
  <si>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</si>
  <si>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</si>
  <si>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</si>
  <si>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</si>
  <si>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</si>
  <si>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</si>
  <si>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</si>
  <si>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</si>
  <si>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</si>
  <si>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</si>
  <si>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</si>
  <si>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</si>
  <si>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</si>
  <si>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</si>
  <si>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</si>
  <si>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</si>
  <si>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</si>
  <si>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</si>
  <si>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</si>
  <si>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</si>
  <si>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</si>
  <si>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</si>
  <si>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</si>
  <si>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</si>
  <si>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</si>
  <si>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</si>
  <si>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</si>
  <si>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</si>
  <si>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</si>
  <si>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</si>
  <si>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</si>
  <si>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</si>
  <si>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</si>
  <si>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</si>
  <si>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</si>
  <si>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</si>
  <si>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</si>
  <si>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</si>
  <si>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</si>
  <si>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</si>
  <si>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</si>
  <si>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</si>
  <si>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</si>
  <si>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</si>
  <si>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</si>
  <si>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</si>
  <si>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</si>
  <si>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</si>
  <si>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</si>
  <si>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</si>
  <si>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</si>
  <si>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</si>
  <si>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</si>
  <si>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</si>
  <si>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</si>
  <si>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</si>
  <si>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</si>
  <si>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</si>
  <si>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</si>
  <si>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</si>
  <si>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</si>
  <si>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</si>
  <si>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</si>
  <si>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</si>
  <si>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</si>
  <si>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</si>
  <si>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</si>
  <si>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</si>
  <si>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</si>
  <si>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</si>
  <si>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</si>
  <si>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</si>
  <si>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</si>
  <si>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</si>
  <si>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</si>
  <si>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</si>
  <si>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</si>
  <si>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</si>
  <si>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</si>
  <si>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</si>
  <si>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</si>
  <si>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</si>
  <si>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</si>
  <si>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</si>
  <si>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</si>
  <si>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</si>
  <si>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</si>
  <si>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</si>
  <si>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</si>
  <si>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</si>
  <si>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</si>
  <si>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</si>
  <si>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</si>
  <si>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</si>
  <si>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</si>
  <si>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</si>
  <si>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</si>
  <si>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</si>
  <si>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</si>
  <si>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</si>
  <si>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</si>
  <si>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</si>
  <si>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</si>
  <si>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</si>
  <si>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</si>
  <si>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</si>
  <si>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</si>
  <si>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</si>
  <si>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</si>
  <si>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</si>
  <si>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</si>
  <si>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</si>
  <si>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</si>
  <si>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</si>
  <si>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Common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</si>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</sst>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4"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5" tint="-0.499984740745262"/>
      <name val="Arial"/>
      <family val="1"/>
    </font>
    <font>
      <b/>
      <sz val="20"/>
      <color theme="5" tint="-0.499984740745262"/>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i/>
      <sz val="9"/>
      <color theme="1" tint="0.14999847407452621"/>
      <name val="Arial"/>
      <family val="1"/>
    </font>
    <font>
      <vertAlign val="subscript"/>
      <sz val="10"/>
      <color theme="1" tint="0.24994659260841701"/>
      <name val="Arial"/>
      <family val="1"/>
    </font>
    <font>
      <i/>
      <sz val="10"/>
      <color rgb="FF0070C0"/>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9"/>
      <color theme="1"/>
      <name val="Arial"/>
      <family val="2"/>
    </font>
    <font>
      <sz val="9"/>
      <name val="Arial"/>
      <family val="1"/>
    </font>
    <font>
      <b/>
      <vertAlign val="subscript"/>
      <sz val="10"/>
      <color rgb="FF533001"/>
      <name val="Arial"/>
      <family val="1"/>
    </font>
    <font>
      <b/>
      <sz val="9"/>
      <color theme="1" tint="0.34998626667073579"/>
      <name val="Arial"/>
      <family val="1"/>
    </font>
    <font>
      <sz val="14"/>
      <name val="Arial"/>
      <family val="1"/>
    </font>
    <font>
      <b/>
      <sz val="9"/>
      <name val="Arial"/>
      <family val="1"/>
    </font>
    <font>
      <sz val="10"/>
      <name val="Arial"/>
      <family val="1"/>
    </font>
    <font>
      <b/>
      <sz val="9"/>
      <color theme="1" tint="0.14999847407452621"/>
      <name val="Arial"/>
      <family val="1"/>
    </font>
    <font>
      <b/>
      <i/>
      <sz val="10"/>
      <color rgb="FFCC6600"/>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3">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0" fillId="0" borderId="0"/>
    <xf numFmtId="0" fontId="75" fillId="0" borderId="0"/>
    <xf numFmtId="0" fontId="76" fillId="4" borderId="0">
      <alignment horizontal="left" vertical="center"/>
    </xf>
    <xf numFmtId="0" fontId="38" fillId="17" borderId="2">
      <alignment horizontal="center" vertical="center"/>
    </xf>
  </cellStyleXfs>
  <cellXfs count="26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xf numFmtId="0" fontId="9" fillId="0" borderId="0" xfId="55"/>
    <xf numFmtId="0" fontId="55" fillId="6" borderId="0" xfId="29" applyFont="1" applyProtection="1">
      <alignment horizontal="center" vertical="center"/>
    </xf>
    <xf numFmtId="0" fontId="20" fillId="5" borderId="0" xfId="36">
      <alignment horizontal="left" vertical="center" indent="1"/>
    </xf>
    <xf numFmtId="0" fontId="12" fillId="6" borderId="0" xfId="28">
      <alignment horizontal="left" vertical="center" indent="1"/>
    </xf>
    <xf numFmtId="0" fontId="27" fillId="4" borderId="0" xfId="8" applyAlignment="1">
      <alignment horizontal="left" vertical="center" indent="3"/>
    </xf>
    <xf numFmtId="9" fontId="23" fillId="4" borderId="2" xfId="68" applyFont="1" applyFill="1" applyBorder="1" applyAlignment="1">
      <alignment horizontal="center" vertical="center"/>
    </xf>
    <xf numFmtId="0" fontId="56" fillId="4" borderId="0" xfId="59" applyFont="1" applyAlignment="1">
      <alignment horizontal="left" vertical="center" indent="2"/>
    </xf>
    <xf numFmtId="0" fontId="12" fillId="6" borderId="0" xfId="28" applyAlignment="1">
      <alignment horizontal="left" vertical="center" indent="3"/>
    </xf>
    <xf numFmtId="0" fontId="55" fillId="6" borderId="0" xfId="29" applyFont="1" applyAlignment="1" applyProtection="1">
      <alignment horizontal="left" vertical="center"/>
    </xf>
    <xf numFmtId="0" fontId="56" fillId="4" borderId="0" xfId="59" applyFont="1">
      <alignment horizontal="left" vertical="center"/>
    </xf>
    <xf numFmtId="0" fontId="40" fillId="4" borderId="0" xfId="8" applyFont="1" applyAlignment="1">
      <alignment horizontal="left" vertical="center" indent="3"/>
    </xf>
    <xf numFmtId="0" fontId="27" fillId="4" borderId="0" xfId="8" applyAlignment="1">
      <alignment horizontal="center" vertical="center"/>
    </xf>
    <xf numFmtId="0" fontId="27" fillId="4" borderId="0" xfId="8" applyAlignment="1">
      <alignment horizontal="left" vertical="center" indent="6"/>
    </xf>
    <xf numFmtId="0" fontId="15" fillId="4" borderId="0" xfId="24">
      <alignment horizontal="left" vertical="center"/>
    </xf>
    <xf numFmtId="0" fontId="23" fillId="4" borderId="2" xfId="52" applyAlignment="1">
      <alignment horizontal="left" vertical="center"/>
    </xf>
    <xf numFmtId="0" fontId="23" fillId="4" borderId="18" xfId="52" applyBorder="1" applyAlignment="1">
      <alignment horizontal="left" vertical="center"/>
    </xf>
    <xf numFmtId="0" fontId="23" fillId="4" borderId="19" xfId="52" applyBorder="1" applyAlignment="1">
      <alignment horizontal="left" vertical="center"/>
    </xf>
    <xf numFmtId="0" fontId="38" fillId="15" borderId="20" xfId="65" applyBorder="1">
      <alignment horizontal="center" vertical="center"/>
    </xf>
    <xf numFmtId="0" fontId="36" fillId="4" borderId="2" xfId="62">
      <alignment horizontal="left" vertical="center"/>
    </xf>
    <xf numFmtId="0" fontId="20" fillId="8" borderId="0" xfId="37">
      <alignment horizontal="left" vertical="center" indent="1"/>
    </xf>
    <xf numFmtId="0" fontId="57" fillId="4" borderId="0" xfId="8" applyFont="1">
      <alignment horizontal="left" vertical="center"/>
    </xf>
    <xf numFmtId="0" fontId="58" fillId="4" borderId="0" xfId="8" applyFont="1">
      <alignment horizontal="left" vertical="center"/>
    </xf>
    <xf numFmtId="0" fontId="5" fillId="2" borderId="0" xfId="9">
      <alignment horizontal="center" vertical="center"/>
    </xf>
    <xf numFmtId="0" fontId="23" fillId="4" borderId="2" xfId="52" applyAlignment="1">
      <alignment vertical="center"/>
    </xf>
    <xf numFmtId="0" fontId="23" fillId="4" borderId="18" xfId="52" applyBorder="1" applyAlignment="1">
      <alignment vertical="center"/>
    </xf>
    <xf numFmtId="0" fontId="23" fillId="4" borderId="20" xfId="52" applyBorder="1" applyAlignment="1">
      <alignment vertical="center"/>
    </xf>
    <xf numFmtId="0" fontId="38" fillId="15" borderId="2" xfId="65">
      <alignment horizontal="center" vertical="center"/>
    </xf>
    <xf numFmtId="0" fontId="23" fillId="4" borderId="20" xfId="52" applyBorder="1" applyAlignment="1">
      <alignment horizontal="left" vertical="center"/>
    </xf>
    <xf numFmtId="0" fontId="37" fillId="14" borderId="2" xfId="64">
      <alignment horizontal="center" vertical="center"/>
    </xf>
    <xf numFmtId="0" fontId="27" fillId="16" borderId="0" xfId="8" applyFill="1">
      <alignment horizontal="left" vertical="center"/>
    </xf>
    <xf numFmtId="0" fontId="23" fillId="4" borderId="2" xfId="63">
      <alignment horizontal="left" vertical="center"/>
    </xf>
    <xf numFmtId="0" fontId="23" fillId="4" borderId="18" xfId="63" applyBorder="1">
      <alignment horizontal="left" vertical="center"/>
    </xf>
    <xf numFmtId="0" fontId="23" fillId="4" borderId="20" xfId="63" applyBorder="1">
      <alignment horizontal="left" vertical="center"/>
    </xf>
    <xf numFmtId="0" fontId="30" fillId="13" borderId="5" xfId="39">
      <alignment horizontal="left" vertical="center"/>
    </xf>
    <xf numFmtId="0" fontId="60" fillId="0" borderId="0" xfId="69"/>
    <xf numFmtId="3" fontId="23" fillId="4" borderId="2" xfId="52" applyNumberFormat="1">
      <alignment horizontal="center" vertical="center"/>
    </xf>
    <xf numFmtId="0" fontId="23" fillId="4" borderId="19" xfId="52" applyBorder="1">
      <alignment horizontal="center" vertical="center"/>
    </xf>
    <xf numFmtId="0" fontId="36" fillId="4" borderId="18" xfId="62" applyBorder="1">
      <alignment horizontal="left" vertical="center"/>
    </xf>
    <xf numFmtId="0" fontId="36" fillId="4" borderId="20" xfId="62" applyBorder="1">
      <alignment horizontal="left" vertical="center"/>
    </xf>
    <xf numFmtId="0" fontId="30" fillId="13" borderId="11" xfId="39" applyBorder="1">
      <alignment horizontal="left" vertical="center"/>
    </xf>
    <xf numFmtId="0" fontId="32" fillId="4" borderId="0" xfId="57">
      <alignment horizontal="left" vertical="center"/>
    </xf>
    <xf numFmtId="0" fontId="33" fillId="4" borderId="0" xfId="58">
      <alignment horizontal="left" vertical="center"/>
    </xf>
    <xf numFmtId="0" fontId="36" fillId="4" borderId="2" xfId="52" applyFont="1" applyAlignment="1">
      <alignment horizontal="left" vertical="center"/>
    </xf>
    <xf numFmtId="0" fontId="0" fillId="0" borderId="0" xfId="1" applyFont="1" applyFill="1">
      <alignment horizontal="left" vertical="center" indent="1"/>
      <protection locked="0"/>
    </xf>
    <xf numFmtId="4" fontId="2" fillId="0" borderId="2" xfId="17">
      <alignment horizontal="center" vertical="center"/>
    </xf>
    <xf numFmtId="166" fontId="23"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7" fillId="4" borderId="0" xfId="8" applyAlignment="1">
      <alignment horizontal="left" vertical="center" wrapText="1"/>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0" fontId="23" fillId="4" borderId="19" xfId="63" applyBorder="1">
      <alignment horizontal="left" vertical="center"/>
    </xf>
    <xf numFmtId="9" fontId="23" fillId="4" borderId="2" xfId="63" applyNumberFormat="1">
      <alignment horizontal="left" vertical="center"/>
    </xf>
    <xf numFmtId="0" fontId="66"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67" fillId="4" borderId="0" xfId="0" applyFont="1" applyFill="1"/>
    <xf numFmtId="0" fontId="26" fillId="4" borderId="0" xfId="48" applyAlignment="1">
      <alignment horizontal="left" vertical="center"/>
    </xf>
    <xf numFmtId="4" fontId="23" fillId="4" borderId="2" xfId="46">
      <alignment horizontal="center" vertical="center"/>
    </xf>
    <xf numFmtId="173" fontId="69"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9"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1" xfId="52" applyBorder="1">
      <alignment horizontal="center" vertical="center"/>
    </xf>
    <xf numFmtId="0" fontId="23" fillId="4" borderId="22" xfId="52" applyBorder="1">
      <alignment horizontal="center" vertical="center"/>
    </xf>
    <xf numFmtId="4" fontId="23" fillId="4" borderId="21" xfId="46" applyBorder="1">
      <alignment horizontal="center" vertical="center"/>
    </xf>
    <xf numFmtId="4" fontId="23" fillId="4" borderId="23" xfId="46" applyBorder="1">
      <alignment horizontal="center" vertical="center"/>
    </xf>
    <xf numFmtId="173" fontId="69" fillId="4" borderId="23" xfId="52" applyNumberFormat="1" applyFont="1" applyBorder="1">
      <alignment horizontal="center" vertical="center"/>
    </xf>
    <xf numFmtId="173" fontId="69" fillId="4" borderId="21" xfId="52" applyNumberFormat="1" applyFont="1" applyBorder="1">
      <alignment horizontal="center" vertical="center"/>
    </xf>
    <xf numFmtId="0" fontId="23" fillId="4" borderId="23" xfId="52" applyBorder="1">
      <alignment horizontal="center" vertical="center"/>
    </xf>
    <xf numFmtId="0" fontId="69" fillId="4" borderId="23" xfId="52" applyFont="1" applyBorder="1">
      <alignment horizontal="center" vertical="center"/>
    </xf>
    <xf numFmtId="0" fontId="3" fillId="4" borderId="24" xfId="7" applyBorder="1">
      <alignment horizontal="left" vertical="center"/>
    </xf>
    <xf numFmtId="165" fontId="67" fillId="4" borderId="24" xfId="0" applyNumberFormat="1" applyFont="1" applyFill="1" applyBorder="1"/>
    <xf numFmtId="0" fontId="6" fillId="4" borderId="24" xfId="12" applyBorder="1">
      <alignment horizontal="left" vertical="center" indent="1"/>
    </xf>
    <xf numFmtId="168" fontId="67" fillId="4" borderId="0" xfId="0" applyNumberFormat="1" applyFont="1" applyFill="1" applyAlignment="1">
      <alignment vertical="center"/>
    </xf>
    <xf numFmtId="165" fontId="67" fillId="4" borderId="24" xfId="0" applyNumberFormat="1" applyFont="1" applyFill="1" applyBorder="1" applyAlignment="1">
      <alignment vertical="center"/>
    </xf>
    <xf numFmtId="0" fontId="67" fillId="4" borderId="0" xfId="0" applyFont="1" applyFill="1" applyAlignment="1">
      <alignment vertical="center"/>
    </xf>
    <xf numFmtId="165" fontId="70" fillId="4" borderId="24" xfId="0" applyNumberFormat="1" applyFont="1" applyFill="1" applyBorder="1" applyAlignment="1">
      <alignment vertical="center"/>
    </xf>
    <xf numFmtId="168" fontId="69" fillId="4" borderId="2" xfId="46" applyNumberFormat="1" applyFont="1">
      <alignment horizontal="center" vertical="center"/>
    </xf>
    <xf numFmtId="168" fontId="69" fillId="4" borderId="17" xfId="46" applyNumberFormat="1" applyFont="1" applyBorder="1">
      <alignment horizontal="center" vertical="center"/>
    </xf>
    <xf numFmtId="168" fontId="69" fillId="4" borderId="23" xfId="46" applyNumberFormat="1" applyFont="1" applyBorder="1">
      <alignment horizontal="center" vertical="center"/>
    </xf>
    <xf numFmtId="0" fontId="66" fillId="0" borderId="0" xfId="0" applyFont="1" applyAlignment="1">
      <alignment vertical="center" wrapText="1"/>
    </xf>
    <xf numFmtId="0" fontId="66" fillId="0" borderId="0" xfId="0" applyFont="1" applyAlignment="1">
      <alignment horizontal="left" vertical="center"/>
    </xf>
    <xf numFmtId="0" fontId="66"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6" fillId="4" borderId="0" xfId="0" applyFont="1" applyFill="1" applyAlignment="1">
      <alignment horizontal="left" vertical="center"/>
    </xf>
    <xf numFmtId="0" fontId="40" fillId="4" borderId="0" xfId="8" applyFont="1" applyAlignment="1">
      <alignment horizontal="right" vertical="center"/>
    </xf>
    <xf numFmtId="0" fontId="71" fillId="4" borderId="0" xfId="0" applyFont="1" applyFill="1"/>
    <xf numFmtId="0" fontId="66" fillId="0" borderId="0" xfId="0" applyFont="1"/>
    <xf numFmtId="0" fontId="66" fillId="0" borderId="0" xfId="7" applyFont="1" applyFill="1">
      <alignment horizontal="left" vertical="center"/>
    </xf>
    <xf numFmtId="0" fontId="66" fillId="4" borderId="0" xfId="0" applyFont="1" applyFill="1"/>
    <xf numFmtId="0" fontId="66" fillId="4" borderId="0" xfId="7" applyFont="1">
      <alignment horizontal="left" vertical="center"/>
    </xf>
    <xf numFmtId="0" fontId="72" fillId="4" borderId="0" xfId="0" applyFont="1" applyFill="1" applyAlignment="1">
      <alignment horizontal="center" vertical="center"/>
    </xf>
    <xf numFmtId="0" fontId="7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72" fillId="4" borderId="0" xfId="67" applyNumberFormat="1" applyFont="1" applyFill="1" applyBorder="1" applyAlignment="1" applyProtection="1">
      <alignment horizontal="center" wrapText="1"/>
      <protection locked="0"/>
    </xf>
    <xf numFmtId="1" fontId="72" fillId="4" borderId="0" xfId="67" applyNumberFormat="1" applyFont="1" applyFill="1" applyBorder="1" applyAlignment="1" applyProtection="1">
      <alignment horizontal="center" wrapText="1"/>
      <protection locked="0"/>
    </xf>
    <xf numFmtId="0" fontId="72" fillId="4" borderId="0" xfId="0" applyFont="1" applyFill="1" applyAlignment="1">
      <alignment horizontal="left" wrapText="1"/>
    </xf>
    <xf numFmtId="0" fontId="72" fillId="4" borderId="0" xfId="0" applyFont="1" applyFill="1" applyAlignment="1">
      <alignment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73"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3" fillId="12" borderId="2" xfId="15" applyFont="1">
      <alignment horizontal="center" vertical="center"/>
    </xf>
    <xf numFmtId="9" fontId="0" fillId="0" borderId="25"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6" xfId="39" applyBorder="1">
      <alignment horizontal="left" vertical="center"/>
    </xf>
    <xf numFmtId="0" fontId="30" fillId="13" borderId="0" xfId="39" applyBorder="1">
      <alignment horizontal="left" vertical="center"/>
    </xf>
    <xf numFmtId="0" fontId="30" fillId="13" borderId="27"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6" fillId="4" borderId="0" xfId="12" applyAlignment="1">
      <alignment horizontal="center" vertical="center"/>
    </xf>
    <xf numFmtId="0" fontId="23" fillId="4" borderId="20"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 fillId="4" borderId="1" xfId="12" applyBorder="1">
      <alignment horizontal="left" vertical="center" indent="1"/>
    </xf>
    <xf numFmtId="0" fontId="27" fillId="4" borderId="28" xfId="8" applyBorder="1">
      <alignment horizontal="left" vertical="center"/>
    </xf>
    <xf numFmtId="0" fontId="54" fillId="4" borderId="1" xfId="12" applyFont="1" applyBorder="1">
      <alignment horizontal="left" vertical="center" indent="1"/>
    </xf>
    <xf numFmtId="0" fontId="5" fillId="2" borderId="0" xfId="9" applyAlignment="1">
      <alignment horizontal="center" vertical="center" wrapText="1"/>
    </xf>
    <xf numFmtId="0" fontId="27" fillId="4" borderId="24" xfId="8" applyBorder="1">
      <alignment horizontal="left" vertical="center"/>
    </xf>
    <xf numFmtId="0" fontId="5" fillId="2" borderId="0" xfId="1" applyAlignment="1">
      <alignment horizontal="center" vertical="center"/>
      <protection locked="0"/>
    </xf>
    <xf numFmtId="0" fontId="0" fillId="0" borderId="0" xfId="0" applyAlignment="1">
      <alignment vertical="center" wrapText="1"/>
    </xf>
    <xf numFmtId="0" fontId="65" fillId="2" borderId="0" xfId="8" applyFont="1" applyFill="1">
      <alignment horizontal="left" vertical="center"/>
    </xf>
    <xf numFmtId="0" fontId="65" fillId="0" borderId="0" xfId="8" applyFont="1" applyFill="1">
      <alignment horizontal="left" vertical="center"/>
    </xf>
    <xf numFmtId="0" fontId="75" fillId="4" borderId="0" xfId="70" applyFill="1"/>
    <xf numFmtId="0" fontId="0" fillId="0" borderId="0" xfId="8" applyFont="1" applyFill="1" applyAlignment="1">
      <alignment horizontal="left" vertical="center" wrapText="1"/>
    </xf>
    <xf numFmtId="0" fontId="75" fillId="0" borderId="0" xfId="70"/>
    <xf numFmtId="0" fontId="2" fillId="0" borderId="17" xfId="56" applyBorder="1">
      <alignment horizontal="center" vertical="center"/>
    </xf>
    <xf numFmtId="0" fontId="0" fillId="0" borderId="0" xfId="29" applyFont="1" applyFill="1" applyProtection="1">
      <alignment horizontal="center" vertical="center"/>
    </xf>
    <xf numFmtId="0" fontId="76" fillId="4" borderId="0" xfId="71">
      <alignment horizontal="left" vertical="center"/>
    </xf>
    <xf numFmtId="0" fontId="72" fillId="4" borderId="0" xfId="70" applyFont="1" applyFill="1" applyAlignment="1" applyProtection="1">
      <alignment horizontal="center"/>
      <protection locked="0"/>
    </xf>
    <xf numFmtId="0" fontId="72" fillId="4" borderId="0" xfId="70"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7" borderId="2" xfId="72">
      <alignment horizontal="center" vertical="center"/>
    </xf>
    <xf numFmtId="0" fontId="65" fillId="6" borderId="0" xfId="8" applyFont="1" applyFill="1">
      <alignment horizontal="left" vertical="center"/>
    </xf>
    <xf numFmtId="0" fontId="69" fillId="4" borderId="2" xfId="52" applyFont="1">
      <alignment horizontal="center" vertical="center"/>
    </xf>
    <xf numFmtId="49" fontId="23" fillId="4" borderId="2" xfId="52" applyNumberFormat="1">
      <alignment horizontal="center" vertical="center"/>
    </xf>
    <xf numFmtId="0" fontId="79"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7104D257-AC0D-4898-BDFF-5A8FE1EE1050}"/>
    <cellStyle name="Block heading" xfId="5" xr:uid="{74527274-3B4A-494A-B37C-EA50686E114C}"/>
    <cellStyle name="Block subheading" xfId="47" xr:uid="{34E62905-A3E0-4883-B81A-BDB58FC88DA7}"/>
    <cellStyle name="Block subheading 2" xfId="71" xr:uid="{58240B4B-D395-4F63-9A9D-A26C7A12678D}"/>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70" xr:uid="{05F727F7-ABBC-46FF-8C65-0F3E04D9C1E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194F4C38-0452-4989-868D-2D8BA2E5C764}"/>
    <cellStyle name="Variable type other" xfId="64" xr:uid="{105BD9DE-B567-4DA0-87E6-C60A0ECC1C65}"/>
  </cellStyles>
  <dxfs count="44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5"/>
      <tableStyleElement type="headerRow" dxfId="444"/>
      <tableStyleElement type="totalRow" dxfId="443"/>
      <tableStyleElement type="firstColumn" dxfId="442"/>
      <tableStyleElement type="firstRowStripe" dxfId="441"/>
      <tableStyleElement type="secondRowStripe" dxfId="440"/>
    </tableStyle>
    <tableStyle name="Equation table" pivot="0" count="6" xr9:uid="{B247698E-E41D-4CCD-AA0A-C14817E9DE65}">
      <tableStyleElement type="wholeTable" dxfId="439"/>
      <tableStyleElement type="headerRow" dxfId="438"/>
      <tableStyleElement type="totalRow" dxfId="437"/>
      <tableStyleElement type="firstColumn" dxfId="436"/>
      <tableStyleElement type="firstRowStripe" dxfId="435"/>
      <tableStyleElement type="secondRowStripe" dxfId="43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microsoft.com/office/2022/10/relationships/richValueRel" Target="richData/richValueRel.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openxmlformats.org/officeDocument/2006/relationships/customXml" Target="../customXml/item2.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22.000687649402394</c:v>
                </c:pt>
                <c:pt idx="1">
                  <c:v>67.44479230003202</c:v>
                </c:pt>
                <c:pt idx="2">
                  <c:v>19.700932275278571</c:v>
                </c:pt>
                <c:pt idx="3">
                  <c:v>6.6102664867387508</c:v>
                </c:pt>
                <c:pt idx="4">
                  <c:v>6.9098792399999998E-2</c:v>
                </c:pt>
                <c:pt idx="5">
                  <c:v>83.182000000000002</c:v>
                </c:pt>
                <c:pt idx="6">
                  <c:v>5.5736800000000004</c:v>
                </c:pt>
                <c:pt idx="7">
                  <c:v>154.89250000000001</c:v>
                </c:pt>
                <c:pt idx="8">
                  <c:v>29.070800000000002</c:v>
                </c:pt>
                <c:pt idx="9">
                  <c:v>2.0272000000000001</c:v>
                </c:pt>
                <c:pt idx="10">
                  <c:v>18.921000000000003</c:v>
                </c:pt>
                <c:pt idx="11">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73.38000000000001</c:v>
                </c:pt>
                <c:pt idx="1">
                  <c:v>0.78505200000000008</c:v>
                </c:pt>
                <c:pt idx="2">
                  <c:v>1.1000000000000001</c:v>
                </c:pt>
                <c:pt idx="3">
                  <c:v>0.5</c:v>
                </c:pt>
                <c:pt idx="4">
                  <c:v>1.5636000000000001E-2</c:v>
                </c:pt>
                <c:pt idx="5">
                  <c:v>4000</c:v>
                </c:pt>
                <c:pt idx="6">
                  <c:v>26.794</c:v>
                </c:pt>
                <c:pt idx="7">
                  <c:v>2.7</c:v>
                </c:pt>
                <c:pt idx="8">
                  <c:v>441.15000000000003</c:v>
                </c:pt>
                <c:pt idx="9">
                  <c:v>5166.2</c:v>
                </c:pt>
                <c:pt idx="10">
                  <c:v>676</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1875.624283</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234.1547274</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1800.599311</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1875.624283</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234.1547274</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1800.599311</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1875.624283</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292.6934092</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2250.749139</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243.91117432297</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1875.62428258398</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292.6934092</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2250.749139</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99B2586-97B7-4E2C-8703-7095785BEBC8}"/>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×18.6×0.007</m:t>
                        </m:r>
                      </m:num>
                      <m:den>
                        <m:r>
                          <a:rPr lang="en-AU" sz="1000" i="1">
                            <a:latin typeface="Cambria Math" panose="02040503050406030204" pitchFamily="18" charset="0"/>
                          </a:rPr>
                          <m:t>𝐹</m:t>
                        </m:r>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E99B2586-97B7-4E2C-8703-7095785BEBC8}"/>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𝑀_𝑗=(𝐼_𝑗×18.6×0.007)/𝐹</a:t>
              </a:r>
              <a:endParaRPr lang="en-AU" sz="10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0F3E82-867A-45C4-B03B-E902CC4E0636}"/>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40F3E82-867A-45C4-B03B-E902CC4E0636}"/>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𝐸_𝑒𝑛𝑡𝑒𝑟𝑖𝑐=∑2_𝑗▒(𝑁_𝑗×𝑀_𝑗×𝐷_𝑗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00142D-1F3B-438A-A01E-A82130624C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2" name="TextBox 1">
              <a:extLst>
                <a:ext uri="{FF2B5EF4-FFF2-40B4-BE49-F238E27FC236}">
                  <a16:creationId xmlns:a16="http://schemas.microsoft.com/office/drawing/2014/main" id="{3800142D-1F3B-438A-A01E-A82130624C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𝑉𝑆𝑇_(𝑖𝑗𝑚,𝑇=2)=𝑉𝑆_𝑗×𝐹𝑉𝑆_(𝑗𝑚,𝑇=1)×(1−𝑉𝑆𝐿_(𝑚,𝑇=1) )</a:t>
              </a:r>
              <a:endParaRPr lang="en-AU" sz="10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575698-A434-4272-8F67-1A079EB8649D}"/>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B1575698-A434-4272-8F67-1A079EB8649D}"/>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𝑀_(𝑖𝑗𝑚,𝑇=2)=𝑉𝑆𝑇_(𝑗𝑚,𝑇=2)×𝐵𝑂×𝑀𝑀𝑆_(𝑗𝑚,𝑇=2)×𝑀𝐶𝐹_𝑖𝑚×𝜌</a:t>
              </a:r>
              <a:endParaRPr lang="en-AU" sz="10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3CC086-763E-428B-9831-48669E054801}"/>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883CC086-763E-428B-9831-48669E054801}"/>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𝐹𝑉𝑆_(𝑗𝑚,𝑇=1)=𝑀𝑀𝑆_(𝑗𝑚,𝑇=1)×(1−𝑆𝑆_𝑚 )</a:t>
              </a:r>
              <a:endParaRPr lang="en-AU" sz="10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8F80BF-1120-4FAA-B3F5-1D9AF7F9571E}"/>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=1,7,9,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solidFill>
                  <a:srgbClr val="C00000"/>
                </a:solidFill>
              </a:endParaRPr>
            </a:p>
          </xdr:txBody>
        </xdr:sp>
      </mc:Choice>
      <mc:Fallback xmlns="">
        <xdr:sp macro="" textlink="">
          <xdr:nvSpPr>
            <xdr:cNvPr id="5" name="TextBox 4">
              <a:extLst>
                <a:ext uri="{FF2B5EF4-FFF2-40B4-BE49-F238E27FC236}">
                  <a16:creationId xmlns:a16="http://schemas.microsoft.com/office/drawing/2014/main" id="{658F80BF-1120-4FAA-B3F5-1D9AF7F9571E}"/>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𝐹𝑉𝑆_(𝑗,𝑚=4,𝑇=1)=𝑀𝑀𝑆_(𝑗,𝑚=4,𝑇=1)+(𝑀𝑀𝑆_(𝑗,𝑚=1,7,9,𝑇=1)×𝑆𝑆_𝑚 )</a:t>
              </a:r>
              <a:endParaRPr lang="en-AU" sz="10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EEBC2BA-CB45-4A37-A840-BC19CDC18026}"/>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6" name="TextBox 5">
              <a:extLst>
                <a:ext uri="{FF2B5EF4-FFF2-40B4-BE49-F238E27FC236}">
                  <a16:creationId xmlns:a16="http://schemas.microsoft.com/office/drawing/2014/main" id="{8EEBC2BA-CB45-4A37-A840-BC19CDC18026}"/>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𝑀_(𝑖𝑗𝑚,𝑇=1)=𝑉𝑆_𝑗×𝐹𝑉𝑆_(𝑗𝑚,𝑇=1)×𝑀𝐶𝐹_𝑖𝑚×𝐵𝑂×𝜌</a:t>
              </a:r>
              <a:endParaRPr lang="en-AU" sz="10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B42BBB2-D9FF-441F-817C-31ACC436422E}"/>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𝑚𝑗</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e>
                        </m:nary>
                        <m:r>
                          <a:rPr lang="en-AU" sz="1000" b="0" i="1">
                            <a:latin typeface="Cambria Math" panose="02040503050406030204" pitchFamily="18" charset="0"/>
                          </a:rPr>
                          <m:t> </m:t>
                        </m:r>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B42BBB2-D9FF-441F-817C-31ACC436422E}"/>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𝑀_𝑚𝑗=∑_𝑚</a:t>
              </a:r>
              <a:r>
                <a:rPr lang="en-AU" sz="1000" b="0" i="0">
                  <a:latin typeface="Cambria Math" panose="02040503050406030204" pitchFamily="18" charset="0"/>
                </a:rPr>
                <a:t>▒〖∑_</a:t>
              </a:r>
              <a:r>
                <a:rPr lang="en-AU" sz="1000" i="0">
                  <a:latin typeface="Cambria Math" panose="02040503050406030204" pitchFamily="18" charset="0"/>
                </a:rPr>
                <a:t>𝑇▒𝑀_𝑗𝑚𝑇 </a:t>
              </a:r>
              <a:r>
                <a:rPr lang="en-AU" sz="1000" b="0" i="0">
                  <a:latin typeface="Cambria Math" panose="02040503050406030204" pitchFamily="18" charset="0"/>
                </a:rPr>
                <a:t>  〗</a:t>
              </a:r>
              <a:endParaRPr lang="en-AU" sz="10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4E1E67E-E53D-44EE-95DA-908D649836F1}"/>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C4E1E67E-E53D-44EE-95DA-908D649836F1}"/>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𝐸_𝐶𝐻4=∑_𝑗▒(𝐷_𝑗×𝑀_𝑚𝑗×𝑁_𝑗 ) ×10^(−3)</a:t>
              </a:r>
              <a:endParaRPr lang="en-AU" sz="10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16E2149-3F6B-41BD-BF91-CA6F500C08E2}"/>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9" name="TextBox 8">
              <a:extLst>
                <a:ext uri="{FF2B5EF4-FFF2-40B4-BE49-F238E27FC236}">
                  <a16:creationId xmlns:a16="http://schemas.microsoft.com/office/drawing/2014/main" id="{616E2149-3F6B-41BD-BF91-CA6F500C08E2}"/>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BEBB48-01B3-4C34-8487-4F858627480A}"/>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CBEBB48-01B3-4C34-8487-4F858627480A}"/>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𝑀𝑁_(𝑗𝑚,𝑇=1)=𝐴𝐸_𝑗×𝐹𝑁_(𝑗𝑚,𝑇=1)</a:t>
              </a:r>
              <a:endParaRPr lang="en-AU" sz="10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3785DA9-4434-4B85-9DD8-A2AE36FB4BC8}"/>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A3785DA9-4434-4B85-9DD8-A2AE36FB4BC8}"/>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𝐴𝐸_𝑗=𝑁_𝑗×𝑁𝑊_𝑗×𝐷_𝑗</a:t>
              </a:r>
              <a:endParaRPr lang="en-AU" sz="10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8CAC3A7-42ED-4338-AFE8-8E4B048412E6}"/>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08CAC3A7-42ED-4338-AFE8-8E4B048412E6}"/>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𝐹𝑁_(𝑗𝑚,𝑇=1)=𝑀𝑀𝑆_(𝑗𝑚,𝑇=1)×(1−𝑆𝑁_𝑚 )</a:t>
              </a:r>
              <a:endParaRPr lang="en-AU" sz="10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AF65F0F-2F6D-4190-A7CB-EEB13926ABDB}"/>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a:t>
              </a:r>
              <a:r>
                <a:rPr lang="en-AU" sz="1000"/>
                <a:t> </a:t>
              </a:r>
              <a14:m>
                <m:oMath xmlns:m="http://schemas.openxmlformats.org/officeDocument/2006/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𝑚</m:t>
                          </m:r>
                        </m:sub>
                      </m:sSub>
                    </m:e>
                  </m:d>
                </m:oMath>
              </a14:m>
              <a:endParaRPr lang="en-AU" sz="1000"/>
            </a:p>
          </xdr:txBody>
        </xdr:sp>
      </mc:Choice>
      <mc:Fallback xmlns="">
        <xdr:sp macro="" textlink="">
          <xdr:nvSpPr>
            <xdr:cNvPr id="5" name="TextBox 4">
              <a:extLst>
                <a:ext uri="{FF2B5EF4-FFF2-40B4-BE49-F238E27FC236}">
                  <a16:creationId xmlns:a16="http://schemas.microsoft.com/office/drawing/2014/main" id="{EAF65F0F-2F6D-4190-A7CB-EEB13926ABDB}"/>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a:t>
              </a:r>
              <a:r>
                <a:rPr lang="en-AU" sz="1000"/>
                <a:t> </a:t>
              </a:r>
              <a:r>
                <a:rPr lang="en-AU" sz="1000" i="0">
                  <a:latin typeface="Cambria Math" panose="02040503050406030204" pitchFamily="18" charset="0"/>
                </a:rPr>
                <a:t>𝐹𝑁_(𝑗𝑚=4,𝑇=1)=𝑀𝑀𝑆_(𝑗𝑚=4,𝑇=1)+(𝑀𝑀𝑆_(𝑗𝑚=1,7,9,𝑇=1)×𝑆𝑁_𝑚 )</a:t>
              </a:r>
              <a:endParaRPr lang="en-AU" sz="10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ED96506-BCE1-4D76-8D52-4E2B3A9DA2E0}"/>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CED96506-BCE1-4D76-8D52-4E2B3A9DA2E0}"/>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0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7F8BA17-A7F1-42E8-87B0-CCCD16177CB8}"/>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57F8BA17-A7F1-42E8-87B0-CCCD16177CB8}"/>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𝑁𝑇_(𝑗𝑚,𝑇=2)=𝑀𝑁_(𝑗𝑚,𝑇=1)×(1−𝐹𝑟𝑎𝑐𝐺𝐴𝑆𝑀_(𝑚,𝑇=1)−𝐸𝐹_(𝑚,𝑇=1) )</a:t>
              </a:r>
              <a:endParaRPr lang="en-AU" sz="10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4A1445-B4E8-4F06-A352-3953FED977F9}"/>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D24A1445-B4E8-4F06-A352-3953FED977F9}"/>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BC2BCF6-AD5F-4526-96F0-C680C07BD2D1}"/>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6BC2BCF6-AD5F-4526-96F0-C680C07BD2D1}"/>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65AFA6-C691-4FA1-8F49-69BFF398DC7C}"/>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465AFA6-C691-4FA1-8F49-69BFF398DC7C}"/>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𝑀𝑀𝑆_𝐴𝑇𝑀𝑂𝑆=∑_𝑗▒∑_𝑚▒∑_𝑇▒(𝑀𝑁_𝑗𝑚𝑇×𝐹𝑟𝑎𝑐𝐺𝐴𝑆𝑀_𝑚𝑇 ) </a:t>
              </a:r>
              <a:endParaRPr lang="en-AU" sz="10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B5026C-A021-4591-8674-5A63850E5E03}"/>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FB5026C-A021-4591-8674-5A63850E5E03}"/>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𝐸_(𝑁2𝑂,𝑎𝑑)=𝑀𝑀𝑆_𝐴𝑇𝑀𝑂𝑆×𝐸𝐹_𝑁2𝑂×𝐶_𝑁2𝑂×10^(−3)</a:t>
              </a:r>
              <a:endParaRPr lang="en-AU" sz="10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845C5E-9B89-4D46-8D9C-0AAE85748B29}"/>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1845C5E-9B89-4D46-8D9C-0AAE85748B29}"/>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9340243-F5A2-4CF6-BDCF-6BBAFD81B046}"/>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𝐹𝑟𝑎𝑐𝑊𝐸𝑇</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9340243-F5A2-4CF6-BDCF-6BBAFD81B046}"/>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𝑀𝑁𝐿𝑒𝑎𝑐ℎ_(𝑗𝑚=5)=𝑀𝑁_(𝑗𝑚=5,𝑇=1)×𝐹𝑟𝑎𝑐𝑊𝐸𝑇×𝐹𝑟𝑎𝑐𝐿𝐸𝐴𝐶𝐻_𝑀𝑆</a:t>
              </a:r>
              <a:endParaRPr lang="en-AU" sz="10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178D26C-6513-46FE-935F-37082882DB3D}"/>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178D26C-6513-46FE-935F-37082882DB3D}"/>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𝐸_(𝑁2𝑂,𝑙𝑒𝑎𝑐ℎ)=𝑀𝑁𝐿𝑒𝑎𝑐ℎ_(𝑗𝑚=5)×𝐸𝐹_𝑙𝑒𝑎𝑐ℎ×𝐶_𝑁2𝑂×10^(−3)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691CF11-66C9-4F3F-A9EC-7B5E492CDFF4}"/>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B691CF11-66C9-4F3F-A9EC-7B5E492CDFF4}"/>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𝑀𝑁𝑆𝑜𝑖𝑙_𝑠𝑐𝑜𝑝𝑒1=∑_𝑗▒∑_𝑚▒(𝑀𝑁_(𝑗𝑚𝑇=2)×(1−𝐸𝐹_(𝑚𝑇=2)−𝐹𝑟𝑎𝑐𝐺𝐴𝑆𝑀_(𝑚𝑇=2) )−𝑀𝑁𝐿𝑒𝑎𝑐ℎ_(𝑗𝑚=5) ) ×𝑃𝐹</a:t>
              </a:r>
              <a:endParaRPr lang="en-AU" sz="10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6EDDE69-C989-47BA-84CF-ADE487E42F8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46EDDE69-C989-47BA-84CF-ADE487E42F8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9812482-7CF6-492B-99A2-C0CB084A4F0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9812482-7CF6-492B-99A2-C0CB084A4F0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8BFF9F-3B1C-4BA6-9BA3-7C1E5D86E92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38BFF9F-3B1C-4BA6-9BA3-7C1E5D86E92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EDB0447-2B72-4FA7-9775-857DEE2FDF7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1EDB0447-2B72-4FA7-9775-857DEE2FDF7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C062D2-BA22-4BE3-88A2-0B0FE40A3B2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6C062D2-BA22-4BE3-88A2-0B0FE40A3B2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FF5DCC-8A2B-4631-9CAF-AB9A0E02F6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2FF5DCC-8A2B-4631-9CAF-AB9A0E02F6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DD8790-BA91-4130-94EE-C4268E2942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2DD8790-BA91-4130-94EE-C4268E29423D}"/>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A7B6BF-9652-49CC-87B4-798037F6504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0A7B6BF-9652-49CC-87B4-798037F65046}"/>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63F736-A68F-4C1B-91A1-97627AA665F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463F736-A68F-4C1B-91A1-97627AA665F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A47B3F3-BF89-4F56-9FE5-B40DA37C346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A47B3F3-BF89-4F56-9FE5-B40DA37C346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1F2F103-F1D8-4A18-A614-8BE75E9BA11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B1F2F103-F1D8-4A18-A614-8BE75E9BA11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86367F-AA58-4574-8DED-DC795319062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7E86367F-AA58-4574-8DED-DC795319062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B69D78-01BA-4662-A7C1-6976E75B4962}"/>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3B69D78-01BA-4662-A7C1-6976E75B4962}"/>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4861A9E-FDC3-479D-AFC2-063FEC09D4A4}"/>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4861A9E-FDC3-479D-AFC2-063FEC09D4A4}"/>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AC53DA3-752E-4CC5-A54F-006524CCB15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AC53DA3-752E-4CC5-A54F-006524CCB15A}"/>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12789C4-DD5B-40DD-9C8E-D4F4D6EDB4B9}"/>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12789C4-DD5B-40DD-9C8E-D4F4D6EDB4B9}"/>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AD25D62-FD12-4062-BD16-7AE1922D280A}"/>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6AD25D62-FD12-4062-BD16-7AE1922D280A}"/>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5FD8147-FF28-400B-B5D3-3D7F61B0FFF0}"/>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15FD8147-FF28-400B-B5D3-3D7F61B0FFF0}"/>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962E1B-2B3E-4FDD-81F8-FCF922F7C596}"/>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51962E1B-2B3E-4FDD-81F8-FCF922F7C596}"/>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5460332-2CD2-4F47-8877-1CC1A67B05AF}"/>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A5460332-2CD2-4F47-8877-1CC1A67B05AF}"/>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D66F68C-D654-4809-A29C-AA285BE42553}"/>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DD66F68C-D654-4809-A29C-AA285BE42553}"/>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1A7A82AD-7E15-4E46-8FBE-A367293B8F5E}"/>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1A7A82AD-7E15-4E46-8FBE-A367293B8F5E}"/>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46FC026F-9EE8-4F6E-94A6-EF7BC74CDA4D}"/>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46FC026F-9EE8-4F6E-94A6-EF7BC74CDA4D}"/>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6C705037-836A-4DCC-8FA0-C6620D840D67}"/>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6C705037-836A-4DCC-8FA0-C6620D840D67}"/>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7244B8BB-7DB8-4DEA-96DA-199C90BD7A88}"/>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7244B8BB-7DB8-4DEA-96DA-199C90BD7A88}"/>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848442A5-0DC7-4330-97B3-C9C8DEAF10FA}"/>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848442A5-0DC7-4330-97B3-C9C8DEAF10FA}"/>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283FAAC3-4677-4FF4-B819-62B4226BB53D}"/>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283FAAC3-4677-4FF4-B819-62B4226BB53D}"/>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DDF985FA-F8CA-44CE-A8F6-2F2E9223192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DDF985FA-F8CA-44CE-A8F6-2F2E9223192D}"/>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332714C3-BE22-4DFF-BB9B-9291485A9D3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332714C3-BE22-4DFF-BB9B-9291485A9D37}"/>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AFD0E8B-DB8F-4B6A-9BB8-ADFB6089A309}"/>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4AFD0E8B-DB8F-4B6A-9BB8-ADFB6089A309}"/>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3F688FBA-B836-4CA2-8B27-E5D93E8A8F01}"/>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3F688FBA-B836-4CA2-8B27-E5D93E8A8F01}"/>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16A2D39D-F930-44C2-9DC1-915B3141A379}"/>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16A2D39D-F930-44C2-9DC1-915B3141A379}"/>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A38EDE0-A90F-4078-A3BE-59A96AEF3FED}"/>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AA38EDE0-A90F-4078-A3BE-59A96AEF3FED}"/>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81A791D8-61A6-432D-A0F4-3A7BB262DD01}"/>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81A791D8-61A6-432D-A0F4-3A7BB262DD01}"/>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FD3E82-CDF0-4B84-A9B0-5BC3B1A1ED90}"/>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2FD3E82-CDF0-4B84-A9B0-5BC3B1A1ED90}"/>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B652690-081D-473A-A1C1-4E004C8A2F4E}"/>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2B652690-081D-473A-A1C1-4E004C8A2F4E}"/>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14D8E8E-EC43-4C72-97F6-3375B6935708}"/>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114D8E8E-EC43-4C72-97F6-3375B6935708}"/>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A66DE10-8A0B-4956-8EAB-D23DA95E4339}"/>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A66DE10-8A0B-4956-8EAB-D23DA95E4339}"/>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25CC831-441E-44D1-A125-FE328E630A54}"/>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D25CC831-441E-44D1-A125-FE328E630A54}"/>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54D8789-05BA-440F-92EA-707931E0D863}"/>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854D8789-05BA-440F-92EA-707931E0D863}"/>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E2F612E-8E18-49AD-A871-BAA3ED000CE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6E2F612E-8E18-49AD-A871-BAA3ED000CE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A45A6B6-BE55-43A9-B7E7-5388255B5B87}"/>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2A45A6B6-BE55-43A9-B7E7-5388255B5B87}"/>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F00215D6-F98B-4A5B-9ED0-08B13375011D}"/>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F00215D6-F98B-4A5B-9ED0-08B13375011D}"/>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0FB1EE4-E8BC-45DB-BFAC-7B22400C9B9D}"/>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50FB1EE4-E8BC-45DB-BFAC-7B22400C9B9D}"/>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6F5137-0E7B-46CD-8C2F-3274A59B134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56F5137-0E7B-46CD-8C2F-3274A59B134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90D24E-3C26-44AA-BE6B-F6210589894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A90D24E-3C26-44AA-BE6B-F62105898944}"/>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D486D97-C57D-47BF-B4E3-38EBC0AF6F2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BD486D97-C57D-47BF-B4E3-38EBC0AF6F2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A98A15F-539D-47D3-B087-56F23C4956B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6A98A15F-539D-47D3-B087-56F23C4956BF}"/>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152ADD7-F941-4311-B563-1F5B24E911E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7152ADD7-F941-4311-B563-1F5B24E911E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33F60A0-8E72-4A00-94EF-AC6E1D1DF9E2}"/>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33F60A0-8E72-4A00-94EF-AC6E1D1DF9E2}"/>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AA6A4C-5D16-4454-8063-B2D1E338C54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CAA6A4C-5D16-4454-8063-B2D1E338C54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7FC0C0C-26E8-49B7-925D-CB012FFEB5F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7FC0C0C-26E8-49B7-925D-CB012FFEB5F9}"/>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FF5D71-4364-4E15-A7A1-A3367FDEAC1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3FF5D71-4364-4E15-A7A1-A3367FDEAC14}"/>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67C99F8-EF11-4C99-87FD-9C34FA33B5A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67C99F8-EF11-4C99-87FD-9C34FA33B5A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FA0A24-FE8C-4FEA-82BA-9D933563AF40}"/>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AEFA0A24-FE8C-4FEA-82BA-9D933563AF40}"/>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5BC15A-9D95-4787-A7A0-4D8E9361F59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E5BC15A-9D95-4787-A7A0-4D8E9361F59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F83548-9316-424C-8D22-492E09ED379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5F83548-9316-424C-8D22-492E09ED379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CA6B15C-CAA9-4274-8866-6349B146CC9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CA6B15C-CAA9-4274-8866-6349B146CC96}"/>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2475AA1-F19F-4148-9D96-9AF7FB7DD35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D2475AA1-F19F-4148-9D96-9AF7FB7DD35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C3CE645-F945-4E8F-B569-73EB2437C81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C3CE645-F945-4E8F-B569-73EB2437C81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84B38F9-0C6A-41F6-8F65-B8A8F93A051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84B38F9-0C6A-41F6-8F65-B8A8F93A0519}"/>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AECD006-6FDC-4202-88B8-CCAFDB97DD6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3AECD006-6FDC-4202-88B8-CCAFDB97DD6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CF9E3E8-3A23-48B5-967A-BCE31934D4C4}" name="Table_Input_LivestockPurchases_Pigs" displayName="Table_Input_LivestockPurchases_Pigs" ref="D6:H16" totalsRowShown="0" headerRowDxfId="432">
  <autoFilter ref="D6:H16" xr:uid="{14ED7533-62DD-410F-8832-CD98B0CD652B}"/>
  <tableColumns count="5">
    <tableColumn id="9" xr3:uid="{A6E94E7A-BC63-4475-BFA7-F5268CF99C58}" name="Transaction name" dataCellStyle="Input text"/>
    <tableColumn id="11" xr3:uid="{7D6785E6-94D3-4757-9790-78DD81512DA3}" name="Class (select)" dataDxfId="431" dataCellStyle="Input select"/>
    <tableColumn id="3" xr3:uid="{8C18EEBF-3F9C-43EB-9EC5-A8B0A3F04788}" name="Quantity (head)" dataCellStyle="Input number general"/>
    <tableColumn id="12" xr3:uid="{A2155B73-F3F1-4151-B7D8-4691E28545EF}" name="Liveweight (kg/head) Method 1" dataCellStyle="Input number general calculated"/>
    <tableColumn id="4" xr3:uid="{864E1187-9577-4E8C-B264-574495C28DA4}"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01465B-5B7A-4659-B215-3D424B8166DF}" name="Table_Input_Fuel" displayName="Table_Input_Fuel" ref="D16:J21" totalsRowDxfId="43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9A5E495-A938-4785-B1A8-309AA76869EC}" name="Fuel use (select)" totalsRowFunction="average" totalsRowDxfId="429" dataCellStyle="Input select" totalsRowCellStyle="Input select"/>
    <tableColumn id="3" xr3:uid="{4A6295D9-8223-4210-A231-22E40DA57510}" name="Fuel type (select)" totalsRowDxfId="428" dataCellStyle="Input select" totalsRowCellStyle="Input select"/>
    <tableColumn id="4" xr3:uid="{C96EA31D-8D06-4E71-AADA-94DAFED52EB5}" name="Amount purchased" totalsRowDxfId="427" totalsRowCellStyle="Content bold"/>
    <tableColumn id="6" xr3:uid="{066FD491-15B3-463E-9AA6-C64BABA9B7FF}" name="Amount unit" totalsRowDxfId="426" dataCellStyle="Input number general calculated" totalsRowCellStyle="Input text calculated"/>
    <tableColumn id="5" xr3:uid="{88983332-6A97-4560-A05F-22BBE35C3671}" name="Percent consumed" totalsRowDxfId="425" totalsRowCellStyle="Input percent">
      <calculatedColumnFormula>1</calculatedColumnFormula>
    </tableColumn>
    <tableColumn id="1" xr3:uid="{263B0FB1-BBF5-4686-8DA4-AB30FEF1EC68}" name="Amount consumed" totalsRowFunction="custom" totalsRowDxfId="42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65173F44-168E-4B82-BCC7-60E76BD52DB0}" name="Amount consumed unit" totalsRowDxfId="423"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0A53D-D8D3-4D68-BE0C-0205884567C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85E0E2D-FB72-4B83-AC0F-4424F7503ED9}" name="Description"/>
    <tableColumn id="5" xr3:uid="{AE5D7460-30A7-4804-A51F-9F1F513F29D5}" name="Source (select)" dataCellStyle="Input select"/>
    <tableColumn id="2" xr3:uid="{4AFFE27B-1309-41A1-8898-96F96FD2B09C}" name="Generation date" dataDxfId="422"/>
    <tableColumn id="3" xr3:uid="{F0A7FF9B-4669-412A-AC7B-C5E12830C8FB}" name="Number of certificates"/>
    <tableColumn id="4" xr3:uid="{55478A85-4D08-4E16-A2C4-4F6E86E2FBC1}" name="MWh" dataCellStyle="Input number general calculated">
      <calculatedColumnFormula>Table_Input_RECSurrendered[[#This Row],[Number of certificates]]</calculatedColumnFormula>
    </tableColumn>
    <tableColumn id="7" xr3:uid="{BCFD1F5C-09DE-48FD-8D14-61532EF1C0CC}"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DB4FA2B-0AFF-4846-A582-D9DDE82AEBD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444BC9E-D005-414F-BD4A-AB958F3F7A42}" name="Description"/>
    <tableColumn id="5" xr3:uid="{E8A97A72-1E5D-498E-BD74-2CECE7FC292C}" name="Source" dataCellStyle="Input text calculated">
      <calculatedColumnFormula>"Issued for generated electricity"</calculatedColumnFormula>
    </tableColumn>
    <tableColumn id="2" xr3:uid="{08701549-FFE1-490B-8688-AA8ED67082CB}" name="Generation date" dataDxfId="421"/>
    <tableColumn id="3" xr3:uid="{26FF8726-4A32-46FF-8ED1-56FF905FDED3}" name="Number of certificates"/>
    <tableColumn id="4" xr3:uid="{58656863-538D-419F-B9A0-D56DAF4F2A5A}" name="MWh" dataCellStyle="Input number general calculated">
      <calculatedColumnFormula>Table_Input_RECConsumedByEntity[[#This Row],[Number of certificates]]</calculatedColumnFormula>
    </tableColumn>
    <tableColumn id="7" xr3:uid="{56D3CAC9-14A2-4DB5-8199-440F96E3957A}"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3AC1983-F94F-423A-95B6-E54A638A3111}"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89A9195B-82C7-442E-BB30-8459389EE40D}" name="Product name" dataCellStyle="Input text"/>
    <tableColumn id="1" xr3:uid="{DA640290-543D-419C-B3EF-01304CC4177E}" name="Type (select)" dataCellStyle="Input select"/>
    <tableColumn id="2" xr3:uid="{2611767B-3E0D-43A1-8CB2-B8FEBD049CA0}"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9D22BA8-5B8A-424C-8AED-1B8F4DD5129F}"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5D5A8376-F79E-4E20-B7C6-93103F2119B0}" name="Product / service name" dataCellStyle="Input text"/>
    <tableColumn id="2" xr3:uid="{77A8DD93-14F4-40A2-AFE1-03B9FC09F587}" name="Amount" dataCellStyle="Input number general"/>
    <tableColumn id="3" xr3:uid="{FDEC6D69-0A24-4C5C-8B53-EBB77A003007}"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54DE41B-5E9D-4E28-9375-25FAA69878CC}"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399A2A34-594B-494F-827E-E23CFB05BE5D}" name="Service provider / contractor" dataCellStyle="Input text"/>
    <tableColumn id="4" xr3:uid="{67776C6C-1EA2-4748-990A-AA9A6CA777BF}" name="Activity" dataCellStyle="Input text"/>
    <tableColumn id="2" xr3:uid="{99FB5AE9-23E8-4246-A826-91387AF038B2}" name="Total amount" dataCellStyle="Input number general"/>
    <tableColumn id="3" xr3:uid="{8ABA81D1-1B1B-49DD-BD1E-0B97F20987D3}"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13D16ED4-D7FC-43F9-AD74-1F7135E14A91}" name="Table_Input_FeedBlends" displayName="Table_Input_FeedBlends" ref="D18:Q28" totalsRowShown="0">
  <autoFilter ref="D18:Q28" xr:uid="{6EC3622A-9CA1-4931-8AAA-6FC289090D20}"/>
  <tableColumns count="14">
    <tableColumn id="1" xr3:uid="{A6ED9D72-0C43-44E7-8468-491BB38A963D}" name="Feed blend name" dataCellStyle="Input text"/>
    <tableColumn id="2" xr3:uid="{71C31793-1D06-406B-B013-48FCB17DCF50}" name="Amount fed (kg)"/>
    <tableColumn id="4" xr3:uid="{18DFFCDA-1E43-4249-8830-4EFC13A2680A}" name="Ingredient 1 (select)" dataCellStyle="Input select"/>
    <tableColumn id="3" xr3:uid="{E8288097-E079-4E3B-964E-648274865805}" name="Ingredient 1 source region" dataCellStyle="Input select"/>
    <tableColumn id="5" xr3:uid="{09BED81C-76FE-45EF-8F94-23DFDFF5EE69}" name="Ingredient 1 percent"/>
    <tableColumn id="6" xr3:uid="{DCA6C7AD-E337-4355-94DA-04A756872CC0}" name="Ingredient 2 (select)" dataCellStyle="Input select"/>
    <tableColumn id="14" xr3:uid="{FD68688B-E484-4A8F-B4CD-8BC91D054766}" name="Ingredient 2 source region" dataCellStyle="Input select"/>
    <tableColumn id="7" xr3:uid="{9C372E36-AE69-4258-8B8E-CDF44E75E8DB}" name="Ingredient 2 percent"/>
    <tableColumn id="8" xr3:uid="{94CF6193-EFD2-4C03-B9F7-8E0AB388F3D9}" name="Ingredient 3 (select)" dataCellStyle="Input select"/>
    <tableColumn id="15" xr3:uid="{F04E2726-140D-49E9-B36B-B634B17B53AF}" name="Ingredient 3 source region" dataCellStyle="Input select"/>
    <tableColumn id="9" xr3:uid="{5E87C335-2AD6-4FF3-9996-60DD76201392}" name="Ingredient 3 percent"/>
    <tableColumn id="10" xr3:uid="{1FBB99E1-7F0F-4111-97F0-FFCBD51B00AC}" name="Ingredient 4 (select)" dataCellStyle="Input select"/>
    <tableColumn id="16" xr3:uid="{F3B54F0D-0E0A-452B-A80E-4E1D455A40C5}" name="Ingredient 4 source region" dataCellStyle="Input select"/>
    <tableColumn id="11" xr3:uid="{883FD293-319C-4047-8036-37A5B99C92AB}"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7CBA562-7FDC-4FBA-9303-A81B9DC9CB00}" name="Table_Input_ChemicalsPharmacy" displayName="Table_Input_ChemicalsPharmacy" ref="D32:F42" totalsRowShown="0" headerRowCellStyle="Input table column header">
  <autoFilter ref="D32:F42" xr:uid="{F7DA8543-C7DE-49A8-A739-D82C85B7B828}"/>
  <tableColumns count="3">
    <tableColumn id="3" xr3:uid="{DB5F7E3F-BE9F-42E7-BEAA-6CBA81CE1C6F}" name="Product name" dataCellStyle="Input text"/>
    <tableColumn id="1" xr3:uid="{06793875-F8B5-4EF1-964C-3DCDA45276B2}" name="Type (select)" dataDxfId="420" dataCellStyle="Input select"/>
    <tableColumn id="2" xr3:uid="{82984BC5-12A2-4437-908F-A4EA02EAAEC8}" name="Number of head treated" dataDxfId="419"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7515D0A-FA73-4852-8CDB-55B443F60283}"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481D99C-526C-48F1-8C30-6165CA77B3CC}" name="Route name" dataCellStyle="Input text"/>
    <tableColumn id="2" xr3:uid="{739C82A3-3A05-494C-8E18-5C202B1D4BB8}" name="Freight type (select)" dataCellStyle="Input select"/>
    <tableColumn id="3" xr3:uid="{571FBD71-4A68-464D-9674-CBC4D146BBA7}" name="Route distance (km)"/>
    <tableColumn id="4" xr3:uid="{F9849BF4-3190-4A57-9DEA-9D6EBC737CAA}" name="Average weight of freight per trip (t)"/>
    <tableColumn id="5" xr3:uid="{B33782EC-BA6C-458F-8B8E-C82AC384C6CB}"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49D0445-8529-47B2-9141-318914F0BE21}"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8FCD486-7BCA-4675-BBCB-F12AEC3CB54B}" name="Route name" dataCellStyle="Input text"/>
    <tableColumn id="2" xr3:uid="{849E02F8-26C7-476B-8F40-687D50A26B29}" name="Freight type (select)" dataCellStyle="Input select"/>
    <tableColumn id="3" xr3:uid="{4ABAD6AF-40A3-412B-9E34-5F06341E072E}" name="Route distance (km)"/>
    <tableColumn id="4" xr3:uid="{097154EA-5250-4654-9874-35220ED55957}" name="Average weight of freight per trip (t)"/>
    <tableColumn id="5" xr3:uid="{E601D666-B116-4F72-A007-F64DC3E765FB}"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39132F96-8F06-494B-B5E4-238113804FC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BCF7AD7-EC8E-455F-953B-D01434662CF4}" name="Description" dataCellStyle="Input text"/>
    <tableColumn id="5" xr3:uid="{5DD9405E-770E-4431-9665-5A218CE232E9}" name="Treatment type (select)" dataCellStyle="Input select"/>
    <tableColumn id="2" xr3:uid="{BADF12A1-C6DE-4C81-87E0-962980FA1A6D}" name="Waste type (select)" dataCellStyle="Input select"/>
    <tableColumn id="3" xr3:uid="{DE54FCEA-BA85-4BD3-8EFF-F8494CB5326B}" name="Treatment location (select)" dataCellStyle="Input select"/>
    <tableColumn id="4" xr3:uid="{69C60EE1-9087-4193-B8C2-C3EB273A8ED3}" name="Amount" dataCellStyle="Input number general"/>
    <tableColumn id="7" xr3:uid="{66CF5AA5-B0E9-4878-90E6-FDB129B8DA89}"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18"/>
    <tableColumn id="6" xr3:uid="{1219F6AC-7C79-4EDD-8C55-F7A78277AE3F}" name="Evidence files" dataDxfId="417"/>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16"/>
    <tableColumn id="6" xr3:uid="{73F97399-8A3B-4EFB-9481-CBD7CB1C44EB}" name="Evidence files" dataDxfId="415"/>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14"/>
    <tableColumn id="6" xr3:uid="{865FA280-4A36-4101-BD09-20356916B4D5}" name="Evidence files" dataDxfId="413"/>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2"/>
    <tableColumn id="6" xr3:uid="{690D112F-6792-478E-99EE-B77B520B2164}" name="Evidence files" dataDxfId="411"/>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0"/>
    <tableColumn id="6" xr3:uid="{16D79CDB-80AA-4F28-B5E0-282205F97C41}" name="Evidence files" dataDxfId="409"/>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26E84C0-D0AE-47A6-85A1-D981D9450C9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5BC2B93-9747-4E1E-92F7-FEFB7D9C7830}" name="Class">
      <calculatedColumnFormula array="1">Common_InputFunctions.Utility_DisplayArrayInTable(SourceData_Swine.SourceData_Swine_VolatileSolids_Data(), Table_SourceData_Swine_VolatileSolids[[#Headers],[Class]], 0)</calculatedColumnFormula>
    </tableColumn>
    <tableColumn id="2" xr3:uid="{18A1F426-4C80-4DBC-AD35-52666283CEEF}" name="VSj" dataDxfId="40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96A0A07-D5F3-4D1C-9710-C3DD8253B00A}"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21F1F0D-00EE-44BC-9527-500A457B31FA}" name="MMS">
      <calculatedColumnFormula array="1">Common_InputFunctions.Utility_DisplayArrayInTable(SourceData_Swine.SourceData_Swine_MMS_MCFs_Data(),Table_SourceData_Swine_MMSMCF[[#Headers],[MMS]],0)</calculatedColumnFormula>
    </tableColumn>
    <tableColumn id="2" xr3:uid="{B1D44B51-1CB7-47FC-A2A3-1709A177DFF7}" name="NSW" dataDxfId="407" dataCellStyle="Content normal">
      <calculatedColumnFormula array="1">Common_InputFunctions.Utility_DisplayArrayInTable(SourceData_Swine.SourceData_Swine_MMS_MCFs_Data(),Table_SourceData_Swine_MMSMCF[[#Headers],[MMS]],0)</calculatedColumnFormula>
    </tableColumn>
    <tableColumn id="3" xr3:uid="{089E66E3-3CA0-479B-BED4-D491082A367B}" name="ACT" dataDxfId="406" dataCellStyle="Content normal">
      <calculatedColumnFormula array="1">Common_InputFunctions.Utility_DisplayArrayInTable(SourceData_Swine.SourceData_Swine_MMS_MCFs_Data(),Table_SourceData_Swine_MMSMCF[[#Headers],[MMS]],0)</calculatedColumnFormula>
    </tableColumn>
    <tableColumn id="4" xr3:uid="{DC19B660-4B40-488D-AF68-D4777F4A92D9}" name="QLD" dataDxfId="405" dataCellStyle="Content normal">
      <calculatedColumnFormula array="1">Common_InputFunctions.Utility_DisplayArrayInTable(SourceData_Swine.SourceData_Swine_MMS_MCFs_Data(),Table_SourceData_Swine_MMSMCF[[#Headers],[MMS]],0)</calculatedColumnFormula>
    </tableColumn>
    <tableColumn id="5" xr3:uid="{2F813C36-72CA-4CD9-A86C-7078AA67A4B8}" name="NT" dataDxfId="404" dataCellStyle="Content normal">
      <calculatedColumnFormula array="1">Common_InputFunctions.Utility_DisplayArrayInTable(SourceData_Swine.SourceData_Swine_MMS_MCFs_Data(),Table_SourceData_Swine_MMSMCF[[#Headers],[MMS]],0)</calculatedColumnFormula>
    </tableColumn>
    <tableColumn id="6" xr3:uid="{A758944E-C0A1-4AF1-ACC6-FAA09617B3E7}" name="SA" dataDxfId="403" dataCellStyle="Content normal">
      <calculatedColumnFormula array="1">Common_InputFunctions.Utility_DisplayArrayInTable(SourceData_Swine.SourceData_Swine_MMS_MCFs_Data(),Table_SourceData_Swine_MMSMCF[[#Headers],[MMS]],0)</calculatedColumnFormula>
    </tableColumn>
    <tableColumn id="7" xr3:uid="{89FFE10F-C0FC-4087-A179-D5350F662FE6}" name="TAS" dataDxfId="402" dataCellStyle="Content normal">
      <calculatedColumnFormula array="1">Common_InputFunctions.Utility_DisplayArrayInTable(SourceData_Swine.SourceData_Swine_MMS_MCFs_Data(),Table_SourceData_Swine_MMSMCF[[#Headers],[MMS]],0)</calculatedColumnFormula>
    </tableColumn>
    <tableColumn id="8" xr3:uid="{6B39D497-F732-4748-864F-24AEDD71E50E}" name="VIC" dataDxfId="401" dataCellStyle="Content normal">
      <calculatedColumnFormula array="1">Common_InputFunctions.Utility_DisplayArrayInTable(SourceData_Swine.SourceData_Swine_MMS_MCFs_Data(),Table_SourceData_Swine_MMSMCF[[#Headers],[MMS]],0)</calculatedColumnFormula>
    </tableColumn>
    <tableColumn id="9" xr3:uid="{49DB3832-A469-49AB-86AD-D632F04E99E7}" name="WA" dataDxfId="400" dataCellStyle="Content normal">
      <calculatedColumnFormula array="1">Common_InputFunctions.Utility_DisplayArrayInTable(SourceData_Swine.SourceData_Swine_MMS_MCFs_Data(),Table_SourceData_Swine_MMSMCF[[#Headers],[MMS]],0)</calculatedColumnFormula>
    </tableColumn>
    <tableColumn id="10" xr3:uid="{B2CA5A4E-ABC5-48AE-85B0-48A9CBE4DE86}" name="NIR definition" dataDxfId="39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1B3144A-C7A2-445E-91E2-6E9B60604FBE}" name="Table_SourceData_SwineMMS" displayName="Table_SourceData_SwineMMS" ref="D40:E47" totalsRowShown="0">
  <autoFilter ref="D40:E47" xr:uid="{42F7033B-606B-4A24-9223-A30737FDC1FE}">
    <filterColumn colId="0" hiddenButton="1"/>
    <filterColumn colId="1" hiddenButton="1"/>
  </autoFilter>
  <tableColumns count="2">
    <tableColumn id="1" xr3:uid="{DD79AF88-581B-42BE-883B-2A753742171F}" name="MMS"/>
    <tableColumn id="2" xr3:uid="{F770E9B6-E623-4ABE-AEBC-F3CF4772111B}" name="Symbol and MMS"/>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C05533-0B6E-4025-BECB-50B3AA3C9D2C}" name="Table_SourceData_SwineVSL" displayName="Table_SourceData_SwineVSL" ref="D53:E60" totalsRowShown="0">
  <autoFilter ref="D53:E60" xr:uid="{079C074C-6E98-47B5-B4E5-F8A1F12104F2}">
    <filterColumn colId="0" hiddenButton="1"/>
    <filterColumn colId="1" hiddenButton="1"/>
  </autoFilter>
  <tableColumns count="2">
    <tableColumn id="1" xr3:uid="{4AEA19C2-67E2-4D89-A7E7-F693C6586129}" name="MMS"/>
    <tableColumn id="2" xr3:uid="{C549302B-1EA4-45B3-84E4-33964C53F097}" name="VS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7A843D1-E86B-49F4-9F65-F0E7B3AE11B6}"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1B4D159E-261A-434E-9B40-3D6ED0DFAF19}" name="MMS"/>
    <tableColumn id="2" xr3:uid="{79DA6A8E-21B3-43CA-9B98-6B96D88E4EC7}" name="Symbol and MMS"/>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8F46F46-EC67-4BD4-B8FE-8720358D28EB}"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E3DD50B8-0077-4F69-BB19-B9763DC51741}" name="MMS"/>
    <tableColumn id="2" xr3:uid="{E42C20F3-DDD1-494A-A7B4-F395C7D373DA}" name="Symbol and MM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7FC9A7B2-7FDD-4A46-BB2E-FBD030986A09}" name="Table_SourceData_Swine_ProductionSystems" displayName="Table_SourceData_Swine_ProductionSystems" ref="G53:G56" totalsRowShown="0">
  <autoFilter ref="G53:G56" xr:uid="{A6BE3FFD-EB90-45EB-8756-16A72E0C6869}">
    <filterColumn colId="0" hiddenButton="1"/>
  </autoFilter>
  <tableColumns count="1">
    <tableColumn id="1" xr3:uid="{B5430D06-23AE-4D15-808E-72D6ED8E6498}"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F7EBCB7-C8B8-410C-9170-38419BAC499C}" name="Table_SourceData_Swine_NitrogenInWaste" displayName="Table_SourceData_Swine_NitrogenInWaste" ref="D89:G93" totalsRowShown="0" dataDxfId="398" dataCellStyle="Content normal">
  <autoFilter ref="D89:G93" xr:uid="{61D86DCB-D80D-4593-96F3-A897FC93073F}">
    <filterColumn colId="0" hiddenButton="1"/>
    <filterColumn colId="1" hiddenButton="1"/>
    <filterColumn colId="2" hiddenButton="1"/>
    <filterColumn colId="3" hiddenButton="1"/>
  </autoFilter>
  <tableColumns count="4">
    <tableColumn id="1" xr3:uid="{2C85B3B0-3C04-4230-AD1F-5AE66BD4BDB5}" name="Class" dataDxfId="397" dataCellStyle="Content normal">
      <calculatedColumnFormula array="1">Common_InputFunctions.Utility_DisplayArrayInTable(SourceData_Swine.SourceData_Swine_NitrogenInWaste_Data(), Table_SourceData_Swine_NitrogenInWaste[[#Headers],[Class]], 0)</calculatedColumnFormula>
    </tableColumn>
    <tableColumn id="2" xr3:uid="{1FC6D9CC-875D-4929-B578-C9FAA0F9585F}" name="NWj" dataDxfId="396" dataCellStyle="Content normal">
      <calculatedColumnFormula array="1">Common_InputFunctions.Utility_DisplayArrayInTable(SourceData_Swine.SourceData_Swine_NitrogenInWaste_Data(), Table_SourceData_Swine_NitrogenInWaste[[#Headers],[Class]], 0)</calculatedColumnFormula>
    </tableColumn>
    <tableColumn id="3" xr3:uid="{52CCF044-3BC2-476F-8D2B-FBA8C86DB481}" name="NWj Daily" dataDxfId="395" dataCellStyle="Content normal">
      <calculatedColumnFormula array="1">Common_InputFunctions.Utility_DisplayArrayInTable(SourceData_Swine.SourceData_Swine_NitrogenInWaste_Data(), Table_SourceData_Swine_NitrogenInWaste[[#Headers],[Class]], 0)</calculatedColumnFormula>
    </tableColumn>
    <tableColumn id="4" xr3:uid="{7E304BC3-D458-4F58-A355-2686A443BC5C}" name="Class name" dataDxfId="39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E8B990F-25B2-40B8-A4DA-6F63BFC54AF6}" name="Table_SourceData_Swine_FeedIntake" displayName="Table_SourceData_Swine_FeedIntake" ref="D78:E82" totalsRowShown="0" dataDxfId="393" dataCellStyle="Content normal">
  <autoFilter ref="D78:E82" xr:uid="{E34928EB-73E5-43B2-830B-089F30DA4EF0}">
    <filterColumn colId="0" hiddenButton="1"/>
    <filterColumn colId="1" hiddenButton="1"/>
  </autoFilter>
  <tableColumns count="2">
    <tableColumn id="1" xr3:uid="{24E2F05D-9BB4-47C0-9A72-AAB2780F3A63}" name="Class" dataDxfId="392" dataCellStyle="Content normal">
      <calculatedColumnFormula array="1">Common_InputFunctions.Utility_DisplayArrayInTable(SourceData_Swine.SourceData_Swine_FeedIntake_Data(), Table_SourceData_Swine_FeedIntake[[#Headers],[Class]], 0)</calculatedColumnFormula>
    </tableColumn>
    <tableColumn id="2" xr3:uid="{01758935-7B8F-4975-8911-7C5D171B2BDD}" name="Ij" dataDxfId="39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D58E24C-19FE-4231-86C9-587BF6F3555F}"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61D3CEB-A86E-4E5B-8F7D-FF4807D5B360}" name="MMSm">
      <calculatedColumnFormula array="1">Common_InputFunctions.Utility_DisplayArrayInTable(SourceData_Swine.SourceData_Swine_FractionNVolatilised_Data(), Table_SourceData_Swine_FracGASM[[#Headers],[MMSm]],0)</calculatedColumnFormula>
    </tableColumn>
    <tableColumn id="2" xr3:uid="{CE7BFF80-60C2-4C33-B67D-8D47A6CE07D1}" name="FracGASMmT">
      <calculatedColumnFormula array="1">Common_InputFunctions.Utility_DisplayArrayInTable(SourceData_Swine.SourceData_Swine_FractionNVolatilised_Data(), Table_SourceData_Swine_FracGASM[[#Headers],[MMSm]],0)</calculatedColumnFormula>
    </tableColumn>
    <tableColumn id="3" xr3:uid="{5C6AB780-8B8F-496F-A51E-85EC9218DA66}"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97B55E1-4299-47A2-9880-2A0261679A07}" name="Table_SourceData_Swine_FracGASM28" displayName="Table_SourceData_Swine_FracGASM28" ref="D111:F117" totalsRowShown="0" dataDxfId="390" dataCellStyle="Content normal">
  <autoFilter ref="D111:F117" xr:uid="{1333872B-E46C-4DC7-8E2D-1F3D704794C8}">
    <filterColumn colId="0" hiddenButton="1"/>
    <filterColumn colId="1" hiddenButton="1"/>
    <filterColumn colId="2" hiddenButton="1"/>
  </autoFilter>
  <tableColumns count="3">
    <tableColumn id="1" xr3:uid="{D2BE6FA1-B45D-4EC7-8D6B-CC5F278C8BE6}" name="MMSm" dataDxfId="389" dataCellStyle="Content normal">
      <calculatedColumnFormula array="1">Common_InputFunctions.Utility_DisplayArrayInTable(SourceData_Swine.SourceData_Swine_NitrousOxideEFs_Data(), Table_SourceData_Swine_FracGASM28[[#Headers],[MMSm]],0)</calculatedColumnFormula>
    </tableColumn>
    <tableColumn id="2" xr3:uid="{2D07854E-484B-4A26-90D1-B528D883DAFF}" name="EFmT" dataDxfId="388" dataCellStyle="Content normal">
      <calculatedColumnFormula array="1">Common_InputFunctions.Utility_DisplayArrayInTable(SourceData_Swine.SourceData_Swine_NitrousOxideEFs_Data(), Table_SourceData_Swine_FracGASM28[[#Headers],[MMSm]],0)</calculatedColumnFormula>
    </tableColumn>
    <tableColumn id="3" xr3:uid="{0157E05F-B9CF-4548-AD9A-77AB60532A4A}" name="NIR reference" dataDxfId="38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270703E-C428-4E6C-A67C-B03D32759C10}" name="Table_SourceData_Swine_CropProdSystems" displayName="Table_SourceData_Swine_CropProdSystems" ref="D8:D10" totalsRowShown="0">
  <autoFilter ref="D8:D10" xr:uid="{1DC3FD95-46BB-428C-8DAB-6CC542C27F2F}">
    <filterColumn colId="0" hiddenButton="1"/>
  </autoFilter>
  <tableColumns count="1">
    <tableColumn id="1" xr3:uid="{44ABE846-533B-4C79-8497-06539613EE41}"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2289AB3-0AD4-46FA-91BE-A14E3810D8C0}" name="Table_SourceData_Swine_IrrigationMethods" displayName="Table_SourceData_Swine_IrrigationMethods" ref="G8:G13" totalsRowShown="0">
  <autoFilter ref="G8:G13" xr:uid="{AA6B756B-6FF9-48AC-BC54-06A8937EFD12}">
    <filterColumn colId="0" hiddenButton="1"/>
  </autoFilter>
  <tableColumns count="1">
    <tableColumn id="1" xr3:uid="{B9770914-C3B6-4581-A0CB-1BCD7F6A7CC5}"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C909F6-303B-4FBA-B1EE-3E3218EF835C}"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CA1C69E4-8C5E-4D47-A473-9683F2899127}" name="Livestock type j">
      <calculatedColumnFormula array="1">Common_InputFunctions.Utility_DisplayArrayInTable(SourceData_Swine.SourceData_Swine_AverageLiveweight_Data(),Table_SourceData_Swine_Liveweight[[#Headers],[Livestock type j]],0)</calculatedColumnFormula>
    </tableColumn>
    <tableColumn id="2" xr3:uid="{8FD3DD45-2CA8-4939-8F26-D2CE2A0E9736}" name="Average liveweight (kg)" dataDxfId="386"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7C5CD8A-DCEC-4A84-84F3-9ABB6BB5B630}" name="Table_LivestockClasses_Swine" displayName="Table_LivestockClasses_Swine" ref="I8:I12" totalsRowShown="0">
  <autoFilter ref="I8:I12" xr:uid="{AC4DD910-502A-46D7-A478-ED538841D3A4}"/>
  <tableColumns count="1">
    <tableColumn id="1" xr3:uid="{DC7A02D8-B653-4A4B-9C01-4F11C2AF9A94}" name="Livestock class"/>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694F657-4E2B-4CE1-9A15-F13DCBBED77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3AAE39AA-DAFC-4B56-8B73-FFE5749AB22D}" name="Symbol">
      <calculatedColumnFormula array="1">Common_InputFunctions.Utility_DisplayArrayInTable(CommonLivestock_SourceData.SourceData_Livestock_Common_SymbolsMMS_Data(), Table_Data_MMSSymbols[[#Headers],[Symbol]], 0)</calculatedColumnFormula>
    </tableColumn>
    <tableColumn id="2" xr3:uid="{51A9DF96-CF43-4171-8AAB-B5F45D9CA567}" name="Manure management system">
      <calculatedColumnFormula array="1">Common_InputFunctions.Utility_DisplayArrayInTable(CommonLivestock_SourceData.SourceData_Livestock_Common_SymbolsMMS_Data(), Table_Data_MMSSymbols[[#Headers],[Symbol]], 0)</calculatedColumnFormula>
    </tableColumn>
    <tableColumn id="3" xr3:uid="{60A36D2C-21AF-4495-AAE1-B502D1F1E6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4F96DE7-C60A-4F52-981D-3E1C3C0D9912}" name="Table_SourceData_ElectricityEFs" displayName="Table_SourceData_ElectricityEFs" ref="D9:F19" totalsRowShown="0" headerRowDxfId="385">
  <autoFilter ref="D9:F19" xr:uid="{3144A982-7A4D-4CF2-8790-1A30DAE3E0A4}">
    <filterColumn colId="0" hiddenButton="1"/>
    <filterColumn colId="1" hiddenButton="1"/>
    <filterColumn colId="2" hiddenButton="1"/>
  </autoFilter>
  <tableColumns count="3">
    <tableColumn id="1" xr3:uid="{56F687F8-3D1C-45B4-AB3E-CFEB33C643E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E4EB4571-0A61-410B-AC80-F6DC3BF97CF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927B092F-BC4A-4750-958B-D57E6B197167}"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1C7AA41-61FC-4C33-B613-D77FFF123CE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4EE6FC72-9F4F-4F35-AE7E-2AEFD6CB584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FC294130-3ABC-4262-ADB3-FA78B65B7558}"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123696B-1DAC-4A38-8A93-5400CC720D3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6BB22D1-8BE6-4529-BD70-753C95A1B492}"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EEB68A1-F727-43A4-B58B-935FD416F73D}"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74EF5F36-11F2-4C0F-8C1D-D930F03BEAC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464AFC5-47DE-4652-A2D5-034D0693233E}"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E5AB9487-8D0D-4356-B3D8-6C5F413B738E}" name="FNinorganic f">
      <calculatedColumnFormula array="1">Common_InputFunctions.Utility_DisplayArrayInTable(Fertiliser_SourceData.Fertiliser_ChemicalCompoundElements_Data(),Table_Fertiliser_ChemicalCompounds[[#Headers],[Fertiliser type f]], 0)</calculatedColumnFormula>
    </tableColumn>
    <tableColumn id="3" xr3:uid="{D987EA68-4693-4EAE-9521-2E8853D9A224}" name="FU f">
      <calculatedColumnFormula array="1">Common_InputFunctions.Utility_DisplayArrayInTable(Fertiliser_SourceData.Fertiliser_ChemicalCompoundElements_Data(),Table_Fertiliser_ChemicalCompounds[[#Headers],[Fertiliser type f]], 0)</calculatedColumnFormula>
    </tableColumn>
    <tableColumn id="4" xr3:uid="{8775F062-8944-4AA1-A011-2A6F227E21C0}" name="Basis">
      <calculatedColumnFormula array="1">Common_InputFunctions.Utility_DisplayArrayInTable(Fertiliser_SourceData.Fertiliser_ChemicalCompoundElements_Data(),Table_Fertiliser_ChemicalCompounds[[#Headers],[Fertiliser type f]], 0)</calculatedColumnFormula>
    </tableColumn>
    <tableColumn id="5" xr3:uid="{3F3C1236-B1E7-4942-BC44-AEE94585E9E6}"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E49B0F07-31DB-41E0-859A-C08D22727FF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0185942-4B29-45DF-8F8B-1909A1504390}"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D91944D2-E5C0-4CC2-8BDE-7EAD8DC3BA80}" name="Company" totalsRowFunction="custom" totalsRowDxfId="384">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C4D8DCE-4421-4B58-9783-E6C92D5ABF30}"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989AE13C-A252-4DF4-BFCF-44AB5197CE9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1B3DDB55-74FB-48A3-B3F4-7638A356922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3E22D5F-179E-4350-AA0C-F690BA27E65E}"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8DC73D3-B6C5-466D-9747-D1AE78A21AE5}"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7463FE3-D0C5-421D-96EA-D10312F14ABA}"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75DF8B81-F07D-4CA2-863B-CD1E97ECD7BF}"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17F55522-25D9-4E4B-99FF-391854E98BEC}"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79E7BF65-B4FA-40A3-871C-031103952F1D}"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C4C4D30D-1CBC-4BCB-B765-2F315CC518F3}"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1B969E69-5360-4D2C-9DFC-331A5170C6DD}"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FB1982A-EE3D-486C-8680-95ED3C1E12C8}"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D3E28F93-9D7D-4BAD-8145-1DC7683C53CD}"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3F2A160-E346-441A-93D6-62FBDE51B66E}"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0A4506F9-5E3D-43BE-9775-A27754BAC5FF}"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091AEB93-204C-44E5-98BF-9C09BA7E6823}"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A65A7DB6-964E-48A2-973A-BEE87C5810A4}"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3DEBCFAC-0580-49F1-B8F0-A15B2C021F5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CBDDFAF7-4F71-474D-A474-33C58D21B87F}"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C6A311F8-AFBF-4ECA-A7C0-066BFFA5241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F7C8078-0689-41FB-A6F4-6D1FD784AA75}"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44DAAF2-52A1-495F-AA17-CDD0122A8D20}"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802A38DB-C301-4BED-BC13-50AEABA5B56E}"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BB897D2-0162-45F8-A71C-46839ABA6B3D}"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C6259D0A-1AED-459D-AE63-A5AFD2DDDDC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2D5371EE-D7EB-4009-AC67-FCA0120B20D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F8595185-8A54-49EC-89B0-C6E72DC17FE0}"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7CB31A6-DFAA-4818-BE62-4E1A67820F32}"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63673FB-5156-4074-A83E-B1A8E01E89C7}"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0C9E3BC-55AC-4BD4-A52C-52177E247BF8}" name="Ingredient 10 percent" totalsRowCellStyle="Content normal"/>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0F01C0F-5A6C-4791-AFA8-4E2A8941318E}"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209495D-39F0-4843-92B8-C185155221BE}" name="Fertiliser type f">
      <calculatedColumnFormula array="1">Common_InputFunctions.Utility_DisplayArrayInTable(Fertiliser_SourceData.Fertiliser_FracGASF_Data(), Table_SourceData_Fertiliser_FracGASF[[#Headers],[Fertiliser type f]], 0)</calculatedColumnFormula>
    </tableColumn>
    <tableColumn id="2" xr3:uid="{32D8F949-5610-4093-97B1-550518705492}" name="FracGASF f" dataDxfId="3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2487AC2-1C6B-463C-BDB1-60106FA6E285}" name="Table_SourceData_Fertiliser_CropProdSystems" displayName="Table_SourceData_Fertiliser_CropProdSystems" ref="D41:D43" totalsRowShown="0">
  <autoFilter ref="D41:D43" xr:uid="{24F3A11E-40F5-4BB9-BFF4-A71FA2ADA0EF}">
    <filterColumn colId="0" hiddenButton="1"/>
  </autoFilter>
  <tableColumns count="1">
    <tableColumn id="1" xr3:uid="{82ABDAEB-999D-4322-9D5D-6C9D90C42AC6}"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F0B52153-6B01-4506-ADE2-82539145104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45763E67-D913-4969-AB69-DFAA62E69D21}"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315E21F-E7AB-42FD-8B73-EA25A20FEEDD}" name="Table_SourceData_Fertiliser_CropTypes" displayName="Table_SourceData_Fertiliser_CropTypes" ref="F41:F45" totalsRowShown="0">
  <autoFilter ref="F41:F45" xr:uid="{CB5044B5-FA3C-4AA2-B1AB-72F7E61D072F}">
    <filterColumn colId="0" hiddenButton="1"/>
  </autoFilter>
  <tableColumns count="1">
    <tableColumn id="1" xr3:uid="{26CE18F4-9942-47DE-B756-26584608AC95}" name="Production system"/>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5464F61-1724-4CDE-8757-CB91ED33A03F}" name="Table_SourceData_OrganicFertiliserTypes" displayName="Table_SourceData_OrganicFertiliserTypes" ref="J41:J46" totalsRowShown="0">
  <autoFilter ref="J41:J46" xr:uid="{B44627B1-537E-4ABC-92C3-57282CEE5B40}">
    <filterColumn colId="0" hiddenButton="1"/>
  </autoFilter>
  <tableColumns count="1">
    <tableColumn id="1" xr3:uid="{BD21D01C-9BC0-495C-A596-612337471A20}" name="Organic fertiliser typ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8F0341E7-78FB-4C32-A470-B0ADD7F3C278}"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BFFE3B33-408C-48C9-964A-0FCF7BC7095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33E7ABC-ECDE-4B54-9850-C6B6B41DDC2E}" name="P" dataDxfId="3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FC576BA7-5F53-4E62-B9AC-7C1E5D7FEBF7}" name="EF" dataDxfId="3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7F43F92-7191-4650-B218-DA2D9B506D87}" name="Table2" displayName="Table2" ref="K19:L28" totalsRowShown="0" dataDxfId="380" dataCellStyle="Content normal">
  <autoFilter ref="K19:L28" xr:uid="{27B93029-EB1F-4C4A-A946-CD673A8A6C46}">
    <filterColumn colId="0" hiddenButton="1"/>
    <filterColumn colId="1" hiddenButton="1"/>
  </autoFilter>
  <tableColumns count="2">
    <tableColumn id="1" xr3:uid="{614EA6F7-6BC2-4450-9E96-AD79B49D3D04}" name="Fertiliser type f" dataDxfId="379" dataCellStyle="Content normal">
      <calculatedColumnFormula array="1">Common_InputFunctions.Utility_DisplayArrayInTable(Fertiliser_SourceData.Fertiliser_FractionNCommonFertilisers_Data(), Table2[[#Headers],[Fertiliser type f]], 0)</calculatedColumnFormula>
    </tableColumn>
    <tableColumn id="2" xr3:uid="{7A1750B3-DF85-41A7-B153-7FC3F67D55BF}" name="FNinorganic f" dataDxfId="3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6C84247-4FCB-45A1-8DC1-E9B647656B34}" name="Table28" displayName="Table28" ref="Q19:R28" totalsRowShown="0" dataDxfId="377" dataCellStyle="Content normal">
  <autoFilter ref="Q19:R28" xr:uid="{791CEA59-796C-47AB-86BC-41E8F699030C}">
    <filterColumn colId="0" hiddenButton="1"/>
    <filterColumn colId="1" hiddenButton="1"/>
  </autoFilter>
  <tableColumns count="2">
    <tableColumn id="1" xr3:uid="{D30DD645-1E9C-49DD-8A33-4DE1FD12111C}" name="Fertiliser type f" dataDxfId="376" dataCellStyle="Content normal">
      <calculatedColumnFormula array="1">Common_InputFunctions.Utility_DisplayArrayInTable(Fertiliser_SourceData.Fertiliser_FractionUreaCommonFertilisers_Data(), Table28[[#Headers],[Fertiliser type f]], 0)</calculatedColumnFormula>
    </tableColumn>
    <tableColumn id="2" xr3:uid="{5EC78CB3-754C-4B6A-97C3-C4DEEA18B9FE}" name="FNinorganic f" dataDxfId="3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E42CF10-C861-4BEA-82D7-CACF7B3BB3A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2358188-E9D5-4E91-9FC9-EB1E1FD1137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E7D5483-51F8-4B47-A679-8E6B25095898}" name="Table_Fuel_EFs_StationaryLiquid" displayName="Table_Fuel_EFs_StationaryLiquid" ref="D53:K77" totalsRowShown="0" headerRowDxfId="374" dataDxfId="3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6CC5CC6-5CB6-4B06-A23C-D33BFBE0755A}" name="Fuel combusted" dataDxfId="372">
      <calculatedColumnFormula array="1">Common_InputFunctions.Utility_DisplayArrayInTable(Fuel_SourceData.Fuel_Scope1Scope3EmissionFactorsStationaryLiquid_Data(), Table_Fuel_EFs_StationaryLiquid[[#Headers],[Fuel combusted]],0)</calculatedColumnFormula>
    </tableColumn>
    <tableColumn id="2" xr3:uid="{13196A10-3383-4D37-B7FC-4549E51FDB9B}" name="Energy Content Factor (GJ per unit of fuel)" dataDxfId="371">
      <calculatedColumnFormula array="1">Common_InputFunctions.Utility_DisplayArrayInTable(Fuel_SourceData.Fuel_Scope1Scope3EmissionFactorsStationaryLiquid_Data(), Table_Fuel_EFs_StationaryLiquid[[#Headers],[Fuel combusted]],0)</calculatedColumnFormula>
    </tableColumn>
    <tableColumn id="3" xr3:uid="{9F718BA0-4FF5-43DB-8DF8-7B605DC90CCA}" name="Fuel unit" dataDxfId="370">
      <calculatedColumnFormula array="1">Common_InputFunctions.Utility_DisplayArrayInTable(Fuel_SourceData.Fuel_Scope1Scope3EmissionFactorsStationaryLiquid_Data(), Table_Fuel_EFs_StationaryLiquid[[#Headers],[Fuel combusted]],0)</calculatedColumnFormula>
    </tableColumn>
    <tableColumn id="4" xr3:uid="{11F464C7-10DF-4C3B-95FE-80974B5A723A}" name="Scope 1 Emission Factor (kg CO2 - e / GJ) CO2" dataDxfId="369">
      <calculatedColumnFormula array="1">Common_InputFunctions.Utility_DisplayArrayInTable(Fuel_SourceData.Fuel_Scope1Scope3EmissionFactorsStationaryLiquid_Data(), Table_Fuel_EFs_StationaryLiquid[[#Headers],[Fuel combusted]],0)</calculatedColumnFormula>
    </tableColumn>
    <tableColumn id="5" xr3:uid="{ECA7FAB9-C5A4-4FDB-834F-C63629040A88}" name="Scope 1 Emission Factor (kg CO2 - e / GJ) CH4" dataDxfId="368">
      <calculatedColumnFormula array="1">Common_InputFunctions.Utility_DisplayArrayInTable(Fuel_SourceData.Fuel_Scope1Scope3EmissionFactorsStationaryLiquid_Data(), Table_Fuel_EFs_StationaryLiquid[[#Headers],[Fuel combusted]],0)</calculatedColumnFormula>
    </tableColumn>
    <tableColumn id="6" xr3:uid="{B626C2EF-016B-48D5-BB5F-1279299AEC0E}" name="Scope 1 Emission Factor (kg CO2 - e / GJ) N2O" dataDxfId="367">
      <calculatedColumnFormula array="1">Common_InputFunctions.Utility_DisplayArrayInTable(Fuel_SourceData.Fuel_Scope1Scope3EmissionFactorsStationaryLiquid_Data(), Table_Fuel_EFs_StationaryLiquid[[#Headers],[Fuel combusted]],0)</calculatedColumnFormula>
    </tableColumn>
    <tableColumn id="7" xr3:uid="{3848B2F1-BCBB-4CF0-B4F0-CB159E473B70}" name="Scope 1 Emission Factor (kg CO2 - e / GJ) Combined gases" dataDxfId="366">
      <calculatedColumnFormula array="1">Common_InputFunctions.Utility_DisplayArrayInTable(Fuel_SourceData.Fuel_Scope1Scope3EmissionFactorsStationaryLiquid_Data(), Table_Fuel_EFs_StationaryLiquid[[#Headers],[Fuel combusted]],0)</calculatedColumnFormula>
    </tableColumn>
    <tableColumn id="8" xr3:uid="{24138B7B-D8FD-428D-ABCA-8ACF87CE2FD0}" name="Scope 3 Emission Factor (kg CO2 - e / GJ)" dataDxfId="3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B0DC2D0-1038-4121-B935-F40B57F32112}" name="Table_Fuel_EFs_Transport" displayName="Table_Fuel_EFs_Transport" ref="D9:L34" totalsRowShown="0" headerRowDxfId="364" dataDxfId="3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41EB490-583C-4F5B-890D-5AF0D30F5CBD}" name="Transport type" dataDxfId="362">
      <calculatedColumnFormula array="1">Common_InputFunctions.Utility_DisplayArrayInTable(Fuel_SourceData.Fuel_Scope1Scope3EmissionFactorsTransport_Data(), Table_Fuel_EFs_Transport[[#Headers],[Transport type]], 0)</calculatedColumnFormula>
    </tableColumn>
    <tableColumn id="2" xr3:uid="{22670546-741F-42CD-B6CD-A669AF22647B}" name="Fuel combusted" dataDxfId="361">
      <calculatedColumnFormula array="1">Common_InputFunctions.Utility_DisplayArrayInTable(Fuel_SourceData.Fuel_Scope1Scope3EmissionFactorsTransport_Data(), Table_Fuel_EFs_Transport[[#Headers],[Transport type]], 0)</calculatedColumnFormula>
    </tableColumn>
    <tableColumn id="3" xr3:uid="{C4142249-B780-4352-BC50-58A342E5974A}" name="Energy Content Factor (GJ per unit of fuel)" dataDxfId="360">
      <calculatedColumnFormula array="1">Common_InputFunctions.Utility_DisplayArrayInTable(Fuel_SourceData.Fuel_Scope1Scope3EmissionFactorsTransport_Data(), Table_Fuel_EFs_Transport[[#Headers],[Transport type]], 0)</calculatedColumnFormula>
    </tableColumn>
    <tableColumn id="4" xr3:uid="{D6EABC38-7FBC-4844-93D4-317047F4DDE5}" name="Fuel unit" dataDxfId="359">
      <calculatedColumnFormula array="1">Common_InputFunctions.Utility_DisplayArrayInTable(Fuel_SourceData.Fuel_Scope1Scope3EmissionFactorsTransport_Data(), Table_Fuel_EFs_Transport[[#Headers],[Transport type]], 0)</calculatedColumnFormula>
    </tableColumn>
    <tableColumn id="8" xr3:uid="{266BD4F5-284B-4AF6-B7D7-8DBFEDE56A33}" name="Scope 1 Emission Factor (kg CO2 - e / GJ) CO2" dataDxfId="358">
      <calculatedColumnFormula array="1">Common_InputFunctions.Utility_DisplayArrayInTable(Fuel_SourceData.Fuel_Scope1Scope3EmissionFactorsTransport_Data(), Table_Fuel_EFs_Transport[[#Headers],[Transport type]], 0)</calculatedColumnFormula>
    </tableColumn>
    <tableColumn id="9" xr3:uid="{A89CDB12-E67A-46B6-8C16-7C19B448986A}" name="Scope 1 Emission Factor (kg CO2 - e / GJ) CH4" dataDxfId="357">
      <calculatedColumnFormula array="1">Common_InputFunctions.Utility_DisplayArrayInTable(Fuel_SourceData.Fuel_Scope1Scope3EmissionFactorsTransport_Data(), Table_Fuel_EFs_Transport[[#Headers],[Transport type]], 0)</calculatedColumnFormula>
    </tableColumn>
    <tableColumn id="10" xr3:uid="{D4024E5F-7CB3-426B-A81D-1A6563747D5D}" name="Scope 1 Emission Factor (kg CO2 - e / GJ) N2O" dataDxfId="356">
      <calculatedColumnFormula array="1">Common_InputFunctions.Utility_DisplayArrayInTable(Fuel_SourceData.Fuel_Scope1Scope3EmissionFactorsTransport_Data(), Table_Fuel_EFs_Transport[[#Headers],[Transport type]], 0)</calculatedColumnFormula>
    </tableColumn>
    <tableColumn id="11" xr3:uid="{51429A3B-7081-47AC-8151-7D45D693F1A0}" name="Scope 1 Emission Factor (kg CO2 - e / GJ) Combined gases" dataDxfId="355">
      <calculatedColumnFormula array="1">Common_InputFunctions.Utility_DisplayArrayInTable(Fuel_SourceData.Fuel_Scope1Scope3EmissionFactorsTransport_Data(), Table_Fuel_EFs_Transport[[#Headers],[Transport type]], 0)</calculatedColumnFormula>
    </tableColumn>
    <tableColumn id="12" xr3:uid="{2B2A5E8B-9D4F-4231-8A85-356E36D558CA}" name="Scope 3 Emission Factor (kg CO2 - e / GJ)" dataDxfId="3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DBB6DFC-D57B-4699-A5DA-241CCD2B768F}" name="Table_FuelTypesPerUse" displayName="Table_FuelTypesPerUse" ref="D130:I139" totalsRowShown="0" headerRowDxfId="353" dataDxfId="3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3C102F4-D4D3-48E1-99D5-AD482CF14226}" name="Generators" dataDxfId="351"/>
    <tableColumn id="2" xr3:uid="{E3852E5C-9084-4AD1-8EC3-33C22E1A6D0D}" name="Power standalone machinery or heating" dataDxfId="350"/>
    <tableColumn id="3" xr3:uid="{A7246E86-1991-443D-B868-1D29404AEC42}" name="Aviation" dataDxfId="349"/>
    <tableColumn id="5" xr3:uid="{90C3209A-04A1-41AE-AE63-46DE7ABDFD1F}" name="Cars and light commercial vehicles" dataDxfId="348"/>
    <tableColumn id="7" xr3:uid="{E06DF578-3338-4021-B83B-1D8A668AEEFE}" name="Off-road Agriculture and forestry equipment" dataDxfId="347" dataCellStyle="Content bold"/>
    <tableColumn id="8" xr3:uid="{B4C3CBEA-C7BB-4F20-AF8A-C73E0C325B2A}" name="Vessels" dataDxfId="346" dataCellStyle="Content bol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230E5216-60E3-41EF-A085-EEF2984BA494}" name="Table_Fuel_EFs_StationaryGaseous" displayName="Table_Fuel_EFs_StationaryGaseous" ref="D86:J104" totalsRowShown="0" headerRowDxfId="345" dataDxfId="3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031FFEA-BC70-4058-AF14-935CF8A3589D}" name="Fuel combusted" dataDxfId="343">
      <calculatedColumnFormula array="1">Common_InputFunctions.Utility_DisplayArrayInTable(Fuel_SourceData.Fuel_Scope1EmissionFactorsStationaryGaseous_Data(), Table_Fuel_EFs_StationaryGaseous[[#Headers],[Fuel combusted]],0)</calculatedColumnFormula>
    </tableColumn>
    <tableColumn id="2" xr3:uid="{605A7BE0-0071-468D-8DD5-9CFFDF1A72EA}" name="Energy Content Factor (GJ per unit of fuel)" dataDxfId="342">
      <calculatedColumnFormula array="1">Common_InputFunctions.Utility_DisplayArrayInTable(Fuel_SourceData.Fuel_Scope1EmissionFactorsStationaryGaseous_Data(), Table_Fuel_EFs_StationaryGaseous[[#Headers],[Fuel combusted]],0)</calculatedColumnFormula>
    </tableColumn>
    <tableColumn id="3" xr3:uid="{22668B72-54A7-43EE-BFEA-660480442C82}" name="Fuel unit" dataDxfId="341">
      <calculatedColumnFormula array="1">Common_InputFunctions.Utility_DisplayArrayInTable(Fuel_SourceData.Fuel_Scope1EmissionFactorsStationaryGaseous_Data(), Table_Fuel_EFs_StationaryGaseous[[#Headers],[Fuel combusted]],0)</calculatedColumnFormula>
    </tableColumn>
    <tableColumn id="4" xr3:uid="{518A1CAB-A70B-4307-9D64-AF85C7B074D9}" name="Scope 1 Emission Factor (kg CO2 - e / GJ) CO2" dataDxfId="340">
      <calculatedColumnFormula array="1">Common_InputFunctions.Utility_DisplayArrayInTable(Fuel_SourceData.Fuel_Scope1EmissionFactorsStationaryGaseous_Data(), Table_Fuel_EFs_StationaryGaseous[[#Headers],[Fuel combusted]],0)</calculatedColumnFormula>
    </tableColumn>
    <tableColumn id="5" xr3:uid="{754B4BF0-7171-4B55-91AD-F5E72DF7B4CA}" name="Scope 1 Emission Factor (kg CO2 - e / GJ) CH4" dataDxfId="339">
      <calculatedColumnFormula array="1">Common_InputFunctions.Utility_DisplayArrayInTable(Fuel_SourceData.Fuel_Scope1EmissionFactorsStationaryGaseous_Data(), Table_Fuel_EFs_StationaryGaseous[[#Headers],[Fuel combusted]],0)</calculatedColumnFormula>
    </tableColumn>
    <tableColumn id="6" xr3:uid="{FD802154-E5DD-4C8C-A50D-B6BAA431ABB5}" name="Scope 1 Emission Factor (kg CO2 - e / GJ) N2O" dataDxfId="338">
      <calculatedColumnFormula array="1">Common_InputFunctions.Utility_DisplayArrayInTable(Fuel_SourceData.Fuel_Scope1EmissionFactorsStationaryGaseous_Data(), Table_Fuel_EFs_StationaryGaseous[[#Headers],[Fuel combusted]],0)</calculatedColumnFormula>
    </tableColumn>
    <tableColumn id="7" xr3:uid="{FC04EC17-EE2A-4C96-B451-931AC7F5A6AF}" name="Scope 1 Emission Factor (kg CO2 - e / GJ) Combined gases" dataDxfId="3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9773A62-7A8A-4253-A070-B045D74579EA}" name="Table_Fuel_EFs_StationaryGaseous34" displayName="Table_Fuel_EFs_StationaryGaseous34" ref="D112:F120" headerRowDxfId="336" totalsRowDxfId="335">
  <autoFilter ref="D112:F120" xr:uid="{7D6CE29D-2354-4FAC-9965-9A66FFA42416}">
    <filterColumn colId="0" hiddenButton="1"/>
    <filterColumn colId="1" hiddenButton="1"/>
    <filterColumn colId="2" hiddenButton="1"/>
  </autoFilter>
  <tableColumns count="3">
    <tableColumn id="1" xr3:uid="{C7AC12A4-2932-45B1-91A2-15D84CE81624}" name="State or territory" totalsRowDxfId="334">
      <calculatedColumnFormula array="1">Common_InputFunctions.Utility_DisplayArrayInTable(Fuel_SourceData.Fuel_Scope3EmissionFactorsStationaryGaseous_Data(), Table_Fuel_EFs_StationaryGaseous34[[#Headers],[State or territory]],0)</calculatedColumnFormula>
    </tableColumn>
    <tableColumn id="2" xr3:uid="{78C2A6A0-140D-441A-90B3-B1B5F2B686B5}" name="Metro" totalsRowDxfId="333">
      <calculatedColumnFormula array="1">Common_InputFunctions.Utility_DisplayArrayInTable(Fuel_SourceData.Fuel_Scope3EmissionFactorsStationaryGaseous_Data(), Table_Fuel_EFs_StationaryGaseous34[[#Headers],[State or territory]],0)</calculatedColumnFormula>
    </tableColumn>
    <tableColumn id="3" xr3:uid="{575426DE-A863-497A-8ABA-6AD8E012B9EB}" name="Non-metro" totalsRowDxfId="3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05503E8-BC88-4500-90AB-574000547AD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CD1D50E-57D2-49D2-8F56-F529767BB12F}" name="Fuel type"/>
    <tableColumn id="2" xr3:uid="{EC6E57E8-E303-45A2-846B-BD9E7A6085F6}" name="Unit"/>
    <tableColumn id="3" xr3:uid="{3E03C9BC-B48F-4C20-B13C-B0702BFDE765}" name="Input Unit" dataDxfId="331"/>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AEA93F9-B0E2-4282-B5D1-3A10BC4A8A03}"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AC4461E-FC67-4BDF-8BAB-F227010B854B}"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78FE3460-B986-4C34-AF89-A257D2ED5DBD}" name="Fuel type q"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0702530-4B67-4E74-B210-BC5A7532AE6B}" name="ECTrans,q (GJ/kL)"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526520A4-5C67-4075-8635-4282C6B74CB8}" name="Scope 1 CO2 EFTran,1,tqg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5B9EB88-A362-4D14-B2BD-721296CC24FC}" name="Scope 1 CH4 EFTran,1,tgg (kg CO2-e/GJ)" dataDxfId="3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B8256939-37DF-4B94-B065-28938462D2AD}" name="Scope 1 N2O EFTran,1,tgg (kg CO2-e/GJ)" dataDxfId="3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9D1824E-4B35-4EFD-8FC2-AD2CECC83BD1}" name="Scope 3 EFTrans,3,q (kg CO2-e/GJ)" dataDxfId="3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5CCD3005-7B4D-4405-A700-5BDD701F1AD8}"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33CC815-C16D-4006-8B6C-51A47D0C19F3}" name="Category" dataDxfId="324" dataCellStyle="Content normal">
      <calculatedColumnFormula array="1">Common_InputFunctions.Utility_DisplayArrayInTable(Scope3_SourceData.Scope3_Livestock_Data(), Table_SourceData_Scope3_Animals[[#Headers],[Category]], 0, 2)</calculatedColumnFormula>
    </tableColumn>
    <tableColumn id="2" xr3:uid="{5065C6FA-1FEA-444A-AEDC-2BE5E82F2788}" name="Product" dataDxfId="323" dataCellStyle="Content normal">
      <calculatedColumnFormula array="1">Common_InputFunctions.Utility_DisplayArrayInTable(Scope3_SourceData.Scope3_Livestock_Data(), Table_SourceData_Scope3_Animals[[#Headers],[Category]], 0, 2)</calculatedColumnFormula>
    </tableColumn>
    <tableColumn id="3" xr3:uid="{AFD889D2-D4D5-44FF-BD2A-D16541E8B2AA}" name="Region of origin" dataDxfId="322" dataCellStyle="Content normal">
      <calculatedColumnFormula array="1">Common_InputFunctions.Utility_DisplayArrayInTable(Scope3_SourceData.Scope3_Livestock_Data(), Table_SourceData_Scope3_Animals[[#Headers],[Category]], 0, 2)</calculatedColumnFormula>
    </tableColumn>
    <tableColumn id="8" xr3:uid="{F8934B88-6A5D-4C81-A50A-15498FC77BBA}" name="Quantity Unit" dataDxfId="321" dataCellStyle="Content normal">
      <calculatedColumnFormula array="1">Common_InputFunctions.Utility_DisplayArrayInTable(Scope3_SourceData.Scope3_Livestock_Data(), Table_SourceData_Scope3_Animals[[#Headers],[Category]], 0, 2)</calculatedColumnFormula>
    </tableColumn>
    <tableColumn id="9" xr3:uid="{B128861C-E2F5-4214-8296-FFE38CEC43B8}" name="Emissions intensity" dataDxfId="320" dataCellStyle="Content normal">
      <calculatedColumnFormula array="1">Common_InputFunctions.Utility_DisplayArrayInTable(Scope3_SourceData.Scope3_Livestock_Data(), Table_SourceData_Scope3_Animals[[#Headers],[Category]], 0, 2)</calculatedColumnFormula>
    </tableColumn>
    <tableColumn id="10" xr3:uid="{FF2CB4B7-6902-4BF3-BBC1-C2E54A6DDE7B}" name="System boundary" dataDxfId="319" dataCellStyle="Content normal">
      <calculatedColumnFormula array="1">Common_InputFunctions.Utility_DisplayArrayInTable(Scope3_SourceData.Scope3_Livestock_Data(), Table_SourceData_Scope3_Animals[[#Headers],[Category]], 0, 2)</calculatedColumnFormula>
    </tableColumn>
    <tableColumn id="4" xr3:uid="{36700E7C-5C01-43D0-8402-6139457B1782}" name="Source" dataDxfId="318"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5D5423E-D506-4331-849A-5584B08D2B22}"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FE5753E-A5E7-49A0-84BB-0D3F5B908AAE}" name="Category" dataDxfId="317" dataCellStyle="Content normal">
      <calculatedColumnFormula array="1">Common_InputFunctions.Utility_DisplayArrayInTable(Scope3_SourceData.Scope3_Chemicals_Data(), Table_SourceData_Scope3_ChemicalsCleaning[[#Headers],[Category]], 0, 2)</calculatedColumnFormula>
    </tableColumn>
    <tableColumn id="2" xr3:uid="{F20F7CF8-D8A3-453D-9A96-FAD3933C0EF0}" name="Product" dataDxfId="316" dataCellStyle="Content normal">
      <calculatedColumnFormula array="1">Common_InputFunctions.Utility_DisplayArrayInTable(Scope3_SourceData.Scope3_Chemicals_Data(), Table_SourceData_Scope3_ChemicalsCleaning[[#Headers],[Category]], 0, 2)</calculatedColumnFormula>
    </tableColumn>
    <tableColumn id="3" xr3:uid="{E9413820-A64A-4741-8E9C-2616FDA32116}" name="Region of origin" dataDxfId="315" dataCellStyle="Content normal">
      <calculatedColumnFormula array="1">Common_InputFunctions.Utility_DisplayArrayInTable(Scope3_SourceData.Scope3_Chemicals_Data(), Table_SourceData_Scope3_ChemicalsCleaning[[#Headers],[Category]], 0, 2)</calculatedColumnFormula>
    </tableColumn>
    <tableColumn id="8" xr3:uid="{C6C11520-7502-4BF3-A45E-B66C60C2A6D2}" name="Quantity Unit" dataDxfId="314" dataCellStyle="Content normal">
      <calculatedColumnFormula array="1">Common_InputFunctions.Utility_DisplayArrayInTable(Scope3_SourceData.Scope3_Chemicals_Data(), Table_SourceData_Scope3_ChemicalsCleaning[[#Headers],[Category]], 0, 2)</calculatedColumnFormula>
    </tableColumn>
    <tableColumn id="9" xr3:uid="{1F1DBA57-FFF2-4DF0-BB8F-F1F7FBDC932D}" name="Emissions intensity" dataDxfId="313" dataCellStyle="Content normal">
      <calculatedColumnFormula array="1">Common_InputFunctions.Utility_DisplayArrayInTable(Scope3_SourceData.Scope3_Chemicals_Data(), Table_SourceData_Scope3_ChemicalsCleaning[[#Headers],[Category]], 0, 2)</calculatedColumnFormula>
    </tableColumn>
    <tableColumn id="10" xr3:uid="{EDEDD137-AABE-4649-8A55-6985AAE04EF8}" name="System boundary" dataDxfId="312" dataCellStyle="Content normal">
      <calculatedColumnFormula array="1">Common_InputFunctions.Utility_DisplayArrayInTable(Scope3_SourceData.Scope3_Chemicals_Data(), Table_SourceData_Scope3_ChemicalsCleaning[[#Headers],[Category]], 0, 2)</calculatedColumnFormula>
    </tableColumn>
    <tableColumn id="4" xr3:uid="{3A78B088-DD27-464F-B0D4-09CEB7ABD9BC}" name="Source" dataDxfId="311"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C3A25B7-F842-47C9-A7BA-AD70A7A0A32A}" name="Table_SourceData_Scope3_Feed" displayName="Table_SourceData_Scope3_Feed" ref="D89:J158" dataDxfId="310"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F180B5-A8DF-4C0B-B3C0-220B5958C197}" name="Category"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396CF554-E66F-4605-9D07-EE8331B76C46}" name="Product"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548E246B-3C8E-4798-BF2D-6FB9DCFF4B67}" name="Region of origin"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67131FDC-E2F1-441F-AC78-3F5F7EE52B9E}" name="Quantity Unit"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6B61820C-7EC7-46BC-9354-EC6BF7CD4C90}" name="Emissions intensity" totalsRowFunction="custom" dataDxfId="301" totalsRowDxfId="30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48F8EE4-059A-46A0-BB62-4766CB61C8FC}" name="System boundary" totalsRowFunction="custom" dataDxfId="299" totalsRowDxfId="29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CE13EEAD-4733-41F8-8B30-4C1AC452BEDD}" name="Source" totalsRowLabel="GHGEI-MIAFF" dataDxfId="297" totalsRowDxfId="29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ED31E54-F5BA-4619-85E1-02EC695B99B7}"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0F5B39D-A3DE-4837-AB99-9EA87F28E09B}" name="Category">
      <calculatedColumnFormula array="1">Common_InputFunctions.Utility_DisplayArrayInTable(Scope3_SourceData.Scope3_InorganicFertilisers_Data(), Table_SourceData_Scope3_InorganicFertiliser[[#Headers],[Category]], 0, 2)</calculatedColumnFormula>
    </tableColumn>
    <tableColumn id="2" xr3:uid="{2630FDE7-71CA-454B-AE6F-0B093B335FA1}" name="Product">
      <calculatedColumnFormula array="1">Common_InputFunctions.Utility_DisplayArrayInTable(Scope3_SourceData.Scope3_InorganicFertilisers_Data(), Table_SourceData_Scope3_InorganicFertiliser[[#Headers],[Category]], 0, 2)</calculatedColumnFormula>
    </tableColumn>
    <tableColumn id="3" xr3:uid="{90CF868D-F999-4C1A-8B2C-498DC3EEBDA0}" name="Region of origin">
      <calculatedColumnFormula array="1">Common_InputFunctions.Utility_DisplayArrayInTable(Scope3_SourceData.Scope3_InorganicFertilisers_Data(), Table_SourceData_Scope3_InorganicFertiliser[[#Headers],[Category]], 0, 2)</calculatedColumnFormula>
    </tableColumn>
    <tableColumn id="4" xr3:uid="{40DF8DC7-BD50-4316-9BB0-45303CEFE3BB}" name="Chemical compound"/>
    <tableColumn id="5" xr3:uid="{044E2580-F965-4734-AADB-595ED2044655}" name="Urea source"/>
    <tableColumn id="6" xr3:uid="{2667287C-5728-4C2A-B19F-6B0828C8CB55}" name="Ammonia source"/>
    <tableColumn id="7" xr3:uid="{2AABFE47-57F9-4415-B265-1E6F255CD414}" name="Quantity"/>
    <tableColumn id="8" xr3:uid="{A715E535-AFE8-4936-A43B-4DEB311CCF11}" name="Quantity Unit">
      <calculatedColumnFormula array="1">Common_InputFunctions.Utility_DisplayArrayInTable(Scope3_SourceData.Scope3_InorganicFertilisers_Data(), Table_SourceData_Scope3_InorganicFertiliser[[#Headers],[Category]], 0, -2)</calculatedColumnFormula>
    </tableColumn>
    <tableColumn id="9" xr3:uid="{FB1E163C-6E59-4040-9085-C6F05AC579C2}" name="Emissions intensity">
      <calculatedColumnFormula array="1">Common_InputFunctions.Utility_DisplayArrayInTable(Scope3_SourceData.Scope3_InorganicFertilisers_Data(), Table_SourceData_Scope3_InorganicFertiliser[[#Headers],[Category]], 0, -2)</calculatedColumnFormula>
    </tableColumn>
    <tableColumn id="10" xr3:uid="{7AE33FB2-1590-4F9E-845C-23D71893935F}" name="System boundary" dataDxfId="295" dataCellStyle="Content normal">
      <calculatedColumnFormula array="1">Common_InputFunctions.Utility_DisplayArrayInTable(Scope3_SourceData.Scope3_InorganicFertilisers_Data(), Table_SourceData_Scope3_InorganicFertiliser[[#Headers],[Category]], 0, -2)</calculatedColumnFormula>
    </tableColumn>
    <tableColumn id="11" xr3:uid="{FEBD8DF9-AB52-4A62-B774-3C6A2303C1A2}" name="Source" dataDxfId="294"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6912456-B9EF-4CAB-AEE8-391C73B83318}" name="Table_SourceData_Scope3_Other" displayName="Table_SourceData_Scope3_Other" ref="D201:J209" totalsRowShown="0" dataDxfId="293"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68C78D7-7500-41A6-9CBD-E7D728477550}" name="Category" dataDxfId="292" dataCellStyle="Content normal">
      <calculatedColumnFormula array="1">Common_InputFunctions.Utility_DisplayArrayInTable(Scope3_SourceData.Scope3_Other_Data(), Table_SourceData_Scope3_Other[[#Headers],[Category]], 0, 2)</calculatedColumnFormula>
    </tableColumn>
    <tableColumn id="2" xr3:uid="{B7FE1F87-7B69-46AB-99E0-BD5FD8000FC7}" name="Product" dataDxfId="291" dataCellStyle="Content normal">
      <calculatedColumnFormula array="1">Common_InputFunctions.Utility_DisplayArrayInTable(Scope3_SourceData.Scope3_Other_Data(), Table_SourceData_Scope3_Other[[#Headers],[Category]], 0, 2)</calculatedColumnFormula>
    </tableColumn>
    <tableColumn id="3" xr3:uid="{3F1B8AEA-985F-4A1B-A615-46E2D2690AA3}" name="Region of origin" dataDxfId="290" dataCellStyle="Content normal">
      <calculatedColumnFormula array="1">Common_InputFunctions.Utility_DisplayArrayInTable(Scope3_SourceData.Scope3_Other_Data(), Table_SourceData_Scope3_Other[[#Headers],[Category]], 0, 2)</calculatedColumnFormula>
    </tableColumn>
    <tableColumn id="8" xr3:uid="{7AA575F6-0484-4D43-B409-6E98C7D00564}" name="Quantity Unit" dataDxfId="289" dataCellStyle="Content normal">
      <calculatedColumnFormula array="1">Common_InputFunctions.Utility_DisplayArrayInTable(Scope3_SourceData.Scope3_Other_Data(), Table_SourceData_Scope3_Other[[#Headers],[Category]], 0, 2)</calculatedColumnFormula>
    </tableColumn>
    <tableColumn id="9" xr3:uid="{2B675966-87AD-42D4-BDD5-C969C6A189E6}" name="Emissions intensity" dataDxfId="288" dataCellStyle="Content normal">
      <calculatedColumnFormula array="1">Common_InputFunctions.Utility_DisplayArrayInTable(Scope3_SourceData.Scope3_Other_Data(), Table_SourceData_Scope3_Other[[#Headers],[Category]], 0, 2)</calculatedColumnFormula>
    </tableColumn>
    <tableColumn id="10" xr3:uid="{3F46FEB3-448B-453C-B3C8-FA23D4695819}" name="System boundary" dataDxfId="287" dataCellStyle="Content normal">
      <calculatedColumnFormula array="1">Common_InputFunctions.Utility_DisplayArrayInTable(Scope3_SourceData.Scope3_Other_Data(), Table_SourceData_Scope3_Other[[#Headers],[Category]], 0, 2)</calculatedColumnFormula>
    </tableColumn>
    <tableColumn id="4" xr3:uid="{9BF23510-2713-4244-9728-D8DD29428902}" name="Source" dataDxfId="286"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4E6ABA62-E33C-4035-905B-8E4CFF4AC5FD}" name="Table_SourceData_Scope3_Packaging" displayName="Table_SourceData_Scope3_Packaging" ref="D212:J216" totalsRowShown="0" dataDxfId="285"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FA74C29-6156-4AC3-82B1-0338273D66CB}" name="Category" dataDxfId="284" dataCellStyle="Content normal">
      <calculatedColumnFormula array="1">Common_InputFunctions.Utility_DisplayArrayInTable(Scope3_SourceData.Scope3_Packaging_Data(), Table_SourceData_Scope3_Packaging[[#Headers],[Category]], 0, 2)</calculatedColumnFormula>
    </tableColumn>
    <tableColumn id="2" xr3:uid="{EADA2DA5-C526-40DF-808C-621629CB67D6}" name="Product" dataDxfId="283" dataCellStyle="Content normal">
      <calculatedColumnFormula array="1">Common_InputFunctions.Utility_DisplayArrayInTable(Scope3_SourceData.Scope3_Packaging_Data(), Table_SourceData_Scope3_Packaging[[#Headers],[Category]], 0, 2)</calculatedColumnFormula>
    </tableColumn>
    <tableColumn id="3" xr3:uid="{222C4EB2-0EAF-41E6-B7A6-318DD0608DB8}" name="Region of origin" dataDxfId="282" dataCellStyle="Content normal">
      <calculatedColumnFormula array="1">Common_InputFunctions.Utility_DisplayArrayInTable(Scope3_SourceData.Scope3_Packaging_Data(), Table_SourceData_Scope3_Packaging[[#Headers],[Category]], 0, 2)</calculatedColumnFormula>
    </tableColumn>
    <tableColumn id="8" xr3:uid="{3952CC7D-B874-4F49-BF06-0C6DBDACFF88}" name="Quantity Unit" dataDxfId="281" dataCellStyle="Content normal">
      <calculatedColumnFormula array="1">Common_InputFunctions.Utility_DisplayArrayInTable(Scope3_SourceData.Scope3_Packaging_Data(), Table_SourceData_Scope3_Packaging[[#Headers],[Category]], 0, 2)</calculatedColumnFormula>
    </tableColumn>
    <tableColumn id="9" xr3:uid="{56C1C737-B98E-45B1-A59A-43C26C0E5C2E}" name="Emissions intensity" dataDxfId="280" dataCellStyle="Content normal">
      <calculatedColumnFormula array="1">Common_InputFunctions.Utility_DisplayArrayInTable(Scope3_SourceData.Scope3_Packaging_Data(), Table_SourceData_Scope3_Packaging[[#Headers],[Category]], 0, 2)</calculatedColumnFormula>
    </tableColumn>
    <tableColumn id="10" xr3:uid="{2BB48B33-3CF4-4F2B-9E10-5C74EB2AC3A7}" name="System boundary" dataDxfId="279" dataCellStyle="Content normal">
      <calculatedColumnFormula array="1">Common_InputFunctions.Utility_DisplayArrayInTable(Scope3_SourceData.Scope3_Packaging_Data(), Table_SourceData_Scope3_Packaging[[#Headers],[Category]], 0, 2)</calculatedColumnFormula>
    </tableColumn>
    <tableColumn id="4" xr3:uid="{06866B1B-1C6E-4DBA-9C80-5A1B62E36E28}" name="Source" dataDxfId="278"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3DF34015-1D16-411E-A8F6-79DC65A68452}" name="Table_SourceData_Scope3_Pesticides" displayName="Table_SourceData_Scope3_Pesticides" ref="D219:J231" totalsRowShown="0" dataDxfId="277"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BE75BE6-B558-44C3-900F-22259BD6A29F}" name="Category" dataDxfId="276" dataCellStyle="Content normal">
      <calculatedColumnFormula array="1">Common_InputFunctions.Utility_DisplayArrayInTable(Scope3_SourceData.Scope3_Pesticides_Data(), Table_SourceData_Scope3_Pesticides[[#Headers],[Category]], 0, 2)</calculatedColumnFormula>
    </tableColumn>
    <tableColumn id="2" xr3:uid="{738BAAA4-1369-47D4-9AAF-60751D30EC07}" name="Product" dataDxfId="275" dataCellStyle="Content normal">
      <calculatedColumnFormula array="1">Common_InputFunctions.Utility_DisplayArrayInTable(Scope3_SourceData.Scope3_Pesticides_Data(), Table_SourceData_Scope3_Pesticides[[#Headers],[Category]], 0, 2)</calculatedColumnFormula>
    </tableColumn>
    <tableColumn id="3" xr3:uid="{758BABCF-F01D-46EE-A691-02267571CA72}" name="Region of origin" dataDxfId="274" dataCellStyle="Content normal">
      <calculatedColumnFormula array="1">Common_InputFunctions.Utility_DisplayArrayInTable(Scope3_SourceData.Scope3_Pesticides_Data(), Table_SourceData_Scope3_Pesticides[[#Headers],[Category]], 0, 2)</calculatedColumnFormula>
    </tableColumn>
    <tableColumn id="8" xr3:uid="{02941AC5-A600-43EF-81A3-55E09861B72D}" name="Quantity Unit" dataDxfId="273" dataCellStyle="Content normal">
      <calculatedColumnFormula array="1">Common_InputFunctions.Utility_DisplayArrayInTable(Scope3_SourceData.Scope3_Pesticides_Data(), Table_SourceData_Scope3_Pesticides[[#Headers],[Category]], 0, 2)</calculatedColumnFormula>
    </tableColumn>
    <tableColumn id="9" xr3:uid="{51CBA311-CF62-4AF5-9F84-9BE6BB8157C0}" name="Emissions intensity" dataDxfId="272" dataCellStyle="Content normal">
      <calculatedColumnFormula array="1">Common_InputFunctions.Utility_DisplayArrayInTable(Scope3_SourceData.Scope3_Pesticides_Data(), Table_SourceData_Scope3_Pesticides[[#Headers],[Category]], 0, 2)</calculatedColumnFormula>
    </tableColumn>
    <tableColumn id="10" xr3:uid="{5AE94AAD-0D59-4D48-A97F-1E49A43C56EB}" name="System boundary" dataDxfId="271" dataCellStyle="Content normal">
      <calculatedColumnFormula array="1">Common_InputFunctions.Utility_DisplayArrayInTable(Scope3_SourceData.Scope3_Pesticides_Data(), Table_SourceData_Scope3_Pesticides[[#Headers],[Category]], 0, 2)</calculatedColumnFormula>
    </tableColumn>
    <tableColumn id="4" xr3:uid="{096BD374-E1CE-4345-BD53-0C68433BB8CF}" name="Source" dataDxfId="270"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8609DFA0-AE77-4F39-A2C2-F0FF22EA4562}" name="Table_SourceData_Scope3_SoilAmeliorants" displayName="Table_SourceData_Scope3_SoilAmeliorants" ref="D234:J237" totalsRowShown="0" dataDxfId="269"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707DBE2-30C7-4BE7-9D0A-51D61EE862B4}" name="Category" dataDxfId="268" dataCellStyle="Content normal">
      <calculatedColumnFormula array="1">Common_InputFunctions.Utility_DisplayArrayInTable(Scope3_SourceData.Scope3_SoilAmendments_Data(), Table_SourceData_Scope3_SoilAmeliorants[[#Headers],[Category]], 0, 2)</calculatedColumnFormula>
    </tableColumn>
    <tableColumn id="2" xr3:uid="{CFF3A1BE-1503-4A46-899B-228E8F67CBD2}" name="Product" dataDxfId="267" dataCellStyle="Content normal">
      <calculatedColumnFormula array="1">Common_InputFunctions.Utility_DisplayArrayInTable(Scope3_SourceData.Scope3_SoilAmendments_Data(), Table_SourceData_Scope3_SoilAmeliorants[[#Headers],[Category]], 0, 2)</calculatedColumnFormula>
    </tableColumn>
    <tableColumn id="3" xr3:uid="{95164B6E-0C0E-4E21-BF0A-8AAF40FE474E}" name="Region of origin" dataDxfId="266" dataCellStyle="Content normal">
      <calculatedColumnFormula array="1">Common_InputFunctions.Utility_DisplayArrayInTable(Scope3_SourceData.Scope3_SoilAmendments_Data(), Table_SourceData_Scope3_SoilAmeliorants[[#Headers],[Category]], 0, 2)</calculatedColumnFormula>
    </tableColumn>
    <tableColumn id="8" xr3:uid="{C3232A53-A82E-4029-B0D7-D1A4590F065F}" name="Quantity Unit" dataDxfId="265" dataCellStyle="Content normal">
      <calculatedColumnFormula array="1">Common_InputFunctions.Utility_DisplayArrayInTable(Scope3_SourceData.Scope3_SoilAmendments_Data(), Table_SourceData_Scope3_SoilAmeliorants[[#Headers],[Category]], 0, 2)</calculatedColumnFormula>
    </tableColumn>
    <tableColumn id="9" xr3:uid="{46331F2E-A4F6-4F9E-85B3-EE72261A0ACE}" name="Emissions intensity" dataDxfId="264" dataCellStyle="Content normal">
      <calculatedColumnFormula array="1">Common_InputFunctions.Utility_DisplayArrayInTable(Scope3_SourceData.Scope3_SoilAmendments_Data(), Table_SourceData_Scope3_SoilAmeliorants[[#Headers],[Category]], 0, 2)</calculatedColumnFormula>
    </tableColumn>
    <tableColumn id="10" xr3:uid="{332E9E5B-9E29-4363-9FA1-7386B6328D88}" name="System boundary" dataDxfId="263" dataCellStyle="Content normal">
      <calculatedColumnFormula array="1">Common_InputFunctions.Utility_DisplayArrayInTable(Scope3_SourceData.Scope3_SoilAmendments_Data(), Table_SourceData_Scope3_SoilAmeliorants[[#Headers],[Category]], 0, 2)</calculatedColumnFormula>
    </tableColumn>
    <tableColumn id="4" xr3:uid="{42FA3D14-7710-4123-8D4B-1F53AE9D4143}" name="Source" dataDxfId="262"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A9E0D426-DD6B-4513-A1DE-59854CAC7BEB}" name="Table_SourceData_Scope3_ChemicalsPharmacy" displayName="Table_SourceData_Scope3_ChemicalsPharmacy" ref="D82:J86" totalsRowShown="0" dataDxfId="261"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E620E79-523C-4223-B4F6-B01B659D5EF6}" name="Category" dataDxfId="260" dataCellStyle="Content normal">
      <calculatedColumnFormula array="1">Common_InputFunctions.Utility_DisplayArrayInTable(Scope3_SourceData.Scope3_Chemicals_Data(), Table_SourceData_Scope3_ChemicalsPharmacy[[#Headers],[Category]], -3, 2)</calculatedColumnFormula>
    </tableColumn>
    <tableColumn id="2" xr3:uid="{2181FC24-52BD-4828-B6AF-3B91477ACA42}" name="Product" dataDxfId="259" dataCellStyle="Content normal">
      <calculatedColumnFormula array="1">Common_InputFunctions.Utility_DisplayArrayInTable(Scope3_SourceData.Scope3_Chemicals_Data(), Table_SourceData_Scope3_ChemicalsPharmacy[[#Headers],[Category]], -3, 2)</calculatedColumnFormula>
    </tableColumn>
    <tableColumn id="3" xr3:uid="{C3385B10-B028-4BA7-A6FE-92BDEE7CD89B}" name="Region of origin" dataDxfId="258" dataCellStyle="Content normal">
      <calculatedColumnFormula array="1">Common_InputFunctions.Utility_DisplayArrayInTable(Scope3_SourceData.Scope3_Chemicals_Data(), Table_SourceData_Scope3_ChemicalsPharmacy[[#Headers],[Category]], -3, 2)</calculatedColumnFormula>
    </tableColumn>
    <tableColumn id="8" xr3:uid="{E1FA048E-E8DB-40EA-B92C-9D09B9D482C9}" name="Quantity Unit" dataDxfId="257" dataCellStyle="Content normal">
      <calculatedColumnFormula array="1">Common_InputFunctions.Utility_DisplayArrayInTable(Scope3_SourceData.Scope3_Chemicals_Data(), Table_SourceData_Scope3_ChemicalsPharmacy[[#Headers],[Category]], -3, 2)</calculatedColumnFormula>
    </tableColumn>
    <tableColumn id="9" xr3:uid="{81BEBD17-B463-42B5-BE2B-812105CBC436}" name="Emissions intensity" dataDxfId="256" dataCellStyle="Content normal">
      <calculatedColumnFormula array="1">Common_InputFunctions.Utility_DisplayArrayInTable(Scope3_SourceData.Scope3_Chemicals_Data(), Table_SourceData_Scope3_ChemicalsPharmacy[[#Headers],[Category]], -3, 2)</calculatedColumnFormula>
    </tableColumn>
    <tableColumn id="10" xr3:uid="{669C5ECD-A3A5-43D8-BCF7-35AAAF34FE32}" name="System boundary" dataDxfId="255" dataCellStyle="Content normal">
      <calculatedColumnFormula array="1">Common_InputFunctions.Utility_DisplayArrayInTable(Scope3_SourceData.Scope3_Chemicals_Data(), Table_SourceData_Scope3_ChemicalsPharmacy[[#Headers],[Category]], -3, 2)</calculatedColumnFormula>
    </tableColumn>
    <tableColumn id="4" xr3:uid="{8B69D533-7E8E-4C8A-91F0-0968E32DFB28}" name="Source" dataDxfId="254"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D4DBBE4-387F-47EA-8219-10D7A5179F5C}" name="Table_SourceData_Scope3_LickBlocks" displayName="Table_SourceData_Scope3_LickBlocks" ref="D167:J170" totalsRowShown="0" headerRowDxfId="253"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FBDD56-EBD4-48F5-8AFB-6AEB564765A3}" name="Category" dataDxfId="252" dataCellStyle="Content normal">
      <calculatedColumnFormula array="1">Common_InputFunctions.Utility_DisplayArrayInTable(Scope3_SourceData.Scope3_Feed_Data(), Table_SourceData_Scope3_LickBlocks[[#Headers],[Category]], -73, 2)</calculatedColumnFormula>
    </tableColumn>
    <tableColumn id="2" xr3:uid="{EFC13CDD-C53B-42DC-8364-85F827EB68C5}" name="Product" dataDxfId="251" dataCellStyle="Content normal">
      <calculatedColumnFormula array="1">Common_InputFunctions.Utility_DisplayArrayInTable(Scope3_SourceData.Scope3_Feed_Data(), Table_SourceData_Scope3_LickBlocks[[#Headers],[Category]], -73, 2)</calculatedColumnFormula>
    </tableColumn>
    <tableColumn id="3" xr3:uid="{CC4FA30D-08A3-434B-AE3E-800ABE81B713}" name="Region of origin" dataDxfId="250" dataCellStyle="Content normal">
      <calculatedColumnFormula array="1">Common_InputFunctions.Utility_DisplayArrayInTable(Scope3_SourceData.Scope3_Feed_Data(), Table_SourceData_Scope3_LickBlocks[[#Headers],[Category]], -73, 2)</calculatedColumnFormula>
    </tableColumn>
    <tableColumn id="4" xr3:uid="{EF060346-D2CE-4CAB-8BD8-F6434EC0CED3}" name="Quantity Unit" dataDxfId="249" dataCellStyle="Content normal">
      <calculatedColumnFormula array="1">Common_InputFunctions.Utility_DisplayArrayInTable(Scope3_SourceData.Scope3_Feed_Data(), Table_SourceData_Scope3_LickBlocks[[#Headers],[Category]], -73, 2)</calculatedColumnFormula>
    </tableColumn>
    <tableColumn id="5" xr3:uid="{8A7EEF3D-93FC-4AD0-955A-42C766BC6682}" name="Emissions intensity" dataDxfId="248" dataCellStyle="Content normal">
      <calculatedColumnFormula array="1">Common_InputFunctions.Utility_DisplayArrayInTable(Scope3_SourceData.Scope3_Feed_Data(), Table_SourceData_Scope3_LickBlocks[[#Headers],[Category]], -73, 2)</calculatedColumnFormula>
    </tableColumn>
    <tableColumn id="6" xr3:uid="{53E6842F-1E53-45D8-A3FB-CB99C7413EBF}" name="System boundary" dataDxfId="247" dataCellStyle="Content normal">
      <calculatedColumnFormula array="1">Common_InputFunctions.Utility_DisplayArrayInTable(Scope3_SourceData.Scope3_Feed_Data(), Table_SourceData_Scope3_LickBlocks[[#Headers],[Category]], -73, 2)</calculatedColumnFormula>
    </tableColumn>
    <tableColumn id="7" xr3:uid="{DD6F0FAB-68DB-4B71-865B-622873314955}" name="Source" dataDxfId="246"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9277CDEB-00F0-4065-B483-9B1E25C8D285}" name="Table_SourceData_Scope3_MixedRations" displayName="Table_SourceData_Scope3_MixedRations" ref="D161:J165" totalsRowShown="0" headerRowDxfId="245"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03893B4-71EE-45F9-9130-106862F46A48}" name="Category" dataDxfId="244" dataCellStyle="Content normal">
      <calculatedColumnFormula array="1">Common_InputFunctions.Utility_DisplayArrayInTable(Scope3_SourceData.Scope3_Feed_Data(), Table_SourceData_Scope3_MixedRations[[#Headers],[Category]], -66, 2)</calculatedColumnFormula>
    </tableColumn>
    <tableColumn id="2" xr3:uid="{0B92AC75-46CD-4098-A0BF-FFF9BF752C40}" name="Product" dataDxfId="243" dataCellStyle="Content normal">
      <calculatedColumnFormula array="1">Common_InputFunctions.Utility_DisplayArrayInTable(Scope3_SourceData.Scope3_Feed_Data(), Table_SourceData_Scope3_MixedRations[[#Headers],[Category]], -66, 2)</calculatedColumnFormula>
    </tableColumn>
    <tableColumn id="3" xr3:uid="{DADAD231-9489-4EE3-B37E-239F8B9B8B5B}" name="Region of origin" dataDxfId="242" dataCellStyle="Content normal">
      <calculatedColumnFormula array="1">Common_InputFunctions.Utility_DisplayArrayInTable(Scope3_SourceData.Scope3_Feed_Data(), Table_SourceData_Scope3_MixedRations[[#Headers],[Category]], -66, 2)</calculatedColumnFormula>
    </tableColumn>
    <tableColumn id="4" xr3:uid="{96E4F7A6-CA00-4ECA-BD4B-5FB9CFAC16B8}" name="Quantity Unit" dataDxfId="241" dataCellStyle="Content normal">
      <calculatedColumnFormula array="1">Common_InputFunctions.Utility_DisplayArrayInTable(Scope3_SourceData.Scope3_Feed_Data(), Table_SourceData_Scope3_MixedRations[[#Headers],[Category]], -66, 2)</calculatedColumnFormula>
    </tableColumn>
    <tableColumn id="5" xr3:uid="{BE926450-B6A1-4D2F-9F00-7A6E987CE601}" name="Emissions intensity" dataDxfId="240" dataCellStyle="Content normal">
      <calculatedColumnFormula array="1">Common_InputFunctions.Utility_DisplayArrayInTable(Scope3_SourceData.Scope3_Feed_Data(), Table_SourceData_Scope3_MixedRations[[#Headers],[Category]], -66, 2)</calculatedColumnFormula>
    </tableColumn>
    <tableColumn id="6" xr3:uid="{4C3F7464-60AD-42D1-A52A-162F424A7F23}" name="System boundary" dataDxfId="239" dataCellStyle="Content normal">
      <calculatedColumnFormula array="1">Common_InputFunctions.Utility_DisplayArrayInTable(Scope3_SourceData.Scope3_Feed_Data(), Table_SourceData_Scope3_MixedRations[[#Headers],[Category]], -66, 2)</calculatedColumnFormula>
    </tableColumn>
    <tableColumn id="7" xr3:uid="{8F5739E7-0F15-45E9-8177-839C02D4D1F3}" name="Source" dataDxfId="238"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C9BB050-60BC-4088-A744-2BC74FEBC1B7}"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A8496F83-ABBB-4B81-984F-A00864556891}" name="Product">
      <calculatedColumnFormula>Table_SourceData_Scope3_FishFeedAndBait[[#This Row],[Product]]</calculatedColumnFormula>
    </tableColumn>
    <tableColumn id="2" xr3:uid="{7DC0FE88-1BD7-4B45-8776-DC64963AE6A2}"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560075E-1AA1-4804-91C3-8FEE17CF226F}"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1769FF1C-9907-4C16-8F1E-240D12A75E40}" name="Product">
      <calculatedColumnFormula>Table_SourceData_Scope3_Feed[[#This Row],[Product]]</calculatedColumnFormula>
    </tableColumn>
    <tableColumn id="2" xr3:uid="{FB4CBD60-FE2F-4145-878B-62523B057CBE}"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E79F046-11CB-42CC-975D-BD155166AA77}" name="Table_ProductRegions_Maizegrain" displayName="Table_ProductRegions_Maizegrain" ref="L97:M104" totalsRowShown="0" headerRowDxfId="237" headerRowCellStyle="Content normal">
  <autoFilter ref="L97:M104" xr:uid="{70F320A7-5DBE-4A83-91E4-C9B3BDA564BD}">
    <filterColumn colId="0" hiddenButton="1"/>
    <filterColumn colId="1" hiddenButton="1"/>
  </autoFilter>
  <tableColumns count="2">
    <tableColumn id="1" xr3:uid="{E995DEFF-7B4A-4B3C-87EC-C1FBB65275C9}" name="Product">
      <calculatedColumnFormula>Table_SourceData_Scope3_Feed[[#This Row],[Product]]</calculatedColumnFormula>
    </tableColumn>
    <tableColumn id="2" xr3:uid="{E27B8333-E5EC-4D13-89D0-969C5616263D}"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5E8462C7-03D0-4D69-9C09-28DE86D7B607}" name="Table_ProductRegions_Sorghumgrain" displayName="Table_ProductRegions_Sorghumgrain" ref="O104:P109" totalsRowShown="0" headerRowDxfId="236" headerRowCellStyle="Content normal">
  <autoFilter ref="O104:P109" xr:uid="{90205417-8A77-41A3-A4E2-624BD92B7269}">
    <filterColumn colId="0" hiddenButton="1"/>
    <filterColumn colId="1" hiddenButton="1"/>
  </autoFilter>
  <tableColumns count="2">
    <tableColumn id="1" xr3:uid="{22E3CC4D-8C66-471E-BC1F-8C31C34A189F}" name="Product">
      <calculatedColumnFormula>Table_SourceData_Scope3_Feed[[#This Row],[Product]]</calculatedColumnFormula>
    </tableColumn>
    <tableColumn id="2" xr3:uid="{2EED7801-0503-483E-B6E2-A9F0622F03B7}"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583BBFC-AFF7-45F2-8556-CC412BBC0340}" name="Table_ProductRegions_Wheatgrain" displayName="Table_ProductRegions_Wheatgrain" ref="L109:M117" totalsRowShown="0" headerRowDxfId="235" headerRowCellStyle="Content normal">
  <autoFilter ref="L109:M117" xr:uid="{9DD7D3AD-59A1-48FC-B80D-99C25A2A79F5}">
    <filterColumn colId="0" hiddenButton="1"/>
    <filterColumn colId="1" hiddenButton="1"/>
  </autoFilter>
  <tableColumns count="2">
    <tableColumn id="1" xr3:uid="{39F76E74-5156-4211-B788-E0C5D39310E7}" name="Product">
      <calculatedColumnFormula>Table_SourceData_Scope3_Feed[[#This Row],[Product]]</calculatedColumnFormula>
    </tableColumn>
    <tableColumn id="2" xr3:uid="{FC61A80D-021A-495C-A9B5-B8D6E78424BA}"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8288F33-DD1D-40CB-93CA-6610AC1484DE}"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4B975DEF-643B-4BF4-B563-1AAC4914B526}" name="Product">
      <calculatedColumnFormula>Table_SourceData_Scope3_Feed[[#This Row],[Product]]</calculatedColumnFormula>
    </tableColumn>
    <tableColumn id="2" xr3:uid="{3AB9AB47-3107-4045-AAB0-2183079DD64E}"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835D6FB7-6088-45C1-ACA9-62802E8EF076}"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FF940CAA-3C19-4B71-BF24-44C9555402FC}" name="Product">
      <calculatedColumnFormula>Table_SourceData_Scope3_Feed[[#This Row],[Product]]</calculatedColumnFormula>
    </tableColumn>
    <tableColumn id="2" xr3:uid="{2907DA12-73B7-429E-8EBB-16B9230E71F7}"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D5E78F3B-3A34-4C5E-83DC-242B51C86F14}"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0F824DEC-BDF6-430B-8622-DF2869AB2527}" name="Product">
      <calculatedColumnFormula>Table_SourceData_Scope3_Feed[[#This Row],[Product]]</calculatedColumnFormula>
    </tableColumn>
    <tableColumn id="2" xr3:uid="{D967D71E-A186-4D88-BF3F-49AF890216DA}"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902E8D8E-CB14-452A-9577-33F8B5C119B7}"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4B0AB70F-4943-4662-90A4-3C84138E805E}" name="Product">
      <calculatedColumnFormula>Table_SourceData_Scope3_Feed[[#This Row],[Product]]</calculatedColumnFormula>
    </tableColumn>
    <tableColumn id="2" xr3:uid="{341D9959-1835-4252-B8BF-B1FB16B46F37}"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C6334612-931E-4706-A7A6-CB690F5B814D}"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82E05C79-D082-410E-B58D-7270D14EB2C8}" name="Product">
      <calculatedColumnFormula>Table_SourceData_Scope3_Feed[[#This Row],[Product]]</calculatedColumnFormula>
    </tableColumn>
    <tableColumn id="2" xr3:uid="{1EB26E22-0829-47B8-B8DC-5E6394E74D4F}"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DEB6B40A-3A17-4A13-A0E8-20DDED86DADA}" name="Table_ProductRegions_Canolameal" displayName="Table_ProductRegions_Canolameal" ref="L150:M151" totalsRowShown="0" headerRowDxfId="234" headerRowCellStyle="Content normal" dataCellStyle="Content normal">
  <autoFilter ref="L150:M151" xr:uid="{58F78B6F-294E-4D4E-8E3B-BFE4FA85583E}">
    <filterColumn colId="0" hiddenButton="1"/>
    <filterColumn colId="1" hiddenButton="1"/>
  </autoFilter>
  <tableColumns count="2">
    <tableColumn id="1" xr3:uid="{6B377139-4653-4758-BFF6-314C02AC2CDB}" name="Product" dataCellStyle="Content normal">
      <calculatedColumnFormula>Table_SourceData_Scope3_Feed[[#This Row],[Product]]</calculatedColumnFormula>
    </tableColumn>
    <tableColumn id="2" xr3:uid="{77A16FBE-E120-4EBF-8FEB-CE9DCA08AA5E}"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FD0BD0D2-68C9-4C55-B4E3-3983E67608B4}"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AFE55470-CD03-4244-A1E2-8B0CFAB10ADE}" name="Product">
      <calculatedColumnFormula>Table_SourceData_Scope3_Feed[[#This Row],[Product]]</calculatedColumnFormula>
    </tableColumn>
    <tableColumn id="2" xr3:uid="{75BA8775-3050-47E4-8E45-3E375DF4C05F}"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D3A1614-D984-44A8-B6DE-635CAC03E544}"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AA96D3-BB28-4C1B-986D-548EA2C38986}" name="Product">
      <calculatedColumnFormula>Table_SourceData_Scope3_Feed[[#This Row],[Product]]</calculatedColumnFormula>
    </tableColumn>
    <tableColumn id="2" xr3:uid="{B8A659AF-8784-45A7-9593-24A4E0F231FA}"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C868EE8-F6B9-4431-84CC-D38120444C14}"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724E53C3-8646-48A6-9084-8C4CAEAE41A2}" name="Product">
      <calculatedColumnFormula>Table_SourceData_Scope3_Feed[[#This Row],[Product]]</calculatedColumnFormula>
    </tableColumn>
    <tableColumn id="2" xr3:uid="{3908D4E1-CC59-4FAE-B0C2-6A4A984ABFCC}"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A8A09AE-9D9B-4996-A621-7B753201360B}"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908D6374-E482-4399-8C02-C9E42AAD8528}" name="Product">
      <calculatedColumnFormula>Table_SourceData_Scope3_Feed[[#This Row],[Product]]</calculatedColumnFormula>
    </tableColumn>
    <tableColumn id="2" xr3:uid="{189F4966-255D-4FC2-A36A-4FDC7DE0D9D9}"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9180151-0DCB-4269-85C0-C812A475727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DAEC4F23-250B-4051-B3D4-E2E3210E8C00}" name="Product">
      <calculatedColumnFormula>Table_SourceData_Scope3_Feed[[#This Row],[Product]]</calculatedColumnFormula>
    </tableColumn>
    <tableColumn id="2" xr3:uid="{CCDF6092-F1F7-4FB5-A6A4-4E4946C88068}"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7FAFCD9-9E32-4D97-9A12-35872985AE7A}"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7D79A888-0D9D-42C8-91C9-206251683A95}" name="Product">
      <calculatedColumnFormula>Table_SourceData_Scope3_Feed[[#This Row],[Product]]</calculatedColumnFormula>
    </tableColumn>
    <tableColumn id="2" xr3:uid="{B69F4E4B-5782-4615-BC9E-6F568BB86771}"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1D31698B-282B-4B0A-88D4-7AF32D6B27AA}"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AE8F7CA9-5C18-44B9-9E3C-E52E692B474B}" name="Product">
      <calculatedColumnFormula>Table_SourceData_Scope3_Feed[[#This Row],[Product]]</calculatedColumnFormula>
    </tableColumn>
    <tableColumn id="2" xr3:uid="{63C9D230-B96A-45C3-91C2-2B18371CC7FC}"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535946AA-7BE2-4547-B99B-D6BF71C16942}"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7F8128EB-B14B-4347-AA65-A51F277652A1}" name="Region"/>
    <tableColumn id="2" xr3:uid="{04D5994E-79D8-4CD1-BDBE-5BF1324ADDD1}" name="Scope3 regio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95CB3C21-50DF-4A06-9C95-4793ED89297A}" name="Table_SourceData_Scope3_FishFeedAndBait" displayName="Table_SourceData_Scope3_FishFeedAndBait" ref="D241:J247" totalsRowShown="0" dataDxfId="233"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0FF817B-5BC4-414A-AAEC-6870B3AE3467}" name="Category" dataDxfId="232" dataCellStyle="Content normal">
      <calculatedColumnFormula array="1">Common_InputFunctions.Utility_DisplayArrayInTable(Scope3_SourceData.Scope3_FishFeedAndBait_Data(), Table_SourceData_Scope3_FishFeedAndBait[[#Headers],[Category]], 0, 1)</calculatedColumnFormula>
    </tableColumn>
    <tableColumn id="1" xr3:uid="{4FBC4C95-69FF-4861-A846-444EAAE03FAF}" name="Product" dataDxfId="231" dataCellStyle="Content normal">
      <calculatedColumnFormula array="1">Common_InputFunctions.Utility_DisplayArrayInTable(Scope3_SourceData.Scope3_FishFeedAndBait_Data(), Table_SourceData_Scope3_FishFeedAndBait[[#Headers],[Category]], 0, 1)</calculatedColumnFormula>
    </tableColumn>
    <tableColumn id="2" xr3:uid="{3F0316E9-C3AF-47A1-9154-6EBBFB873DB0}" name="Region of origin" dataDxfId="230" dataCellStyle="Content normal">
      <calculatedColumnFormula array="1">Common_InputFunctions.Utility_DisplayArrayInTable(Scope3_SourceData.Scope3_FishFeedAndBait_Data(), Table_SourceData_Scope3_FishFeedAndBait[[#Headers],[Category]], 0, 1)</calculatedColumnFormula>
    </tableColumn>
    <tableColumn id="3" xr3:uid="{81C8FA32-A340-47D1-B407-AC760AE9CE60}" name="Quantity Unit" dataDxfId="229" dataCellStyle="Content normal">
      <calculatedColumnFormula array="1">Common_InputFunctions.Utility_DisplayArrayInTable(Scope3_SourceData.Scope3_FishFeedAndBait_Data(), Table_SourceData_Scope3_FishFeedAndBait[[#Headers],[Category]], 0, 1)</calculatedColumnFormula>
    </tableColumn>
    <tableColumn id="4" xr3:uid="{27F49836-EA5E-428F-BC7E-147D6D2EC898}" name="Emissions intensity" dataDxfId="228" dataCellStyle="Content normal">
      <calculatedColumnFormula array="1">Common_InputFunctions.Utility_DisplayArrayInTable(Scope3_SourceData.Scope3_FishFeedAndBait_Data(), Table_SourceData_Scope3_FishFeedAndBait[[#Headers],[Category]], 0, 1)</calculatedColumnFormula>
    </tableColumn>
    <tableColumn id="5" xr3:uid="{3BF8D239-5983-4514-B06D-893A64F55698}" name="System boundary" dataDxfId="227" dataCellStyle="Content normal">
      <calculatedColumnFormula array="1">Common_InputFunctions.Utility_DisplayArrayInTable(Scope3_SourceData.Scope3_FishFeedAndBait_Data(), Table_SourceData_Scope3_FishFeedAndBait[[#Headers],[Category]], 0, 1)</calculatedColumnFormula>
    </tableColumn>
    <tableColumn id="8" xr3:uid="{581EA7AE-BD6B-4997-A85E-998F8CDBA8FA}" name="Source" dataDxfId="226" dataCellStyle="Content normal"/>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346DD78C-C4D3-4AD6-94D0-D37B9BF673CC}"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BCBD3CB-6340-45DD-B31E-874CEA9F4ED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9C24CB20-12A0-4DB5-97E0-A69AC4C0450A}" name="Waste type w" dataDxfId="2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E01D858-C114-467B-A1E3-23555A2805EC}" name="EFwt" dataDxfId="2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422A19BC-9ABD-4B71-B9D0-D0300E256C4A}" name="EF source" dataDxfId="2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F9642128-61B9-4CC2-B5BA-9EDEA446864F}"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9D0F50FF-1199-4B94-A289-DE9BB23C9E78}"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2487C52-CC4A-4F50-926C-8B6649189679}" name="VTMw" dataDxfId="2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C27096C-0DEC-40C7-9621-B3B0313D5315}" name="Table_WasteTypes_Landfill" displayName="Table_WasteTypes_Landfill" ref="I16:I27" totalsRowShown="0">
  <autoFilter ref="I16:I27" xr:uid="{99B942E3-1D24-4166-921C-DCC10960718D}">
    <filterColumn colId="0" hiddenButton="1"/>
  </autoFilter>
  <tableColumns count="1">
    <tableColumn id="1" xr3:uid="{26F5803A-CA22-40DC-A8D6-7A7738C86CCC}"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6ABF4EE-E77C-450E-A3CA-CDE59CAD78EC}" name="Table_WasteTypes_Incineration" displayName="Table_WasteTypes_Incineration" ref="K16:K26" totalsRowShown="0" headerRowDxfId="221" headerRowCellStyle="Content normal" dataCellStyle="Content normal">
  <autoFilter ref="K16:K26" xr:uid="{9A900595-7035-4239-9059-ACC16835BF72}">
    <filterColumn colId="0" hiddenButton="1"/>
  </autoFilter>
  <tableColumns count="1">
    <tableColumn id="1" xr3:uid="{BFF7F76A-1FAB-478A-85BA-24A8C65B410B}" name="Waste type w" dataCellStyle="Content normal">
      <calculatedColumnFormula>E29</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D9EAEC89-3018-4075-8380-AA3410E1B063}" name="Table_WasteTypes_Composting" displayName="Table_WasteTypes_Composting" ref="M16:M21" totalsRowShown="0" headerRowDxfId="220" headerRowCellStyle="Content normal" dataCellStyle="Content normal">
  <autoFilter ref="M16:M21" xr:uid="{5C8D39D3-1330-49EB-B431-1B2B8C8238DC}">
    <filterColumn colId="0" hiddenButton="1"/>
  </autoFilter>
  <tableColumns count="1">
    <tableColumn id="1" xr3:uid="{BEE054D0-924A-4734-9D78-0B29100C40E2}" name="Waste type w" totalsRowDxfId="219" dataCellStyle="Content normal">
      <calculatedColumnFormula>E40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F6C7C7E-1657-44F1-A836-E3E735EDFC81}" name="Table_WasteTypes_Anaerobicdigestion" displayName="Table_WasteTypes_Anaerobicdigestion" ref="O16:O21" totalsRowShown="0" headerRowDxfId="218" headerRowCellStyle="Content normal" dataCellStyle="Content normal">
  <autoFilter ref="O16:O21" xr:uid="{331EC43E-DF68-429F-A2A4-58BFE6216EC3}">
    <filterColumn colId="0" hiddenButton="1"/>
  </autoFilter>
  <tableColumns count="1">
    <tableColumn id="1" xr3:uid="{00276ADA-4018-4801-A689-B706FBCDCC04}" name="Waste type w" totalsRowDxfId="217" dataCellStyle="Content normal">
      <calculatedColumnFormula>E46</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06"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5"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4"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3"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9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9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9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0" dataCellStyle="Content normal"/>
    <tableColumn id="2" xr3:uid="{A467D3D2-FAE8-4B4F-AD2F-273B449008EF}" name="Description" dataDxfId="179"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78"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77"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76"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C2B031C5-4582-4857-B5BF-330D14F730BD}" name="Table_Input_InorganicFertiliser_Brands" displayName="Table_Input_InorganicFertiliser_Brands" ref="D11:Z21" headerRowDxfId="175" dataDxfId="174" totalsRowDxfId="17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C9DD6DBF-F3E5-4002-B3C8-E1449B0BA510}" name="Product (select)" dataDxfId="172" totalsRowDxfId="171" dataCellStyle="Input select"/>
    <tableColumn id="23" xr3:uid="{9A98AE74-719E-4596-B7BD-9A10BD5A9E48}" name="Amount applied per hectare" totalsRowFunction="custom" dataDxfId="170" totalsRowDxfId="169">
      <totalsRowFormula>SUM(Table_Input_InorganicFertiliser_Brands[[#Headers],[#Data],[Amount applied per hectare]])</totalsRowFormula>
    </tableColumn>
    <tableColumn id="12" xr3:uid="{68C7E3A4-6D62-4F23-9B72-29CACB7EFB7F}" name="Application unit" dataDxfId="168" totalsRowDxfId="167" dataCellStyle="Input number 2 decimal places"/>
    <tableColumn id="6" xr3:uid="{E030A999-C6A6-4D8C-A959-0D11E67AF07A}" name="Application area (ha)" dataDxfId="166" totalsRowDxfId="165">
      <calculatedColumnFormula>X_Cell_Fertiliser_AreaUnderCropping</calculatedColumnFormula>
    </tableColumn>
    <tableColumn id="9" xr3:uid="{3AD1BB0B-7A2C-4991-AEF5-6E7CCCBDB7E8}" name="Density" dataDxfId="164" totalsRowDxfId="163" dataCellStyle="Input number general calculated"/>
    <tableColumn id="1" xr3:uid="{44ECDED2-5623-4C77-9145-10A8EB514B60}" name="Total applied (kg)" dataDxfId="162" totalsRowDxfId="16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2E85AEF4-D0CB-48B5-BA45-71EE5E41CFE0}" name="Ingredient 1" dataDxfId="160" totalsRowDxfId="159" dataCellStyle="Input number general calculated"/>
    <tableColumn id="4" xr3:uid="{46DE2437-1915-41B3-B8F4-E98870E5E5A7}" name="Ingredient 1 percent" dataDxfId="158" dataCellStyle="Input number general calculated"/>
    <tableColumn id="7" xr3:uid="{BA582D4C-B299-4BF4-B7DC-49D3042EEA08}" name="Ingredient 2" dataDxfId="157" dataCellStyle="Input number general calculated"/>
    <tableColumn id="8" xr3:uid="{EC26E9E5-EE52-45D3-BE02-2683132D29DC}" name="Ingredient 2 percent" dataDxfId="156" totalsRowDxfId="155" dataCellStyle="Input number general calculated"/>
    <tableColumn id="10" xr3:uid="{26B5BCAF-7DB4-4095-86DE-120E3385A945}" name="Ingredient 3" dataDxfId="154" totalsRowDxfId="153" dataCellStyle="Input number general calculated"/>
    <tableColumn id="11" xr3:uid="{4796A4BC-D04F-4C3A-8717-5E3F3868F423}" name="Ingredient 3 percent" dataDxfId="152" totalsRowDxfId="151" dataCellStyle="Input number general calculated"/>
    <tableColumn id="13" xr3:uid="{F57FE788-3FBF-42CD-A779-F4048746719E}" name="Ingredient 4" dataDxfId="150" totalsRowDxfId="149" dataCellStyle="Input number general calculated"/>
    <tableColumn id="14" xr3:uid="{542874DD-1B48-4753-8F67-670C8405955C}" name="Ingredient 4 percent" dataDxfId="148" dataCellStyle="Input number general calculated"/>
    <tableColumn id="16" xr3:uid="{49309FAD-7D05-428E-928F-D7ABEAD8AC16}" name="Ingredient 5" dataDxfId="147" dataCellStyle="Input number general calculated"/>
    <tableColumn id="17" xr3:uid="{966B6A0B-3A78-4475-88D8-1A1145BDA493}" name="Ingredient 5 percent" dataDxfId="146" dataCellStyle="Input number general calculated"/>
    <tableColumn id="19" xr3:uid="{144C6080-552E-4D1A-9FFF-5AC528E6E4C0}" name="Ingredient 6" dataDxfId="145" dataCellStyle="Input number general calculated"/>
    <tableColumn id="20" xr3:uid="{8679F667-C0DA-493D-8E42-FFBB1983DF6E}" name="Ingredient 6 percent" dataDxfId="144" dataCellStyle="Input number general calculated"/>
    <tableColumn id="21" xr3:uid="{3FB5EFDC-4867-4F9B-ADC8-D92985CB5A20}" name="% N (Ingredients)" dataDxfId="143" dataCellStyle="Input number general calculated"/>
    <tableColumn id="22" xr3:uid="{4958E751-F9CA-42F0-B789-DC3ED51D2F86}" name="% N (declared)" dataDxfId="142" dataCellStyle="Content normal"/>
    <tableColumn id="5" xr3:uid="{F4135F4B-4D9A-4AAE-98A8-17186856A526}" name="N application rate (kg/ha)" dataDxfId="141" totalsRowDxfId="14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FD6528C-E1DF-432B-A03B-D402179E7E8C}" name="Urea source" dataDxfId="139" totalsRowDxfId="138" dataCellStyle="Input number general calculated"/>
    <tableColumn id="18" xr3:uid="{70D768D9-C193-4D5F-B12A-ED3B0D89B148}" name="Ammonia source" dataDxfId="137" totalsRowDxfId="136" dataCellStyle="Input number general calculated"/>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22FEE52C-5ADE-4402-94A8-4AFBD0CD7150}" name="Table_Input_InorganicFertiliser_Custom" displayName="Table_Input_InorganicFertiliser_Custom" ref="D24:R34" totalsRowShown="0" headerRowDxfId="135" dataDxfId="13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3210F14-F843-4855-8F7D-442108AE11B9}" name="Custom blend name" dataCellStyle="Input text"/>
    <tableColumn id="2" xr3:uid="{D6B51BC9-BBD5-4A9F-98BC-7E875BE5E8BC}" name="Amount applied (kg / ha)" dataDxfId="133"/>
    <tableColumn id="3" xr3:uid="{CBA9B2FC-41DA-4B31-ACCE-43819F530F67}" name="Application area (ha)" dataDxfId="132" dataCellStyle="Input number 2 decimal places">
      <calculatedColumnFormula>X_Cell_Fertiliser_AreaUnderCropping</calculatedColumnFormula>
    </tableColumn>
    <tableColumn id="4" xr3:uid="{52AD9D6B-8BEB-4329-9B37-695DAB410238}" name="Total applied (kg)" dataDxfId="131" dataCellStyle="Input number general calculated">
      <calculatedColumnFormula>Table_Input_InorganicFertiliser_Custom[[#This Row],[Amount applied (kg / ha)]]*Table_Input_InorganicFertiliser_Custom[[#This Row],[Application area (ha)]]</calculatedColumnFormula>
    </tableColumn>
    <tableColumn id="5" xr3:uid="{1915D245-5B43-446A-9BF1-E9278AD6A6C4}" name="Ingredient 1 (select)" dataDxfId="130" dataCellStyle="Input select"/>
    <tableColumn id="6" xr3:uid="{9A0E629A-660A-4B4F-A6CA-0009B8F5E5ED}" name="Ingredient 1 percent" dataDxfId="129"/>
    <tableColumn id="8" xr3:uid="{A58000F4-DDD9-4359-8CA7-72F23C15D291}" name="Ingredient 2" dataDxfId="128" dataCellStyle="Input select"/>
    <tableColumn id="9" xr3:uid="{C42A12FF-CC27-499C-95E3-6425A9AF3C9E}" name="Ingredient 2 percent" dataDxfId="127"/>
    <tableColumn id="11" xr3:uid="{9CB767E3-0B6F-4276-BBAC-B8B6428FCD4A}" name="Ingredient 3" dataDxfId="126" dataCellStyle="Input select"/>
    <tableColumn id="12" xr3:uid="{6C0C5168-7445-4C13-A95B-1DE99CE7D961}" name="Ingredient 3 percent" dataDxfId="125"/>
    <tableColumn id="14" xr3:uid="{9DFDCCEF-54BF-4EB8-AC2A-01DC0FDFA748}" name="Ingredient 4" dataDxfId="124" dataCellStyle="Input select"/>
    <tableColumn id="15" xr3:uid="{1B305F3A-1071-4AFC-8363-83D4A75A747B}" name="Ingredient 4 percent" dataCellStyle="Input percent"/>
    <tableColumn id="7" xr3:uid="{F6C0199A-1A50-41AD-951B-4FD61CF72E37}" name="N application rate (kg/ha)" dataDxfId="123" dataCellStyle="Input number general calculated"/>
    <tableColumn id="10" xr3:uid="{1085AE32-3174-4989-9723-76EB86F1B2B2}" name="Urea source (Select)" dataCellStyle="Input select"/>
    <tableColumn id="13" xr3:uid="{31281A1A-0216-4366-885B-C85F3FFEE78B}" name="Ammonia source (select)" dataCellStyle="Input select"/>
  </tableColumns>
  <tableStyleInfo name="Editable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45BDE2E-B24D-4775-A0CA-4FD0C4E77B6C}" name="Table_Input_Lime" displayName="Table_Input_Lime" ref="D41:K44" totalsRowShown="0" headerRowDxfId="122" dataDxfId="12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FAFE42C-73B9-4FF1-9266-2E218F905FAD}" name="Product" dataDxfId="120"/>
    <tableColumn id="2" xr3:uid="{A19D455F-1C28-46B7-A40B-9A8024EE7C61}" name="Amount applied (t/hectare)" dataDxfId="119"/>
    <tableColumn id="4" xr3:uid="{64D87CA8-65D2-41FE-B01C-DAD4DAD8C42A}" name="Application area (ha)" dataDxfId="118" dataCellStyle="Input number 2 decimal places">
      <calculatedColumnFormula>X_Cell_Fertiliser_AreaUnderCropping</calculatedColumnFormula>
    </tableColumn>
    <tableColumn id="3" xr3:uid="{621C9E0E-46CB-4581-A7BE-6BA6F2A3BA1E}" name="Total amount applied (t)" dataDxfId="117" dataCellStyle="Input number general calculated">
      <calculatedColumnFormula>IFERROR(Table_Input_Lime[[#This Row],[Amount applied (t/hectare)]]*Table_Input_Lime[[#This Row],[Application area (ha)]], 0)</calculatedColumnFormula>
    </tableColumn>
    <tableColumn id="6" xr3:uid="{D3A30792-8A83-4C93-9D7E-575F7E64F021}" name="Percent Lime CaCO3" dataDxfId="116"/>
    <tableColumn id="8" xr3:uid="{94DF78DF-B111-42E7-AD5E-0CCCB01B5716}" name="Percent Dolomite CaMg(CO3)2" dataDxfId="115"/>
    <tableColumn id="7" xr3:uid="{6D04C486-46DF-4CBB-992D-CBBD6E22E22D}" name="Percent Gypsum" dataDxfId="114"/>
    <tableColumn id="10" xr3:uid="{2AB499A2-F818-44CF-AC32-26970BA11154}" name="Total" dataDxfId="11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0505D85-B318-4950-8068-DC0AE3DDB647}" name="Table_Input_OrganicFertiliser" displayName="Table_Input_OrganicFertiliser" ref="D53:J56" totalsRowShown="0" headerRowDxfId="112" dataDxfId="11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C14D3A4-915F-40EF-9FB0-11390CA1DEBB}" name="Organic fertiliser type (select)" dataDxfId="110" dataCellStyle="Input select"/>
    <tableColumn id="5" xr3:uid="{CF1CAC54-A49C-4C8A-9B08-8FB25A18E307}" name="Percentage of N in fertiliser" dataDxfId="109"/>
    <tableColumn id="2" xr3:uid="{22A7CB51-F70E-4689-84D1-36F8F6A7DE95}" name="Amount applied (kg/hectare)" dataDxfId="108"/>
    <tableColumn id="11" xr3:uid="{15F005C8-5888-413D-84B0-6FC9FE00173C}" name="Amount N applied (kg/hectare)" dataDxfId="107" dataCellStyle="Input number general calculated">
      <calculatedColumnFormula>Table_Input_OrganicFertiliser[[#This Row],[Amount applied (kg/hectare)]]*Table_Input_OrganicFertiliser[[#This Row],[Percentage of N in fertiliser]]</calculatedColumnFormula>
    </tableColumn>
    <tableColumn id="4" xr3:uid="{FEA77B16-3287-41D3-8D3A-350A9770650F}" name="Application area (ha)" dataDxfId="106" dataCellStyle="Input number 2 decimal places">
      <calculatedColumnFormula>X_Cell_Fertiliser_AreaUnderCropping</calculatedColumnFormula>
    </tableColumn>
    <tableColumn id="7" xr3:uid="{C4483DB3-5262-4DE6-B956-324A24D5DF3E}" name="Total organic fertliser applied" dataDxfId="105" dataCellStyle="Input number general calculated">
      <calculatedColumnFormula>Table_Input_OrganicFertiliser[[#This Row],[Amount applied (kg/hectare)]]*Table_Input_OrganicFertiliser[[#This Row],[Application area (ha)]]</calculatedColumnFormula>
    </tableColumn>
    <tableColumn id="3" xr3:uid="{6A876F6D-2664-48CC-8411-8BBD66B9E5FC}" name="Total nitrogen applied (kg)" dataDxfId="10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table" Target="../tables/table36.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44.xml"/><Relationship Id="rId3" Type="http://schemas.openxmlformats.org/officeDocument/2006/relationships/table" Target="../tables/table39.xml"/><Relationship Id="rId7" Type="http://schemas.openxmlformats.org/officeDocument/2006/relationships/table" Target="../tables/table43.xml"/><Relationship Id="rId12" Type="http://schemas.openxmlformats.org/officeDocument/2006/relationships/table" Target="../tables/table48.xml"/><Relationship Id="rId2" Type="http://schemas.openxmlformats.org/officeDocument/2006/relationships/table" Target="../tables/table38.xml"/><Relationship Id="rId1" Type="http://schemas.openxmlformats.org/officeDocument/2006/relationships/printerSettings" Target="../printerSettings/printerSettings16.bin"/><Relationship Id="rId6" Type="http://schemas.openxmlformats.org/officeDocument/2006/relationships/table" Target="../tables/table42.xml"/><Relationship Id="rId11" Type="http://schemas.openxmlformats.org/officeDocument/2006/relationships/table" Target="../tables/table47.xml"/><Relationship Id="rId5" Type="http://schemas.openxmlformats.org/officeDocument/2006/relationships/table" Target="../tables/table41.xml"/><Relationship Id="rId10" Type="http://schemas.openxmlformats.org/officeDocument/2006/relationships/table" Target="../tables/table46.xml"/><Relationship Id="rId4" Type="http://schemas.openxmlformats.org/officeDocument/2006/relationships/table" Target="../tables/table40.xml"/><Relationship Id="rId9" Type="http://schemas.openxmlformats.org/officeDocument/2006/relationships/table" Target="../tables/table45.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51.xml"/><Relationship Id="rId7" Type="http://schemas.openxmlformats.org/officeDocument/2006/relationships/table" Target="../tables/table55.xml"/><Relationship Id="rId2" Type="http://schemas.openxmlformats.org/officeDocument/2006/relationships/table" Target="../tables/table50.xml"/><Relationship Id="rId1" Type="http://schemas.openxmlformats.org/officeDocument/2006/relationships/table" Target="../tables/table49.xml"/><Relationship Id="rId6" Type="http://schemas.openxmlformats.org/officeDocument/2006/relationships/table" Target="../tables/table54.xml"/><Relationship Id="rId5" Type="http://schemas.openxmlformats.org/officeDocument/2006/relationships/table" Target="../tables/table53.xml"/><Relationship Id="rId4" Type="http://schemas.openxmlformats.org/officeDocument/2006/relationships/table" Target="../tables/table52.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63.xml"/><Relationship Id="rId13" Type="http://schemas.openxmlformats.org/officeDocument/2006/relationships/table" Target="../tables/table68.xml"/><Relationship Id="rId18" Type="http://schemas.openxmlformats.org/officeDocument/2006/relationships/table" Target="../tables/table73.xml"/><Relationship Id="rId26" Type="http://schemas.openxmlformats.org/officeDocument/2006/relationships/table" Target="../tables/table81.xml"/><Relationship Id="rId3" Type="http://schemas.openxmlformats.org/officeDocument/2006/relationships/table" Target="../tables/table58.xml"/><Relationship Id="rId21" Type="http://schemas.openxmlformats.org/officeDocument/2006/relationships/table" Target="../tables/table76.xml"/><Relationship Id="rId7" Type="http://schemas.openxmlformats.org/officeDocument/2006/relationships/table" Target="../tables/table62.xml"/><Relationship Id="rId12" Type="http://schemas.openxmlformats.org/officeDocument/2006/relationships/table" Target="../tables/table67.xml"/><Relationship Id="rId17" Type="http://schemas.openxmlformats.org/officeDocument/2006/relationships/table" Target="../tables/table72.xml"/><Relationship Id="rId25" Type="http://schemas.openxmlformats.org/officeDocument/2006/relationships/table" Target="../tables/table80.xml"/><Relationship Id="rId2" Type="http://schemas.openxmlformats.org/officeDocument/2006/relationships/table" Target="../tables/table57.xml"/><Relationship Id="rId16" Type="http://schemas.openxmlformats.org/officeDocument/2006/relationships/table" Target="../tables/table71.xml"/><Relationship Id="rId20" Type="http://schemas.openxmlformats.org/officeDocument/2006/relationships/table" Target="../tables/table75.xml"/><Relationship Id="rId29" Type="http://schemas.openxmlformats.org/officeDocument/2006/relationships/table" Target="../tables/table84.xml"/><Relationship Id="rId1" Type="http://schemas.openxmlformats.org/officeDocument/2006/relationships/table" Target="../tables/table56.xml"/><Relationship Id="rId6" Type="http://schemas.openxmlformats.org/officeDocument/2006/relationships/table" Target="../tables/table61.xml"/><Relationship Id="rId11" Type="http://schemas.openxmlformats.org/officeDocument/2006/relationships/table" Target="../tables/table66.xml"/><Relationship Id="rId24" Type="http://schemas.openxmlformats.org/officeDocument/2006/relationships/table" Target="../tables/table79.xml"/><Relationship Id="rId5" Type="http://schemas.openxmlformats.org/officeDocument/2006/relationships/table" Target="../tables/table60.xml"/><Relationship Id="rId15" Type="http://schemas.openxmlformats.org/officeDocument/2006/relationships/table" Target="../tables/table70.xml"/><Relationship Id="rId23" Type="http://schemas.openxmlformats.org/officeDocument/2006/relationships/table" Target="../tables/table78.xml"/><Relationship Id="rId28" Type="http://schemas.openxmlformats.org/officeDocument/2006/relationships/table" Target="../tables/table83.xml"/><Relationship Id="rId10" Type="http://schemas.openxmlformats.org/officeDocument/2006/relationships/table" Target="../tables/table65.xml"/><Relationship Id="rId19" Type="http://schemas.openxmlformats.org/officeDocument/2006/relationships/table" Target="../tables/table74.xml"/><Relationship Id="rId31" Type="http://schemas.openxmlformats.org/officeDocument/2006/relationships/table" Target="../tables/table86.xml"/><Relationship Id="rId4" Type="http://schemas.openxmlformats.org/officeDocument/2006/relationships/table" Target="../tables/table59.xml"/><Relationship Id="rId9" Type="http://schemas.openxmlformats.org/officeDocument/2006/relationships/table" Target="../tables/table64.xml"/><Relationship Id="rId14" Type="http://schemas.openxmlformats.org/officeDocument/2006/relationships/table" Target="../tables/table69.xml"/><Relationship Id="rId22" Type="http://schemas.openxmlformats.org/officeDocument/2006/relationships/table" Target="../tables/table77.xml"/><Relationship Id="rId27" Type="http://schemas.openxmlformats.org/officeDocument/2006/relationships/table" Target="../tables/table82.xml"/><Relationship Id="rId30"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88.xml"/><Relationship Id="rId7" Type="http://schemas.openxmlformats.org/officeDocument/2006/relationships/table" Target="../tables/table92.xml"/><Relationship Id="rId2" Type="http://schemas.openxmlformats.org/officeDocument/2006/relationships/table" Target="../tables/table87.xml"/><Relationship Id="rId1" Type="http://schemas.openxmlformats.org/officeDocument/2006/relationships/printerSettings" Target="../printerSettings/printerSettings17.bin"/><Relationship Id="rId6" Type="http://schemas.openxmlformats.org/officeDocument/2006/relationships/table" Target="../tables/table91.xml"/><Relationship Id="rId5" Type="http://schemas.openxmlformats.org/officeDocument/2006/relationships/table" Target="../tables/table90.xml"/><Relationship Id="rId4" Type="http://schemas.openxmlformats.org/officeDocument/2006/relationships/table" Target="../tables/table8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21" Type="http://schemas.openxmlformats.org/officeDocument/2006/relationships/table" Target="../tables/table112.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20" Type="http://schemas.openxmlformats.org/officeDocument/2006/relationships/table" Target="../tables/table111.xml"/><Relationship Id="rId1" Type="http://schemas.openxmlformats.org/officeDocument/2006/relationships/printerSettings" Target="../printerSettings/printerSettings18.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19" Type="http://schemas.openxmlformats.org/officeDocument/2006/relationships/table" Target="../tables/table110.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 Id="rId22" Type="http://schemas.openxmlformats.org/officeDocument/2006/relationships/table" Target="../tables/table113.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115.xml"/><Relationship Id="rId2" Type="http://schemas.openxmlformats.org/officeDocument/2006/relationships/table" Target="../tables/table114.xml"/><Relationship Id="rId1" Type="http://schemas.openxmlformats.org/officeDocument/2006/relationships/printerSettings" Target="../printerSettings/printerSettings19.bin"/><Relationship Id="rId5" Type="http://schemas.openxmlformats.org/officeDocument/2006/relationships/table" Target="../tables/table117.xml"/><Relationship Id="rId4" Type="http://schemas.openxmlformats.org/officeDocument/2006/relationships/table" Target="../tables/table116.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6"/>
  <sheetViews>
    <sheetView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9"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Swine'!A1", "Swine")</f>
        <v>Swine</v>
      </c>
    </row>
    <row r="12" spans="1:1" ht="20.100000000000001" customHeight="1" x14ac:dyDescent="0.2">
      <c r="A12" s="5" t="str">
        <f>HYPERLINK("#'Input - Livestock sales'!A1", "Livestock sales")</f>
        <v>Livestock sales</v>
      </c>
    </row>
    <row r="13" spans="1:1" ht="20.100000000000001" customHeight="1" x14ac:dyDescent="0.2">
      <c r="A13" s="5" t="str">
        <f>HYPERLINK("#'Input - Pig purchases'!A1", "Pig purchases")</f>
        <v>Pig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57"/>
  <sheetViews>
    <sheetView showGridLines="0" tabSelected="1" zoomScaleNormal="100" workbookViewId="0">
      <pane xSplit="1" topLeftCell="B1" activePane="topRight" state="frozenSplit"/>
      <selection pane="topRight" activeCell="M14" sqref="M14"/>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100000000000001" customHeight="1" x14ac:dyDescent="0.2">
      <c r="C2" s="3"/>
      <c r="D2" s="3"/>
      <c r="E2" s="3"/>
      <c r="F2" s="3"/>
      <c r="G2" s="3"/>
      <c r="H2" s="3"/>
      <c r="I2" s="3"/>
      <c r="J2" s="3"/>
      <c r="K2" s="3"/>
    </row>
    <row r="3" spans="1:11" ht="20.100000000000001" customHeight="1" x14ac:dyDescent="0.2">
      <c r="A3" s="5" t="str">
        <f>HYPERLINK("#'Home'!A1", "Home")</f>
        <v>Home</v>
      </c>
      <c r="C3" s="90"/>
      <c r="D3" s="90"/>
      <c r="E3" s="90"/>
      <c r="F3" s="90"/>
      <c r="G3" s="90"/>
      <c r="H3" s="90"/>
      <c r="I3" s="90"/>
      <c r="J3" s="90"/>
      <c r="K3" s="90"/>
    </row>
    <row r="4" spans="1:11" ht="20.100000000000001" customHeight="1" x14ac:dyDescent="0.2">
      <c r="A4" s="259"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Emissions Intensity")</f>
        <v>Results - Product Emissions Intensity</v>
      </c>
    </row>
    <row r="6" spans="1:11" ht="20.100000000000001" customHeight="1" x14ac:dyDescent="0.2">
      <c r="D6" s="77" t="s">
        <v>235</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269</v>
      </c>
      <c r="E9" s="1" cm="1">
        <f t="array" aca="1" ref="E9" ca="1">VEERG_3_5_1_1__1_TotalAnnualMethaneFromEntericFermentation_Result_Method1</f>
        <v>0.78573884462151411</v>
      </c>
      <c r="F9" s="1" cm="1">
        <f t="array" aca="1" ref="F9" ca="1">VEERG_3_5_1_1__1_TotalAnnualMethaneFromEntericFermentation_Result_Method2</f>
        <v>0.78573884462151411</v>
      </c>
      <c r="G9" s="9" t="s">
        <v>6</v>
      </c>
      <c r="H9" s="1" cm="1">
        <f t="array" aca="1" ref="H9" ca="1">Common_Equations.Common_ConvertCH4ToCO2e(E9,_xlfn.XLOOKUP("CH4", Table_GWPData[Gas],Table_GWPData[CO2-e factor]))</f>
        <v>22.000687649402394</v>
      </c>
      <c r="I9" s="1" cm="1">
        <f t="array" aca="1" ref="I9" ca="1">Common_Equations.Common_ConvertCH4ToCO2e(F9,_xlfn.XLOOKUP("CH4", Table_GWPData[Gas],Table_GWPData[CO2-e factor]))</f>
        <v>22.000687649402394</v>
      </c>
      <c r="J9" s="9" t="s">
        <v>7</v>
      </c>
    </row>
    <row r="10" spans="1:11" ht="20.100000000000001" customHeight="1" x14ac:dyDescent="0.2">
      <c r="A10" s="5" t="str">
        <f>HYPERLINK("#'Input - Site'!A1", "Site")</f>
        <v>Site</v>
      </c>
      <c r="D10" s="1" t="s">
        <v>270</v>
      </c>
      <c r="E10" s="1" cm="1">
        <f t="array" aca="1" ref="E10" ca="1">VEERG_4_5_1_1__1_TotalAnnualMethaneEmissions_Result_Method1</f>
        <v>2.3840372404992007</v>
      </c>
      <c r="F10" s="1" cm="1">
        <f t="array" aca="1" ref="F10" ca="1">VEERG_4_5_1_1__1_TotalAnnualMethaneEmissions_Result_Method2</f>
        <v>2.4087425821440007</v>
      </c>
      <c r="G10" s="9" t="s">
        <v>6</v>
      </c>
      <c r="H10" s="1" cm="1">
        <f t="array" aca="1" ref="H10" ca="1">Common_Equations.Common_ConvertCH4ToCO2e(E10,_xlfn.XLOOKUP("CH4", Table_GWPData[Gas],Table_GWPData[CO2-e factor]))</f>
        <v>66.753042733977622</v>
      </c>
      <c r="I10" s="1" cm="1">
        <f t="array" aca="1" ref="I10" ca="1">Common_Equations.Common_ConvertCH4ToCO2e(F10,_xlfn.XLOOKUP("CH4", Table_GWPData[Gas],Table_GWPData[CO2-e factor]))</f>
        <v>67.44479230003202</v>
      </c>
      <c r="J10" s="9" t="s">
        <v>7</v>
      </c>
    </row>
    <row r="11" spans="1:11" ht="20.100000000000001" customHeight="1" x14ac:dyDescent="0.2">
      <c r="A11" s="5" t="str">
        <f>HYPERLINK("#'Input - Swine'!A1", "Swine")</f>
        <v>Swine</v>
      </c>
      <c r="D11" s="1" t="s">
        <v>271</v>
      </c>
      <c r="E11" s="1" cm="1">
        <f t="array" aca="1" ref="E11" ca="1">VEERG_4_5_1_3__1_TotalAnnualDirectNitrousOxideEmissionsFromMMS_Result_Method1</f>
        <v>7.4343140661428567E-2</v>
      </c>
      <c r="F11" s="1" cm="1">
        <f t="array" aca="1" ref="F11" ca="1">VEERG_4_5_1_3__1_TotalAnnualDirectNitrousOxideEmissionsFromMMS_Result_Method2</f>
        <v>7.4343140661428567E-2</v>
      </c>
      <c r="G11" s="9" t="s">
        <v>12</v>
      </c>
      <c r="H11" s="1" cm="1">
        <f t="array" aca="1" ref="H11" ca="1">Common_Equations.Common_ConvertN2OToCO2e(E11,_xlfn.XLOOKUP("N2O", Table_GWPData[Gas],Table_GWPData[CO2-e factor]))</f>
        <v>19.700932275278571</v>
      </c>
      <c r="I11" s="1" cm="1">
        <f t="array" aca="1" ref="I11" ca="1">Common_Equations.Common_ConvertN2OToCO2e(F11,_xlfn.XLOOKUP("N2O", Table_GWPData[Gas],Table_GWPData[CO2-e factor]))</f>
        <v>19.700932275278571</v>
      </c>
      <c r="J11" s="9" t="s">
        <v>7</v>
      </c>
    </row>
    <row r="12" spans="1:11" ht="20.100000000000001" customHeight="1" x14ac:dyDescent="0.2">
      <c r="A12" s="5" t="str">
        <f>HYPERLINK("#'Input - Livestock sales'!A1", "Livestock sales")</f>
        <v>Livestock sales</v>
      </c>
      <c r="D12" s="1" t="s">
        <v>272</v>
      </c>
      <c r="E12" s="1" cm="1">
        <f t="array" aca="1" ref="E12" ca="1">VEERG_4_5_1_5__1_AnnualAtmosphericDepositionEmissionsFromMMS_Result_Method1</f>
        <v>2.4944401836750004E-2</v>
      </c>
      <c r="F12" s="1" cm="1">
        <f t="array" aca="1" ref="F12" ca="1">VEERG_4_5_1_5__1_AnnualAtmosphericDepositionEmissionsFromMMS_Result_Method2</f>
        <v>2.4944401836750004E-2</v>
      </c>
      <c r="G12" s="9" t="s">
        <v>12</v>
      </c>
      <c r="H12" s="1" cm="1">
        <f t="array" aca="1" ref="H12" ca="1">Common_Equations.Common_ConvertN2OToCO2e(E12,_xlfn.XLOOKUP("N2O", Table_GWPData[Gas],Table_GWPData[CO2-e factor]))</f>
        <v>6.6102664867387508</v>
      </c>
      <c r="I12" s="1" cm="1">
        <f t="array" aca="1" ref="I12" ca="1">Common_Equations.Common_ConvertN2OToCO2e(F12,_xlfn.XLOOKUP("N2O", Table_GWPData[Gas],Table_GWPData[CO2-e factor]))</f>
        <v>6.6102664867387508</v>
      </c>
      <c r="J12" s="9" t="s">
        <v>7</v>
      </c>
    </row>
    <row r="13" spans="1:11" ht="20.100000000000001" customHeight="1" x14ac:dyDescent="0.2">
      <c r="A13" s="5" t="str">
        <f>HYPERLINK("#'Input - Pig purchases'!A1", "Pig purchases")</f>
        <v>Pig purchases</v>
      </c>
      <c r="D13" s="1" t="s">
        <v>273</v>
      </c>
      <c r="E13" s="1" cm="1">
        <f t="array" aca="1" ref="E13" ca="1">VEERG_4_5_1_7__1_AnnualEmissionsFromLeachingAndRunoffFromMMS_Result_Method1</f>
        <v>2.6075015999999998E-4</v>
      </c>
      <c r="F13" s="1" cm="1">
        <f t="array" aca="1" ref="F13" ca="1">VEERG_4_5_1_7__1_AnnualEmissionsFromLeachingAndRunoffFromMMS_Result_Method2</f>
        <v>2.6075015999999998E-4</v>
      </c>
      <c r="G13" s="9" t="s">
        <v>12</v>
      </c>
      <c r="H13" s="1" cm="1">
        <f t="array" aca="1" ref="H13" ca="1">Common_Equations.Common_ConvertN2OToCO2e(E13,_xlfn.XLOOKUP("N2O", Table_GWPData[Gas],Table_GWPData[CO2-e factor]))</f>
        <v>6.9098792399999998E-2</v>
      </c>
      <c r="I13" s="1" cm="1">
        <f t="array" aca="1" ref="I13" ca="1">Common_Equations.Common_ConvertN2OToCO2e(F13,_xlfn.XLOOKUP("N2O", Table_GWPData[Gas],Table_GWPData[CO2-e factor]))</f>
        <v>6.9098792399999998E-2</v>
      </c>
      <c r="J13" s="9" t="s">
        <v>7</v>
      </c>
    </row>
    <row r="14" spans="1:11" ht="20.100000000000001" customHeight="1" x14ac:dyDescent="0.2">
      <c r="A14" s="5" t="str">
        <f>HYPERLINK("#'Input - Fuel'!A1", "Fuel")</f>
        <v>Fuel</v>
      </c>
      <c r="D14" s="1" t="s">
        <v>133</v>
      </c>
      <c r="E14" s="1" cm="1">
        <f t="array" ref="E14">VEERG_8_1_1_1__1_FuelCombustionTransport_Result_CO2</f>
        <v>83.182000000000002</v>
      </c>
      <c r="F14" s="1">
        <f>E14</f>
        <v>83.182000000000002</v>
      </c>
      <c r="G14" s="9" t="s">
        <v>127</v>
      </c>
      <c r="H14" s="1">
        <f>E14</f>
        <v>83.182000000000002</v>
      </c>
      <c r="I14" s="1">
        <f>F14</f>
        <v>83.182000000000002</v>
      </c>
      <c r="J14" s="9" t="s">
        <v>7</v>
      </c>
    </row>
    <row r="15" spans="1:11" ht="20.100000000000001" customHeight="1" x14ac:dyDescent="0.2">
      <c r="A15" s="5" t="str">
        <f>HYPERLINK("#'Input - Electricity'!A1", "Electricity")</f>
        <v>Electricity</v>
      </c>
      <c r="D15" s="1" t="s">
        <v>135</v>
      </c>
      <c r="E15" s="1" cm="1">
        <f t="array" ref="E15">VEERG_8_1_1_1__1_FuelCombustionTransport_Result_CH4</f>
        <v>0.19906000000000001</v>
      </c>
      <c r="F15" s="1">
        <f t="shared" ref="F15:F19" si="0">E15</f>
        <v>0.19906000000000001</v>
      </c>
      <c r="G15" s="9" t="s">
        <v>6</v>
      </c>
      <c r="H15" s="1" cm="1">
        <f t="array" ref="H15">Common_Equations.Common_ConvertCH4ToCO2e(E15,_xlfn.XLOOKUP("CH4", Table_GWPData[Gas],Table_GWPData[CO2-e factor]))</f>
        <v>5.5736800000000004</v>
      </c>
      <c r="I15" s="1" cm="1">
        <f t="array" ref="I15">Common_Equations.Common_ConvertCH4ToCO2e(F15,_xlfn.XLOOKUP("CH4", Table_GWPData[Gas],Table_GWPData[CO2-e factor]))</f>
        <v>5.5736800000000004</v>
      </c>
      <c r="J15" s="9" t="s">
        <v>7</v>
      </c>
    </row>
    <row r="16" spans="1:11" ht="20.100000000000001" customHeight="1" x14ac:dyDescent="0.2">
      <c r="A16" s="5" t="str">
        <f>HYPERLINK("#'Input - Common farm inputs'!A1", "Common farm inputs")</f>
        <v>Common farm inputs</v>
      </c>
      <c r="D16" s="1" t="s">
        <v>134</v>
      </c>
      <c r="E16" s="1" cm="1">
        <f t="array" ref="E16">VEERG_8_1_1_1__1_FuelCombustionTransport_Result_N2O</f>
        <v>0.58450000000000002</v>
      </c>
      <c r="F16" s="1">
        <f t="shared" si="0"/>
        <v>0.58450000000000002</v>
      </c>
      <c r="G16" s="9" t="s">
        <v>12</v>
      </c>
      <c r="H16" s="1" cm="1">
        <f t="array" ref="H16">Common_Equations.Common_ConvertN2OToCO2e(E16,_xlfn.XLOOKUP("N2O", Table_GWPData[Gas],Table_GWPData[CO2-e factor]))</f>
        <v>154.89250000000001</v>
      </c>
      <c r="I16" s="1" cm="1">
        <f t="array" ref="I16">Common_Equations.Common_ConvertN2OToCO2e(F16,_xlfn.XLOOKUP("N2O", Table_GWPData[Gas],Table_GWPData[CO2-e factor]))</f>
        <v>154.89250000000001</v>
      </c>
      <c r="J16" s="9" t="s">
        <v>7</v>
      </c>
    </row>
    <row r="17" spans="1:10" ht="20.100000000000001" customHeight="1" x14ac:dyDescent="0.2">
      <c r="A17" s="5" t="str">
        <f>HYPERLINK("#'Input - Livestock farm Inputs'!A1", "Livestock farm Inputs")</f>
        <v>Livestock farm Inputs</v>
      </c>
      <c r="D17" s="1" t="s">
        <v>136</v>
      </c>
      <c r="E17" s="1" cm="1">
        <f t="array" ref="E17">VEERG_8_2_1_1__1_FuelCombustionStationary_Result_CO2</f>
        <v>29.070800000000002</v>
      </c>
      <c r="F17" s="1">
        <f t="shared" si="0"/>
        <v>29.070800000000002</v>
      </c>
      <c r="G17" s="9" t="s">
        <v>127</v>
      </c>
      <c r="H17" s="1">
        <f>E17</f>
        <v>29.070800000000002</v>
      </c>
      <c r="I17" s="1">
        <f>F17</f>
        <v>29.070800000000002</v>
      </c>
      <c r="J17" s="9" t="s">
        <v>7</v>
      </c>
    </row>
    <row r="18" spans="1:10" ht="20.100000000000001" customHeight="1" x14ac:dyDescent="0.2">
      <c r="A18" s="5" t="str">
        <f>HYPERLINK("#'Input - Freight'!A1", "Freight")</f>
        <v>Freight</v>
      </c>
      <c r="D18" s="1" t="s">
        <v>137</v>
      </c>
      <c r="E18" s="1" cm="1">
        <f t="array" ref="E18">VEERG_8_2_1_1__1_FuelCombustionStationary_Result_CH4</f>
        <v>7.2400000000000006E-2</v>
      </c>
      <c r="F18" s="1">
        <f t="shared" si="0"/>
        <v>7.2400000000000006E-2</v>
      </c>
      <c r="G18" s="9" t="s">
        <v>6</v>
      </c>
      <c r="H18" s="1" cm="1">
        <f t="array" ref="H18">Common_Equations.Common_ConvertCH4ToCO2e(E18,_xlfn.XLOOKUP("CH4", Table_GWPData[Gas],Table_GWPData[CO2-e factor]))</f>
        <v>2.0272000000000001</v>
      </c>
      <c r="I18" s="1" cm="1">
        <f t="array" ref="I18">Common_Equations.Common_ConvertCH4ToCO2e(F18,_xlfn.XLOOKUP("CH4", Table_GWPData[Gas],Table_GWPData[CO2-e factor]))</f>
        <v>2.0272000000000001</v>
      </c>
      <c r="J18" s="9" t="s">
        <v>7</v>
      </c>
    </row>
    <row r="19" spans="1:10" ht="20.100000000000001" customHeight="1" x14ac:dyDescent="0.2">
      <c r="A19" s="5" t="str">
        <f>HYPERLINK("#'Input - Solid waste'!A1", "Solid waste")</f>
        <v>Solid waste</v>
      </c>
      <c r="D19" s="1" t="s">
        <v>138</v>
      </c>
      <c r="E19" s="1" cm="1">
        <f t="array" ref="E19">VEERG_8_2_1_1__1_FuelCombustionStationary_Result_N2O</f>
        <v>7.1400000000000005E-2</v>
      </c>
      <c r="F19" s="1">
        <f t="shared" si="0"/>
        <v>7.1400000000000005E-2</v>
      </c>
      <c r="G19" s="9" t="s">
        <v>12</v>
      </c>
      <c r="H19" s="1" cm="1">
        <f t="array" ref="H19">Common_Equations.Common_ConvertN2OToCO2e(E19,_xlfn.XLOOKUP("N2O", Table_GWPData[Gas],Table_GWPData[CO2-e factor]))</f>
        <v>18.921000000000003</v>
      </c>
      <c r="I19" s="1" cm="1">
        <f t="array" ref="I19">Common_Equations.Common_ConvertN2OToCO2e(F19,_xlfn.XLOOKUP("N2O", Table_GWPData[Gas],Table_GWPData[CO2-e factor]))</f>
        <v>18.921000000000003</v>
      </c>
      <c r="J19" s="9" t="s">
        <v>7</v>
      </c>
    </row>
    <row r="20" spans="1:10" ht="20.100000000000001" customHeight="1" x14ac:dyDescent="0.2">
      <c r="A20" s="5" t="str">
        <f>HYPERLINK("#'Input - Manure sent off-site'!A1", "Manure sent off-site")</f>
        <v>Manure sent off-site</v>
      </c>
      <c r="D20" s="1" t="s">
        <v>274</v>
      </c>
      <c r="E20" s="1" cm="1">
        <f t="array" ref="E20">VEERG_10_1_1_1__1_EmissionsFromWasteManagement_Scope1_Result_Method1</f>
        <v>438.82805000000002</v>
      </c>
      <c r="F20" s="1">
        <f>E20</f>
        <v>438.82805000000002</v>
      </c>
      <c r="G20" s="9" t="s">
        <v>251</v>
      </c>
      <c r="H20" s="1">
        <f>E20</f>
        <v>438.82805000000002</v>
      </c>
      <c r="I20" s="1">
        <f>F20</f>
        <v>438.82805000000002</v>
      </c>
      <c r="J20" s="9" t="s">
        <v>7</v>
      </c>
    </row>
    <row r="21" spans="1:10" ht="20.100000000000001" customHeight="1" x14ac:dyDescent="0.2">
      <c r="A21" s="5" t="str">
        <f>HYPERLINK("#'Input - Data quality'!A1", "Data quality")</f>
        <v>Data quality</v>
      </c>
      <c r="D21" s="84" t="s">
        <v>4</v>
      </c>
      <c r="E21" s="85"/>
      <c r="F21" s="85"/>
      <c r="G21" s="85"/>
      <c r="H21" s="84">
        <f ca="1">SUM(H9:H20)</f>
        <v>847.62925793779732</v>
      </c>
      <c r="I21" s="84">
        <f ca="1">SUM(I9:I20)</f>
        <v>848.32100750385177</v>
      </c>
      <c r="J21" s="94" t="s">
        <v>7</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4" spans="1:10" ht="20.100000000000001" customHeight="1" x14ac:dyDescent="0.2">
      <c r="D24" s="77" t="s">
        <v>236</v>
      </c>
    </row>
    <row r="26" spans="1:10" ht="20.100000000000001" customHeight="1" x14ac:dyDescent="0.2">
      <c r="A26" s="6" t="s">
        <v>2</v>
      </c>
      <c r="D26" s="11" t="s">
        <v>237</v>
      </c>
      <c r="E26" s="11" t="s">
        <v>8</v>
      </c>
      <c r="F26" s="11" t="s">
        <v>9</v>
      </c>
      <c r="G26" s="11" t="s">
        <v>5</v>
      </c>
      <c r="H26" s="11" t="s">
        <v>10</v>
      </c>
      <c r="I26" s="11" t="s">
        <v>11</v>
      </c>
      <c r="J26" s="11"/>
    </row>
    <row r="27" spans="1:10" ht="20.100000000000001" customHeight="1" x14ac:dyDescent="0.2">
      <c r="A27" s="5" t="str">
        <f>HYPERLINK("#'3.5.1.1-2 Enteric Methane'!A1", "3.5.1.1-2 Enteric Methane")</f>
        <v>3.5.1.1-2 Enteric Methane</v>
      </c>
      <c r="D27" s="1" t="str" cm="1">
        <f t="array" ref="D27">"14.1.1-2 Purchased electricity " &amp; IF(X_Cell_Electricity_CalculationMethod="Location-based (simpler)", "(Location-based)", "(Market-based)")</f>
        <v>14.1.1-2 Purchased electricity (Location-based)</v>
      </c>
      <c r="E27" s="1" cm="1">
        <f t="array" ref="E27">IF(X_Cell_Electricity_CalculationMethod="Location-based (simpler)", VEERG_14_1_1__1_LocationBasedScopeElectricityEmissions_Result_Method1, VEERG_14_1_2__1_MarketBasedScopeElectricityEmissionsVariation_Result_Method1)</f>
        <v>16.8</v>
      </c>
      <c r="F27" s="1">
        <f>E27</f>
        <v>16.8</v>
      </c>
      <c r="G27" s="9" t="s">
        <v>7</v>
      </c>
      <c r="H27" s="1">
        <f>E27</f>
        <v>16.8</v>
      </c>
      <c r="I27" s="1">
        <f>F27</f>
        <v>16.8</v>
      </c>
      <c r="J27" s="9" t="s">
        <v>7</v>
      </c>
    </row>
    <row r="28" spans="1:10" ht="20.100000000000001" customHeight="1" x14ac:dyDescent="0.2">
      <c r="A28" s="5" t="str">
        <f>HYPERLINK("#'4.5.1.1-2 Methane'!A1", "4.5.1.1-2 Manure Methane")</f>
        <v>4.5.1.1-2 Manure Methane</v>
      </c>
      <c r="D28" s="84" t="s">
        <v>238</v>
      </c>
      <c r="E28" s="85"/>
      <c r="F28" s="85"/>
      <c r="G28" s="85"/>
      <c r="H28" s="84">
        <f>SUM(H27:H27)</f>
        <v>16.8</v>
      </c>
      <c r="I28" s="84">
        <f>SUM(I27:I27)</f>
        <v>16.8</v>
      </c>
      <c r="J28" s="94" t="s">
        <v>7</v>
      </c>
    </row>
    <row r="29" spans="1:10" ht="20.100000000000001" customHeight="1" x14ac:dyDescent="0.2">
      <c r="A29" s="5" t="str">
        <f>HYPERLINK("#'4.5.1.3-4 Direct N2O'!A1", "4.5.1.3-4 Manure Direct N2O")</f>
        <v>4.5.1.3-4 Manure Direct N2O</v>
      </c>
    </row>
    <row r="30" spans="1:10" ht="20.100000000000001" customHeight="1" x14ac:dyDescent="0.2">
      <c r="A30" s="5" t="str">
        <f>HYPERLINK("#'4.5.1.5-6 Atmos Dep'!A1", "4.5.1.5-6 Manure Atmos Dep")</f>
        <v>4.5.1.5-6 Manure Atmos Dep</v>
      </c>
    </row>
    <row r="31" spans="1:10" ht="20.100000000000001" customHeight="1" x14ac:dyDescent="0.2">
      <c r="A31" s="5" t="str">
        <f>HYPERLINK("#'4.5.1.7-8 Leaching and runoff'!A1", "4.5.1.7-8 Manure Leaching and runoff")</f>
        <v>4.5.1.7-8 Manure Leaching and runoff</v>
      </c>
      <c r="D31" s="77" t="s">
        <v>239</v>
      </c>
    </row>
    <row r="32" spans="1:10" ht="20.100000000000001" customHeight="1" x14ac:dyDescent="0.2">
      <c r="A32" s="5" t="str">
        <f>HYPERLINK("#'4.5.1.9 Manure applied to soils'!A1", "4.5.1.9 Manure applied to soils")</f>
        <v>4.5.1.9 Manure applied to soils</v>
      </c>
    </row>
    <row r="33" spans="1:10" ht="20.100000000000001" customHeight="1" x14ac:dyDescent="0.2">
      <c r="A33" s="5" t="str">
        <f>HYPERLINK("#'8.1.1.1-2 Transport fuel'!A1", "8.1.1.1-2 Transport fuel")</f>
        <v>8.1.1.1-2 Transport fuel</v>
      </c>
      <c r="D33" s="11" t="s">
        <v>240</v>
      </c>
      <c r="E33" s="11" t="s">
        <v>8</v>
      </c>
      <c r="F33" s="11" t="s">
        <v>9</v>
      </c>
      <c r="G33" s="11" t="s">
        <v>5</v>
      </c>
      <c r="H33" s="11" t="s">
        <v>10</v>
      </c>
      <c r="I33" s="11" t="s">
        <v>11</v>
      </c>
      <c r="J33" s="11"/>
    </row>
    <row r="34" spans="1:10" ht="20.100000000000001" customHeight="1" x14ac:dyDescent="0.2">
      <c r="A34" s="5" t="str">
        <f>HYPERLINK("#'8.2.1.1-2 Stationary fuel'!A1", "8.2.1.1-2 Stationary fuel")</f>
        <v>8.2.1.1-2 Stationary fuel</v>
      </c>
      <c r="D34" s="1" t="s">
        <v>275</v>
      </c>
      <c r="E34" s="1" cm="1">
        <f t="array" ref="E34">VEERG_15_1_1_1__1_EmissionsFromPurchasedLivestock_Pigs_Result_Method1</f>
        <v>127.08800000000001</v>
      </c>
      <c r="F34" s="1" cm="1">
        <f t="array" ref="F34">VEERG_15_1_1_1__1_EmissionsFromPurchasedLivestock_Pigs_Result_Method2</f>
        <v>73.38000000000001</v>
      </c>
      <c r="G34" s="9" t="s">
        <v>7</v>
      </c>
      <c r="H34" s="1">
        <f t="shared" ref="H34:I35" si="1">E34</f>
        <v>127.08800000000001</v>
      </c>
      <c r="I34" s="1">
        <f t="shared" si="1"/>
        <v>73.38000000000001</v>
      </c>
      <c r="J34" s="9" t="s">
        <v>7</v>
      </c>
    </row>
    <row r="35" spans="1:10" ht="20.100000000000001" customHeight="1" x14ac:dyDescent="0.2">
      <c r="A35" s="5" t="str">
        <f>HYPERLINK("#'10.1.1-2 Solid waste treatment'!A1", "10.1.1.1-2 Solid waste")</f>
        <v>10.1.1.1-2 Solid waste</v>
      </c>
      <c r="D35" s="1" t="s">
        <v>276</v>
      </c>
      <c r="E35" s="1" cm="1">
        <f t="array" ref="E35">VEERG_15_2_1_1__1_EmissionsFromPurchasedFeed_Result_Method1</f>
        <v>0.78505200000000008</v>
      </c>
      <c r="F35" s="1" cm="1">
        <f t="array" ref="F35">VEERG_15_2_1_1__1_EmissionsFromPurchasedFeed_Result_Method1</f>
        <v>0.78505200000000008</v>
      </c>
      <c r="G35" s="9" t="s">
        <v>7</v>
      </c>
      <c r="H35" s="1">
        <f t="shared" si="1"/>
        <v>0.78505200000000008</v>
      </c>
      <c r="I35" s="1">
        <f t="shared" si="1"/>
        <v>0.78505200000000008</v>
      </c>
      <c r="J35" s="9" t="s">
        <v>7</v>
      </c>
    </row>
    <row r="36" spans="1:10" ht="20.100000000000001" customHeight="1" x14ac:dyDescent="0.2">
      <c r="A36" s="5" t="str">
        <f>HYPERLINK("#'14.1.1-2 Purchased electricity'!A1", "14.1.1-2 Purchased electricity")</f>
        <v>14.1.1-2 Purchased electricity</v>
      </c>
      <c r="D36" s="1" t="s">
        <v>241</v>
      </c>
      <c r="E36" s="1" t="str" cm="1">
        <f t="array" ref="E36">VEERG_15_7_1_1__1_EmissionsFromPurchasedServices_Result_Method1</f>
        <v>No data</v>
      </c>
      <c r="F36" s="1" cm="1">
        <f t="array" ref="F36">VEERG_15_7_1_1__1_EmissionsFromPurchasedServices_Result_Method2</f>
        <v>1.1000000000000001</v>
      </c>
      <c r="G36" s="9" t="s">
        <v>7</v>
      </c>
      <c r="H36" s="1" t="str">
        <f t="shared" ref="H36:H44" si="2">E36</f>
        <v>No data</v>
      </c>
      <c r="I36" s="1">
        <f t="shared" ref="I36:I44" si="3">F36</f>
        <v>1.1000000000000001</v>
      </c>
      <c r="J36" s="9" t="s">
        <v>7</v>
      </c>
    </row>
    <row r="37" spans="1:10" ht="20.100000000000001" customHeight="1" x14ac:dyDescent="0.2">
      <c r="A37" s="5" t="str">
        <f>HYPERLINK("#'15 Scope 3'!A1", "15 Scope 3")</f>
        <v>15 Scope 3</v>
      </c>
      <c r="D37" s="1" t="s">
        <v>242</v>
      </c>
      <c r="E37" s="1" cm="1">
        <f t="array" ref="E37">VEERG_15_10_1_1__1_OtherPurchasedGoodsAndServices_CleaningChemicals_Result_Method1</f>
        <v>0.50509999999999999</v>
      </c>
      <c r="F37" s="1" cm="1">
        <f t="array" ref="F37">VEERG_15_10_1_1__1_OtherPurchasedGoodsAndServices_CleaningChemicals_Result_Method2</f>
        <v>0.5</v>
      </c>
      <c r="G37" s="9" t="s">
        <v>7</v>
      </c>
      <c r="H37" s="1">
        <f t="shared" si="2"/>
        <v>0.50509999999999999</v>
      </c>
      <c r="I37" s="1">
        <f t="shared" si="3"/>
        <v>0.5</v>
      </c>
      <c r="J37" s="9" t="s">
        <v>7</v>
      </c>
    </row>
    <row r="38" spans="1:10" ht="20.100000000000001" customHeight="1" x14ac:dyDescent="0.2">
      <c r="A38" s="5" t="str">
        <f>HYPERLINK("#'Calcs - Manure sent off-site'!A1", "Calcs - Manure sent off-site")</f>
        <v>Calcs - Manure sent off-site</v>
      </c>
      <c r="D38" s="1" t="s">
        <v>277</v>
      </c>
      <c r="E38" s="1" cm="1">
        <f t="array" ref="E38">VEERG_15_10_1_1__1_OtherPurchasedGoodsAndServices_PharmacyChemicals_Result_Method1</f>
        <v>1.5636000000000001E-2</v>
      </c>
      <c r="F38" s="1" cm="1">
        <f t="array" ref="F38">VEERG_15_10_1_1__1_OtherPurchasedGoodsAndServices_PharmacyChemicals_Result_Method1</f>
        <v>1.5636000000000001E-2</v>
      </c>
      <c r="G38" s="9" t="s">
        <v>7</v>
      </c>
      <c r="H38" s="1">
        <f t="shared" si="2"/>
        <v>1.5636000000000001E-2</v>
      </c>
      <c r="I38" s="1">
        <f t="shared" si="3"/>
        <v>1.5636000000000001E-2</v>
      </c>
      <c r="J38" s="9" t="s">
        <v>7</v>
      </c>
    </row>
    <row r="39" spans="1:10" ht="20.100000000000001" customHeight="1" x14ac:dyDescent="0.2">
      <c r="A39" s="5" t="str">
        <f>HYPERLINK("#'5.1.1.1-2 Inorganic fert N2O'!A1", "5.1.1.1-2 Inorganic fert N2O")</f>
        <v>5.1.1.1-2 Inorganic fert N2O</v>
      </c>
      <c r="D39" s="1" t="s">
        <v>243</v>
      </c>
      <c r="E39" s="1" t="str" cm="1">
        <f t="array" ref="E39">VEERG_15_10_1_1__1_OtherPurchasedGoodsAndServices_Uncategorised_Result_Method1</f>
        <v>No data</v>
      </c>
      <c r="F39" s="1" cm="1">
        <f t="array" ref="F39">VEERG_15_10_1_1__1_OtherPurchasedGoodsAndServices_Uncategorised_Result_Method2</f>
        <v>4000</v>
      </c>
      <c r="G39" s="9" t="s">
        <v>7</v>
      </c>
      <c r="H39" s="1" t="str">
        <f t="shared" si="2"/>
        <v>No data</v>
      </c>
      <c r="I39" s="1">
        <f t="shared" si="3"/>
        <v>4000</v>
      </c>
      <c r="J39" s="9" t="s">
        <v>7</v>
      </c>
    </row>
    <row r="40" spans="1:10" ht="20.100000000000001" customHeight="1" x14ac:dyDescent="0.2">
      <c r="A40" s="5" t="str">
        <f>HYPERLINK("#'5.1.1.3-4 Inorganic fert CO2'!A1", "5.1.1.3-4 Inorganic fert CO2")</f>
        <v>5.1.1.3-4 Inorganic fert CO2</v>
      </c>
      <c r="D40" s="1" t="s">
        <v>244</v>
      </c>
      <c r="E40" s="1" cm="1">
        <f t="array" ref="E40">VEERG_15_11_1_1__1_TotalUpstreamEmissionsFromFuel_Result</f>
        <v>26.794</v>
      </c>
      <c r="F40" s="1">
        <f>E40</f>
        <v>26.794</v>
      </c>
      <c r="G40" s="9" t="s">
        <v>7</v>
      </c>
      <c r="H40" s="1">
        <f t="shared" si="2"/>
        <v>26.794</v>
      </c>
      <c r="I40" s="1">
        <f t="shared" si="3"/>
        <v>26.794</v>
      </c>
      <c r="J40" s="9" t="s">
        <v>7</v>
      </c>
    </row>
    <row r="41" spans="1:10" ht="20.100000000000001" customHeight="1" x14ac:dyDescent="0.2">
      <c r="A41" s="5" t="str">
        <f>HYPERLINK("#'5.2.1.1-2 Organic Fert N2O'!A1", "5.2.1.1-2 Organic Fert N2O")</f>
        <v>5.2.1.1-2 Organic Fert N2O</v>
      </c>
      <c r="D41" s="1" t="str" cm="1">
        <f t="array" ref="D41">"15.12.1.1 Purchased electricity " &amp; IF(X_Cell_Electricity_CalculationMethod="Location-based (simpler)", "(Location-based)", "(Market-based)")</f>
        <v>15.12.1.1 Purchased electricity (Location-based)</v>
      </c>
      <c r="E41" s="1" cm="1">
        <f t="array" ref="E41">IF(X_Cell_Electricity_CalculationMethod="Location-based (simpler)", VEERG_15_12_1_1__1_UpstreamPurchasedElectricityLocationBased_Result, VEERG_15_12_1_1__1_UpstreamPurchasedElectricityMarketBased_Result)</f>
        <v>2.7</v>
      </c>
      <c r="F41" s="1">
        <f>E41</f>
        <v>2.7</v>
      </c>
      <c r="G41" s="9" t="s">
        <v>7</v>
      </c>
      <c r="H41" s="1">
        <f t="shared" si="2"/>
        <v>2.7</v>
      </c>
      <c r="I41" s="1">
        <f t="shared" si="3"/>
        <v>2.7</v>
      </c>
      <c r="J41" s="9" t="s">
        <v>7</v>
      </c>
    </row>
    <row r="42" spans="1:10" ht="20.100000000000001" customHeight="1" x14ac:dyDescent="0.2">
      <c r="A42" s="5" t="str">
        <f>HYPERLINK("#'5.3.1.1-2 Lime CO2'!A1", "5.3.1.1-2 Lime CO2")</f>
        <v>5.3.1.1-2 Lime CO2</v>
      </c>
      <c r="D42" s="1" t="s">
        <v>246</v>
      </c>
      <c r="E42" s="1" cm="1">
        <f t="array" ref="E42">VEERG_10_1_1_1__1_EmissionsFromWasteManagement_Scope3_Result_Method1</f>
        <v>441.15000000000003</v>
      </c>
      <c r="F42" s="1">
        <f>E42</f>
        <v>441.15000000000003</v>
      </c>
      <c r="G42" s="9" t="s">
        <v>7</v>
      </c>
      <c r="H42" s="1">
        <f t="shared" si="2"/>
        <v>441.15000000000003</v>
      </c>
      <c r="I42" s="1">
        <f t="shared" si="3"/>
        <v>441.15000000000003</v>
      </c>
      <c r="J42" s="9" t="s">
        <v>7</v>
      </c>
    </row>
    <row r="43" spans="1:10" ht="20.100000000000001" customHeight="1" x14ac:dyDescent="0.2">
      <c r="A43" s="5" t="str">
        <f>HYPERLINK("#'5.4.1.1-4 Atmos deposition'!A1", "5.4.1.1-4 Atmos deposition")</f>
        <v>5.4.1.1-4 Atmos deposition</v>
      </c>
      <c r="D43" s="1" t="s">
        <v>245</v>
      </c>
      <c r="E43" s="1" t="str" cm="1">
        <f t="array" ref="E43">VEERG_15_14_1_1__1_EmbeddedEmissionsFromUpstreamFreight_Incoming_Result_Method1</f>
        <v>No data</v>
      </c>
      <c r="F43" s="1" cm="1">
        <f t="array" ref="F43">VEERG_15_14_1_1__1_EmbeddedEmissionsFromUpstreamFreight_Incoming_Result_Method2</f>
        <v>5166.2</v>
      </c>
      <c r="G43" s="9" t="s">
        <v>7</v>
      </c>
      <c r="H43" s="1" t="str">
        <f t="shared" si="2"/>
        <v>No data</v>
      </c>
      <c r="I43" s="1">
        <f t="shared" si="3"/>
        <v>5166.2</v>
      </c>
      <c r="J43" s="9" t="s">
        <v>7</v>
      </c>
    </row>
    <row r="44" spans="1:10" ht="20.100000000000001" customHeight="1" x14ac:dyDescent="0.2">
      <c r="A44" s="5" t="str">
        <f>HYPERLINK("#'5.5.1.1-2 Leaching and runoff'!A1", "5.5.1.1-2 Leaching and runoff")</f>
        <v>5.5.1.1-2 Leaching and runoff</v>
      </c>
      <c r="D44" s="1" t="s">
        <v>247</v>
      </c>
      <c r="E44" s="1" t="str" cm="1">
        <f t="array" ref="E44">VEERG_15_14_1_1__1_EmbeddedEmissionsFromUpstreamFreight_Outgoing_Result_Method1</f>
        <v>No data</v>
      </c>
      <c r="F44" s="1" cm="1">
        <f t="array" ref="F44">VEERG_15_14_1_1__1_EmbeddedEmissionsFromUpstreamFreight_Outgoing_Result_Method2</f>
        <v>676</v>
      </c>
      <c r="G44" s="9" t="s">
        <v>7</v>
      </c>
      <c r="H44" s="1" t="str">
        <f t="shared" si="2"/>
        <v>No data</v>
      </c>
      <c r="I44" s="1">
        <f t="shared" si="3"/>
        <v>676</v>
      </c>
      <c r="J44" s="9" t="s">
        <v>7</v>
      </c>
    </row>
    <row r="45" spans="1:10" ht="20.100000000000001" customHeight="1" x14ac:dyDescent="0.2">
      <c r="D45" s="84" t="s">
        <v>248</v>
      </c>
      <c r="E45" s="85"/>
      <c r="F45" s="85"/>
      <c r="G45" s="85"/>
      <c r="H45" s="84">
        <f>SUM(H34:H44)</f>
        <v>599.03778800000009</v>
      </c>
      <c r="I45" s="84">
        <f>SUM(I34:I44)</f>
        <v>10388.624688</v>
      </c>
      <c r="J45" s="94" t="s">
        <v>7</v>
      </c>
    </row>
    <row r="47" spans="1:10" ht="20.100000000000001" customHeight="1" x14ac:dyDescent="0.2">
      <c r="A47" s="79" t="s">
        <v>1</v>
      </c>
    </row>
    <row r="48" spans="1:10" ht="20.100000000000001" customHeight="1" x14ac:dyDescent="0.2">
      <c r="A48" s="5" t="str">
        <f>HYPERLINK("#'Constants - Swine'!A1", "Constants - Swine")</f>
        <v>Constants - Swine</v>
      </c>
      <c r="D48" s="77" t="str">
        <f>"Carbon removals from plantings for the activity period " &amp; TEXT(X_Cell_Site_StartDate, "d mmmm yyyy") &amp; " and " &amp; TEXT(X_Cell_Site_EndDate, "d mmmm yyyy")</f>
        <v>Carbon removals from plantings for the activity period 1 January 2025 and 31 December 2025</v>
      </c>
    </row>
    <row r="49" spans="1:7" ht="20.100000000000001" customHeight="1" x14ac:dyDescent="0.2">
      <c r="A49" s="5" t="str">
        <f>HYPERLINK("#'Constants - Common livestock'!A1", "Constants - Common Livestock")</f>
        <v>Constants - Common Livestock</v>
      </c>
    </row>
    <row r="50" spans="1:7" ht="20.100000000000001" customHeight="1" x14ac:dyDescent="0.2">
      <c r="A50" s="5" t="str">
        <f>HYPERLINK("#'Constants - Electricity'!A1", "Constants - Electricity")</f>
        <v>Constants - Electricity</v>
      </c>
      <c r="D50" s="84" t="s">
        <v>249</v>
      </c>
      <c r="E50" s="85">
        <f>SUM(Table_Input_Enterprise_PlantingRemovals[Removal allocated to this enterprise])</f>
        <v>0</v>
      </c>
      <c r="F50" s="94" t="s">
        <v>127</v>
      </c>
    </row>
    <row r="51" spans="1:7" ht="20.100000000000001" customHeight="1" x14ac:dyDescent="0.2">
      <c r="A51" s="5" t="str">
        <f>HYPERLINK("#'Constants - Fertiliser'!A1", "Constants - Fertiliser")</f>
        <v>Constants - Fertiliser</v>
      </c>
    </row>
    <row r="52" spans="1:7" ht="20.100000000000001" customHeight="1" x14ac:dyDescent="0.2">
      <c r="A52" s="5" t="str">
        <f>HYPERLINK("#'Constants - Fuel'!A1", "Constants - Fuel")</f>
        <v>Constants - Fuel</v>
      </c>
    </row>
    <row r="53" spans="1:7" ht="20.100000000000001" customHeight="1" x14ac:dyDescent="0.2">
      <c r="A53" s="5" t="str">
        <f>HYPERLINK("#'Constants - Scope 3'!A1", "Constants - Scope 3")</f>
        <v>Constants - Scope 3</v>
      </c>
      <c r="D53" s="77" t="str">
        <f>"Net emissions for the activity period " &amp; TEXT(X_Cell_Site_StartDate, "d mmmm yyyy") &amp; " and " &amp; TEXT(X_Cell_Site_EndDate, "d mmmm yyyy")</f>
        <v>Net emissions for the activity period 1 January 2025 and 31 December 2025</v>
      </c>
    </row>
    <row r="54" spans="1:7" ht="20.100000000000001" customHeight="1" x14ac:dyDescent="0.2">
      <c r="A54" s="5" t="str">
        <f>HYPERLINK("#'Constants - Solid Waste'!A1", "Constants - Solid Waste")</f>
        <v>Constants - Solid Waste</v>
      </c>
    </row>
    <row r="55" spans="1:7" ht="20.100000000000001" customHeight="1" x14ac:dyDescent="0.2">
      <c r="A55" s="5" t="str">
        <f>HYPERLINK("#'Constants - Common'!A1", "Constants - Common")</f>
        <v>Constants - Common</v>
      </c>
      <c r="D55" s="11"/>
      <c r="E55" s="11" t="s">
        <v>130</v>
      </c>
      <c r="F55" s="11" t="s">
        <v>131</v>
      </c>
      <c r="G55" s="11"/>
    </row>
    <row r="56" spans="1:7" ht="20.100000000000001" customHeight="1" x14ac:dyDescent="0.2">
      <c r="A56" s="5" t="str">
        <f>HYPERLINK("#'Acknowledgements'!A1", "Acknowledgements")</f>
        <v>Acknowledgements</v>
      </c>
      <c r="D56" s="93" t="s">
        <v>250</v>
      </c>
      <c r="E56" s="91">
        <f ca="1">Result_Enterprise_Scope1_Method1+Result_Enterprise_Scope2_Method1+Result_Enterprise_Scope3_Method1</f>
        <v>1463.4670459377974</v>
      </c>
      <c r="F56" s="91">
        <f ca="1">Result_Enterprise_Scope1_Method2+Result_Enterprise_Scope2_Method2+Result_Enterprise_Scope3_Method2</f>
        <v>11253.745695503852</v>
      </c>
      <c r="G56" s="92" t="s">
        <v>251</v>
      </c>
    </row>
    <row r="57" spans="1:7" ht="20.100000000000001" customHeight="1" x14ac:dyDescent="0.2">
      <c r="D57" s="93" t="s">
        <v>252</v>
      </c>
      <c r="E57" s="91">
        <f ca="1">Result_Enterprise_Gross_Method1-Result_Enterprise_Removals</f>
        <v>1463.4670459377974</v>
      </c>
      <c r="F57" s="91">
        <f ca="1">Result_Enterprise_Gross_Method2-Result_Enterprise_Removals</f>
        <v>11253.745695503852</v>
      </c>
      <c r="G57" s="92" t="s">
        <v>251</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30" customHeight="1" x14ac:dyDescent="0.35">
      <c r="A1" s="10" t="e" vm="1">
        <v>#VALUE!</v>
      </c>
      <c r="C1" s="89" t="s">
        <v>255</v>
      </c>
    </row>
    <row r="2" spans="1:16" s="3" customFormat="1" ht="20.100000000000001" customHeight="1" x14ac:dyDescent="0.2">
      <c r="A2"/>
    </row>
    <row r="3" spans="1:16" ht="20.100000000000001" customHeight="1" x14ac:dyDescent="0.2">
      <c r="A3" s="5" t="str">
        <f>HYPERLINK("#'Home'!A1", "Home")</f>
        <v>Home</v>
      </c>
      <c r="C3" s="90"/>
      <c r="D3" s="90"/>
      <c r="E3" s="90"/>
      <c r="F3" s="90"/>
      <c r="G3" s="90"/>
      <c r="H3" s="90"/>
      <c r="I3" s="90"/>
      <c r="J3" s="90"/>
      <c r="K3" s="90"/>
      <c r="L3" s="90"/>
      <c r="M3" s="90"/>
      <c r="N3" s="90"/>
      <c r="O3" s="90"/>
      <c r="P3" s="90"/>
    </row>
    <row r="4" spans="1:16" ht="20.100000000000001" customHeight="1" x14ac:dyDescent="0.2">
      <c r="A4" s="5" t="str">
        <f>HYPERLINK("#'Results - Activity period'!A1", "Results - Activity period")</f>
        <v>Results - Activity period</v>
      </c>
    </row>
    <row r="5" spans="1:16" ht="20.100000000000001" customHeight="1" x14ac:dyDescent="0.2">
      <c r="A5" s="259" t="str">
        <f>HYPERLINK("#'Results - Product EI'!A1", "Results - Product Emissions Intensity")</f>
        <v>Results - Product Emissions Intensity</v>
      </c>
    </row>
    <row r="8" spans="1:16" ht="20.100000000000001" customHeight="1" x14ac:dyDescent="0.2">
      <c r="A8" s="7" t="s">
        <v>0</v>
      </c>
    </row>
    <row r="9" spans="1:16" ht="20.100000000000001" customHeight="1" x14ac:dyDescent="0.2">
      <c r="A9" s="5" t="str">
        <f>HYPERLINK("#'Input - Enterprise'!A1", "Enterprise")</f>
        <v>Enterprise</v>
      </c>
    </row>
    <row r="10" spans="1:16" ht="20.100000000000001" customHeight="1" x14ac:dyDescent="0.2">
      <c r="A10" s="5" t="str">
        <f>HYPERLINK("#'Input - Site'!A1", "Site")</f>
        <v>Site</v>
      </c>
    </row>
    <row r="11" spans="1:16" ht="20.100000000000001" customHeight="1" x14ac:dyDescent="0.2">
      <c r="A11" s="5" t="str">
        <f>HYPERLINK("#'Input - Swine'!A1", "Swine")</f>
        <v>Swine</v>
      </c>
    </row>
    <row r="12" spans="1:16" ht="20.100000000000001" customHeight="1" x14ac:dyDescent="0.2">
      <c r="A12" s="5" t="str">
        <f>HYPERLINK("#'Input - Livestock sales'!A1", "Livestock sales")</f>
        <v>Livestock sales</v>
      </c>
    </row>
    <row r="13" spans="1:16" ht="20.100000000000001" customHeight="1" x14ac:dyDescent="0.2">
      <c r="A13" s="5" t="str">
        <f>HYPERLINK("#'Input - Pig purchases'!A1", "Pig purchases")</f>
        <v>Pig purchases</v>
      </c>
    </row>
    <row r="14" spans="1:16" ht="20.100000000000001" customHeight="1" x14ac:dyDescent="0.2">
      <c r="A14" s="5" t="str">
        <f>HYPERLINK("#'Input - Fuel'!A1", "Fuel")</f>
        <v>Fuel</v>
      </c>
    </row>
    <row r="15" spans="1:16" ht="20.100000000000001" customHeight="1" x14ac:dyDescent="0.2">
      <c r="A15" s="5" t="str">
        <f>HYPERLINK("#'Input - Electricity'!A1", "Electricity")</f>
        <v>Electricity</v>
      </c>
    </row>
    <row r="16" spans="1:16"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Manure sent off-site'!A1", "Manure sent off-site")</f>
        <v>Manure sent off-site</v>
      </c>
    </row>
    <row r="21" spans="1:4" ht="20.100000000000001" customHeight="1" x14ac:dyDescent="0.2">
      <c r="A21" s="5" t="str">
        <f>HYPERLINK("#'Input - Data quality'!A1", "Data quality")</f>
        <v>Data quality</v>
      </c>
    </row>
    <row r="22" spans="1:4" ht="20.100000000000001" customHeight="1" x14ac:dyDescent="0.2">
      <c r="A22" s="5" t="str">
        <f>HYPERLINK("#'Input - Fert Prod System'!A1", "Fert Prod System")</f>
        <v>Fert Prod System</v>
      </c>
    </row>
    <row r="23" spans="1:4" ht="20.100000000000001" customHeight="1" x14ac:dyDescent="0.2">
      <c r="A23" s="5" t="str">
        <f>HYPERLINK("#'Input - Fertiliser'!A1", "Fertiliser")</f>
        <v>Fertiliser</v>
      </c>
    </row>
    <row r="26" spans="1:4" ht="20.100000000000001" customHeight="1" x14ac:dyDescent="0.2">
      <c r="A26" s="6" t="s">
        <v>2</v>
      </c>
    </row>
    <row r="27" spans="1:4" ht="20.100000000000001" customHeight="1" x14ac:dyDescent="0.2">
      <c r="A27" s="5" t="str">
        <f>HYPERLINK("#'3.5.1.1-2 Enteric Methane'!A1", "3.5.1.1-2 Enteric Methane")</f>
        <v>3.5.1.1-2 Enteric Methane</v>
      </c>
    </row>
    <row r="28" spans="1:4" ht="20.100000000000001" customHeight="1" x14ac:dyDescent="0.2">
      <c r="A28" s="5" t="str">
        <f>HYPERLINK("#'4.5.1.1-2 Methane'!A1", "4.5.1.1-2 Manure Methane")</f>
        <v>4.5.1.1-2 Manure Methane</v>
      </c>
    </row>
    <row r="29" spans="1:4" ht="20.100000000000001" customHeight="1" x14ac:dyDescent="0.2">
      <c r="A29" s="5" t="str">
        <f>HYPERLINK("#'4.5.1.3-4 Direct N2O'!A1", "4.5.1.3-4 Manure Direct N2O")</f>
        <v>4.5.1.3-4 Manure Direct N2O</v>
      </c>
    </row>
    <row r="30" spans="1:4" ht="20.100000000000001" customHeight="1" x14ac:dyDescent="0.2">
      <c r="A30" s="5" t="str">
        <f>HYPERLINK("#'4.5.1.5-6 Atmos Dep'!A1", "4.5.1.5-6 Manure Atmos Dep")</f>
        <v>4.5.1.5-6 Manure Atmos Dep</v>
      </c>
    </row>
    <row r="31" spans="1:4" ht="20.100000000000001" customHeight="1" x14ac:dyDescent="0.2">
      <c r="A31" s="5" t="str">
        <f>HYPERLINK("#'4.5.1.7-8 Leaching and runoff'!A1", "4.5.1.7-8 Manure Leaching and runoff")</f>
        <v>4.5.1.7-8 Manure Leaching and runoff</v>
      </c>
    </row>
    <row r="32" spans="1:4" ht="20.100000000000001" customHeight="1" x14ac:dyDescent="0.2">
      <c r="A32" s="5" t="str">
        <f>HYPERLINK("#'4.5.1.9 Manure applied to soils'!A1", "4.5.1.9 Manure applied to soils")</f>
        <v>4.5.1.9 Manure applied to soils</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HYPERLINK("#'8.1.1.1-2 Transport fuel'!A1", "8.1.1.1-2 Transport fuel")</f>
        <v>8.1.1.1-2 Transport fuel</v>
      </c>
    </row>
    <row r="34" spans="1:10" ht="20.100000000000001" customHeight="1" x14ac:dyDescent="0.2">
      <c r="A34" s="5" t="str">
        <f>HYPERLINK("#'8.2.1.1-2 Stationary fuel'!A1", "8.2.1.1-2 Stationary fuel")</f>
        <v>8.2.1.1-2 Stationary fuel</v>
      </c>
    </row>
    <row r="35" spans="1:10" ht="20.100000000000001" customHeight="1" x14ac:dyDescent="0.2">
      <c r="A35" s="5" t="str">
        <f>HYPERLINK("#'10.1.1-2 Solid waste treatment'!A1", "10.1.1.1-2 Solid waste")</f>
        <v>10.1.1.1-2 Solid waste</v>
      </c>
      <c r="D35" s="11"/>
      <c r="E35" s="11" t="s">
        <v>130</v>
      </c>
      <c r="F35" s="11" t="s">
        <v>131</v>
      </c>
      <c r="G35" s="11"/>
    </row>
    <row r="36" spans="1:10" ht="20.100000000000001" customHeight="1" x14ac:dyDescent="0.2">
      <c r="A36" s="5" t="str">
        <f>HYPERLINK("#'14.1.1-2 Purchased electricity'!A1", "14.1.1-2 Purchased electricity")</f>
        <v>14.1.1-2 Purchased electricity</v>
      </c>
      <c r="D36" s="75" t="s">
        <v>253</v>
      </c>
      <c r="E36" s="1">
        <f ca="1">Result_EmissionsForWholeProductionCycle_Gross_Method1</f>
        <v>1463.4670459377974</v>
      </c>
      <c r="F36" s="1">
        <f ca="1">Result_EmissionsForWholeProductionCycle_Gross_Method2</f>
        <v>11253.745695503852</v>
      </c>
      <c r="G36" s="9" t="s">
        <v>7</v>
      </c>
    </row>
    <row r="37" spans="1:10" ht="20.100000000000001" customHeight="1" x14ac:dyDescent="0.2">
      <c r="A37" s="5" t="str">
        <f>HYPERLINK("#'15 Scope 3'!A1", "15 Scope 3")</f>
        <v>15 Scope 3</v>
      </c>
      <c r="D37" s="75" t="s">
        <v>254</v>
      </c>
      <c r="E37" s="1">
        <f ca="1">Result_EmissionsForWholeProductionCycle_Net_Method1</f>
        <v>1463.4670459377974</v>
      </c>
      <c r="F37" s="1">
        <f ca="1">Result_EmissionsForWholeProductionCycle_Net_Method2</f>
        <v>11253.745695503852</v>
      </c>
      <c r="G37" s="9" t="s">
        <v>7</v>
      </c>
    </row>
    <row r="38" spans="1:10" ht="20.100000000000001" customHeight="1" x14ac:dyDescent="0.2">
      <c r="A38" s="5" t="str">
        <f>HYPERLINK("#'Calcs - Manure sent off-site'!A1", "Calcs - Manure sent off-site")</f>
        <v>Calcs - Manure sent off-site</v>
      </c>
    </row>
    <row r="39" spans="1:10" ht="20.100000000000001" customHeight="1" x14ac:dyDescent="0.2">
      <c r="A39" s="5" t="str">
        <f>HYPERLINK("#'5.1.1.1-2 Inorganic fert N2O'!A1", "5.1.1.1-2 Inorganic fert N2O")</f>
        <v>5.1.1.1-2 Inorganic fert N2O</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5" t="str">
        <f>HYPERLINK("#'5.1.1.3-4 Inorganic fert CO2'!A1", "5.1.1.3-4 Inorganic fert CO2")</f>
        <v>5.1.1.3-4 Inorganic fert CO2</v>
      </c>
    </row>
    <row r="41" spans="1:10" ht="20.100000000000001" customHeight="1" x14ac:dyDescent="0.2">
      <c r="A41" s="5" t="str">
        <f>HYPERLINK("#'5.2.1.1-2 Organic Fert N2O'!A1", "5.2.1.1-2 Organic Fert N2O")</f>
        <v>5.2.1.1-2 Organic Fert N2O</v>
      </c>
    </row>
    <row r="42" spans="1:10" ht="20.100000000000001" customHeight="1" x14ac:dyDescent="0.2">
      <c r="A42" s="5" t="str">
        <f>HYPERLINK("#'5.3.1.1-2 Lime CO2'!A1", "5.3.1.1-2 Lime CO2")</f>
        <v>5.3.1.1-2 Lime CO2</v>
      </c>
      <c r="D42" s="77" t="s">
        <v>145</v>
      </c>
    </row>
    <row r="43" spans="1:10" ht="20.100000000000001" customHeight="1" x14ac:dyDescent="0.2">
      <c r="A43" s="5" t="str">
        <f>HYPERLINK("#'5.4.1.1-4 Atmos deposition'!A1", "5.4.1.1-4 Atmos deposition")</f>
        <v>5.4.1.1-4 Atmos deposition</v>
      </c>
      <c r="D43" s="11" t="s">
        <v>132</v>
      </c>
      <c r="E43" s="11" t="s">
        <v>121</v>
      </c>
      <c r="F43" s="11" t="s">
        <v>117</v>
      </c>
      <c r="G43" s="11" t="s">
        <v>142</v>
      </c>
      <c r="H43" s="11" t="s">
        <v>119</v>
      </c>
      <c r="I43" s="11" t="s">
        <v>120</v>
      </c>
      <c r="J43" s="11" t="s">
        <v>118</v>
      </c>
    </row>
    <row r="44" spans="1:10" ht="20.100000000000001" customHeight="1" x14ac:dyDescent="0.2">
      <c r="A44" s="5" t="str">
        <f>HYPERLINK("#'5.5.1.1-2 Leaching and runoff'!A1", "5.5.1.1-2 Leaching and runoff")</f>
        <v>5.5.1.1-2 Leaching and runoff</v>
      </c>
      <c r="D44" s="1" t="s">
        <v>282</v>
      </c>
      <c r="E44" s="1" t="s">
        <v>122</v>
      </c>
      <c r="F44" s="1">
        <f>X_Cell_Enterprise_LiveweightSold</f>
        <v>5</v>
      </c>
      <c r="G44" s="1">
        <f>F44/(F44+F46)</f>
        <v>0.83333333333333337</v>
      </c>
      <c r="H44" s="1">
        <f ca="1">(E36/F44)*G44</f>
        <v>243.91117432296625</v>
      </c>
      <c r="I44" s="1">
        <f ca="1">(F36/F44)*G44</f>
        <v>1875.6242825839756</v>
      </c>
      <c r="J44" s="9" t="s">
        <v>287</v>
      </c>
    </row>
    <row r="45" spans="1:10" ht="20.100000000000001" customHeight="1" x14ac:dyDescent="0.2">
      <c r="D45" s="1" t="s">
        <v>283</v>
      </c>
      <c r="E45" s="1" t="s">
        <v>122</v>
      </c>
      <c r="F45" s="1">
        <f>F44</f>
        <v>5</v>
      </c>
      <c r="G45" s="1">
        <f>G44</f>
        <v>0.83333333333333337</v>
      </c>
      <c r="H45" s="1">
        <f ca="1">(E37/F45)*G45</f>
        <v>243.91117432296625</v>
      </c>
      <c r="I45" s="1">
        <f ca="1">(F37/F45)*G45</f>
        <v>1875.6242825839756</v>
      </c>
      <c r="J45" s="9" t="s">
        <v>287</v>
      </c>
    </row>
    <row r="46" spans="1:10" ht="20.100000000000001" customHeight="1" x14ac:dyDescent="0.2">
      <c r="D46" s="1" t="s">
        <v>284</v>
      </c>
      <c r="E46" s="1" t="s">
        <v>123</v>
      </c>
      <c r="F46" s="1">
        <f>X_Cell_Enterprise_ManureProduced*X_Cell_Enterprise_PercentManureSold</f>
        <v>1</v>
      </c>
      <c r="G46" s="1">
        <f>F46/(F44+F46)</f>
        <v>0.16666666666666666</v>
      </c>
      <c r="H46" s="1">
        <f ca="1">(E36/F46)*G46</f>
        <v>243.91117432296622</v>
      </c>
      <c r="I46" s="1">
        <f ca="1">(F36/F46)*G46</f>
        <v>1875.6242825839754</v>
      </c>
      <c r="J46" s="9" t="s">
        <v>288</v>
      </c>
    </row>
    <row r="47" spans="1:10" ht="20.100000000000001" customHeight="1" x14ac:dyDescent="0.2">
      <c r="A47" s="79" t="s">
        <v>1</v>
      </c>
      <c r="D47" s="1" t="s">
        <v>285</v>
      </c>
      <c r="E47" s="1" t="s">
        <v>123</v>
      </c>
      <c r="F47" s="1">
        <f>F46</f>
        <v>1</v>
      </c>
      <c r="G47" s="1">
        <f>G46</f>
        <v>0.16666666666666666</v>
      </c>
      <c r="H47" s="95">
        <f ca="1">(E37/F47)*G47</f>
        <v>243.91117432296622</v>
      </c>
      <c r="I47" s="95">
        <f ca="1">(F37/F47)*G47</f>
        <v>1875.6242825839754</v>
      </c>
      <c r="J47" s="9" t="s">
        <v>288</v>
      </c>
    </row>
    <row r="48" spans="1:10" ht="20.100000000000001" customHeight="1" x14ac:dyDescent="0.2">
      <c r="A48" s="5" t="str">
        <f>HYPERLINK("#'Constants - Swine'!A1", "Constants - Swine")</f>
        <v>Constants - Swine</v>
      </c>
      <c r="D48" s="1" t="s">
        <v>286</v>
      </c>
      <c r="E48" s="1" t="s">
        <v>125</v>
      </c>
      <c r="F48" s="1">
        <f>X_Cell_Enterprise_ManureProduced*X_Cell_Enterprise_PercentManureFertiliserOwnFarm</f>
        <v>1</v>
      </c>
      <c r="G48" s="1" t="s">
        <v>124</v>
      </c>
      <c r="H48" s="1" t="s">
        <v>124</v>
      </c>
      <c r="I48" s="1" t="s">
        <v>124</v>
      </c>
      <c r="J48" s="9"/>
    </row>
    <row r="49" spans="1:10" ht="20.100000000000001" customHeight="1" x14ac:dyDescent="0.2">
      <c r="A49" s="5" t="str">
        <f>HYPERLINK("#'Constants - Common livestock'!A1", "Constants - Common Livestock")</f>
        <v>Constants - Common Livestock</v>
      </c>
    </row>
    <row r="50" spans="1:10" ht="20.100000000000001" customHeight="1" x14ac:dyDescent="0.2">
      <c r="A50" s="5" t="str">
        <f>HYPERLINK("#'Constants - Electricity'!A1", "Constants - Electricity")</f>
        <v>Constants - Electricity</v>
      </c>
      <c r="D50" s="77" t="s">
        <v>146</v>
      </c>
    </row>
    <row r="51" spans="1:10" ht="20.100000000000001" customHeight="1" x14ac:dyDescent="0.2">
      <c r="A51" s="5" t="str">
        <f>HYPERLINK("#'Constants - Fertiliser'!A1", "Constants - Fertiliser")</f>
        <v>Constants - Fertiliser</v>
      </c>
      <c r="D51" s="11" t="s">
        <v>132</v>
      </c>
      <c r="E51" s="11" t="s">
        <v>121</v>
      </c>
      <c r="F51" s="11" t="s">
        <v>117</v>
      </c>
      <c r="G51" s="11" t="s">
        <v>141</v>
      </c>
      <c r="H51" s="11" t="s">
        <v>143</v>
      </c>
      <c r="I51" s="11" t="s">
        <v>144</v>
      </c>
      <c r="J51" s="11" t="s">
        <v>118</v>
      </c>
    </row>
    <row r="52" spans="1:10" ht="20.100000000000001" customHeight="1" x14ac:dyDescent="0.2">
      <c r="A52" s="5" t="str">
        <f>HYPERLINK("#'Constants - Fuel'!A1", "Constants - Fuel")</f>
        <v>Constants - Fuel</v>
      </c>
      <c r="D52" s="1" t="s">
        <v>282</v>
      </c>
      <c r="E52" s="1" t="s">
        <v>122</v>
      </c>
      <c r="F52" s="1">
        <f>X_Cell_Enterprise_LiveweightSold</f>
        <v>5</v>
      </c>
      <c r="G52" s="1">
        <f>X_Cell_Enterprise_PercentIncomeFromLiveweightSold</f>
        <v>0.8</v>
      </c>
      <c r="H52" s="1">
        <f ca="1">E36*G52/F52</f>
        <v>234.15472735004761</v>
      </c>
      <c r="I52" s="1">
        <f ca="1">F36*G52/F52</f>
        <v>1800.5993112806166</v>
      </c>
      <c r="J52" s="9" t="s">
        <v>287</v>
      </c>
    </row>
    <row r="53" spans="1:10" ht="20.100000000000001" customHeight="1" x14ac:dyDescent="0.2">
      <c r="A53" s="5" t="str">
        <f>HYPERLINK("#'Constants - Scope 3'!A1", "Constants - Scope 3")</f>
        <v>Constants - Scope 3</v>
      </c>
      <c r="D53" s="1" t="s">
        <v>283</v>
      </c>
      <c r="E53" s="1" t="s">
        <v>122</v>
      </c>
      <c r="F53" s="1">
        <f>F52</f>
        <v>5</v>
      </c>
      <c r="G53" s="1">
        <f>G52</f>
        <v>0.8</v>
      </c>
      <c r="H53" s="1">
        <f ca="1">E37*G53/F53</f>
        <v>234.15472735004761</v>
      </c>
      <c r="I53" s="1">
        <f ca="1">F37*G53/F53</f>
        <v>1800.5993112806166</v>
      </c>
      <c r="J53" s="9" t="s">
        <v>287</v>
      </c>
    </row>
    <row r="54" spans="1:10" ht="20.100000000000001" customHeight="1" x14ac:dyDescent="0.2">
      <c r="A54" s="5" t="str">
        <f>HYPERLINK("#'Constants - Solid Waste'!A1", "Constants - Solid Waste")</f>
        <v>Constants - Solid Waste</v>
      </c>
      <c r="D54" s="1" t="s">
        <v>284</v>
      </c>
      <c r="E54" s="1" t="s">
        <v>123</v>
      </c>
      <c r="F54" s="1">
        <f>X_Cell_Enterprise_ManureProduced*X_Cell_Enterprise_PercentManureSold</f>
        <v>1</v>
      </c>
      <c r="G54" s="1">
        <f>X_Cell_Enterprise_PercentIncomeFromManureSold</f>
        <v>0.2</v>
      </c>
      <c r="H54" s="1">
        <f ca="1">E36*G54/F54</f>
        <v>292.6934091875595</v>
      </c>
      <c r="I54" s="1">
        <f ca="1">F36*G54/F54</f>
        <v>2250.7491391007707</v>
      </c>
      <c r="J54" s="9" t="s">
        <v>288</v>
      </c>
    </row>
    <row r="55" spans="1:10" ht="20.100000000000001" customHeight="1" x14ac:dyDescent="0.2">
      <c r="A55" s="5" t="str">
        <f>HYPERLINK("#'Constants - Common'!A1", "Constants - Common")</f>
        <v>Constants - Common</v>
      </c>
      <c r="D55" s="1" t="s">
        <v>285</v>
      </c>
      <c r="E55" s="1" t="s">
        <v>123</v>
      </c>
      <c r="F55" s="1">
        <f>F54</f>
        <v>1</v>
      </c>
      <c r="G55" s="1">
        <f>G54</f>
        <v>0.2</v>
      </c>
      <c r="H55" s="1">
        <f ca="1">E37*G55/F55</f>
        <v>292.6934091875595</v>
      </c>
      <c r="I55" s="1">
        <f ca="1">F37*G55/F55</f>
        <v>2250.7491391007707</v>
      </c>
      <c r="J55" s="9" t="s">
        <v>288</v>
      </c>
    </row>
    <row r="56" spans="1:10" ht="20.100000000000001" customHeight="1" x14ac:dyDescent="0.2">
      <c r="A56" s="5" t="str">
        <f>HYPERLINK("#'Acknowledgements'!A1", "Acknowledgements")</f>
        <v>Acknowledgements</v>
      </c>
      <c r="D56" s="1" t="s">
        <v>286</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zoomScaleNormal="100" workbookViewId="0">
      <pane xSplit="1" topLeftCell="B1" activePane="topRight" state="frozenSplit"/>
      <selection pane="topRight" activeCell="A55" sqref="A55"/>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139</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D6" s="31"/>
      <c r="E6" s="24"/>
      <c r="F6" s="24"/>
      <c r="G6" s="24"/>
    </row>
    <row r="7" spans="1:10" ht="20.100000000000001" customHeight="1" x14ac:dyDescent="0.2">
      <c r="D7" s="1" t="s">
        <v>88</v>
      </c>
      <c r="E7" s="33" t="s">
        <v>89</v>
      </c>
      <c r="F7" s="16"/>
      <c r="G7" s="24"/>
    </row>
    <row r="8" spans="1:10" ht="20.100000000000001" customHeight="1" x14ac:dyDescent="0.2">
      <c r="A8" s="7" t="s">
        <v>0</v>
      </c>
      <c r="D8" s="12" t="s">
        <v>90</v>
      </c>
      <c r="E8" s="33" t="s">
        <v>91</v>
      </c>
      <c r="F8" s="24"/>
      <c r="G8" s="24"/>
    </row>
    <row r="9" spans="1:10" ht="20.100000000000001" customHeight="1" x14ac:dyDescent="0.2">
      <c r="A9" s="99" t="str">
        <f>HYPERLINK("#'Input - Enterprise'!A1", "Enterprise")</f>
        <v>Enterprise</v>
      </c>
      <c r="D9" s="24"/>
      <c r="E9" s="24"/>
      <c r="F9" s="24"/>
      <c r="G9" s="24"/>
    </row>
    <row r="10" spans="1:10" ht="20.100000000000001" customHeight="1" x14ac:dyDescent="0.2">
      <c r="A10" s="5" t="str">
        <f>HYPERLINK("#'Input - Site'!A1", "Site")</f>
        <v>Site</v>
      </c>
      <c r="D10" s="35" t="s">
        <v>92</v>
      </c>
      <c r="E10" s="36"/>
      <c r="F10" s="37"/>
      <c r="G10" s="38"/>
    </row>
    <row r="11" spans="1:10" ht="20.100000000000001" customHeight="1" x14ac:dyDescent="0.2">
      <c r="A11" s="5" t="str">
        <f>HYPERLINK("#'Input - Swine'!A1", "Swine")</f>
        <v>Swine</v>
      </c>
      <c r="D11" s="24"/>
      <c r="E11" s="24"/>
      <c r="F11" s="24"/>
      <c r="G11" s="24"/>
    </row>
    <row r="12" spans="1:10" ht="20.100000000000001" customHeight="1" x14ac:dyDescent="0.2">
      <c r="A12" s="5" t="str">
        <f>HYPERLINK("#'Input - Livestock sales'!A1", "Livestock sales")</f>
        <v>Livestock sales</v>
      </c>
      <c r="D12" s="12" t="s">
        <v>16</v>
      </c>
      <c r="E12" s="14">
        <v>45658</v>
      </c>
      <c r="F12" s="16" t="s">
        <v>93</v>
      </c>
      <c r="G12" s="24"/>
    </row>
    <row r="13" spans="1:10" ht="20.100000000000001" customHeight="1" x14ac:dyDescent="0.2">
      <c r="A13" s="5" t="str">
        <f>HYPERLINK("#'Input - Pig purchases'!A1", "Pig purchases")</f>
        <v>Pig purchases</v>
      </c>
      <c r="D13" s="12" t="s">
        <v>17</v>
      </c>
      <c r="E13" s="40">
        <f>DATE(YEAR(E12)+1,MONTH(E12),DAY(E12))-1</f>
        <v>46022</v>
      </c>
      <c r="F13" s="16" t="s">
        <v>94</v>
      </c>
      <c r="G13" s="24"/>
    </row>
    <row r="14" spans="1:10" ht="20.100000000000001" customHeight="1" x14ac:dyDescent="0.2">
      <c r="A14" s="5" t="str">
        <f>HYPERLINK("#'Input - Fuel'!A1", "Fuel")</f>
        <v>Fuel</v>
      </c>
      <c r="F14" s="24"/>
      <c r="G14" s="24"/>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Livestock farm Inputs'!A1", "Livestock farm Inputs")</f>
        <v>Livestock farm Inputs</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Manure sent off-site'!A1", "Manure sent off-site")</f>
        <v>Manure sent off-site</v>
      </c>
      <c r="D20" s="1" t="s">
        <v>15</v>
      </c>
      <c r="E20" s="15">
        <f>DATEDIF(E18,E19+1,"m")</f>
        <v>5</v>
      </c>
      <c r="F20" s="16" t="s">
        <v>116</v>
      </c>
    </row>
    <row r="21" spans="1:6" ht="20.100000000000001" customHeight="1" x14ac:dyDescent="0.2">
      <c r="A21" s="5" t="str">
        <f>HYPERLINK("#'Input - Data quality'!A1", "Data quality")</f>
        <v>Data quality</v>
      </c>
    </row>
    <row r="22" spans="1:6" ht="20.100000000000001" customHeight="1" x14ac:dyDescent="0.2">
      <c r="A22" s="5" t="str">
        <f>HYPERLINK("#'Input - Fert Prod System'!A1", "Fert Prod System")</f>
        <v>Fert Prod System</v>
      </c>
      <c r="D22" s="1" t="s">
        <v>266</v>
      </c>
      <c r="E22" s="76">
        <f>SUM(Table_Input_LivestockSales[Total liveweight sold])*10^-3</f>
        <v>5</v>
      </c>
      <c r="F22" s="16" t="s">
        <v>19</v>
      </c>
    </row>
    <row r="23" spans="1:6" ht="20.100000000000001" customHeight="1" x14ac:dyDescent="0.2">
      <c r="A23" s="5" t="str">
        <f>HYPERLINK("#'Input - Fertiliser'!A1", "Fertiliser")</f>
        <v>Fertiliser</v>
      </c>
      <c r="D23" s="1" t="s">
        <v>267</v>
      </c>
      <c r="E23" s="74">
        <v>10</v>
      </c>
      <c r="F23" s="16" t="s">
        <v>19</v>
      </c>
    </row>
    <row r="24" spans="1:6" ht="20.100000000000001" customHeight="1" x14ac:dyDescent="0.2">
      <c r="D24" s="1" t="s">
        <v>280</v>
      </c>
      <c r="E24" s="18">
        <v>0.1</v>
      </c>
      <c r="F24" s="16" t="s">
        <v>140</v>
      </c>
    </row>
    <row r="25" spans="1:6" ht="20.100000000000001" customHeight="1" x14ac:dyDescent="0.2">
      <c r="D25" s="1" t="s">
        <v>281</v>
      </c>
      <c r="E25" s="18">
        <v>0.1</v>
      </c>
      <c r="F25" s="16" t="s">
        <v>140</v>
      </c>
    </row>
    <row r="26" spans="1:6" ht="20.100000000000001" customHeight="1" x14ac:dyDescent="0.2">
      <c r="A26" s="6" t="s">
        <v>2</v>
      </c>
    </row>
    <row r="27" spans="1:6" ht="20.100000000000001" customHeight="1" x14ac:dyDescent="0.2">
      <c r="A27" s="5" t="str">
        <f>HYPERLINK("#'3.5.1.1-2 Enteric Methane'!A1", "3.5.1.1-2 Enteric Methane")</f>
        <v>3.5.1.1-2 Enteric Methane</v>
      </c>
      <c r="D27" s="1" t="s">
        <v>278</v>
      </c>
      <c r="E27" s="18">
        <v>0.8</v>
      </c>
      <c r="F27" s="16" t="s">
        <v>140</v>
      </c>
    </row>
    <row r="28" spans="1:6" ht="20.100000000000001" customHeight="1" x14ac:dyDescent="0.2">
      <c r="A28" s="5" t="str">
        <f>HYPERLINK("#'4.5.1.1-2 Methane'!A1", "4.5.1.1-2 Manure Methane")</f>
        <v>4.5.1.1-2 Manure Methane</v>
      </c>
      <c r="D28" s="1" t="s">
        <v>279</v>
      </c>
      <c r="E28" s="18">
        <v>0.2</v>
      </c>
      <c r="F28" s="16" t="s">
        <v>140</v>
      </c>
    </row>
    <row r="29" spans="1:6" ht="20.100000000000001" customHeight="1" x14ac:dyDescent="0.2">
      <c r="A29" s="5" t="str">
        <f>HYPERLINK("#'4.5.1.3-4 Direct N2O'!A1", "4.5.1.3-4 Manure Direct N2O")</f>
        <v>4.5.1.3-4 Manure Direct N2O</v>
      </c>
    </row>
    <row r="30" spans="1:6" ht="20.100000000000001" customHeight="1" x14ac:dyDescent="0.2">
      <c r="A30" s="5" t="str">
        <f>HYPERLINK("#'4.5.1.5-6 Atmos Dep'!A1", "4.5.1.5-6 Manure Atmos Dep")</f>
        <v>4.5.1.5-6 Manure Atmos Dep</v>
      </c>
    </row>
    <row r="31" spans="1:6" ht="20.100000000000001" customHeight="1" x14ac:dyDescent="0.2">
      <c r="A31" s="5" t="str">
        <f>HYPERLINK("#'4.5.1.7-8 Leaching and runoff'!A1", "4.5.1.7-8 Manure Leaching and runoff")</f>
        <v>4.5.1.7-8 Manure Leaching and runoff</v>
      </c>
      <c r="D31" s="2" t="s">
        <v>228</v>
      </c>
    </row>
    <row r="32" spans="1:6" ht="20.100000000000001" customHeight="1" x14ac:dyDescent="0.2">
      <c r="A32" s="5" t="str">
        <f>HYPERLINK("#'4.5.1.9 Manure applied to soils'!A1", "4.5.1.9 Manure applied to soils")</f>
        <v>4.5.1.9 Manure applied to soils</v>
      </c>
    </row>
    <row r="33" spans="1:7" ht="20.100000000000001" customHeight="1" x14ac:dyDescent="0.2">
      <c r="A33" s="5" t="str">
        <f>HYPERLINK("#'8.1.1.1-2 Transport fuel'!A1", "8.1.1.1-2 Transport fuel")</f>
        <v>8.1.1.1-2 Transport fuel</v>
      </c>
    </row>
    <row r="34" spans="1:7" ht="20.100000000000001" customHeight="1" x14ac:dyDescent="0.2">
      <c r="A34" s="5" t="str">
        <f>HYPERLINK("#'8.2.1.1-2 Stationary fuel'!A1", "8.2.1.1-2 Stationary fuel")</f>
        <v>8.2.1.1-2 Stationary fuel</v>
      </c>
      <c r="D34" s="77" t="str">
        <f>"Carbon captured from " &amp; TEXT(X_Cell_Site_StartDate, "d mmmm yyyy") &amp; " to " &amp; TEXT(X_Cell_Site_EndDate, "d, mmmm, yyyy") &amp; " from environmental plantings"</f>
        <v>Carbon captured from 1 January 2025 to 31, December, 2025 from environmental plantings</v>
      </c>
    </row>
    <row r="35" spans="1:7" ht="20.100000000000001" customHeight="1" x14ac:dyDescent="0.2">
      <c r="A35" s="5" t="str">
        <f>HYPERLINK("#'10.1.1-2 Solid waste treatment'!A1", "10.1.1.1-2 Solid waste")</f>
        <v>10.1.1.1-2 Solid waste</v>
      </c>
    </row>
    <row r="36" spans="1:7" ht="20.100000000000001" customHeight="1" x14ac:dyDescent="0.2">
      <c r="A36" s="5" t="str">
        <f>HYPERLINK("#'14.1.1-2 Purchased electricity'!A1", "14.1.1-2 Purchased electricity")</f>
        <v>14.1.1-2 Purchased electricity</v>
      </c>
      <c r="D36" s="19" t="s">
        <v>229</v>
      </c>
      <c r="E36" s="19" t="s">
        <v>230</v>
      </c>
      <c r="F36" s="19" t="s">
        <v>231</v>
      </c>
      <c r="G36" s="78" t="s">
        <v>232</v>
      </c>
    </row>
    <row r="37" spans="1:7" ht="20.100000000000001" customHeight="1" x14ac:dyDescent="0.2">
      <c r="A37" s="5" t="str">
        <f>HYPERLINK("#'15 Scope 3'!A1", "15 Scope 3")</f>
        <v>15 Scope 3</v>
      </c>
      <c r="D37" s="33"/>
      <c r="E37" s="74"/>
      <c r="F37" s="18"/>
      <c r="G37" s="1">
        <f>Table_Input_Enterprise_PlantingRemovals[[#This Row],[Total removed CO2]]*Table_Input_Enterprise_PlantingRemovals[[#This Row],[Percent allocated to this enterprise]]</f>
        <v>0</v>
      </c>
    </row>
    <row r="38" spans="1:7" ht="20.100000000000001" customHeight="1" x14ac:dyDescent="0.2">
      <c r="A38" s="5" t="str">
        <f>HYPERLINK("#'Calcs - Manure sent off-site'!A1", "Calcs - Manure sent off-site")</f>
        <v>Calcs - Manure sent off-site</v>
      </c>
    </row>
    <row r="39" spans="1:7" ht="20.100000000000001" customHeight="1" x14ac:dyDescent="0.2">
      <c r="A39" s="5" t="str">
        <f>HYPERLINK("#'5.1.1.1-2 Inorganic fert N2O'!A1", "5.1.1.1-2 Inorganic fert N2O")</f>
        <v>5.1.1.1-2 Inorganic fert N2O</v>
      </c>
    </row>
    <row r="40" spans="1:7" ht="20.100000000000001" customHeight="1" x14ac:dyDescent="0.2">
      <c r="A40" s="5" t="str">
        <f>HYPERLINK("#'5.1.1.3-4 Inorganic fert CO2'!A1", "5.1.1.3-4 Inorganic fert CO2")</f>
        <v>5.1.1.3-4 Inorganic fert CO2</v>
      </c>
    </row>
    <row r="41" spans="1:7" ht="20.100000000000001" customHeight="1" x14ac:dyDescent="0.2">
      <c r="A41" s="5" t="str">
        <f>HYPERLINK("#'5.2.1.1-2 Organic Fert N2O'!A1", "5.2.1.1-2 Organic Fert N2O")</f>
        <v>5.2.1.1-2 Organic Fert N2O</v>
      </c>
      <c r="D41" s="2" t="s">
        <v>233</v>
      </c>
    </row>
    <row r="42" spans="1:7" ht="20.100000000000001" customHeight="1" x14ac:dyDescent="0.2">
      <c r="A42" s="5" t="str">
        <f>HYPERLINK("#'5.3.1.1-2 Lime CO2'!A1", "5.3.1.1-2 Lime CO2")</f>
        <v>5.3.1.1-2 Lime CO2</v>
      </c>
    </row>
    <row r="43" spans="1:7" ht="20.100000000000001" customHeight="1" x14ac:dyDescent="0.2">
      <c r="A43" s="5" t="str">
        <f>HYPERLINK("#'5.4.1.1-4 Atmos deposition'!A1", "5.4.1.1-4 Atmos deposition")</f>
        <v>5.4.1.1-4 Atmos deposition</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4" spans="1:7" ht="20.100000000000001" customHeight="1" x14ac:dyDescent="0.2">
      <c r="A44" s="5" t="str">
        <f>HYPERLINK("#'5.5.1.1-2 Leaching and runoff'!A1", "5.5.1.1-2 Leaching and runoff")</f>
        <v>5.5.1.1-2 Leaching and runoff</v>
      </c>
    </row>
    <row r="45" spans="1:7" ht="20.100000000000001" customHeight="1" x14ac:dyDescent="0.2">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ht="20.100000000000001" customHeight="1" x14ac:dyDescent="0.2">
      <c r="D46" s="1" t="s">
        <v>234</v>
      </c>
    </row>
    <row r="47" spans="1:7" ht="20.100000000000001" customHeight="1" x14ac:dyDescent="0.2">
      <c r="A47" s="79" t="s">
        <v>1</v>
      </c>
    </row>
    <row r="48" spans="1:7" ht="20.100000000000001" customHeight="1" x14ac:dyDescent="0.2">
      <c r="A48" s="5" t="str">
        <f>HYPERLINK("#'Constants - Swine'!A1", "Constants - Swine")</f>
        <v>Constants - Swine</v>
      </c>
      <c r="D48" s="78" t="s">
        <v>115</v>
      </c>
      <c r="E48" s="78" t="s">
        <v>10</v>
      </c>
      <c r="F48" s="78" t="s">
        <v>11</v>
      </c>
    </row>
    <row r="49" spans="1:7" ht="20.100000000000001" customHeight="1" x14ac:dyDescent="0.2">
      <c r="A49" s="5" t="str">
        <f>HYPERLINK("#'Constants - Common livestock'!A1", "Constants - Common Livestock")</f>
        <v>Constants - Common Livestock</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1463.4670459377974</v>
      </c>
      <c r="F49" s="74">
        <f ca="1">IF(ISBLANK($D49), 0, IF(ISNUMBER(SEARCH("reporting", $D49)), Result_Enterprise_Gross_Method2, "Enter value"))</f>
        <v>11253.745695503852</v>
      </c>
      <c r="G49" s="9" t="s">
        <v>7</v>
      </c>
    </row>
    <row r="50" spans="1:7" ht="20.100000000000001" customHeight="1" x14ac:dyDescent="0.2">
      <c r="A50" s="5" t="str">
        <f>HYPERLINK("#'Constants - Electricity'!A1", "Constants - Electricity")</f>
        <v>Constants - Electricity</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ht="20.100000000000001" customHeight="1" x14ac:dyDescent="0.2">
      <c r="A51" s="5" t="str">
        <f>HYPERLINK("#'Constants - Fertiliser'!A1", "Constants - Fertiliser")</f>
        <v>Constants - Fertiliser</v>
      </c>
      <c r="E51" s="74">
        <f>IF(ISBLANK($D51), 0, IF(ISNUMBER(SEARCH("reporting", $D51)), Result_Enterprise_Gross_Method1, "Enter value"))</f>
        <v>0</v>
      </c>
      <c r="F51" s="74">
        <f>IF(ISBLANK($D51), 0, IF(ISNUMBER(SEARCH("reporting", $D51)), Result_Enterprise_Gross_Method2, "Enter value"))</f>
        <v>0</v>
      </c>
      <c r="G51" s="9" t="s">
        <v>7</v>
      </c>
    </row>
    <row r="52" spans="1:7" ht="20.100000000000001" customHeight="1" x14ac:dyDescent="0.2">
      <c r="A52" s="5" t="str">
        <f>HYPERLINK("#'Constants - Fuel'!A1", "Constants - Fuel")</f>
        <v>Constants - Fuel</v>
      </c>
      <c r="E52" s="74">
        <f>IF(ISBLANK($D52), 0, IF(ISNUMBER(SEARCH("reporting", $D52)), Result_Enterprise_Gross_Method1, "Enter value"))</f>
        <v>0</v>
      </c>
      <c r="F52" s="74">
        <f>IF(ISBLANK($D52), 0, IF(ISNUMBER(SEARCH("reporting", $D52)), Result_Enterprise_Gross_Method2, "Enter value"))</f>
        <v>0</v>
      </c>
      <c r="G52" s="9" t="s">
        <v>7</v>
      </c>
    </row>
    <row r="53" spans="1:7" ht="20.100000000000001" customHeight="1" x14ac:dyDescent="0.2">
      <c r="A53" s="5" t="str">
        <f>HYPERLINK("#'Constants - Scope 3'!A1", "Constants - Scope 3")</f>
        <v>Constants - Scope 3</v>
      </c>
      <c r="E53" s="74">
        <f>IF(ISBLANK($D53), 0, IF(ISNUMBER(SEARCH("reporting", $D53)), Result_Enterprise_Gross_Method1, "Enter value"))</f>
        <v>0</v>
      </c>
      <c r="F53" s="74">
        <f>IF(ISBLANK($D53), 0, IF(ISNUMBER(SEARCH("reporting", $D53)), Result_Enterprise_Gross_Method2, "Enter value"))</f>
        <v>0</v>
      </c>
      <c r="G53" s="9" t="s">
        <v>7</v>
      </c>
    </row>
    <row r="54" spans="1:7" ht="20.100000000000001" customHeight="1" x14ac:dyDescent="0.2">
      <c r="A54" s="5" t="str">
        <f>HYPERLINK("#'Constants - Solid Waste'!A1", "Constants - Solid Waste")</f>
        <v>Constants - Solid Waste</v>
      </c>
      <c r="D54" s="87" t="s">
        <v>128</v>
      </c>
      <c r="E54" s="82">
        <f ca="1">SUM(E49:E53)</f>
        <v>1463.4670459377974</v>
      </c>
      <c r="F54" s="82">
        <f ca="1">SUM(F49:F53)</f>
        <v>11253.745695503852</v>
      </c>
      <c r="G54" s="88" t="s">
        <v>7</v>
      </c>
    </row>
    <row r="55" spans="1:7" ht="20.100000000000001" customHeight="1" x14ac:dyDescent="0.2">
      <c r="A55" s="5" t="str">
        <f>HYPERLINK("#'Constants - Common'!A1", "Constants - Common")</f>
        <v>Constants - Common</v>
      </c>
    </row>
    <row r="56" spans="1:7" ht="20.100000000000001" customHeight="1" x14ac:dyDescent="0.2">
      <c r="A56" s="5" t="str">
        <f>HYPERLINK("#'Acknowledgements'!A1", "Acknowledgements")</f>
        <v>Acknowledgements</v>
      </c>
    </row>
    <row r="59" spans="1:7" ht="20.100000000000001" customHeight="1" x14ac:dyDescent="0.2">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ht="20.100000000000001" customHeight="1" x14ac:dyDescent="0.2">
      <c r="D61" s="78" t="s">
        <v>115</v>
      </c>
      <c r="E61" s="78" t="s">
        <v>126</v>
      </c>
      <c r="F61" s="78"/>
    </row>
    <row r="62" spans="1:7" ht="20.100000000000001" customHeight="1" x14ac:dyDescent="0.2">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ht="20.100000000000001" customHeight="1" x14ac:dyDescent="0.2">
      <c r="D63" s="1" t="str">
        <v>01 Jan 2026 to 31 Dec 2026</v>
      </c>
      <c r="E63" s="74" t="str">
        <f>IF(ISBLANK($D63), 0, IF(ISNUMBER(SEARCH("reporting", $D63)), SUM(Table_Input_Enterprise_PlantingRemovals[Removal allocated to this enterprise]), "Enter value"))</f>
        <v>Enter value</v>
      </c>
      <c r="F63" s="9" t="s">
        <v>127</v>
      </c>
    </row>
    <row r="64" spans="1:7" ht="20.100000000000001" customHeight="1" x14ac:dyDescent="0.2">
      <c r="E64" s="74">
        <f>IF(ISBLANK($D64), 0, IF(ISNUMBER(SEARCH("reporting", $D64)), SUM(Table_Input_Enterprise_PlantingRemovals[Removal allocated to this enterprise]), "Enter value"))</f>
        <v>0</v>
      </c>
      <c r="F64" s="9" t="s">
        <v>127</v>
      </c>
    </row>
    <row r="65" spans="1:7" ht="20.100000000000001" customHeight="1" x14ac:dyDescent="0.2">
      <c r="E65" s="74">
        <f>IF(ISBLANK($D65), 0, IF(ISNUMBER(SEARCH("reporting", $D65)), SUM(Table_Input_Enterprise_PlantingRemovals[Removal allocated to this enterprise]), "Enter value"))</f>
        <v>0</v>
      </c>
      <c r="F65" s="9" t="s">
        <v>127</v>
      </c>
    </row>
    <row r="66" spans="1:7" ht="20.100000000000001" customHeight="1" x14ac:dyDescent="0.2">
      <c r="E66" s="74">
        <f>IF(ISBLANK($D66), 0, IF(ISNUMBER(SEARCH("reporting", $D66)), SUM(Table_Input_Enterprise_PlantingRemovals[Removal allocated to this enterprise]), "Enter value"))</f>
        <v>0</v>
      </c>
      <c r="F66" s="9" t="s">
        <v>127</v>
      </c>
    </row>
    <row r="67" spans="1:7" ht="20.100000000000001" customHeight="1" x14ac:dyDescent="0.2">
      <c r="A67" s="131" t="str">
        <f>HYPERLINK("#A1", "▲ Back to top")</f>
        <v>▲ Back to top</v>
      </c>
      <c r="D67" s="87" t="s">
        <v>129</v>
      </c>
      <c r="E67" s="82">
        <f>SUM(E62:E66)</f>
        <v>0</v>
      </c>
      <c r="F67" s="88" t="s">
        <v>127</v>
      </c>
    </row>
    <row r="70" spans="1:7" ht="20.100000000000001" customHeight="1" x14ac:dyDescent="0.2">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1:7" ht="20.100000000000001" customHeight="1" x14ac:dyDescent="0.2">
      <c r="D72" s="78" t="s">
        <v>115</v>
      </c>
      <c r="E72" s="78" t="s">
        <v>10</v>
      </c>
      <c r="F72" s="78" t="s">
        <v>11</v>
      </c>
    </row>
    <row r="73" spans="1:7" ht="20.100000000000001" customHeight="1" x14ac:dyDescent="0.2">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1463.4670459377974</v>
      </c>
      <c r="F73" s="74">
        <f ca="1">IF(ISBLANK($D73), 0, IF(ISNUMBER(SEARCH("reporting", $D73)), F49-$E$62, "Enter value"))</f>
        <v>11253.745695503852</v>
      </c>
      <c r="G73" s="9" t="s">
        <v>7</v>
      </c>
    </row>
    <row r="74" spans="1:7" ht="20.100000000000001" customHeight="1" x14ac:dyDescent="0.2">
      <c r="D74" s="1" t="str">
        <v>01 Jan 2026 to 31 Dec 2026</v>
      </c>
      <c r="E74" s="74" t="str">
        <f>IF(ISBLANK($D74), 0, IF(ISNUMBER(SEARCH("reporting", $D74)), E50-$E$63, "Enter value"))</f>
        <v>Enter value</v>
      </c>
      <c r="F74" s="74" t="str">
        <f>IF(ISBLANK($D74), 0, IF(ISNUMBER(SEARCH("reporting", $D74)), F50-$E$63, "Enter value"))</f>
        <v>Enter value</v>
      </c>
      <c r="G74" s="9" t="s">
        <v>7</v>
      </c>
    </row>
    <row r="75" spans="1:7" ht="20.100000000000001" customHeight="1" x14ac:dyDescent="0.2">
      <c r="E75" s="74">
        <f>IF(ISBLANK($D75), 0, IF(ISNUMBER(SEARCH("reporting", $D75)), E51-$E$64, "Enter value"))</f>
        <v>0</v>
      </c>
      <c r="F75" s="74">
        <f>IF(ISBLANK($D75), 0, IF(ISNUMBER(SEARCH("reporting", $D75)), F51-$E$64, "Enter value"))</f>
        <v>0</v>
      </c>
      <c r="G75" s="9" t="s">
        <v>7</v>
      </c>
    </row>
    <row r="76" spans="1:7" ht="20.100000000000001" customHeight="1" x14ac:dyDescent="0.2">
      <c r="E76" s="74">
        <f>IF(ISBLANK($D76), 0, IF(ISNUMBER(SEARCH("reporting", $D76)), E52-$E$65, "Enter value"))</f>
        <v>0</v>
      </c>
      <c r="F76" s="74">
        <f>IF(ISBLANK($D76), 0, IF(ISNUMBER(SEARCH("reporting", $D76)), F52-$E$65, "Enter value"))</f>
        <v>0</v>
      </c>
      <c r="G76" s="9" t="s">
        <v>7</v>
      </c>
    </row>
    <row r="77" spans="1:7" ht="20.100000000000001" customHeight="1" x14ac:dyDescent="0.2">
      <c r="E77" s="74">
        <f>IF(ISBLANK($D77), 0, IF(ISNUMBER(SEARCH("reporting", $D77)), E53-$E$66, "Enter value"))</f>
        <v>0</v>
      </c>
      <c r="F77" s="74">
        <f>IF(ISBLANK($D77), 0, IF(ISNUMBER(SEARCH("reporting", $D77)), F53-$E$66, "Enter value"))</f>
        <v>0</v>
      </c>
      <c r="G77" s="9" t="s">
        <v>7</v>
      </c>
    </row>
    <row r="78" spans="1:7" ht="20.100000000000001" customHeight="1" x14ac:dyDescent="0.2">
      <c r="D78" s="87" t="s">
        <v>128</v>
      </c>
      <c r="E78" s="82">
        <f ca="1">SUM(E73:E77)</f>
        <v>1463.4670459377974</v>
      </c>
      <c r="F78" s="82">
        <f ca="1">SUM(F73:F77)</f>
        <v>11253.745695503852</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zoomScaleNormal="100" workbookViewId="0">
      <pane xSplit="1" topLeftCell="B1" activePane="topRight" state="frozenSplit"/>
      <selection pane="topRight" activeCell="A67" sqref="A67"/>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c r="N6" s="32"/>
    </row>
    <row r="7" spans="1:24" ht="20.100000000000001" customHeight="1" x14ac:dyDescent="0.2">
      <c r="A7"/>
      <c r="D7" s="42" t="s">
        <v>96</v>
      </c>
      <c r="E7" s="43"/>
      <c r="F7" s="43"/>
      <c r="G7" s="44"/>
    </row>
    <row r="8" spans="1:24" ht="20.100000000000001" customHeight="1" x14ac:dyDescent="0.2">
      <c r="A8" s="7" t="s">
        <v>0</v>
      </c>
      <c r="D8" s="45" t="s">
        <v>97</v>
      </c>
      <c r="E8" s="46"/>
      <c r="F8" s="46"/>
      <c r="G8" s="47"/>
    </row>
    <row r="9" spans="1:24" ht="20.100000000000001" customHeight="1" x14ac:dyDescent="0.2">
      <c r="A9" s="5" t="str">
        <f>HYPERLINK("#'Input - Enterprise'!A1", "Enterprise")</f>
        <v>Enterprise</v>
      </c>
      <c r="D9" s="1"/>
      <c r="E9" s="48"/>
      <c r="F9" s="16"/>
      <c r="N9" s="34"/>
    </row>
    <row r="10" spans="1:24" ht="20.100000000000001" customHeight="1" x14ac:dyDescent="0.2">
      <c r="A10" s="99" t="str">
        <f>HYPERLINK("#'Input - Site'!A1", "Site")</f>
        <v>Site</v>
      </c>
      <c r="D10" s="1" t="s">
        <v>98</v>
      </c>
      <c r="E10" s="13" t="s">
        <v>99</v>
      </c>
      <c r="F10" s="16" t="s">
        <v>100</v>
      </c>
      <c r="N10" s="34"/>
    </row>
    <row r="11" spans="1:24" ht="20.100000000000001" customHeight="1" x14ac:dyDescent="0.2">
      <c r="A11" s="5" t="str">
        <f>HYPERLINK("#'Input - Swine'!A1", "Swine")</f>
        <v>Swine</v>
      </c>
      <c r="D11" s="1" t="s">
        <v>101</v>
      </c>
      <c r="E11" s="13" t="s">
        <v>102</v>
      </c>
      <c r="F11" s="16" t="s">
        <v>100</v>
      </c>
      <c r="G11" s="1"/>
      <c r="N11" s="39"/>
    </row>
    <row r="12" spans="1:24" ht="20.100000000000001" customHeight="1" x14ac:dyDescent="0.2">
      <c r="A12" s="5" t="str">
        <f>HYPERLINK("#'Input - Livestock sales'!A1", "Livestock sales")</f>
        <v>Livestock sales</v>
      </c>
      <c r="D12" s="1" t="s">
        <v>103</v>
      </c>
      <c r="E12" s="13" t="s">
        <v>104</v>
      </c>
      <c r="F12" s="16" t="s">
        <v>100</v>
      </c>
    </row>
    <row r="13" spans="1:24" ht="20.100000000000001" customHeight="1" x14ac:dyDescent="0.2">
      <c r="A13" s="5" t="str">
        <f>HYPERLINK("#'Input - Pig purchases'!A1", "Pig purchases")</f>
        <v>Pig purchases</v>
      </c>
      <c r="D13" s="1" t="s">
        <v>36</v>
      </c>
      <c r="E13" s="33">
        <v>307.7</v>
      </c>
      <c r="F13" s="16" t="s">
        <v>105</v>
      </c>
      <c r="N13" s="41"/>
      <c r="O13" s="41"/>
    </row>
    <row r="14" spans="1:24" ht="20.100000000000001" customHeight="1" x14ac:dyDescent="0.2">
      <c r="A14" s="5" t="str">
        <f>HYPERLINK("#'Input - Fuel'!A1", "Fuel")</f>
        <v>Fuel</v>
      </c>
      <c r="D14" s="1" t="s">
        <v>106</v>
      </c>
      <c r="E14" s="33">
        <v>18</v>
      </c>
      <c r="F14" s="16" t="s">
        <v>107</v>
      </c>
      <c r="N14" s="41"/>
      <c r="O14" s="41"/>
    </row>
    <row r="15" spans="1:24" ht="20.100000000000001" customHeight="1" x14ac:dyDescent="0.2">
      <c r="A15" s="5" t="str">
        <f>HYPERLINK("#'Input - Electricity'!A1", "Electricity")</f>
        <v>Electricity</v>
      </c>
      <c r="D15" s="1" t="s">
        <v>108</v>
      </c>
      <c r="E15" s="33">
        <v>601</v>
      </c>
      <c r="F15" s="16" t="s">
        <v>109</v>
      </c>
      <c r="N15" s="41"/>
      <c r="O15" s="41"/>
    </row>
    <row r="16" spans="1:24" ht="20.100000000000001" customHeight="1" x14ac:dyDescent="0.2">
      <c r="A16" s="5" t="str">
        <f>HYPERLINK("#'Input - Common farm inputs'!A1", "Common farm inputs")</f>
        <v>Common farm inputs</v>
      </c>
      <c r="D16" s="12" t="s">
        <v>110</v>
      </c>
      <c r="E16" s="33">
        <v>1326</v>
      </c>
      <c r="F16" s="16" t="s">
        <v>109</v>
      </c>
      <c r="N16" s="41"/>
      <c r="O16" s="41"/>
    </row>
    <row r="17" spans="1:25" ht="20.100000000000001" customHeight="1" x14ac:dyDescent="0.2">
      <c r="A17" s="5" t="str">
        <f>HYPERLINK("#'Input - Livestock farm Inputs'!A1", "Livestock farm Inputs")</f>
        <v>Livestock farm Inputs</v>
      </c>
      <c r="D17" s="1" t="s">
        <v>111</v>
      </c>
      <c r="E17" s="33">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Fertiliser'!A1", "Fertiliser")</f>
        <v>Fertiliser</v>
      </c>
    </row>
    <row r="24" spans="1:25" ht="20.100000000000001" customHeight="1" x14ac:dyDescent="0.2">
      <c r="A24"/>
    </row>
    <row r="25" spans="1:25" ht="20.100000000000001" customHeight="1" x14ac:dyDescent="0.2">
      <c r="A25"/>
      <c r="N25" s="32"/>
    </row>
    <row r="26" spans="1:25" ht="20.100000000000001" customHeight="1" x14ac:dyDescent="0.2">
      <c r="A26" s="6" t="s">
        <v>2</v>
      </c>
    </row>
    <row r="27" spans="1:25" ht="20.100000000000001" customHeight="1" x14ac:dyDescent="0.2">
      <c r="A27" s="5" t="str">
        <f>HYPERLINK("#'3.5.1.1-2 Enteric Methane'!A1", "3.5.1.1-2 Enteric Methane")</f>
        <v>3.5.1.1-2 Enteric Methane</v>
      </c>
    </row>
    <row r="28" spans="1:25" ht="20.100000000000001" customHeight="1" x14ac:dyDescent="0.2">
      <c r="A28" s="5" t="str">
        <f>HYPERLINK("#'4.5.1.1-2 Methane'!A1", "4.5.1.1-2 Manure Methane")</f>
        <v>4.5.1.1-2 Manure Methane</v>
      </c>
    </row>
    <row r="29" spans="1:25" ht="20.100000000000001" customHeight="1" x14ac:dyDescent="0.2">
      <c r="A29" s="5" t="str">
        <f>HYPERLINK("#'4.5.1.3-4 Direct N2O'!A1", "4.5.1.3-4 Manure Direct N2O")</f>
        <v>4.5.1.3-4 Manure Direct N2O</v>
      </c>
    </row>
    <row r="30" spans="1:25" ht="20.100000000000001" customHeight="1" x14ac:dyDescent="0.2">
      <c r="A30" s="5" t="str">
        <f>HYPERLINK("#'4.5.1.5-6 Atmos Dep'!A1", "4.5.1.5-6 Manure Atmos Dep")</f>
        <v>4.5.1.5-6 Manure Atmos Dep</v>
      </c>
      <c r="L30" s="50"/>
      <c r="M30" s="50"/>
      <c r="N30" s="50"/>
      <c r="O30" s="50"/>
      <c r="P30" s="50"/>
      <c r="Q30" s="50"/>
      <c r="R30" s="50"/>
      <c r="S30" s="50"/>
      <c r="T30" s="50"/>
      <c r="U30" s="50"/>
      <c r="V30" s="50"/>
      <c r="W30" s="50"/>
      <c r="X30" s="50"/>
      <c r="Y30" s="50"/>
    </row>
    <row r="31" spans="1:25" ht="20.100000000000001" customHeight="1" x14ac:dyDescent="0.2">
      <c r="A31" s="5" t="str">
        <f>HYPERLINK("#'4.5.1.7-8 Leaching and runoff'!A1", "4.5.1.7-8 Manure Leaching and runoff")</f>
        <v>4.5.1.7-8 Manure Leaching and runoff</v>
      </c>
      <c r="L31" s="51"/>
      <c r="M31" s="51"/>
      <c r="N31" s="51"/>
      <c r="O31" s="51"/>
      <c r="P31" s="51"/>
      <c r="Q31" s="51"/>
      <c r="R31" s="51"/>
      <c r="S31" s="51"/>
      <c r="T31" s="51"/>
      <c r="U31" s="51"/>
      <c r="V31" s="51"/>
      <c r="W31" s="51"/>
      <c r="X31" s="51"/>
      <c r="Y31" s="51"/>
    </row>
    <row r="32" spans="1:25" ht="20.100000000000001" customHeight="1" x14ac:dyDescent="0.2">
      <c r="A32" s="5" t="str">
        <f>HYPERLINK("#'4.5.1.9 Manure applied to soils'!A1", "4.5.1.9 Manure applied to soils")</f>
        <v>4.5.1.9 Manure applied to soils</v>
      </c>
      <c r="L32" s="51"/>
      <c r="M32" s="51"/>
      <c r="N32" s="51"/>
      <c r="O32" s="51"/>
      <c r="P32" s="51"/>
      <c r="Q32" s="51"/>
      <c r="R32" s="51"/>
      <c r="S32" s="51"/>
      <c r="T32" s="51"/>
      <c r="U32" s="51"/>
      <c r="V32" s="51"/>
      <c r="W32" s="51"/>
      <c r="X32" s="51"/>
      <c r="Y32" s="51"/>
    </row>
    <row r="33" spans="1:25" ht="20.100000000000001" customHeight="1" x14ac:dyDescent="0.2">
      <c r="A33" s="5" t="str">
        <f>HYPERLINK("#'8.1.1.1-2 Transport fuel'!A1", "8.1.1.1-2 Transport fuel")</f>
        <v>8.1.1.1-2 Transport fuel</v>
      </c>
      <c r="L33" s="51"/>
      <c r="M33" s="51"/>
      <c r="N33" s="51"/>
      <c r="O33" s="51"/>
      <c r="P33" s="51"/>
      <c r="Q33" s="51"/>
      <c r="R33" s="51"/>
      <c r="S33" s="51"/>
      <c r="T33" s="51"/>
      <c r="U33" s="51"/>
      <c r="V33" s="51"/>
      <c r="W33" s="51"/>
      <c r="X33" s="51"/>
      <c r="Y33" s="51"/>
    </row>
    <row r="34" spans="1:25" ht="20.100000000000001" customHeight="1" x14ac:dyDescent="0.2">
      <c r="A34" s="5" t="str">
        <f>HYPERLINK("#'8.2.1.1-2 Stationary fuel'!A1", "8.2.1.1-2 Stationary fuel")</f>
        <v>8.2.1.1-2 Stationary fuel</v>
      </c>
      <c r="J34" s="53"/>
      <c r="K34" s="54"/>
      <c r="L34" s="51"/>
      <c r="M34" s="51"/>
      <c r="N34" s="51"/>
      <c r="O34" s="51"/>
      <c r="P34" s="51"/>
      <c r="Q34" s="51"/>
      <c r="R34" s="51"/>
      <c r="S34" s="51"/>
      <c r="T34" s="51"/>
      <c r="U34" s="51"/>
      <c r="V34" s="51"/>
      <c r="W34" s="51"/>
      <c r="X34" s="51"/>
      <c r="Y34" s="51"/>
    </row>
    <row r="35" spans="1:25" ht="20.100000000000001" customHeight="1" x14ac:dyDescent="0.2">
      <c r="A35" s="5" t="str">
        <f>HYPERLINK("#'10.1.1-2 Solid waste treatment'!A1", "10.1.1.1-2 Solid waste")</f>
        <v>10.1.1.1-2 Solid waste</v>
      </c>
      <c r="J35" s="53"/>
      <c r="K35" s="54"/>
      <c r="L35" s="51"/>
      <c r="M35" s="51"/>
      <c r="N35" s="51"/>
      <c r="O35" s="51"/>
      <c r="P35" s="51"/>
      <c r="Q35" s="51"/>
      <c r="R35" s="51"/>
      <c r="S35" s="51"/>
      <c r="T35" s="51"/>
      <c r="U35" s="51"/>
      <c r="V35" s="51"/>
      <c r="W35" s="51"/>
      <c r="X35" s="51"/>
      <c r="Y35" s="51"/>
    </row>
    <row r="36" spans="1:25" ht="20.100000000000001" customHeight="1" x14ac:dyDescent="0.2">
      <c r="A36" s="5" t="str">
        <f>HYPERLINK("#'14.1.1-2 Purchased electricity'!A1", "14.1.1-2 Purchased electricity")</f>
        <v>14.1.1-2 Purchased electricity</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HYPERLINK("#'15 Scope 3'!A1", "15 Scope 3")</f>
        <v>15 Scope 3</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HYPERLINK("#'Calcs - Manure sent off-site'!A1", "Calcs - Manure sent off-site")</f>
        <v>Calcs - Manure sent off-site</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HYPERLINK("#'5.1.1.1-2 Inorganic fert N2O'!A1", "5.1.1.1-2 Inorganic fert N2O")</f>
        <v>5.1.1.1-2 Inorganic fert N2O</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HYPERLINK("#'5.1.1.3-4 Inorganic fert CO2'!A1", "5.1.1.3-4 Inorganic fert CO2")</f>
        <v>5.1.1.3-4 Inorganic fert CO2</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HYPERLINK("#'5.2.1.1-2 Organic Fert N2O'!A1", "5.2.1.1-2 Organic Fert N2O")</f>
        <v>5.2.1.1-2 Organic Fert N2O</v>
      </c>
    </row>
    <row r="42" spans="1:25" ht="20.100000000000001" customHeight="1" x14ac:dyDescent="0.2">
      <c r="A42" s="5" t="str">
        <f>HYPERLINK("#'5.3.1.1-2 Lime CO2'!A1", "5.3.1.1-2 Lime CO2")</f>
        <v>5.3.1.1-2 Lime CO2</v>
      </c>
    </row>
    <row r="43" spans="1:25" ht="20.100000000000001" customHeight="1" x14ac:dyDescent="0.2">
      <c r="A43" s="5" t="str">
        <f>HYPERLINK("#'5.4.1.1-4 Atmos deposition'!A1", "5.4.1.1-4 Atmos deposition")</f>
        <v>5.4.1.1-4 Atmos deposition</v>
      </c>
    </row>
    <row r="44" spans="1:25" ht="20.100000000000001" customHeight="1" x14ac:dyDescent="0.2">
      <c r="A44" s="5" t="str">
        <f>HYPERLINK("#'5.5.1.1-2 Leaching and runoff'!A1", "5.5.1.1-2 Leaching and runoff")</f>
        <v>5.5.1.1-2 Leaching and runoff</v>
      </c>
    </row>
    <row r="45" spans="1:25" ht="20.100000000000001" customHeight="1" x14ac:dyDescent="0.2">
      <c r="A45"/>
      <c r="D45" s="2"/>
    </row>
    <row r="46" spans="1:25" ht="20.100000000000001" customHeight="1" x14ac:dyDescent="0.2">
      <c r="A46"/>
      <c r="D46" s="2"/>
    </row>
    <row r="47" spans="1:25" ht="20.100000000000001" customHeight="1" x14ac:dyDescent="0.2">
      <c r="A47" s="79" t="s">
        <v>1</v>
      </c>
      <c r="D47" s="62"/>
      <c r="E47" s="62"/>
      <c r="F47" s="62"/>
      <c r="G47" s="62"/>
      <c r="H47" s="62"/>
    </row>
    <row r="48" spans="1:25" ht="20.100000000000001" customHeight="1" x14ac:dyDescent="0.2">
      <c r="A48" s="5" t="str">
        <f>HYPERLINK("#'Constants - Swine'!A1", "Constants - Swine")</f>
        <v>Constants - Swine</v>
      </c>
      <c r="D48" s="63"/>
      <c r="E48" s="63"/>
      <c r="F48" s="64"/>
      <c r="G48" s="64"/>
      <c r="H48" s="63"/>
    </row>
    <row r="49" spans="1:8" ht="20.100000000000001" customHeight="1" x14ac:dyDescent="0.2">
      <c r="A49" s="5" t="str">
        <f>HYPERLINK("#'Constants - Common livestock'!A1", "Constants - Common Livestock")</f>
        <v>Constants - Common Livestock</v>
      </c>
      <c r="D49" s="63"/>
      <c r="E49" s="63"/>
      <c r="F49" s="64"/>
      <c r="G49" s="64"/>
      <c r="H49" s="63"/>
    </row>
    <row r="50" spans="1:8" ht="20.100000000000001" customHeight="1" x14ac:dyDescent="0.2">
      <c r="A50" s="5" t="str">
        <f>HYPERLINK("#'Constants - Electricity'!A1", "Constants - Electricity")</f>
        <v>Constants - Electricity</v>
      </c>
      <c r="D50" s="63"/>
      <c r="E50" s="63"/>
      <c r="F50" s="64"/>
      <c r="G50" s="64"/>
      <c r="H50" s="63"/>
    </row>
    <row r="51" spans="1:8" ht="20.100000000000001" customHeight="1" x14ac:dyDescent="0.2">
      <c r="A51" s="5" t="str">
        <f>HYPERLINK("#'Constants - Fertiliser'!A1", "Constants - Fertiliser")</f>
        <v>Constants - Fertiliser</v>
      </c>
      <c r="D51" s="65"/>
      <c r="E51" s="66"/>
      <c r="F51" s="66"/>
      <c r="G51" s="66"/>
      <c r="H51" s="67"/>
    </row>
    <row r="52" spans="1:8" ht="20.100000000000001" customHeight="1" x14ac:dyDescent="0.2">
      <c r="A52" s="5" t="str">
        <f>HYPERLINK("#'Constants - Fuel'!A1", "Constants - Fuel")</f>
        <v>Constants - Fuel</v>
      </c>
    </row>
    <row r="53" spans="1:8" ht="20.100000000000001" customHeight="1" x14ac:dyDescent="0.2">
      <c r="A53" s="5" t="str">
        <f>HYPERLINK("#'Constants - Scope 3'!A1", "Constants - Scope 3")</f>
        <v>Constants - Scope 3</v>
      </c>
    </row>
    <row r="54" spans="1:8" ht="20.100000000000001" customHeight="1" x14ac:dyDescent="0.2">
      <c r="A54" s="5" t="str">
        <f>HYPERLINK("#'Constants - Solid Waste'!A1", "Constants - Solid Waste")</f>
        <v>Constants - Solid Waste</v>
      </c>
      <c r="G54" s="68"/>
    </row>
    <row r="55" spans="1:8" ht="20.100000000000001" customHeight="1" x14ac:dyDescent="0.2">
      <c r="A55" s="5" t="str">
        <f>HYPERLINK("#'Constants - Common'!A1", "Constants - Common")</f>
        <v>Constants - Common</v>
      </c>
      <c r="D55" s="2"/>
    </row>
    <row r="56" spans="1:8" ht="20.100000000000001" customHeight="1" x14ac:dyDescent="0.2">
      <c r="A56" s="5" t="str">
        <f>HYPERLINK("#'Acknowledgements'!A1", "Acknowledgements")</f>
        <v>Acknowledgements</v>
      </c>
    </row>
    <row r="57" spans="1:8" ht="20.100000000000001" customHeight="1" x14ac:dyDescent="0.2">
      <c r="A57"/>
      <c r="F57" s="69"/>
    </row>
    <row r="58" spans="1:8" ht="20.100000000000001" customHeight="1" x14ac:dyDescent="0.2">
      <c r="A58"/>
      <c r="E58" s="70"/>
    </row>
    <row r="59" spans="1:8" ht="20.100000000000001" customHeight="1" x14ac:dyDescent="0.2">
      <c r="A59"/>
      <c r="E59" s="70"/>
    </row>
    <row r="60" spans="1:8" ht="20.100000000000001" customHeight="1" x14ac:dyDescent="0.2">
      <c r="A60"/>
      <c r="E60" s="71"/>
    </row>
    <row r="61" spans="1:8" ht="20.100000000000001" customHeight="1" x14ac:dyDescent="0.2">
      <c r="A61"/>
    </row>
    <row r="62" spans="1:8" ht="20.100000000000001" customHeight="1" x14ac:dyDescent="0.2">
      <c r="A62"/>
    </row>
    <row r="63" spans="1:8" ht="20.100000000000001" customHeight="1" x14ac:dyDescent="0.2">
      <c r="A63"/>
    </row>
    <row r="64" spans="1:8" ht="20.100000000000001" customHeight="1" x14ac:dyDescent="0.2">
      <c r="A64"/>
      <c r="D64" s="1"/>
      <c r="E64" s="70"/>
    </row>
    <row r="65" spans="1:9" ht="20.100000000000001" customHeight="1" x14ac:dyDescent="0.2">
      <c r="A65"/>
      <c r="D65" s="1"/>
      <c r="E65" s="70"/>
    </row>
    <row r="66" spans="1:9" ht="20.100000000000001" customHeight="1" x14ac:dyDescent="0.2">
      <c r="A66"/>
      <c r="D66" s="1"/>
      <c r="E66" s="71"/>
    </row>
    <row r="67" spans="1:9" ht="20.100000000000001" customHeight="1" x14ac:dyDescent="0.2">
      <c r="A67"/>
    </row>
    <row r="68" spans="1:9" ht="20.100000000000001" customHeight="1" x14ac:dyDescent="0.2">
      <c r="A68"/>
    </row>
    <row r="69" spans="1:9" ht="20.100000000000001" customHeight="1" x14ac:dyDescent="0.2">
      <c r="A69"/>
      <c r="D69" s="72"/>
      <c r="E69" s="72"/>
      <c r="F69" s="72"/>
      <c r="G69" s="72"/>
      <c r="H69" s="72"/>
      <c r="I69" s="72"/>
    </row>
    <row r="70" spans="1:9" ht="20.100000000000001" customHeight="1" x14ac:dyDescent="0.2">
      <c r="A70"/>
      <c r="D70" s="72"/>
      <c r="E70" s="72"/>
      <c r="F70" s="72"/>
      <c r="G70" s="72"/>
      <c r="H70" s="72"/>
      <c r="I70" s="72"/>
    </row>
    <row r="71" spans="1:9" ht="20.100000000000001" customHeight="1" x14ac:dyDescent="0.2">
      <c r="A71"/>
      <c r="D71" s="72"/>
      <c r="E71" s="72"/>
      <c r="F71" s="72"/>
      <c r="G71" s="72"/>
      <c r="H71" s="72"/>
      <c r="I71" s="72"/>
    </row>
    <row r="72" spans="1:9" ht="20.100000000000001" customHeight="1" x14ac:dyDescent="0.2">
      <c r="A72"/>
      <c r="D72" s="72"/>
      <c r="E72" s="72"/>
      <c r="F72" s="72"/>
      <c r="G72" s="72"/>
      <c r="H72" s="72"/>
      <c r="I72" s="7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3"/>
    </row>
    <row r="79" spans="1:9" ht="20.100000000000001" customHeight="1" x14ac:dyDescent="0.2">
      <c r="A79"/>
      <c r="D79" s="73"/>
    </row>
    <row r="80" spans="1:9" ht="20.100000000000001" customHeight="1" x14ac:dyDescent="0.2">
      <c r="A80"/>
      <c r="D80" s="73"/>
    </row>
    <row r="81" spans="1:4" ht="20.100000000000001" customHeight="1" x14ac:dyDescent="0.2">
      <c r="A81"/>
      <c r="D81" s="73"/>
    </row>
    <row r="82" spans="1:4" ht="20.100000000000001" customHeight="1" x14ac:dyDescent="0.2">
      <c r="A82"/>
      <c r="D82" s="7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4CF6E-FE48-4EB4-B9F6-C9258D4A2062}">
  <sheetPr>
    <tabColor theme="5" tint="-0.249977111117893"/>
  </sheetPr>
  <dimension ref="A1:W3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97" customWidth="1"/>
    <col min="17" max="17" width="38.42578125" style="97" customWidth="1"/>
    <col min="18" max="22" width="30.7109375" style="97" customWidth="1"/>
    <col min="23" max="23" width="4.7109375" style="97" customWidth="1"/>
  </cols>
  <sheetData>
    <row r="1" spans="1:23" s="10" customFormat="1" ht="30" customHeight="1" x14ac:dyDescent="0.35">
      <c r="A1" s="10" t="e" vm="1">
        <v>#VALUE!</v>
      </c>
      <c r="C1" s="10" t="s">
        <v>289</v>
      </c>
      <c r="O1" s="97"/>
      <c r="P1" s="97"/>
      <c r="Q1" s="97"/>
      <c r="R1" s="97"/>
      <c r="S1" s="97"/>
      <c r="T1" s="97"/>
      <c r="U1" s="97"/>
      <c r="V1" s="97"/>
      <c r="W1" s="97"/>
    </row>
    <row r="2" spans="1:23" s="3" customFormat="1" ht="20.100000000000001" customHeight="1" x14ac:dyDescent="0.2">
      <c r="A2"/>
      <c r="O2" s="97"/>
      <c r="P2" s="97"/>
      <c r="Q2" s="97"/>
      <c r="R2" s="97"/>
      <c r="S2" s="97"/>
      <c r="T2" s="97"/>
      <c r="U2" s="97"/>
      <c r="V2" s="97"/>
      <c r="W2" s="97"/>
    </row>
    <row r="3" spans="1:23" ht="20.100000000000001" customHeight="1" x14ac:dyDescent="0.2">
      <c r="A3" s="5" t="str">
        <f>HYPERLINK("#'Home'!A1", "Home")</f>
        <v>Home</v>
      </c>
      <c r="C3" s="28"/>
      <c r="D3" s="28"/>
      <c r="E3" s="28"/>
      <c r="F3" s="28"/>
      <c r="G3" s="28"/>
      <c r="H3" s="28"/>
      <c r="I3" s="28"/>
      <c r="J3" s="28"/>
      <c r="K3" s="28"/>
      <c r="L3" s="28"/>
      <c r="M3" s="28"/>
      <c r="N3" s="28"/>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E5" s="98" t="s">
        <v>290</v>
      </c>
      <c r="F5" s="98" t="s">
        <v>291</v>
      </c>
      <c r="G5" s="98" t="s">
        <v>265</v>
      </c>
      <c r="H5" s="98" t="s">
        <v>292</v>
      </c>
      <c r="R5" s="21"/>
    </row>
    <row r="6" spans="1:23" ht="20.100000000000001" customHeight="1" x14ac:dyDescent="0.2">
      <c r="D6" s="1" t="str">
        <f>"Average duration of stay between " &amp; TEXT(X_Cell_Site_StartDate, "dd mmm yy") &amp; " and " &amp; TEXT(X_Cell_Site_EndDate, "dd mmm yy")</f>
        <v>Average duration of stay between 01 Jan 25 and 31 Dec 25</v>
      </c>
      <c r="E6" s="74">
        <v>365</v>
      </c>
      <c r="F6" s="74">
        <v>365</v>
      </c>
      <c r="G6" s="74">
        <v>365</v>
      </c>
      <c r="H6" s="74">
        <v>365</v>
      </c>
      <c r="I6" s="16" t="s">
        <v>112</v>
      </c>
      <c r="J6" s="16"/>
      <c r="R6" s="21"/>
    </row>
    <row r="7" spans="1:23" ht="20.100000000000001" customHeight="1" x14ac:dyDescent="0.2">
      <c r="D7" s="1" t="str">
        <f>"Average number of head between " &amp; TEXT(X_Cell_Site_StartDate, "dd mmm yy") &amp; " and " &amp; TEXT(X_Cell_Site_EndDate, "dd mmm yy")</f>
        <v>Average number of head between 01 Jan 25 and 31 Dec 25</v>
      </c>
      <c r="E7" s="74">
        <v>100</v>
      </c>
      <c r="F7" s="74">
        <v>100</v>
      </c>
      <c r="G7" s="74">
        <v>100</v>
      </c>
      <c r="H7" s="74">
        <v>100</v>
      </c>
      <c r="I7" s="16" t="s">
        <v>293</v>
      </c>
      <c r="J7" s="16"/>
      <c r="R7" s="21"/>
    </row>
    <row r="8" spans="1:23" ht="20.100000000000001" customHeight="1" x14ac:dyDescent="0.2">
      <c r="A8" s="7" t="s">
        <v>0</v>
      </c>
      <c r="R8" s="21"/>
    </row>
    <row r="9" spans="1:23" ht="20.100000000000001" customHeight="1" x14ac:dyDescent="0.2">
      <c r="A9" s="5" t="str">
        <f>HYPERLINK("#'Input - Enterprise'!A1", "Enterprise")</f>
        <v>Enterprise</v>
      </c>
      <c r="R9" s="21"/>
    </row>
    <row r="10" spans="1:23" ht="20.100000000000001" customHeight="1" x14ac:dyDescent="0.2">
      <c r="A10" s="5" t="str">
        <f>HYPERLINK("#'Input - Site'!A1", "Site")</f>
        <v>Site</v>
      </c>
      <c r="D10" s="2" t="s">
        <v>294</v>
      </c>
      <c r="R10" s="21"/>
    </row>
    <row r="11" spans="1:23" ht="20.100000000000001" customHeight="1" x14ac:dyDescent="0.2">
      <c r="A11" s="99" t="str">
        <f>HYPERLINK("#'Input - Swine'!A1", "Swine")</f>
        <v>Swine</v>
      </c>
      <c r="R11" s="21"/>
    </row>
    <row r="12" spans="1:23" ht="20.100000000000001" customHeight="1" x14ac:dyDescent="0.2">
      <c r="A12" s="5" t="str">
        <f>HYPERLINK("#'Input - Livestock sales'!A1", "Livestock sales")</f>
        <v>Livestock sales</v>
      </c>
      <c r="D12" s="100" t="s">
        <v>295</v>
      </c>
      <c r="E12" s="98" t="s">
        <v>290</v>
      </c>
      <c r="F12" s="98" t="s">
        <v>291</v>
      </c>
      <c r="G12" s="98" t="s">
        <v>265</v>
      </c>
      <c r="H12" s="98" t="s">
        <v>292</v>
      </c>
      <c r="R12" s="21"/>
    </row>
    <row r="13" spans="1:23" ht="20.100000000000001" customHeight="1" x14ac:dyDescent="0.2">
      <c r="A13" s="5" t="str">
        <f>HYPERLINK("#'Input - Pig purchases'!A1", "Pig purchases")</f>
        <v>Pig purchases</v>
      </c>
      <c r="D13" s="1" t="s">
        <v>294</v>
      </c>
      <c r="E13" s="15" cm="1">
        <f t="array" ref="E13">Common_InputFunctions.Utility_LookupValueInTableNumber(E12, Table_SourceData_Swine_FeedIntake[Class],Table_SourceData_Swine_FeedIntake[Ij])</f>
        <v>2.62</v>
      </c>
      <c r="F13" s="15" cm="1">
        <f t="array" ref="F13">Common_InputFunctions.Utility_LookupValueInTableNumber(F12, Table_SourceData_Swine_FeedIntake[Class],Table_SourceData_Swine_FeedIntake[Ij])</f>
        <v>2.2999999999999998</v>
      </c>
      <c r="G13" s="15" cm="1">
        <f t="array" ref="G13">Common_InputFunctions.Utility_LookupValueInTableNumber(G12, Table_SourceData_Swine_FeedIntake[Class],Table_SourceData_Swine_FeedIntake[Ij])</f>
        <v>2.5</v>
      </c>
      <c r="H13" s="15" cm="1">
        <f t="array" ref="H13">Common_InputFunctions.Utility_LookupValueInTableNumber(H12, Table_SourceData_Swine_FeedIntake[Class],Table_SourceData_Swine_FeedIntake[Ij])</f>
        <v>1.71</v>
      </c>
      <c r="I13" s="16" t="s">
        <v>296</v>
      </c>
      <c r="R13" s="41"/>
    </row>
    <row r="14" spans="1:23" ht="20.100000000000001" customHeight="1" x14ac:dyDescent="0.2">
      <c r="A14" s="5" t="str">
        <f>HYPERLINK("#'Input - Fuel'!A1", "Fuel")</f>
        <v>Fuel</v>
      </c>
      <c r="R14" s="41"/>
    </row>
    <row r="15" spans="1:23" ht="20.100000000000001" customHeight="1" x14ac:dyDescent="0.2">
      <c r="A15" s="5" t="str">
        <f>HYPERLINK("#'Input - Electricity'!A1", "Electricity")</f>
        <v>Electricity</v>
      </c>
      <c r="D15" s="100" t="s">
        <v>297</v>
      </c>
      <c r="E15" s="98" t="s">
        <v>290</v>
      </c>
      <c r="F15" s="98" t="s">
        <v>291</v>
      </c>
      <c r="G15" s="98" t="s">
        <v>265</v>
      </c>
      <c r="H15" s="98" t="s">
        <v>292</v>
      </c>
      <c r="R15" s="41"/>
    </row>
    <row r="16" spans="1:23" ht="20.100000000000001" customHeight="1" x14ac:dyDescent="0.2">
      <c r="A16" s="5" t="str">
        <f>HYPERLINK("#'Input - Common farm inputs'!A1", "Common farm inputs")</f>
        <v>Common farm inputs</v>
      </c>
      <c r="D16" s="1" t="s">
        <v>294</v>
      </c>
      <c r="E16" s="74" cm="1">
        <f t="array" ref="E16">Common_InputFunctions.Utility_LookupValueInTableNumber(E15, Table_SourceData_Swine_FeedIntake[Class],Table_SourceData_Swine_FeedIntake[Ij])</f>
        <v>2.62</v>
      </c>
      <c r="F16" s="74" cm="1">
        <f t="array" ref="F16">Common_InputFunctions.Utility_LookupValueInTableNumber(F15, Table_SourceData_Swine_FeedIntake[Class],Table_SourceData_Swine_FeedIntake[Ij])</f>
        <v>2.2999999999999998</v>
      </c>
      <c r="G16" s="74" cm="1">
        <f t="array" ref="G16">Common_InputFunctions.Utility_LookupValueInTableNumber(G15, Table_SourceData_Swine_FeedIntake[Class],Table_SourceData_Swine_FeedIntake[Ij])</f>
        <v>2.5</v>
      </c>
      <c r="H16" s="74" cm="1">
        <f t="array" ref="H16">Common_InputFunctions.Utility_LookupValueInTableNumber(H15, Table_SourceData_Swine_FeedIntake[Class],Table_SourceData_Swine_FeedIntake[Ij])</f>
        <v>1.71</v>
      </c>
      <c r="I16" s="16" t="s">
        <v>296</v>
      </c>
      <c r="R16" s="41"/>
    </row>
    <row r="17" spans="1:18" ht="20.100000000000001" customHeight="1" x14ac:dyDescent="0.2">
      <c r="A17" s="5" t="str">
        <f>HYPERLINK("#'Input - Livestock farm Inputs'!A1", "Livestock farm Inputs")</f>
        <v>Livestock farm Inputs</v>
      </c>
      <c r="R17" s="21"/>
    </row>
    <row r="18" spans="1:18" ht="20.100000000000001" customHeight="1" x14ac:dyDescent="0.2">
      <c r="A18" s="5" t="str">
        <f>HYPERLINK("#'Input - Freight'!A1", "Freight")</f>
        <v>Freight</v>
      </c>
      <c r="R18" s="21"/>
    </row>
    <row r="19" spans="1:18" ht="20.100000000000001" customHeight="1" x14ac:dyDescent="0.2">
      <c r="A19" s="5" t="str">
        <f>HYPERLINK("#'Input - Solid waste'!A1", "Solid waste")</f>
        <v>Solid waste</v>
      </c>
      <c r="D19" s="2" t="s">
        <v>298</v>
      </c>
      <c r="R19" s="21"/>
    </row>
    <row r="20" spans="1:18" ht="20.100000000000001" customHeight="1" x14ac:dyDescent="0.2">
      <c r="A20" s="5" t="str">
        <f>HYPERLINK("#'Input - Manure sent off-site'!A1", "Manure sent off-site")</f>
        <v>Manure sent off-site</v>
      </c>
      <c r="R20" s="21"/>
    </row>
    <row r="21" spans="1:18" ht="20.100000000000001" customHeight="1" x14ac:dyDescent="0.2">
      <c r="A21" s="5" t="str">
        <f>HYPERLINK("#'Input - Data quality'!A1", "Data quality")</f>
        <v>Data quality</v>
      </c>
      <c r="D21" s="100" t="s">
        <v>295</v>
      </c>
      <c r="E21" s="98" t="s">
        <v>290</v>
      </c>
      <c r="F21" s="98" t="s">
        <v>291</v>
      </c>
      <c r="G21" s="98" t="s">
        <v>265</v>
      </c>
      <c r="H21" s="98" t="s">
        <v>292</v>
      </c>
      <c r="R21" s="21"/>
    </row>
    <row r="22" spans="1:18" ht="20.100000000000001" customHeight="1" x14ac:dyDescent="0.2">
      <c r="A22" s="5" t="str">
        <f>HYPERLINK("#'Input - Fert Prod System'!A1", "Fert Prod System")</f>
        <v>Fert Prod System</v>
      </c>
      <c r="D22" s="1" t="s">
        <v>299</v>
      </c>
      <c r="E22" s="15" cm="1">
        <f t="array" ref="E22">Common_InputFunctions.Utility_LookupValueInTableNumber(E21, Table_SourceData_Swine_VolatileSolids[Class], Table_SourceData_Swine_VolatileSolids[VSj])</f>
        <v>0.4</v>
      </c>
      <c r="F22" s="15" cm="1">
        <f t="array" ref="F22">Common_InputFunctions.Utility_LookupValueInTableNumber(F21, Table_SourceData_Swine_VolatileSolids[Class], Table_SourceData_Swine_VolatileSolids[VSj])</f>
        <v>0.46</v>
      </c>
      <c r="G22" s="15" cm="1">
        <f t="array" ref="G22">Common_InputFunctions.Utility_LookupValueInTableNumber(G21, Table_SourceData_Swine_VolatileSolids[Class], Table_SourceData_Swine_VolatileSolids[VSj])</f>
        <v>0.55000000000000004</v>
      </c>
      <c r="H22" s="15" cm="1">
        <f t="array" ref="H22">Common_InputFunctions.Utility_LookupValueInTableNumber(H21, Table_SourceData_Swine_VolatileSolids[Class], Table_SourceData_Swine_VolatileSolids[VSj])</f>
        <v>0.39</v>
      </c>
      <c r="I22" s="16" t="s">
        <v>296</v>
      </c>
      <c r="J22" s="16"/>
      <c r="R22" s="21"/>
    </row>
    <row r="23" spans="1:18" ht="20.100000000000001" customHeight="1" x14ac:dyDescent="0.2">
      <c r="A23" s="5" t="str">
        <f>HYPERLINK("#'Input - Fertiliser'!A1", "Fertiliser")</f>
        <v>Fertiliser</v>
      </c>
      <c r="D23" s="1" t="s">
        <v>300</v>
      </c>
      <c r="E23" s="15" cm="1">
        <f t="array" ref="E23">Common_InputFunctions.Utility_LookupValueInTableNumber(E21, Table_SourceData_Swine_NitrogenInWaste[Class name], Table_SourceData_Swine_NitrogenInWaste[NWj Daily])</f>
        <v>4.5999999999999999E-2</v>
      </c>
      <c r="F23" s="15" cm="1">
        <f t="array" ref="F23">Common_InputFunctions.Utility_LookupValueInTableNumber(F21, Table_SourceData_Swine_NitrogenInWaste[Class name], Table_SourceData_Swine_NitrogenInWaste[NWj Daily])</f>
        <v>4.9000000000000002E-2</v>
      </c>
      <c r="G23" s="15" cm="1">
        <f t="array" ref="G23">Common_InputFunctions.Utility_LookupValueInTableNumber(G21, Table_SourceData_Swine_NitrogenInWaste[Class name], Table_SourceData_Swine_NitrogenInWaste[NWj Daily])</f>
        <v>4.5999999999999999E-2</v>
      </c>
      <c r="H23" s="15" cm="1">
        <f t="array" ref="H23">Common_InputFunctions.Utility_LookupValueInTableNumber(H21, Table_SourceData_Swine_NitrogenInWaste[Class name], Table_SourceData_Swine_NitrogenInWaste[NWj Daily])</f>
        <v>3.1199999999999999E-2</v>
      </c>
      <c r="I23" s="16" t="s">
        <v>301</v>
      </c>
      <c r="J23" s="16"/>
      <c r="R23" s="21"/>
    </row>
    <row r="24" spans="1:18" ht="20.100000000000001" customHeight="1" x14ac:dyDescent="0.2">
      <c r="K24" s="16"/>
      <c r="R24" s="21"/>
    </row>
    <row r="25" spans="1:18" ht="20.100000000000001" customHeight="1" x14ac:dyDescent="0.2">
      <c r="D25" s="100" t="s">
        <v>297</v>
      </c>
      <c r="E25" s="98" t="s">
        <v>290</v>
      </c>
      <c r="F25" s="98" t="s">
        <v>291</v>
      </c>
      <c r="G25" s="98" t="s">
        <v>265</v>
      </c>
      <c r="H25" s="98" t="s">
        <v>292</v>
      </c>
      <c r="R25" s="21"/>
    </row>
    <row r="26" spans="1:18" ht="20.100000000000001" customHeight="1" x14ac:dyDescent="0.2">
      <c r="A26" s="6" t="s">
        <v>2</v>
      </c>
      <c r="D26" s="1" t="s">
        <v>299</v>
      </c>
      <c r="E26" s="74" cm="1">
        <f t="array" ref="E26">Common_InputFunctions.Utility_LookupValueInTableNumber(E25, Table_SourceData_Swine_VolatileSolids[Class], Table_SourceData_Swine_VolatileSolids[VSj])</f>
        <v>0.4</v>
      </c>
      <c r="F26" s="74" cm="1">
        <f t="array" ref="F26">Common_InputFunctions.Utility_LookupValueInTableNumber(F25, Table_SourceData_Swine_VolatileSolids[Class], Table_SourceData_Swine_VolatileSolids[VSj])</f>
        <v>0.46</v>
      </c>
      <c r="G26" s="74" cm="1">
        <f t="array" ref="G26">Common_InputFunctions.Utility_LookupValueInTableNumber(G25, Table_SourceData_Swine_VolatileSolids[Class], Table_SourceData_Swine_VolatileSolids[VSj])</f>
        <v>0.55000000000000004</v>
      </c>
      <c r="H26" s="74" cm="1">
        <f t="array" ref="H26">Common_InputFunctions.Utility_LookupValueInTableNumber(H25, Table_SourceData_Swine_VolatileSolids[Class], Table_SourceData_Swine_VolatileSolids[VSj])</f>
        <v>0.39</v>
      </c>
      <c r="I26" s="16" t="s">
        <v>296</v>
      </c>
      <c r="J26" s="16"/>
      <c r="R26" s="21"/>
    </row>
    <row r="27" spans="1:18" ht="20.100000000000001" customHeight="1" x14ac:dyDescent="0.2">
      <c r="A27" s="5" t="str">
        <f>HYPERLINK("#'3.5.1.1-2 Enteric Methane'!A1", "3.5.1.1-2 Enteric Methane")</f>
        <v>3.5.1.1-2 Enteric Methane</v>
      </c>
      <c r="D27" s="1" t="s">
        <v>300</v>
      </c>
      <c r="E27" s="74" cm="1">
        <f t="array" ref="E27">Common_InputFunctions.Utility_LookupValueInTableNumber(E25, Table_SourceData_Swine_NitrogenInWaste[Class name], Table_SourceData_Swine_NitrogenInWaste[NWj Daily])</f>
        <v>4.5999999999999999E-2</v>
      </c>
      <c r="F27" s="74" cm="1">
        <f t="array" ref="F27">Common_InputFunctions.Utility_LookupValueInTableNumber(F25, Table_SourceData_Swine_NitrogenInWaste[Class name], Table_SourceData_Swine_NitrogenInWaste[NWj Daily])</f>
        <v>4.9000000000000002E-2</v>
      </c>
      <c r="G27" s="74" cm="1">
        <f t="array" ref="G27">Common_InputFunctions.Utility_LookupValueInTableNumber(G25, Table_SourceData_Swine_NitrogenInWaste[Class name], Table_SourceData_Swine_NitrogenInWaste[NWj Daily])</f>
        <v>4.5999999999999999E-2</v>
      </c>
      <c r="H27" s="74" cm="1">
        <f t="array" ref="H27">Common_InputFunctions.Utility_LookupValueInTableNumber(H25, Table_SourceData_Swine_NitrogenInWaste[Class name], Table_SourceData_Swine_NitrogenInWaste[NWj Daily])</f>
        <v>3.1199999999999999E-2</v>
      </c>
      <c r="I27" s="16" t="s">
        <v>301</v>
      </c>
      <c r="J27" s="16"/>
      <c r="R27" s="21"/>
    </row>
    <row r="28" spans="1:18" ht="20.100000000000001" customHeight="1" x14ac:dyDescent="0.2">
      <c r="A28" s="5" t="str">
        <f>HYPERLINK("#'4.5.1.1-2 Methane'!A1", "4.5.1.1-2 Manure Methane")</f>
        <v>4.5.1.1-2 Manure Methane</v>
      </c>
      <c r="R28" s="21"/>
    </row>
    <row r="29" spans="1:18" ht="20.100000000000001" customHeight="1" x14ac:dyDescent="0.2">
      <c r="A29" s="5" t="str">
        <f>HYPERLINK("#'4.5.1.3-4 Direct N2O'!A1", "4.5.1.3-4 Manure Direct N2O")</f>
        <v>4.5.1.3-4 Manure Direct N2O</v>
      </c>
      <c r="R29" s="21"/>
    </row>
    <row r="30" spans="1:18" ht="20.100000000000001" customHeight="1" x14ac:dyDescent="0.2">
      <c r="A30" s="5" t="str">
        <f>HYPERLINK("#'4.5.1.5-6 Atmos Dep'!A1", "4.5.1.5-6 Manure Atmos Dep")</f>
        <v>4.5.1.5-6 Manure Atmos Dep</v>
      </c>
      <c r="D30" s="2" t="s">
        <v>302</v>
      </c>
      <c r="R30" s="21"/>
    </row>
    <row r="31" spans="1:18" ht="20.100000000000001" customHeight="1" x14ac:dyDescent="0.2">
      <c r="A31" s="5" t="str">
        <f>HYPERLINK("#'4.5.1.7-8 Leaching and runoff'!A1", "4.5.1.7-8 Manure Leaching and runoff")</f>
        <v>4.5.1.7-8 Manure Leaching and runoff</v>
      </c>
      <c r="R31" s="21"/>
    </row>
    <row r="32" spans="1:18" ht="20.100000000000001" customHeight="1" x14ac:dyDescent="0.2">
      <c r="A32" s="5" t="str">
        <f>HYPERLINK("#'4.5.1.9 Manure applied to soils'!A1", "4.5.1.9 Manure applied to soils")</f>
        <v>4.5.1.9 Manure applied to soils</v>
      </c>
      <c r="D32" s="1" t="s">
        <v>303</v>
      </c>
      <c r="E32" s="13" t="s">
        <v>304</v>
      </c>
      <c r="F32" s="16" t="s">
        <v>100</v>
      </c>
      <c r="R32" s="21"/>
    </row>
    <row r="33" spans="1:18" ht="20.100000000000001" customHeight="1" x14ac:dyDescent="0.2">
      <c r="A33" s="5" t="str">
        <f>HYPERLINK("#'8.1.1.1-2 Transport fuel'!A1", "8.1.1.1-2 Transport fuel")</f>
        <v>8.1.1.1-2 Transport fuel</v>
      </c>
      <c r="E33" s="86" t="str">
        <f>IF(X_Cell_Swine_ProductionSystem="Outdoor/free range", "In an outdoor/free range system the only likely stage 1 MMS is 'Drylot (feed pad)'", "")</f>
        <v>In an outdoor/free range system the only likely stage 1 MMS is 'Drylot (feed pad)'</v>
      </c>
      <c r="R33" s="21"/>
    </row>
    <row r="34" spans="1:18" ht="20.100000000000001" customHeight="1" x14ac:dyDescent="0.2">
      <c r="A34" s="5" t="str">
        <f>HYPERLINK("#'8.2.1.1-2 Stationary fuel'!A1", "8.2.1.1-2 Stationary fuel")</f>
        <v>8.2.1.1-2 Stationary fuel</v>
      </c>
      <c r="D34" s="100" t="s">
        <v>305</v>
      </c>
      <c r="E34" s="98" t="s">
        <v>290</v>
      </c>
      <c r="F34" s="98" t="s">
        <v>291</v>
      </c>
      <c r="G34" s="98" t="s">
        <v>265</v>
      </c>
      <c r="H34" s="98" t="s">
        <v>292</v>
      </c>
      <c r="R34" s="21"/>
    </row>
    <row r="35" spans="1:18" ht="20.100000000000001" customHeight="1" x14ac:dyDescent="0.2">
      <c r="A35" s="5" t="str">
        <f>HYPERLINK("#'10.1.1-2 Solid waste treatment'!A1", "10.1.1.1-2 Solid waste")</f>
        <v>10.1.1.1-2 Solid waste</v>
      </c>
      <c r="R35" s="21"/>
    </row>
    <row r="36" spans="1:18" ht="20.100000000000001" customHeight="1" x14ac:dyDescent="0.2">
      <c r="A36" s="5" t="str">
        <f>HYPERLINK("#'14.1.1-2 Purchased electricity'!A1", "14.1.1-2 Purchased electricity")</f>
        <v>14.1.1-2 Purchased electricity</v>
      </c>
      <c r="D36" s="75" t="str">
        <f>'Constants - Swine'!$G$41</f>
        <v>Anaerobic lagoon</v>
      </c>
      <c r="E36" s="18">
        <v>0.15</v>
      </c>
      <c r="F36" s="18">
        <v>0.15</v>
      </c>
      <c r="G36" s="18">
        <v>0.15</v>
      </c>
      <c r="H36" s="18">
        <v>0.15</v>
      </c>
      <c r="I36" s="16" t="s">
        <v>306</v>
      </c>
      <c r="J36" s="16"/>
      <c r="R36" s="21"/>
    </row>
    <row r="37" spans="1:18" ht="20.100000000000001" customHeight="1" x14ac:dyDescent="0.2">
      <c r="A37" s="5" t="str">
        <f>HYPERLINK("#'15 Scope 3'!A1", "15 Scope 3")</f>
        <v>15 Scope 3</v>
      </c>
      <c r="D37" s="101" t="str">
        <f>"Were solids separated from " &amp; $D$36 &amp; "?"</f>
        <v>Were solids separated from Anaerobic lagoon?</v>
      </c>
      <c r="E37" s="13" t="s">
        <v>307</v>
      </c>
      <c r="R37" s="21"/>
    </row>
    <row r="38" spans="1:18" ht="20.100000000000001" customHeight="1" x14ac:dyDescent="0.2">
      <c r="A38" s="5" t="str">
        <f>HYPERLINK("#'Calcs - Manure sent off-site'!A1", "Calcs - Manure sent off-site")</f>
        <v>Calcs - Manure sent off-site</v>
      </c>
      <c r="D38" s="101" t="str">
        <f>"Percent solids separated from " &amp; D36 &amp; " (Method 1)"</f>
        <v>Percent solids separated from Anaerobic lagoon (Method 1)</v>
      </c>
      <c r="E38" s="102">
        <v>0.2</v>
      </c>
      <c r="R38" s="21"/>
    </row>
    <row r="39" spans="1:18" ht="20.100000000000001" customHeight="1" x14ac:dyDescent="0.2">
      <c r="A39" s="5" t="str">
        <f>HYPERLINK("#'5.1.1.1-2 Inorganic fert N2O'!A1", "5.1.1.1-2 Inorganic fert N2O")</f>
        <v>5.1.1.1-2 Inorganic fert N2O</v>
      </c>
      <c r="D39" s="101" t="str">
        <f>"Percent solids separated from " &amp; D36 &amp; " (Method 2)"</f>
        <v>Percent solids separated from Anaerobic lagoon (Method 2)</v>
      </c>
      <c r="E39" s="18">
        <v>0.2</v>
      </c>
      <c r="R39" s="21"/>
    </row>
    <row r="40" spans="1:18" ht="20.100000000000001" customHeight="1" x14ac:dyDescent="0.2">
      <c r="A40" s="5" t="str">
        <f>HYPERLINK("#'5.1.1.3-4 Inorganic fert CO2'!A1", "5.1.1.3-4 Inorganic fert CO2")</f>
        <v>5.1.1.3-4 Inorganic fert CO2</v>
      </c>
      <c r="R40" s="21"/>
    </row>
    <row r="41" spans="1:18" ht="20.100000000000001" customHeight="1" x14ac:dyDescent="0.2">
      <c r="A41" s="5" t="str">
        <f>HYPERLINK("#'5.2.1.1-2 Organic Fert N2O'!A1", "5.2.1.1-2 Organic Fert N2O")</f>
        <v>5.2.1.1-2 Organic Fert N2O</v>
      </c>
      <c r="D41" s="75" t="str">
        <f>'Constants - Swine'!$G$42</f>
        <v>Drylot (feed pad)</v>
      </c>
      <c r="E41" s="18">
        <v>0.15</v>
      </c>
      <c r="F41" s="18">
        <v>0.15</v>
      </c>
      <c r="G41" s="18">
        <v>0.15</v>
      </c>
      <c r="H41" s="18">
        <v>0.15</v>
      </c>
      <c r="I41" s="16" t="s">
        <v>306</v>
      </c>
      <c r="J41" s="16"/>
      <c r="R41" s="21"/>
    </row>
    <row r="42" spans="1:18" ht="20.100000000000001" customHeight="1" x14ac:dyDescent="0.2">
      <c r="A42" s="5" t="str">
        <f>HYPERLINK("#'5.3.1.1-2 Lime CO2'!A1", "5.3.1.1-2 Lime CO2")</f>
        <v>5.3.1.1-2 Lime CO2</v>
      </c>
      <c r="D42" s="101" t="str">
        <f>"Were solids separated from " &amp; $D$41 &amp; "?"</f>
        <v>Were solids separated from Drylot (feed pad)?</v>
      </c>
      <c r="E42" s="13" t="s">
        <v>307</v>
      </c>
      <c r="R42" s="21"/>
    </row>
    <row r="43" spans="1:18" ht="20.100000000000001" customHeight="1" x14ac:dyDescent="0.2">
      <c r="A43" s="5" t="str">
        <f>HYPERLINK("#'5.4.1.1-4 Atmos deposition'!A1", "5.4.1.1-4 Atmos deposition")</f>
        <v>5.4.1.1-4 Atmos deposition</v>
      </c>
      <c r="D43" s="101" t="str">
        <f>"Percent solids separated from " &amp; D41 &amp; " (Method 1)"</f>
        <v>Percent solids separated from Drylot (feed pad) (Method 1)</v>
      </c>
      <c r="E43" s="102">
        <v>0.2</v>
      </c>
      <c r="R43" s="21"/>
    </row>
    <row r="44" spans="1:18" ht="20.100000000000001" customHeight="1" x14ac:dyDescent="0.2">
      <c r="A44" s="5" t="str">
        <f>HYPERLINK("#'5.5.1.1-2 Leaching and runoff'!A1", "5.5.1.1-2 Leaching and runoff")</f>
        <v>5.5.1.1-2 Leaching and runoff</v>
      </c>
      <c r="D44" s="101" t="str">
        <f>"Percent solids separated from " &amp; D41 &amp; " (Method 2)"</f>
        <v>Percent solids separated from Drylot (feed pad) (Method 2)</v>
      </c>
      <c r="E44" s="18">
        <v>0.2</v>
      </c>
      <c r="R44" s="21"/>
    </row>
    <row r="45" spans="1:18" ht="20.100000000000001" customHeight="1" x14ac:dyDescent="0.2">
      <c r="R45" s="21"/>
    </row>
    <row r="46" spans="1:18" ht="20.100000000000001" customHeight="1" x14ac:dyDescent="0.2">
      <c r="R46" s="21"/>
    </row>
    <row r="47" spans="1:18" ht="20.100000000000001" customHeight="1" x14ac:dyDescent="0.2">
      <c r="A47" s="79" t="s">
        <v>1</v>
      </c>
      <c r="D47" s="75" t="str">
        <f>'Constants - Swine'!$G$43</f>
        <v>Digester / covered lagoons</v>
      </c>
      <c r="E47" s="18">
        <v>0.15</v>
      </c>
      <c r="F47" s="18">
        <v>0.15</v>
      </c>
      <c r="G47" s="18">
        <v>0.15</v>
      </c>
      <c r="H47" s="18">
        <v>0.15</v>
      </c>
      <c r="I47" s="16" t="s">
        <v>306</v>
      </c>
      <c r="J47" s="16"/>
      <c r="R47" s="21"/>
    </row>
    <row r="48" spans="1:18" ht="20.100000000000001" customHeight="1" x14ac:dyDescent="0.2">
      <c r="A48" s="5" t="str">
        <f>HYPERLINK("#'Constants - Swine'!A1", "Constants - Swine")</f>
        <v>Constants - Swine</v>
      </c>
      <c r="D48" s="101" t="str">
        <f>"Were solids separated from " &amp; $D$47 &amp; "?"</f>
        <v>Were solids separated from Digester / covered lagoons?</v>
      </c>
      <c r="E48" s="13" t="s">
        <v>307</v>
      </c>
      <c r="R48" s="21"/>
    </row>
    <row r="49" spans="1:18" ht="20.100000000000001" customHeight="1" x14ac:dyDescent="0.2">
      <c r="A49" s="5" t="str">
        <f>HYPERLINK("#'Constants - Common livestock'!A1", "Constants - Common Livestock")</f>
        <v>Constants - Common Livestock</v>
      </c>
      <c r="D49" s="101" t="str">
        <f>"Percent solids separated from " &amp; D47 &amp; " (Method 1)"</f>
        <v>Percent solids separated from Digester / covered lagoons (Method 1)</v>
      </c>
      <c r="E49" s="102">
        <v>0.2</v>
      </c>
      <c r="R49" s="21"/>
    </row>
    <row r="50" spans="1:18" ht="20.100000000000001" customHeight="1" x14ac:dyDescent="0.2">
      <c r="A50" s="5" t="str">
        <f>HYPERLINK("#'Constants - Electricity'!A1", "Constants - Electricity")</f>
        <v>Constants - Electricity</v>
      </c>
      <c r="D50" s="101" t="str">
        <f>"Percent solids separated from " &amp; D47 &amp; " (Method 2)"</f>
        <v>Percent solids separated from Digester / covered lagoons (Method 2)</v>
      </c>
      <c r="E50" s="18">
        <v>0.2</v>
      </c>
      <c r="R50" s="21"/>
    </row>
    <row r="51" spans="1:18" ht="20.100000000000001" customHeight="1" x14ac:dyDescent="0.2">
      <c r="A51" s="5" t="str">
        <f>HYPERLINK("#'Constants - Fertiliser'!A1", "Constants - Fertiliser")</f>
        <v>Constants - Fertiliser</v>
      </c>
      <c r="R51" s="21"/>
    </row>
    <row r="52" spans="1:18" ht="20.100000000000001" customHeight="1" x14ac:dyDescent="0.2">
      <c r="A52" s="5" t="str">
        <f>HYPERLINK("#'Constants - Fuel'!A1", "Constants - Fuel")</f>
        <v>Constants - Fuel</v>
      </c>
      <c r="R52" s="21"/>
    </row>
    <row r="53" spans="1:18" ht="20.100000000000001" customHeight="1" x14ac:dyDescent="0.2">
      <c r="A53" s="5" t="str">
        <f>HYPERLINK("#'Constants - Scope 3'!A1", "Constants - Scope 3")</f>
        <v>Constants - Scope 3</v>
      </c>
      <c r="D53" s="75" t="str">
        <f>'Constants - Swine'!$G$44</f>
        <v>Deep litter</v>
      </c>
      <c r="E53" s="18">
        <v>0.15</v>
      </c>
      <c r="F53" s="18">
        <v>0.15</v>
      </c>
      <c r="G53" s="18">
        <v>0.15</v>
      </c>
      <c r="H53" s="18">
        <v>0.15</v>
      </c>
      <c r="I53" s="16" t="s">
        <v>306</v>
      </c>
      <c r="J53" s="16"/>
      <c r="R53" s="21"/>
    </row>
    <row r="54" spans="1:18" ht="20.100000000000001" customHeight="1" x14ac:dyDescent="0.2">
      <c r="A54" s="5" t="str">
        <f>HYPERLINK("#'Constants - Solid Waste'!A1", "Constants - Solid Waste")</f>
        <v>Constants - Solid Waste</v>
      </c>
      <c r="D54" s="101" t="str">
        <f>"Were solids separated from " &amp; $D$53 &amp; "?"</f>
        <v>Were solids separated from Deep litter?</v>
      </c>
      <c r="E54" s="13" t="s">
        <v>307</v>
      </c>
      <c r="R54" s="21"/>
    </row>
    <row r="55" spans="1:18" ht="20.100000000000001" customHeight="1" x14ac:dyDescent="0.2">
      <c r="A55" s="5" t="str">
        <f>HYPERLINK("#'Constants - Common'!A1", "Constants - Common")</f>
        <v>Constants - Common</v>
      </c>
      <c r="D55" s="101" t="str">
        <f>"Percent solids separated from " &amp; D53 &amp; " (Method 1)"</f>
        <v>Percent solids separated from Deep litter (Method 1)</v>
      </c>
      <c r="E55" s="102">
        <v>0.2</v>
      </c>
      <c r="R55" s="21"/>
    </row>
    <row r="56" spans="1:18" ht="20.100000000000001" customHeight="1" x14ac:dyDescent="0.2">
      <c r="A56" s="5" t="str">
        <f>HYPERLINK("#'Acknowledgements'!A1", "Acknowledgements")</f>
        <v>Acknowledgements</v>
      </c>
      <c r="D56" s="101" t="str">
        <f>"Percent solids separated from " &amp; D53 &amp; " (Method 2)"</f>
        <v>Percent solids separated from Deep litter (Method 2)</v>
      </c>
      <c r="E56" s="18">
        <v>0.2</v>
      </c>
      <c r="R56" s="21"/>
    </row>
    <row r="57" spans="1:18" ht="20.100000000000001" customHeight="1" x14ac:dyDescent="0.2">
      <c r="R57" s="21"/>
    </row>
    <row r="58" spans="1:18" ht="20.100000000000001" customHeight="1" x14ac:dyDescent="0.2">
      <c r="R58" s="21"/>
    </row>
    <row r="59" spans="1:18" ht="20.100000000000001" customHeight="1" x14ac:dyDescent="0.2">
      <c r="D59" s="75" t="str">
        <f>'Constants - Swine'!$G$45</f>
        <v>Pit storage</v>
      </c>
      <c r="E59" s="18">
        <v>0.15</v>
      </c>
      <c r="F59" s="18">
        <v>0.15</v>
      </c>
      <c r="G59" s="18">
        <v>0.15</v>
      </c>
      <c r="H59" s="18">
        <v>0.15</v>
      </c>
      <c r="I59" s="16" t="s">
        <v>306</v>
      </c>
      <c r="J59" s="16"/>
      <c r="R59" s="21"/>
    </row>
    <row r="60" spans="1:18" ht="20.100000000000001" customHeight="1" x14ac:dyDescent="0.2">
      <c r="D60" s="101" t="str">
        <f>"Were solids separated from " &amp; $D$59 &amp; "?"</f>
        <v>Were solids separated from Pit storage?</v>
      </c>
      <c r="E60" s="13" t="s">
        <v>307</v>
      </c>
      <c r="R60" s="21"/>
    </row>
    <row r="61" spans="1:18" ht="20.100000000000001" customHeight="1" x14ac:dyDescent="0.2">
      <c r="D61" s="101" t="str">
        <f>"Percent solids separated from " &amp; D59 &amp; " (Method 1)"</f>
        <v>Percent solids separated from Pit storage (Method 1)</v>
      </c>
      <c r="E61" s="102">
        <v>0.2</v>
      </c>
      <c r="R61" s="21"/>
    </row>
    <row r="62" spans="1:18" ht="20.100000000000001" customHeight="1" x14ac:dyDescent="0.2">
      <c r="D62" s="101" t="str">
        <f>"Percent solids separated from " &amp; D59 &amp; " (Method 2)"</f>
        <v>Percent solids separated from Pit storage (Method 2)</v>
      </c>
      <c r="E62" s="18">
        <v>0.2</v>
      </c>
      <c r="R62" s="21"/>
    </row>
    <row r="63" spans="1:18" ht="20.100000000000001" customHeight="1" x14ac:dyDescent="0.2">
      <c r="R63" s="21"/>
    </row>
    <row r="64" spans="1:18" ht="20.100000000000001" customHeight="1" x14ac:dyDescent="0.2">
      <c r="D64" s="75" t="str">
        <f>'Constants - Swine'!$D$42 &amp; " (before solid separation)"</f>
        <v>Solid storage (before solid separation)</v>
      </c>
      <c r="E64" s="18">
        <v>0.25</v>
      </c>
      <c r="F64" s="18">
        <v>0.25</v>
      </c>
      <c r="G64" s="18">
        <v>0.25</v>
      </c>
      <c r="H64" s="18">
        <v>0.25</v>
      </c>
      <c r="I64" s="16" t="s">
        <v>306</v>
      </c>
      <c r="J64" s="16"/>
      <c r="R64" s="21"/>
    </row>
    <row r="65" spans="1:18" ht="20.100000000000001" customHeight="1" x14ac:dyDescent="0.2">
      <c r="D65" s="1" t="s">
        <v>308</v>
      </c>
      <c r="E65" s="102">
        <f>E64+(E36*X_Cell_Swine_Stage1MMS_AnaerobicLagoon_AmountSeparated_Method1)+(E41*X_Cell_Swine_Stage1MMS_Drylot_AmountSeparated_Method1)+(E47*X_Cell_Swine_Stage1MMS_DigesterCoveredLagoons_AmountSeparated_Method1)+(E53*X_Cell_Swine_Stage1MMS_DeepLitter_AmountSeparated_Method1)+(E59*X_Cell_Swine_Stage1MMS_PitStorage_AmountSeparated_Method1)</f>
        <v>0.40000000000000013</v>
      </c>
      <c r="F65" s="102">
        <f>F64+(F36*X_Cell_Swine_Stage1MMS_AnaerobicLagoon_AmountSeparated_Method1)+(F41*X_Cell_Swine_Stage1MMS_Drylot_AmountSeparated_Method1)+(F47*X_Cell_Swine_Stage1MMS_DigesterCoveredLagoons_AmountSeparated_Method1)+(F53*X_Cell_Swine_Stage1MMS_DeepLitter_AmountSeparated_Method1)+(F59*X_Cell_Swine_Stage1MMS_PitStorage_AmountSeparated_Method1)</f>
        <v>0.40000000000000013</v>
      </c>
      <c r="G65" s="102">
        <f>G64+(G36*X_Cell_Swine_Stage1MMS_AnaerobicLagoon_AmountSeparated_Method1)+(G41*X_Cell_Swine_Stage1MMS_Drylot_AmountSeparated_Method1)+(G47*X_Cell_Swine_Stage1MMS_DigesterCoveredLagoons_AmountSeparated_Method1)+(G53*X_Cell_Swine_Stage1MMS_DeepLitter_AmountSeparated_Method1)+(G59*X_Cell_Swine_Stage1MMS_PitStorage_AmountSeparated_Method1)</f>
        <v>0.40000000000000013</v>
      </c>
      <c r="H65" s="102">
        <f>H64+(H36*X_Cell_Swine_Stage1MMS_AnaerobicLagoon_AmountSeparated_Method1)+(H41*X_Cell_Swine_Stage1MMS_Drylot_AmountSeparated_Method1)+(H47*X_Cell_Swine_Stage1MMS_DigesterCoveredLagoons_AmountSeparated_Method1)+(H53*X_Cell_Swine_Stage1MMS_DeepLitter_AmountSeparated_Method1)+(H59*X_Cell_Swine_Stage1MMS_PitStorage_AmountSeparated_Method1)</f>
        <v>0.40000000000000013</v>
      </c>
      <c r="R65" s="21"/>
    </row>
    <row r="66" spans="1:18" ht="20.100000000000001" customHeight="1" x14ac:dyDescent="0.2">
      <c r="D66" s="1" t="s">
        <v>309</v>
      </c>
      <c r="E66" s="102">
        <f>E64+(E36*X_Cell_Swine_Stage1MMS_AnaerobicLagoon_AmountSeparated_Method2)+(E41*X_Cell_Swine_Stage1MMS_Drylot_AmountSeparated_Method2)+(E47*X_Cell_Swine_Stage1MMS_DigesterCoveredLagoons_AmountSeparated_Method2)+(E53*X_Cell_Swine_Stage1MMS_DeepLitter_AmountSeparated_Method2)+(E59*X_Cell_Swine_Stage1MMS_PitStorage_AmountSeparated_Method2)</f>
        <v>0.40000000000000013</v>
      </c>
      <c r="F66" s="102">
        <f>F64+(F36*X_Cell_Swine_Stage1MMS_AnaerobicLagoon_AmountSeparated_Method2)+(F41*X_Cell_Swine_Stage1MMS_Drylot_AmountSeparated_Method2)+(F47*X_Cell_Swine_Stage1MMS_DigesterCoveredLagoons_AmountSeparated_Method2)+(F53*X_Cell_Swine_Stage1MMS_DeepLitter_AmountSeparated_Method2)+(F59*X_Cell_Swine_Stage1MMS_PitStorage_AmountSeparated_Method2)</f>
        <v>0.40000000000000013</v>
      </c>
      <c r="G66" s="102">
        <f>G64+(G36*X_Cell_Swine_Stage1MMS_AnaerobicLagoon_AmountSeparated_Method2)+(G41*X_Cell_Swine_Stage1MMS_Drylot_AmountSeparated_Method2)+(G47*X_Cell_Swine_Stage1MMS_DigesterCoveredLagoons_AmountSeparated_Method2)+(G53*X_Cell_Swine_Stage1MMS_DeepLitter_AmountSeparated_Method2)+(G59*X_Cell_Swine_Stage1MMS_PitStorage_AmountSeparated_Method2)</f>
        <v>0.40000000000000013</v>
      </c>
      <c r="H66" s="102">
        <f>H64+(H36*X_Cell_Swine_Stage1MMS_AnaerobicLagoon_AmountSeparated_Method2)+(H41*X_Cell_Swine_Stage1MMS_Drylot_AmountSeparated_Method2)+(H47*X_Cell_Swine_Stage1MMS_DigesterCoveredLagoons_AmountSeparated_Method2)+(H53*X_Cell_Swine_Stage1MMS_DeepLitter_AmountSeparated_Method2)+(H59*X_Cell_Swine_Stage1MMS_PitStorage_AmountSeparated_Method2)</f>
        <v>0.40000000000000013</v>
      </c>
    </row>
    <row r="67" spans="1:18" ht="20.100000000000001" customHeight="1" x14ac:dyDescent="0.2">
      <c r="A67" s="131" t="str">
        <f>HYPERLINK("#A1", "▲ Back to top")</f>
        <v>▲ Back to top</v>
      </c>
    </row>
    <row r="68" spans="1:18" ht="20.100000000000001" customHeight="1" x14ac:dyDescent="0.2">
      <c r="D68" s="1" t="s">
        <v>310</v>
      </c>
      <c r="E68" s="102">
        <f>SUM(E36,E41,E47,E53,E59,E64)</f>
        <v>1</v>
      </c>
      <c r="F68" s="102">
        <f>SUM(F36,F41,F47,F53,F59,F64)</f>
        <v>1</v>
      </c>
      <c r="G68" s="102">
        <f>SUM(G36,G41,G47,G53,G59,G64)</f>
        <v>1</v>
      </c>
      <c r="H68" s="102">
        <f>SUM(H36,H41,H47,H53,H59,H64)</f>
        <v>1</v>
      </c>
    </row>
    <row r="70" spans="1:18" ht="20.100000000000001" customHeight="1" x14ac:dyDescent="0.2">
      <c r="D70" s="103" t="s">
        <v>311</v>
      </c>
      <c r="R70" s="21"/>
    </row>
    <row r="71" spans="1:18" ht="20.100000000000001" customHeight="1" x14ac:dyDescent="0.2">
      <c r="D71" s="104" t="s">
        <v>312</v>
      </c>
      <c r="E71" s="105" t="s">
        <v>290</v>
      </c>
      <c r="F71" s="105" t="s">
        <v>291</v>
      </c>
      <c r="G71" s="105" t="s">
        <v>265</v>
      </c>
      <c r="H71" s="105" t="s">
        <v>292</v>
      </c>
      <c r="I71" s="106" t="s">
        <v>313</v>
      </c>
      <c r="J71" s="106"/>
      <c r="K71" s="100" t="s">
        <v>314</v>
      </c>
      <c r="L71" s="100"/>
      <c r="M71" s="78"/>
      <c r="R71" s="21"/>
    </row>
    <row r="72" spans="1:18" ht="20.100000000000001" customHeight="1" x14ac:dyDescent="0.2">
      <c r="D72" s="107" t="str">
        <f>"From stage 1: " &amp; $D$36</f>
        <v>From stage 1: Anaerobic lagoon</v>
      </c>
      <c r="E72" s="86" t="str">
        <f>IF(SUM(E36:H36)&gt;0,"Manure was sent to this MMS, please complete this section.","NO manure was sent to this MMS. Leave this section blank.")</f>
        <v>Manure was sent to this MMS, please complete this section.</v>
      </c>
      <c r="K72" s="108" t="s">
        <v>315</v>
      </c>
      <c r="L72" s="108" t="s">
        <v>316</v>
      </c>
      <c r="M72" s="108" t="s">
        <v>317</v>
      </c>
      <c r="R72" s="21"/>
    </row>
    <row r="73" spans="1:18" ht="20.100000000000001" customHeight="1" x14ac:dyDescent="0.2">
      <c r="D73" s="109" t="str">
        <f>$D$47</f>
        <v>Digester / covered lagoons</v>
      </c>
      <c r="E73" s="18">
        <v>0.2</v>
      </c>
      <c r="F73" s="18">
        <v>0.25</v>
      </c>
      <c r="G73" s="18">
        <v>0.25</v>
      </c>
      <c r="H73" s="18">
        <v>0.25</v>
      </c>
      <c r="I73" s="16" t="s">
        <v>306</v>
      </c>
      <c r="J73" s="16"/>
      <c r="K73" s="18">
        <v>0.25</v>
      </c>
      <c r="L73" s="18">
        <v>0.25</v>
      </c>
      <c r="M73" s="102">
        <f t="shared" ref="M73:M75" si="0">1-SUM(K73:L73)</f>
        <v>0.5</v>
      </c>
      <c r="R73" s="21"/>
    </row>
    <row r="74" spans="1:18" ht="20.100000000000001" customHeight="1" x14ac:dyDescent="0.2">
      <c r="D74" s="109" t="str">
        <f>$D$53</f>
        <v>Deep litter</v>
      </c>
      <c r="E74" s="18">
        <v>0.2</v>
      </c>
      <c r="F74" s="18">
        <v>0.25</v>
      </c>
      <c r="G74" s="18">
        <v>0.25</v>
      </c>
      <c r="H74" s="18">
        <v>0.25</v>
      </c>
      <c r="I74" s="16" t="s">
        <v>306</v>
      </c>
      <c r="J74" s="16"/>
      <c r="K74" s="18">
        <v>0.25</v>
      </c>
      <c r="L74" s="18">
        <v>0.25</v>
      </c>
      <c r="M74" s="102">
        <f t="shared" si="0"/>
        <v>0.5</v>
      </c>
    </row>
    <row r="75" spans="1:18" ht="20.100000000000001" customHeight="1" x14ac:dyDescent="0.2">
      <c r="D75" s="109" t="str">
        <f>$D$59</f>
        <v>Pit storage</v>
      </c>
      <c r="E75" s="18">
        <v>0.2</v>
      </c>
      <c r="F75" s="18">
        <v>0.25</v>
      </c>
      <c r="G75" s="18">
        <v>0.25</v>
      </c>
      <c r="H75" s="18">
        <v>0.25</v>
      </c>
      <c r="I75" s="16" t="s">
        <v>306</v>
      </c>
      <c r="J75" s="16"/>
      <c r="K75" s="18">
        <v>0.25</v>
      </c>
      <c r="L75" s="18">
        <v>0.25</v>
      </c>
      <c r="M75" s="102">
        <f t="shared" si="0"/>
        <v>0.5</v>
      </c>
    </row>
    <row r="76" spans="1:18" ht="20.100000000000001" customHeight="1" x14ac:dyDescent="0.2">
      <c r="D76" s="109" t="str">
        <f>'Constants - Swine'!$D$47</f>
        <v>Direct application</v>
      </c>
      <c r="E76" s="102">
        <f>1-SUM(E73:E75)</f>
        <v>0.39999999999999991</v>
      </c>
      <c r="F76" s="102">
        <f>1-SUM(F73:F75)</f>
        <v>0.25</v>
      </c>
      <c r="G76" s="102">
        <f>1-SUM(G73:G75)</f>
        <v>0.25</v>
      </c>
      <c r="H76" s="102">
        <f>1-SUM(H73:H75)</f>
        <v>0.25</v>
      </c>
      <c r="I76" s="16" t="s">
        <v>306</v>
      </c>
      <c r="J76" s="16"/>
      <c r="K76" s="102">
        <v>0</v>
      </c>
      <c r="L76" s="102">
        <v>0</v>
      </c>
      <c r="M76" s="102">
        <f>1-SUM(K76:L76)</f>
        <v>1</v>
      </c>
    </row>
    <row r="78" spans="1:18" ht="20.100000000000001" customHeight="1" x14ac:dyDescent="0.2">
      <c r="D78" s="109"/>
      <c r="F78" s="16"/>
      <c r="R78" s="21"/>
    </row>
    <row r="79" spans="1:18" ht="20.100000000000001" customHeight="1" x14ac:dyDescent="0.2">
      <c r="D79" s="107" t="str">
        <f>"From stage 1: " &amp; $D$41</f>
        <v>From stage 1: Drylot (feed pad)</v>
      </c>
      <c r="E79" s="86" t="str">
        <f>IF(SUM(E41:H41)&gt;0,"Manure was sent to this MMS, please complete this section.","NO manure was sent to this MMS. Leave this section blank.")</f>
        <v>Manure was sent to this MMS, please complete this section.</v>
      </c>
      <c r="K79" s="108" t="s">
        <v>315</v>
      </c>
      <c r="L79" s="108" t="s">
        <v>316</v>
      </c>
      <c r="M79" s="108" t="s">
        <v>317</v>
      </c>
      <c r="R79" s="21"/>
    </row>
    <row r="80" spans="1:18" ht="20.100000000000001" customHeight="1" x14ac:dyDescent="0.2">
      <c r="D80" s="109" t="s">
        <v>70</v>
      </c>
      <c r="E80" s="18">
        <v>0.2</v>
      </c>
      <c r="F80" s="18">
        <v>0.25</v>
      </c>
      <c r="G80" s="18">
        <v>0.25</v>
      </c>
      <c r="H80" s="18">
        <v>0.25</v>
      </c>
      <c r="I80" s="16" t="s">
        <v>306</v>
      </c>
      <c r="J80" s="16"/>
      <c r="K80" s="18">
        <v>0.25</v>
      </c>
      <c r="L80" s="18">
        <v>0.25</v>
      </c>
      <c r="M80" s="102">
        <f>1-SUM(K80:L80)</f>
        <v>0.5</v>
      </c>
      <c r="R80" s="21"/>
    </row>
    <row r="81" spans="4:18" ht="20.100000000000001" customHeight="1" x14ac:dyDescent="0.2">
      <c r="D81" s="109" t="s">
        <v>71</v>
      </c>
      <c r="E81" s="18">
        <v>0.2</v>
      </c>
      <c r="F81" s="18">
        <v>0.25</v>
      </c>
      <c r="G81" s="18">
        <v>0.25</v>
      </c>
      <c r="H81" s="18">
        <v>0.25</v>
      </c>
      <c r="I81" s="16" t="s">
        <v>306</v>
      </c>
      <c r="J81" s="16"/>
      <c r="K81" s="18">
        <v>0.25</v>
      </c>
      <c r="L81" s="18">
        <v>0.25</v>
      </c>
      <c r="M81" s="102">
        <f t="shared" ref="M81:M83" si="1">1-SUM(K81:L81)</f>
        <v>0.5</v>
      </c>
      <c r="R81" s="21"/>
    </row>
    <row r="82" spans="4:18" ht="20.100000000000001" customHeight="1" x14ac:dyDescent="0.2">
      <c r="D82" s="109" t="s">
        <v>77</v>
      </c>
      <c r="E82" s="18">
        <v>0.2</v>
      </c>
      <c r="F82" s="18">
        <v>0.25</v>
      </c>
      <c r="G82" s="18">
        <v>0.25</v>
      </c>
      <c r="H82" s="18">
        <v>0.25</v>
      </c>
      <c r="I82" s="16" t="s">
        <v>306</v>
      </c>
      <c r="J82" s="16"/>
      <c r="K82" s="18">
        <v>0.25</v>
      </c>
      <c r="L82" s="18">
        <v>0.25</v>
      </c>
      <c r="M82" s="102">
        <f t="shared" si="1"/>
        <v>0.5</v>
      </c>
    </row>
    <row r="83" spans="4:18" ht="20.100000000000001" customHeight="1" x14ac:dyDescent="0.2">
      <c r="D83" s="109" t="s">
        <v>76</v>
      </c>
      <c r="E83" s="18">
        <v>0.2</v>
      </c>
      <c r="F83" s="18">
        <v>0.25</v>
      </c>
      <c r="G83" s="18">
        <v>0.25</v>
      </c>
      <c r="H83" s="18">
        <v>0.25</v>
      </c>
      <c r="I83" s="16" t="s">
        <v>306</v>
      </c>
      <c r="J83" s="16"/>
      <c r="K83" s="18">
        <v>0.25</v>
      </c>
      <c r="L83" s="18">
        <v>0.25</v>
      </c>
      <c r="M83" s="102">
        <f t="shared" si="1"/>
        <v>0.5</v>
      </c>
    </row>
    <row r="84" spans="4:18" ht="20.100000000000001" customHeight="1" x14ac:dyDescent="0.2">
      <c r="D84" s="109" t="s">
        <v>81</v>
      </c>
      <c r="E84" s="102">
        <f>1-SUM(E80:E83)</f>
        <v>0.19999999999999996</v>
      </c>
      <c r="F84" s="102">
        <f t="shared" ref="F84:H84" si="2">1-SUM(F80:F83)</f>
        <v>0</v>
      </c>
      <c r="G84" s="102">
        <f t="shared" si="2"/>
        <v>0</v>
      </c>
      <c r="H84" s="102">
        <f t="shared" si="2"/>
        <v>0</v>
      </c>
      <c r="K84" s="102">
        <v>0</v>
      </c>
      <c r="L84" s="102">
        <v>0</v>
      </c>
      <c r="M84" s="102">
        <f>1-SUM(K84:L84)</f>
        <v>1</v>
      </c>
    </row>
    <row r="85" spans="4:18" ht="20.100000000000001" customHeight="1" x14ac:dyDescent="0.2">
      <c r="R85" s="21"/>
    </row>
    <row r="86" spans="4:18" ht="20.100000000000001" customHeight="1" x14ac:dyDescent="0.2">
      <c r="R86" s="21"/>
    </row>
    <row r="87" spans="4:18" ht="20.100000000000001" customHeight="1" x14ac:dyDescent="0.2">
      <c r="D87" s="107" t="str">
        <f>"From stage 1: " &amp; $D$47</f>
        <v>From stage 1: Digester / covered lagoons</v>
      </c>
      <c r="E87" s="86" t="str">
        <f>IF(SUM(E47:H47)&gt;0,"Manure was sent to this MMS, please complete this section.","NO manure was sent to this MMS. Leave this section blank.")</f>
        <v>Manure was sent to this MMS, please complete this section.</v>
      </c>
      <c r="K87" s="108" t="s">
        <v>315</v>
      </c>
      <c r="L87" s="108" t="s">
        <v>316</v>
      </c>
      <c r="M87" s="108" t="s">
        <v>317</v>
      </c>
      <c r="R87" s="21"/>
    </row>
    <row r="88" spans="4:18" ht="20.100000000000001" customHeight="1" x14ac:dyDescent="0.2">
      <c r="D88" s="109" t="s">
        <v>70</v>
      </c>
      <c r="E88" s="18">
        <v>0.2</v>
      </c>
      <c r="F88" s="18">
        <v>0.25</v>
      </c>
      <c r="G88" s="18">
        <v>0.25</v>
      </c>
      <c r="H88" s="18">
        <v>0.25</v>
      </c>
      <c r="I88" s="16" t="s">
        <v>306</v>
      </c>
      <c r="J88" s="16"/>
      <c r="K88" s="18">
        <v>0.25</v>
      </c>
      <c r="L88" s="18">
        <v>0.25</v>
      </c>
      <c r="M88" s="102">
        <f>1-SUM(K88:L88)</f>
        <v>0.5</v>
      </c>
      <c r="R88" s="21"/>
    </row>
    <row r="89" spans="4:18" ht="20.100000000000001" customHeight="1" x14ac:dyDescent="0.2">
      <c r="D89" s="109" t="s">
        <v>77</v>
      </c>
      <c r="E89" s="18">
        <v>0.2</v>
      </c>
      <c r="F89" s="18">
        <v>0.25</v>
      </c>
      <c r="G89" s="18">
        <v>0.25</v>
      </c>
      <c r="H89" s="18">
        <v>0.25</v>
      </c>
      <c r="I89" s="16" t="s">
        <v>306</v>
      </c>
      <c r="J89" s="16"/>
      <c r="K89" s="18">
        <v>0.25</v>
      </c>
      <c r="L89" s="18">
        <v>0.25</v>
      </c>
      <c r="M89" s="102">
        <f>1-SUM(K89:L89)</f>
        <v>0.5</v>
      </c>
    </row>
    <row r="90" spans="4:18" ht="20.100000000000001" customHeight="1" x14ac:dyDescent="0.2">
      <c r="D90" s="109" t="s">
        <v>76</v>
      </c>
      <c r="E90" s="18">
        <v>0.2</v>
      </c>
      <c r="F90" s="18">
        <v>0.25</v>
      </c>
      <c r="G90" s="18">
        <v>0.25</v>
      </c>
      <c r="H90" s="18">
        <v>0.25</v>
      </c>
      <c r="I90" s="16" t="s">
        <v>306</v>
      </c>
      <c r="J90" s="16"/>
      <c r="K90" s="18">
        <v>0.25</v>
      </c>
      <c r="L90" s="18">
        <v>0.25</v>
      </c>
      <c r="M90" s="102">
        <f>1-SUM(K90:L90)</f>
        <v>0.5</v>
      </c>
    </row>
    <row r="91" spans="4:18" ht="20.100000000000001" customHeight="1" x14ac:dyDescent="0.2">
      <c r="D91" s="109" t="s">
        <v>81</v>
      </c>
      <c r="E91" s="102">
        <f>1-SUM(E88:E90)</f>
        <v>0.39999999999999991</v>
      </c>
      <c r="F91" s="102">
        <f>1-SUM(F88:F90)</f>
        <v>0.25</v>
      </c>
      <c r="G91" s="102">
        <f>1-SUM(G88:G90)</f>
        <v>0.25</v>
      </c>
      <c r="H91" s="102">
        <f>1-SUM(H88:H90)</f>
        <v>0.25</v>
      </c>
      <c r="I91" s="16" t="s">
        <v>306</v>
      </c>
      <c r="J91" s="16"/>
      <c r="K91" s="102">
        <v>0</v>
      </c>
      <c r="L91" s="102">
        <v>0</v>
      </c>
      <c r="M91" s="102">
        <f>1-SUM(K91:L91)</f>
        <v>1</v>
      </c>
    </row>
    <row r="92" spans="4:18" ht="20.100000000000001" customHeight="1" x14ac:dyDescent="0.2">
      <c r="R92" s="21"/>
    </row>
    <row r="93" spans="4:18" ht="20.100000000000001" customHeight="1" x14ac:dyDescent="0.2">
      <c r="D93" s="101"/>
      <c r="R93" s="21"/>
    </row>
    <row r="94" spans="4:18" ht="20.100000000000001" customHeight="1" x14ac:dyDescent="0.2">
      <c r="D94" s="107" t="str">
        <f>"From stage 1: " &amp; $D$53</f>
        <v>From stage 1: Deep litter</v>
      </c>
      <c r="E94" s="86" t="str">
        <f>IF(SUM(E53:H53)&gt;0,"Manure was sent to this MMS, please complete this section.","NO manure was sent to this MMS. Leave this section blank.")</f>
        <v>Manure was sent to this MMS, please complete this section.</v>
      </c>
      <c r="K94" s="108" t="s">
        <v>315</v>
      </c>
      <c r="L94" s="108" t="s">
        <v>316</v>
      </c>
      <c r="M94" s="108" t="s">
        <v>317</v>
      </c>
      <c r="R94" s="21"/>
    </row>
    <row r="95" spans="4:18" ht="20.100000000000001" customHeight="1" x14ac:dyDescent="0.2">
      <c r="D95" s="109" t="s">
        <v>70</v>
      </c>
      <c r="E95" s="18">
        <v>0.2</v>
      </c>
      <c r="F95" s="18">
        <v>0.25</v>
      </c>
      <c r="G95" s="18">
        <v>0.25</v>
      </c>
      <c r="H95" s="18">
        <v>0.25</v>
      </c>
      <c r="I95" s="16" t="s">
        <v>306</v>
      </c>
      <c r="J95" s="16"/>
      <c r="K95" s="18">
        <v>0.25</v>
      </c>
      <c r="L95" s="18">
        <v>0.25</v>
      </c>
      <c r="M95" s="102">
        <f>1-SUM(K95:L95)</f>
        <v>0.5</v>
      </c>
      <c r="R95" s="21"/>
    </row>
    <row r="96" spans="4:18" ht="20.100000000000001" customHeight="1" x14ac:dyDescent="0.2">
      <c r="D96" s="109" t="s">
        <v>71</v>
      </c>
      <c r="E96" s="18">
        <v>0.2</v>
      </c>
      <c r="F96" s="18">
        <v>0.25</v>
      </c>
      <c r="G96" s="18">
        <v>0.25</v>
      </c>
      <c r="H96" s="18">
        <v>0.25</v>
      </c>
      <c r="I96" s="16" t="s">
        <v>306</v>
      </c>
      <c r="J96" s="16"/>
      <c r="K96" s="18">
        <v>0.25</v>
      </c>
      <c r="L96" s="18">
        <v>0.25</v>
      </c>
      <c r="M96" s="102">
        <f>1-SUM(K96:L96)</f>
        <v>0.5</v>
      </c>
    </row>
    <row r="97" spans="1:18" ht="20.100000000000001" customHeight="1" x14ac:dyDescent="0.2">
      <c r="A97" s="131" t="str">
        <f>HYPERLINK("#A1", "▲ Back to top")</f>
        <v>▲ Back to top</v>
      </c>
      <c r="D97" s="109" t="s">
        <v>76</v>
      </c>
      <c r="E97" s="18">
        <v>0.2</v>
      </c>
      <c r="F97" s="18">
        <v>0.25</v>
      </c>
      <c r="G97" s="18">
        <v>0.25</v>
      </c>
      <c r="H97" s="18">
        <v>0.25</v>
      </c>
      <c r="I97" s="16" t="s">
        <v>306</v>
      </c>
      <c r="J97" s="16"/>
      <c r="K97" s="18">
        <v>0.25</v>
      </c>
      <c r="L97" s="18">
        <v>0.25</v>
      </c>
      <c r="M97" s="102">
        <f>1-SUM(K97:L97)</f>
        <v>0.5</v>
      </c>
    </row>
    <row r="98" spans="1:18" ht="20.100000000000001" customHeight="1" x14ac:dyDescent="0.2">
      <c r="D98" s="109" t="s">
        <v>81</v>
      </c>
      <c r="E98" s="102">
        <f>1-SUM(E95:E97)</f>
        <v>0.39999999999999991</v>
      </c>
      <c r="F98" s="102">
        <f>1-SUM(F95:F97)</f>
        <v>0.25</v>
      </c>
      <c r="G98" s="102">
        <f>1-SUM(G95:G97)</f>
        <v>0.25</v>
      </c>
      <c r="H98" s="102">
        <f>1-SUM(H95:H97)</f>
        <v>0.25</v>
      </c>
      <c r="I98" s="16" t="s">
        <v>306</v>
      </c>
      <c r="J98" s="16"/>
      <c r="K98" s="102">
        <v>0</v>
      </c>
      <c r="L98" s="102">
        <v>0</v>
      </c>
      <c r="M98" s="102">
        <f>1-SUM(K98:L98)</f>
        <v>1</v>
      </c>
    </row>
    <row r="99" spans="1:18" ht="20.100000000000001" customHeight="1" x14ac:dyDescent="0.2">
      <c r="R99" s="21"/>
    </row>
    <row r="100" spans="1:18" ht="20.100000000000001" customHeight="1" x14ac:dyDescent="0.2">
      <c r="R100" s="21"/>
    </row>
    <row r="101" spans="1:18" ht="20.100000000000001" customHeight="1" x14ac:dyDescent="0.2">
      <c r="D101" s="107" t="str">
        <f>"From stage 1: " &amp; $D$59</f>
        <v>From stage 1: Pit storage</v>
      </c>
      <c r="E101" s="86" t="str">
        <f>IF(SUM(E59:H59)&gt;0,"Manure was sent to this MMS, please complete this section.","NO manure was sent to this MMS. Leave this section blank.")</f>
        <v>Manure was sent to this MMS, please complete this section.</v>
      </c>
      <c r="K101" s="108" t="s">
        <v>315</v>
      </c>
      <c r="L101" s="108" t="s">
        <v>316</v>
      </c>
      <c r="M101" s="108" t="s">
        <v>317</v>
      </c>
      <c r="R101" s="21"/>
    </row>
    <row r="102" spans="1:18" ht="20.100000000000001" customHeight="1" x14ac:dyDescent="0.2">
      <c r="D102" s="109" t="s">
        <v>70</v>
      </c>
      <c r="E102" s="18">
        <v>0.2</v>
      </c>
      <c r="F102" s="18">
        <v>0.25</v>
      </c>
      <c r="G102" s="18">
        <v>0.25</v>
      </c>
      <c r="H102" s="18">
        <v>0.25</v>
      </c>
      <c r="I102" s="16" t="s">
        <v>306</v>
      </c>
      <c r="J102" s="16"/>
      <c r="K102" s="18">
        <v>0.25</v>
      </c>
      <c r="L102" s="18">
        <v>0.25</v>
      </c>
      <c r="M102" s="102">
        <f>1-SUM(K102:L102)</f>
        <v>0.5</v>
      </c>
      <c r="R102" s="21"/>
    </row>
    <row r="103" spans="1:18" ht="20.100000000000001" customHeight="1" x14ac:dyDescent="0.2">
      <c r="D103" s="109" t="s">
        <v>71</v>
      </c>
      <c r="E103" s="18">
        <v>0.2</v>
      </c>
      <c r="F103" s="18">
        <v>0.25</v>
      </c>
      <c r="G103" s="18">
        <v>0.25</v>
      </c>
      <c r="H103" s="18">
        <v>0.25</v>
      </c>
      <c r="I103" s="16" t="s">
        <v>306</v>
      </c>
      <c r="J103" s="16"/>
      <c r="K103" s="18">
        <v>0.25</v>
      </c>
      <c r="L103" s="18">
        <v>0.25</v>
      </c>
      <c r="M103" s="102">
        <f>1-SUM(K103:L103)</f>
        <v>0.5</v>
      </c>
    </row>
    <row r="104" spans="1:18" ht="20.100000000000001" customHeight="1" x14ac:dyDescent="0.2">
      <c r="D104" s="109" t="s">
        <v>77</v>
      </c>
      <c r="E104" s="18">
        <v>0.2</v>
      </c>
      <c r="F104" s="18">
        <v>0.25</v>
      </c>
      <c r="G104" s="18">
        <v>0.25</v>
      </c>
      <c r="H104" s="18">
        <v>0.25</v>
      </c>
      <c r="I104" s="16" t="s">
        <v>306</v>
      </c>
      <c r="J104" s="16"/>
      <c r="K104" s="18">
        <v>0.25</v>
      </c>
      <c r="L104" s="18">
        <v>0.25</v>
      </c>
      <c r="M104" s="102">
        <f>1-SUM(K104:L104)</f>
        <v>0.5</v>
      </c>
      <c r="N104" s="24"/>
    </row>
    <row r="105" spans="1:18" ht="20.100000000000001" customHeight="1" x14ac:dyDescent="0.2">
      <c r="D105" s="109" t="s">
        <v>81</v>
      </c>
      <c r="E105" s="102">
        <f>1-SUM(E102:E104)</f>
        <v>0.39999999999999991</v>
      </c>
      <c r="F105" s="102">
        <f>1-SUM(F102:F104)</f>
        <v>0.25</v>
      </c>
      <c r="G105" s="102">
        <f>1-SUM(G102:G104)</f>
        <v>0.25</v>
      </c>
      <c r="H105" s="102">
        <f>1-SUM(H102:H104)</f>
        <v>0.25</v>
      </c>
      <c r="I105" s="16" t="s">
        <v>306</v>
      </c>
      <c r="J105" s="16"/>
      <c r="K105" s="102">
        <v>0</v>
      </c>
      <c r="L105" s="102">
        <v>0</v>
      </c>
      <c r="M105" s="102">
        <f>1-SUM(K105:L105)</f>
        <v>1</v>
      </c>
      <c r="N105" s="24"/>
    </row>
    <row r="106" spans="1:18" ht="20.100000000000001" customHeight="1" x14ac:dyDescent="0.2">
      <c r="N106" s="24"/>
    </row>
    <row r="107" spans="1:18" ht="20.100000000000001" customHeight="1" x14ac:dyDescent="0.2">
      <c r="N107" s="24"/>
    </row>
    <row r="108" spans="1:18" ht="20.100000000000001" customHeight="1" x14ac:dyDescent="0.2">
      <c r="D108" s="107" t="str">
        <f>"From stage 1: " &amp; SUBSTITUTE($D$64, " (before solid separation)", "")</f>
        <v>From stage 1: Solid storage</v>
      </c>
      <c r="E108" s="86" t="str">
        <f>IF(OR(SUM(E64:H64)&gt;0,COUNTIF(E36:E68,"Yes")&gt;0),"Manure was sent to this MMS, please complete this section.","NO manure was sent to this MMS. Leave this section blank.")</f>
        <v>Manure was sent to this MMS, please complete this section.</v>
      </c>
      <c r="K108" s="108" t="s">
        <v>315</v>
      </c>
      <c r="L108" s="108" t="s">
        <v>316</v>
      </c>
      <c r="M108" s="108" t="s">
        <v>317</v>
      </c>
      <c r="N108" s="24"/>
    </row>
    <row r="109" spans="1:18" ht="20.100000000000001" customHeight="1" x14ac:dyDescent="0.2">
      <c r="D109" s="109" t="s">
        <v>70</v>
      </c>
      <c r="E109" s="18">
        <v>0.2</v>
      </c>
      <c r="F109" s="18">
        <v>0.2</v>
      </c>
      <c r="G109" s="18">
        <v>0.2</v>
      </c>
      <c r="H109" s="18">
        <v>0.2</v>
      </c>
      <c r="I109" s="16" t="s">
        <v>306</v>
      </c>
      <c r="J109" s="16"/>
      <c r="K109" s="18">
        <v>0.25</v>
      </c>
      <c r="L109" s="18">
        <v>0.25</v>
      </c>
      <c r="M109" s="102">
        <f>1-SUM(K109:L109)</f>
        <v>0.5</v>
      </c>
      <c r="N109" s="24"/>
    </row>
    <row r="110" spans="1:18" ht="20.100000000000001" customHeight="1" x14ac:dyDescent="0.2">
      <c r="D110" s="109" t="s">
        <v>71</v>
      </c>
      <c r="E110" s="18">
        <v>0.2</v>
      </c>
      <c r="F110" s="18">
        <v>0.2</v>
      </c>
      <c r="G110" s="18">
        <v>0.2</v>
      </c>
      <c r="H110" s="18">
        <v>0.2</v>
      </c>
      <c r="I110" s="16" t="s">
        <v>306</v>
      </c>
      <c r="J110" s="16"/>
      <c r="K110" s="18">
        <v>0.25</v>
      </c>
      <c r="L110" s="18">
        <v>0.25</v>
      </c>
      <c r="M110" s="102">
        <f>1-SUM(K110:L110)</f>
        <v>0.5</v>
      </c>
      <c r="N110" s="24"/>
    </row>
    <row r="111" spans="1:18" ht="20.100000000000001" customHeight="1" x14ac:dyDescent="0.2">
      <c r="D111" s="109" t="s">
        <v>77</v>
      </c>
      <c r="E111" s="18">
        <v>0.2</v>
      </c>
      <c r="F111" s="18">
        <v>0.2</v>
      </c>
      <c r="G111" s="18">
        <v>0.2</v>
      </c>
      <c r="H111" s="18">
        <v>0.2</v>
      </c>
      <c r="I111" s="16" t="s">
        <v>306</v>
      </c>
      <c r="J111" s="16"/>
      <c r="K111" s="18">
        <v>0.25</v>
      </c>
      <c r="L111" s="18">
        <v>0.25</v>
      </c>
      <c r="M111" s="102">
        <f>1-SUM(K111:L111)</f>
        <v>0.5</v>
      </c>
      <c r="N111" s="24"/>
    </row>
    <row r="112" spans="1:18" ht="20.100000000000001" customHeight="1" x14ac:dyDescent="0.2">
      <c r="D112" s="109" t="s">
        <v>76</v>
      </c>
      <c r="E112" s="18">
        <v>0.1</v>
      </c>
      <c r="F112" s="18">
        <v>0.1</v>
      </c>
      <c r="G112" s="18">
        <v>0.1</v>
      </c>
      <c r="H112" s="18">
        <v>0.1</v>
      </c>
      <c r="I112" s="16" t="s">
        <v>306</v>
      </c>
      <c r="J112" s="16"/>
      <c r="K112" s="18">
        <v>0.25</v>
      </c>
      <c r="L112" s="18">
        <v>0.25</v>
      </c>
      <c r="M112" s="102">
        <f>1-SUM(K112:L112)</f>
        <v>0.5</v>
      </c>
      <c r="N112" s="24"/>
    </row>
    <row r="113" spans="4:14" ht="20.100000000000001" customHeight="1" x14ac:dyDescent="0.2">
      <c r="D113" s="109" t="s">
        <v>81</v>
      </c>
      <c r="E113" s="102">
        <f>1-SUM(E109:E112)</f>
        <v>0.29999999999999993</v>
      </c>
      <c r="F113" s="102">
        <f>1-SUM(F109:F112)</f>
        <v>0.29999999999999993</v>
      </c>
      <c r="G113" s="102">
        <f>1-SUM(G109:G112)</f>
        <v>0.29999999999999993</v>
      </c>
      <c r="H113" s="102">
        <f>1-SUM(H109:H112)</f>
        <v>0.29999999999999993</v>
      </c>
      <c r="I113" s="16" t="s">
        <v>306</v>
      </c>
      <c r="J113" s="16"/>
      <c r="K113" s="102">
        <v>0</v>
      </c>
      <c r="L113" s="102">
        <v>0</v>
      </c>
      <c r="M113" s="102">
        <f>1-SUM(K113:L113)</f>
        <v>1</v>
      </c>
      <c r="N113" s="24"/>
    </row>
    <row r="114" spans="4:14" ht="20.100000000000001" customHeight="1" x14ac:dyDescent="0.2">
      <c r="N114" s="24"/>
    </row>
    <row r="115" spans="4:14" ht="20.100000000000001" customHeight="1" x14ac:dyDescent="0.2">
      <c r="N115" s="24"/>
    </row>
    <row r="116" spans="4:14" ht="20.100000000000001" customHeight="1" x14ac:dyDescent="0.2">
      <c r="D116" s="1" t="s">
        <v>318</v>
      </c>
      <c r="E116" s="13" t="s">
        <v>319</v>
      </c>
      <c r="F116" s="16" t="s">
        <v>100</v>
      </c>
      <c r="N116" s="24"/>
    </row>
    <row r="117" spans="4:14" ht="20.100000000000001" customHeight="1" x14ac:dyDescent="0.2">
      <c r="D117" s="1" t="s">
        <v>63</v>
      </c>
      <c r="E117" s="13" t="s">
        <v>320</v>
      </c>
      <c r="F117" s="16" t="s">
        <v>100</v>
      </c>
      <c r="N117" s="24"/>
    </row>
    <row r="118" spans="4:14" ht="20.100000000000001" customHeight="1" x14ac:dyDescent="0.2">
      <c r="N118" s="24"/>
    </row>
    <row r="123" spans="4:14" ht="20.100000000000001" customHeight="1" x14ac:dyDescent="0.2">
      <c r="N123" s="24"/>
    </row>
    <row r="124" spans="4:14" ht="20.100000000000001" customHeight="1" x14ac:dyDescent="0.2">
      <c r="N124" s="24"/>
    </row>
    <row r="125" spans="4:14" ht="20.100000000000001" customHeight="1" x14ac:dyDescent="0.2">
      <c r="N125" s="24"/>
    </row>
    <row r="126" spans="4:14" ht="20.100000000000001" customHeight="1" x14ac:dyDescent="0.2">
      <c r="N126" s="24"/>
    </row>
    <row r="127" spans="4:14" ht="20.100000000000001" customHeight="1" x14ac:dyDescent="0.2">
      <c r="N127" s="24"/>
    </row>
    <row r="128" spans="4:14" ht="20.100000000000001" customHeight="1" x14ac:dyDescent="0.2">
      <c r="N128" s="24"/>
    </row>
    <row r="129" spans="14:14" ht="20.100000000000001" customHeight="1" x14ac:dyDescent="0.2">
      <c r="N129" s="24"/>
    </row>
    <row r="206" spans="13:13" ht="20.100000000000001" customHeight="1" x14ac:dyDescent="0.2">
      <c r="M206" s="16"/>
    </row>
    <row r="207" spans="13:13" ht="20.100000000000001" customHeight="1" x14ac:dyDescent="0.2">
      <c r="M207" s="16"/>
    </row>
    <row r="208" spans="13:13" ht="20.100000000000001" customHeight="1" x14ac:dyDescent="0.2">
      <c r="M208" s="16"/>
    </row>
    <row r="209" spans="13:13" ht="20.100000000000001" customHeight="1" x14ac:dyDescent="0.2">
      <c r="M209" s="16"/>
    </row>
    <row r="210" spans="13:13" ht="20.100000000000001" customHeight="1" x14ac:dyDescent="0.2">
      <c r="M210" s="16"/>
    </row>
    <row r="212" spans="13:13" ht="20.100000000000001" customHeight="1" x14ac:dyDescent="0.2">
      <c r="M212" s="16"/>
    </row>
    <row r="214" spans="13:13" ht="20.100000000000001" customHeight="1" x14ac:dyDescent="0.2">
      <c r="M214" s="16"/>
    </row>
    <row r="215" spans="13:13" ht="20.100000000000001" customHeight="1" x14ac:dyDescent="0.2">
      <c r="M215" s="16"/>
    </row>
    <row r="216" spans="13:13" ht="20.100000000000001" customHeight="1" x14ac:dyDescent="0.2">
      <c r="M216" s="16"/>
    </row>
    <row r="217" spans="13:13" ht="20.100000000000001" customHeight="1" x14ac:dyDescent="0.2">
      <c r="M217" s="16"/>
    </row>
    <row r="219" spans="13:13" ht="20.100000000000001" customHeight="1" x14ac:dyDescent="0.2">
      <c r="M219" s="16"/>
    </row>
    <row r="227" spans="13:13" ht="20.100000000000001" customHeight="1" x14ac:dyDescent="0.2">
      <c r="M227" s="16"/>
    </row>
    <row r="228" spans="13:13" ht="20.100000000000001" customHeight="1" x14ac:dyDescent="0.2">
      <c r="M228" s="16"/>
    </row>
    <row r="229" spans="13:13" ht="20.100000000000001" customHeight="1" x14ac:dyDescent="0.2">
      <c r="M229" s="16"/>
    </row>
    <row r="232" spans="13:13" ht="20.100000000000001" customHeight="1" x14ac:dyDescent="0.2">
      <c r="M232" s="16"/>
    </row>
    <row r="233" spans="13:13" ht="20.100000000000001" customHeight="1" x14ac:dyDescent="0.2">
      <c r="M233" s="16"/>
    </row>
    <row r="234" spans="13:13" ht="20.100000000000001" customHeight="1" x14ac:dyDescent="0.2">
      <c r="M234" s="16"/>
    </row>
    <row r="237" spans="13:13" ht="20.100000000000001" customHeight="1" x14ac:dyDescent="0.2">
      <c r="M237" s="16"/>
    </row>
    <row r="238" spans="13:13" ht="20.100000000000001" customHeight="1" x14ac:dyDescent="0.2">
      <c r="M238" s="16"/>
    </row>
    <row r="239" spans="13:13" ht="20.100000000000001" customHeight="1" x14ac:dyDescent="0.2">
      <c r="M239" s="16"/>
    </row>
    <row r="242" spans="12:13" ht="20.100000000000001" customHeight="1" x14ac:dyDescent="0.2">
      <c r="M242" s="16"/>
    </row>
    <row r="243" spans="12:13" ht="20.100000000000001" customHeight="1" x14ac:dyDescent="0.2">
      <c r="L243" s="16"/>
      <c r="M243" s="16"/>
    </row>
    <row r="244" spans="12:13" ht="20.100000000000001" customHeight="1" x14ac:dyDescent="0.2">
      <c r="M244" s="16"/>
    </row>
    <row r="248" spans="12:13" ht="20.100000000000001" customHeight="1" x14ac:dyDescent="0.2">
      <c r="L248" s="16"/>
    </row>
    <row r="251" spans="12:13" ht="20.100000000000001" customHeight="1" x14ac:dyDescent="0.2">
      <c r="M251" s="16"/>
    </row>
    <row r="252" spans="12:13" ht="20.100000000000001" customHeight="1" x14ac:dyDescent="0.2">
      <c r="M252" s="16"/>
    </row>
    <row r="253" spans="12:13" ht="20.100000000000001" customHeight="1" x14ac:dyDescent="0.2">
      <c r="L253" s="16"/>
      <c r="M253" s="16"/>
    </row>
    <row r="256" spans="12:13" ht="20.100000000000001" customHeight="1" x14ac:dyDescent="0.2">
      <c r="M256" s="16"/>
    </row>
    <row r="257" spans="12:13" ht="20.100000000000001" customHeight="1" x14ac:dyDescent="0.2">
      <c r="M257" s="16"/>
    </row>
    <row r="258" spans="12:13" ht="20.100000000000001" customHeight="1" x14ac:dyDescent="0.2">
      <c r="L258" s="16"/>
      <c r="M258" s="16"/>
    </row>
    <row r="259" spans="12:13" ht="20.100000000000001" customHeight="1" x14ac:dyDescent="0.2">
      <c r="L259" s="16"/>
    </row>
    <row r="260" spans="12:13" ht="20.100000000000001" customHeight="1" x14ac:dyDescent="0.2">
      <c r="L260" s="16"/>
    </row>
    <row r="261" spans="12:13" ht="20.100000000000001" customHeight="1" x14ac:dyDescent="0.2">
      <c r="L261" s="16"/>
      <c r="M261" s="16"/>
    </row>
    <row r="262" spans="12:13" ht="20.100000000000001" customHeight="1" x14ac:dyDescent="0.2">
      <c r="L262" s="16"/>
      <c r="M262" s="16"/>
    </row>
    <row r="263" spans="12:13" ht="20.100000000000001" customHeight="1" x14ac:dyDescent="0.2">
      <c r="M263" s="16"/>
    </row>
    <row r="264" spans="12:13" ht="20.100000000000001" customHeight="1" x14ac:dyDescent="0.2">
      <c r="L264" s="16"/>
    </row>
    <row r="266" spans="12:13" ht="20.100000000000001" customHeight="1" x14ac:dyDescent="0.2">
      <c r="L266" s="16"/>
      <c r="M266" s="16"/>
    </row>
    <row r="267" spans="12:13" ht="20.100000000000001" customHeight="1" x14ac:dyDescent="0.2">
      <c r="L267" s="16"/>
      <c r="M267" s="16"/>
    </row>
    <row r="268" spans="12:13" ht="20.100000000000001" customHeight="1" x14ac:dyDescent="0.2">
      <c r="L268" s="16"/>
      <c r="M268" s="16"/>
    </row>
    <row r="269" spans="12:13" ht="20.100000000000001" customHeight="1" x14ac:dyDescent="0.2">
      <c r="L269" s="16"/>
    </row>
    <row r="271" spans="12:13" ht="20.100000000000001" customHeight="1" x14ac:dyDescent="0.2">
      <c r="L271" s="16"/>
    </row>
    <row r="277" spans="12:12" ht="20.100000000000001" customHeight="1" x14ac:dyDescent="0.2">
      <c r="L277" s="16"/>
    </row>
    <row r="282" spans="12:12" ht="20.100000000000001" customHeight="1" x14ac:dyDescent="0.2">
      <c r="L282" s="16"/>
    </row>
    <row r="287" spans="12:12" ht="20.100000000000001" customHeight="1" x14ac:dyDescent="0.2">
      <c r="L287" s="16"/>
    </row>
    <row r="292" spans="12:12" ht="20.100000000000001" customHeight="1" x14ac:dyDescent="0.2">
      <c r="L292" s="16"/>
    </row>
    <row r="293" spans="12:12" ht="20.100000000000001" customHeight="1" x14ac:dyDescent="0.2">
      <c r="L293" s="16"/>
    </row>
    <row r="294" spans="12:12" ht="20.100000000000001" customHeight="1" x14ac:dyDescent="0.2">
      <c r="L294" s="16"/>
    </row>
    <row r="295" spans="12:12" ht="20.100000000000001" customHeight="1" x14ac:dyDescent="0.2">
      <c r="L295" s="16"/>
    </row>
    <row r="296" spans="12:12" ht="20.100000000000001" customHeight="1" x14ac:dyDescent="0.2">
      <c r="L296" s="16"/>
    </row>
    <row r="298" spans="12:12" ht="20.100000000000001" customHeight="1" x14ac:dyDescent="0.2">
      <c r="L298" s="16"/>
    </row>
    <row r="300" spans="12:12" ht="20.100000000000001" customHeight="1" x14ac:dyDescent="0.2">
      <c r="L300" s="16"/>
    </row>
    <row r="301" spans="12:12" ht="20.100000000000001" customHeight="1" x14ac:dyDescent="0.2">
      <c r="L301" s="16"/>
    </row>
    <row r="302" spans="12:12" ht="20.100000000000001" customHeight="1" x14ac:dyDescent="0.2">
      <c r="L302" s="16"/>
    </row>
    <row r="303" spans="12:12" ht="20.100000000000001" customHeight="1" x14ac:dyDescent="0.2">
      <c r="L303" s="16"/>
    </row>
    <row r="305" spans="12:12" ht="20.100000000000001" customHeight="1" x14ac:dyDescent="0.2">
      <c r="L305" s="16"/>
    </row>
    <row r="313" spans="12:12" ht="20.100000000000001" customHeight="1" x14ac:dyDescent="0.2">
      <c r="L313" s="16"/>
    </row>
    <row r="314" spans="12:12" ht="20.100000000000001" customHeight="1" x14ac:dyDescent="0.2">
      <c r="L314" s="16"/>
    </row>
    <row r="315" spans="12:12" ht="20.100000000000001" customHeight="1" x14ac:dyDescent="0.2">
      <c r="L315" s="16"/>
    </row>
    <row r="318" spans="12:12" ht="20.100000000000001" customHeight="1" x14ac:dyDescent="0.2">
      <c r="L318" s="16"/>
    </row>
    <row r="319" spans="12:12" ht="20.100000000000001" customHeight="1" x14ac:dyDescent="0.2">
      <c r="L319" s="16"/>
    </row>
    <row r="320" spans="12:12" ht="20.100000000000001" customHeight="1" x14ac:dyDescent="0.2">
      <c r="L320" s="16"/>
    </row>
    <row r="323" spans="12:12" ht="20.100000000000001" customHeight="1" x14ac:dyDescent="0.2">
      <c r="L323" s="16"/>
    </row>
    <row r="324" spans="12:12" ht="20.100000000000001" customHeight="1" x14ac:dyDescent="0.2">
      <c r="L324" s="16"/>
    </row>
    <row r="325" spans="12:12" ht="20.100000000000001" customHeight="1" x14ac:dyDescent="0.2">
      <c r="L325" s="16"/>
    </row>
    <row r="328" spans="12:12" ht="20.100000000000001" customHeight="1" x14ac:dyDescent="0.2">
      <c r="L328" s="16"/>
    </row>
    <row r="329" spans="12:12" ht="20.100000000000001" customHeight="1" x14ac:dyDescent="0.2">
      <c r="L329" s="16"/>
    </row>
    <row r="330" spans="12:12" ht="20.100000000000001" customHeight="1" x14ac:dyDescent="0.2">
      <c r="L330" s="16"/>
    </row>
    <row r="337" spans="12:12" ht="20.100000000000001" customHeight="1" x14ac:dyDescent="0.2">
      <c r="L337" s="16"/>
    </row>
    <row r="338" spans="12:12" ht="20.100000000000001" customHeight="1" x14ac:dyDescent="0.2">
      <c r="L338" s="16"/>
    </row>
    <row r="339" spans="12:12" ht="20.100000000000001" customHeight="1" x14ac:dyDescent="0.2">
      <c r="L339" s="16"/>
    </row>
    <row r="342" spans="12:12" ht="20.100000000000001" customHeight="1" x14ac:dyDescent="0.2">
      <c r="L342" s="16"/>
    </row>
    <row r="343" spans="12:12" ht="20.100000000000001" customHeight="1" x14ac:dyDescent="0.2">
      <c r="L343" s="16"/>
    </row>
    <row r="344" spans="12:12" ht="20.100000000000001" customHeight="1" x14ac:dyDescent="0.2">
      <c r="L344" s="16"/>
    </row>
    <row r="347" spans="12:12" ht="20.100000000000001" customHeight="1" x14ac:dyDescent="0.2">
      <c r="L347" s="16"/>
    </row>
    <row r="348" spans="12:12" ht="20.100000000000001" customHeight="1" x14ac:dyDescent="0.2">
      <c r="L348" s="16"/>
    </row>
    <row r="349" spans="12:12" ht="20.100000000000001" customHeight="1" x14ac:dyDescent="0.2">
      <c r="L349" s="16"/>
    </row>
    <row r="352" spans="12:12" ht="20.100000000000001" customHeight="1" x14ac:dyDescent="0.2">
      <c r="L352" s="16"/>
    </row>
    <row r="353" spans="4:12" ht="20.100000000000001" customHeight="1" x14ac:dyDescent="0.2">
      <c r="L353" s="16"/>
    </row>
    <row r="354" spans="4:12" ht="20.100000000000001" customHeight="1" x14ac:dyDescent="0.2">
      <c r="L354" s="16"/>
    </row>
    <row r="356" spans="4:12" ht="20.100000000000001" customHeight="1" x14ac:dyDescent="0.2">
      <c r="D356" s="86"/>
    </row>
  </sheetData>
  <conditionalFormatting sqref="F78">
    <cfRule type="cellIs" dxfId="103" priority="17" operator="lessThan">
      <formula>0</formula>
    </cfRule>
  </conditionalFormatting>
  <conditionalFormatting sqref="F133:F134">
    <cfRule type="cellIs" dxfId="102" priority="15" operator="lessThan">
      <formula>0</formula>
    </cfRule>
  </conditionalFormatting>
  <conditionalFormatting sqref="F145:F146">
    <cfRule type="cellIs" dxfId="101" priority="14" operator="lessThan">
      <formula>0</formula>
    </cfRule>
  </conditionalFormatting>
  <conditionalFormatting sqref="F157:F158">
    <cfRule type="cellIs" dxfId="100" priority="13" operator="lessThan">
      <formula>0</formula>
    </cfRule>
  </conditionalFormatting>
  <conditionalFormatting sqref="F245:F246">
    <cfRule type="cellIs" dxfId="99" priority="25" operator="lessThan">
      <formula>0</formula>
    </cfRule>
  </conditionalFormatting>
  <conditionalFormatting sqref="F250:F251">
    <cfRule type="cellIs" dxfId="98" priority="24" operator="lessThan">
      <formula>0</formula>
    </cfRule>
  </conditionalFormatting>
  <conditionalFormatting sqref="F255:F256">
    <cfRule type="cellIs" dxfId="97" priority="23" operator="lessThan">
      <formula>0</formula>
    </cfRule>
  </conditionalFormatting>
  <conditionalFormatting sqref="F279:F280">
    <cfRule type="cellIs" dxfId="96" priority="22" operator="lessThan">
      <formula>0</formula>
    </cfRule>
  </conditionalFormatting>
  <conditionalFormatting sqref="F284:F285">
    <cfRule type="cellIs" dxfId="95" priority="21" operator="lessThan">
      <formula>0</formula>
    </cfRule>
  </conditionalFormatting>
  <conditionalFormatting sqref="F289:F290">
    <cfRule type="cellIs" dxfId="94" priority="20" operator="lessThan">
      <formula>0</formula>
    </cfRule>
  </conditionalFormatting>
  <conditionalFormatting sqref="I36:J36 I41:J41 E43 I47:J47 E49 I53:J53 I59:J59 I64:J64 E205:G205">
    <cfRule type="cellIs" dxfId="93" priority="19" operator="lessThan">
      <formula>0</formula>
    </cfRule>
  </conditionalFormatting>
  <conditionalFormatting sqref="I80:J84">
    <cfRule type="cellIs" dxfId="92" priority="5" operator="lessThan">
      <formula>0</formula>
    </cfRule>
  </conditionalFormatting>
  <conditionalFormatting sqref="I88:J91">
    <cfRule type="cellIs" dxfId="91" priority="4" operator="lessThan">
      <formula>0</formula>
    </cfRule>
  </conditionalFormatting>
  <conditionalFormatting sqref="I95:J98">
    <cfRule type="cellIs" dxfId="90" priority="3" operator="lessThan">
      <formula>0</formula>
    </cfRule>
  </conditionalFormatting>
  <conditionalFormatting sqref="I102:J105">
    <cfRule type="cellIs" dxfId="89" priority="2" operator="lessThan">
      <formula>0</formula>
    </cfRule>
  </conditionalFormatting>
  <conditionalFormatting sqref="I109:J113">
    <cfRule type="cellIs" dxfId="88" priority="1" operator="lessThan">
      <formula>0</formula>
    </cfRule>
  </conditionalFormatting>
  <conditionalFormatting sqref="K147">
    <cfRule type="cellIs" dxfId="87" priority="16" operator="lessThan">
      <formula>0</formula>
    </cfRule>
  </conditionalFormatting>
  <conditionalFormatting sqref="M125:M128">
    <cfRule type="cellIs" dxfId="86" priority="8" operator="lessThan">
      <formula>0</formula>
    </cfRule>
  </conditionalFormatting>
  <conditionalFormatting sqref="M131">
    <cfRule type="cellIs" dxfId="85" priority="12" operator="lessThan">
      <formula>0</formula>
    </cfRule>
  </conditionalFormatting>
  <conditionalFormatting sqref="M137:M140">
    <cfRule type="cellIs" dxfId="84" priority="7" operator="lessThan">
      <formula>0</formula>
    </cfRule>
  </conditionalFormatting>
  <conditionalFormatting sqref="M143">
    <cfRule type="cellIs" dxfId="83" priority="11" operator="lessThan">
      <formula>0</formula>
    </cfRule>
  </conditionalFormatting>
  <conditionalFormatting sqref="M149:M152">
    <cfRule type="cellIs" dxfId="82" priority="6" operator="lessThan">
      <formula>0</formula>
    </cfRule>
  </conditionalFormatting>
  <conditionalFormatting sqref="M155">
    <cfRule type="cellIs" dxfId="81" priority="10" operator="lessThan">
      <formula>0</formula>
    </cfRule>
  </conditionalFormatting>
  <conditionalFormatting sqref="M159:M160">
    <cfRule type="cellIs" dxfId="80" priority="9"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79" priority="26" operator="lessThan">
      <formula>0</formula>
    </cfRule>
  </conditionalFormatting>
  <conditionalFormatting sqref="O43:P43 I73:J76 N97 L180:M180 L184:M185 L188:M189 L194:M195 L198:M198 I199:M199 I205:M205">
    <cfRule type="cellIs" dxfId="78" priority="18" operator="lessThan">
      <formula>0</formula>
    </cfRule>
  </conditionalFormatting>
  <dataValidations count="6">
    <dataValidation type="list" allowBlank="1" showInputMessage="1" showErrorMessage="1" sqref="E116" xr:uid="{7DC0B90D-F01C-44DD-A266-852A751C7BFB}">
      <formula1>INDIRECT("Table_SourceData_Swine_CropProdSystems[Production system]")</formula1>
    </dataValidation>
    <dataValidation type="list" allowBlank="1" showInputMessage="1" showErrorMessage="1" sqref="E117" xr:uid="{687ABC30-2509-4345-836F-D04009A0B785}">
      <formula1>INDIRECT("Table_SourceData_Swine_IrrigationMethods[Irrigation method]")</formula1>
    </dataValidation>
    <dataValidation type="list" allowBlank="1" showInputMessage="1" showErrorMessage="1" sqref="E32" xr:uid="{2FD2A273-50A2-4737-A0B3-20DE87ABD04F}">
      <formula1>INDIRECT("Table_SourceData_Swine_ProductionSystems[Production system]")</formula1>
    </dataValidation>
    <dataValidation type="list" allowBlank="1" showInputMessage="1" showErrorMessage="1" sqref="E244 E249 E254 E288 E283 E278 E132 E156 E144 E37 E42 E48 E54 E60" xr:uid="{A0472F24-3C38-4D9B-8CE4-D5953B7DE687}">
      <formula1>"Yes, No"</formula1>
    </dataValidation>
    <dataValidation type="list" allowBlank="1" showInputMessage="1" showErrorMessage="1" sqref="E220" xr:uid="{943539C2-788B-4D8F-9184-7DCDF8F611F6}">
      <formula1>INDIRECT("Table_SourceData_Dairy_ProductionSystemTemplates[Area]")</formula1>
    </dataValidation>
    <dataValidation type="list" allowBlank="1" showInputMessage="1" showErrorMessage="1" sqref="D272" xr:uid="{9068B16A-BA01-40C4-9150-EF38A2F4F89A}">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6" t="s">
        <v>258</v>
      </c>
    </row>
    <row r="6" spans="1:13" ht="20.100000000000001" customHeight="1" x14ac:dyDescent="0.2">
      <c r="D6" s="19" t="s">
        <v>259</v>
      </c>
      <c r="E6" s="19" t="s">
        <v>260</v>
      </c>
      <c r="F6" s="19" t="s">
        <v>261</v>
      </c>
      <c r="G6" s="19" t="s">
        <v>262</v>
      </c>
      <c r="H6" s="19" t="s">
        <v>263</v>
      </c>
      <c r="I6" s="19" t="s">
        <v>264</v>
      </c>
    </row>
    <row r="7" spans="1:13" ht="20.100000000000001" customHeight="1" x14ac:dyDescent="0.2">
      <c r="D7" s="33"/>
      <c r="E7" s="13" t="s">
        <v>265</v>
      </c>
      <c r="F7" s="96">
        <v>45566</v>
      </c>
      <c r="G7" s="19">
        <v>10</v>
      </c>
      <c r="H7" s="19">
        <v>500</v>
      </c>
      <c r="I7" s="15">
        <f t="shared" ref="I7:I16" si="0">G7*H7</f>
        <v>5000</v>
      </c>
    </row>
    <row r="8" spans="1:13" ht="20.100000000000001" customHeight="1" x14ac:dyDescent="0.2">
      <c r="A8" s="7" t="s">
        <v>0</v>
      </c>
      <c r="D8" s="33"/>
      <c r="E8" s="13"/>
      <c r="F8" s="96"/>
      <c r="G8" s="19"/>
      <c r="H8" s="19"/>
      <c r="I8" s="15">
        <f t="shared" si="0"/>
        <v>0</v>
      </c>
    </row>
    <row r="9" spans="1:13" ht="20.100000000000001" customHeight="1" x14ac:dyDescent="0.2">
      <c r="A9" s="5" t="str">
        <f>HYPERLINK("#'Input - Enterprise'!A1", "Enterprise")</f>
        <v>Enterprise</v>
      </c>
      <c r="D9" s="33"/>
      <c r="E9" s="13"/>
      <c r="F9" s="96"/>
      <c r="G9" s="19"/>
      <c r="H9" s="19"/>
      <c r="I9" s="15">
        <f t="shared" si="0"/>
        <v>0</v>
      </c>
    </row>
    <row r="10" spans="1:13" ht="20.100000000000001" customHeight="1" x14ac:dyDescent="0.2">
      <c r="A10" s="5" t="str">
        <f>HYPERLINK("#'Input - Site'!A1", "Site")</f>
        <v>Site</v>
      </c>
      <c r="D10" s="33"/>
      <c r="E10" s="13"/>
      <c r="F10" s="96"/>
      <c r="G10" s="19"/>
      <c r="H10" s="19"/>
      <c r="I10" s="15">
        <f t="shared" si="0"/>
        <v>0</v>
      </c>
    </row>
    <row r="11" spans="1:13" ht="20.100000000000001" customHeight="1" x14ac:dyDescent="0.2">
      <c r="A11" s="5" t="str">
        <f>HYPERLINK("#'Input - Swine'!A1", "Swine")</f>
        <v>Swine</v>
      </c>
      <c r="D11" s="33"/>
      <c r="E11" s="13"/>
      <c r="F11" s="96"/>
      <c r="G11" s="19"/>
      <c r="H11" s="19"/>
      <c r="I11" s="15">
        <f t="shared" si="0"/>
        <v>0</v>
      </c>
    </row>
    <row r="12" spans="1:13" ht="20.100000000000001" customHeight="1" x14ac:dyDescent="0.2">
      <c r="A12" s="99" t="str">
        <f>HYPERLINK("#'Input - Livestock sales'!A1", "Livestock sales")</f>
        <v>Livestock sales</v>
      </c>
      <c r="D12" s="33"/>
      <c r="E12" s="13"/>
      <c r="F12" s="96"/>
      <c r="G12" s="19"/>
      <c r="H12" s="19"/>
      <c r="I12" s="15">
        <f t="shared" si="0"/>
        <v>0</v>
      </c>
    </row>
    <row r="13" spans="1:13" ht="20.100000000000001" customHeight="1" x14ac:dyDescent="0.2">
      <c r="A13" s="5" t="str">
        <f>HYPERLINK("#'Input - Pig purchases'!A1", "Pig purchases")</f>
        <v>Pig purchases</v>
      </c>
      <c r="D13" s="33"/>
      <c r="E13" s="13"/>
      <c r="F13" s="96"/>
      <c r="G13" s="19"/>
      <c r="H13" s="19"/>
      <c r="I13" s="15">
        <f t="shared" si="0"/>
        <v>0</v>
      </c>
    </row>
    <row r="14" spans="1:13" ht="20.100000000000001" customHeight="1" x14ac:dyDescent="0.2">
      <c r="A14" s="5" t="str">
        <f>HYPERLINK("#'Input - Fuel'!A1", "Fuel")</f>
        <v>Fuel</v>
      </c>
      <c r="D14" s="33"/>
      <c r="E14" s="13"/>
      <c r="F14" s="96"/>
      <c r="G14" s="19"/>
      <c r="H14" s="19"/>
      <c r="I14" s="15">
        <f t="shared" si="0"/>
        <v>0</v>
      </c>
    </row>
    <row r="15" spans="1:13" ht="20.100000000000001" customHeight="1" x14ac:dyDescent="0.2">
      <c r="A15" s="5" t="str">
        <f>HYPERLINK("#'Input - Electricity'!A1", "Electricity")</f>
        <v>Electricity</v>
      </c>
      <c r="D15" s="33"/>
      <c r="E15" s="13"/>
      <c r="F15" s="96"/>
      <c r="G15" s="19"/>
      <c r="H15" s="19"/>
      <c r="I15" s="15">
        <f t="shared" si="0"/>
        <v>0</v>
      </c>
    </row>
    <row r="16" spans="1:13" ht="20.100000000000001" customHeight="1" x14ac:dyDescent="0.2">
      <c r="A16" s="5" t="str">
        <f>HYPERLINK("#'Input - Common farm inputs'!A1", "Common farm inputs")</f>
        <v>Common farm inputs</v>
      </c>
      <c r="D16" s="33"/>
      <c r="E16" s="13"/>
      <c r="F16" s="96"/>
      <c r="G16" s="19"/>
      <c r="H16" s="19"/>
      <c r="I16" s="15">
        <f t="shared" si="0"/>
        <v>0</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F4ECB-FE24-4A9F-8E97-3190EB0982B9}">
  <sheetPr>
    <tabColor theme="5" tint="-0.249977111117893"/>
  </sheetPr>
  <dimension ref="A1:J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927</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86" t="s">
        <v>928</v>
      </c>
      <c r="E5" s="243"/>
      <c r="F5" s="243"/>
      <c r="G5" s="243"/>
      <c r="H5" s="243"/>
    </row>
    <row r="6" spans="1:10" ht="20.100000000000001" customHeight="1" x14ac:dyDescent="0.2">
      <c r="D6" s="244" t="s">
        <v>259</v>
      </c>
      <c r="E6" s="244" t="s">
        <v>260</v>
      </c>
      <c r="F6" s="244" t="s">
        <v>929</v>
      </c>
      <c r="G6" s="244" t="s">
        <v>930</v>
      </c>
      <c r="H6" s="244" t="s">
        <v>931</v>
      </c>
    </row>
    <row r="7" spans="1:10" ht="20.100000000000001" customHeight="1" x14ac:dyDescent="0.2">
      <c r="D7" s="33" t="s">
        <v>932</v>
      </c>
      <c r="E7" s="13" t="s">
        <v>291</v>
      </c>
      <c r="F7" s="74">
        <v>100</v>
      </c>
      <c r="G7" s="15" cm="1">
        <f t="array" ref="G7">Common_InputFunctions.Utility_LookupValueInTableNumber(Table_Input_LivestockPurchases_Pigs[[#This Row],[Class (select)]], Table_SourceData_Swine_Liveweight[Livestock type j],Table_SourceData_Swine_Liveweight[Average liveweight (kg)])</f>
        <v>188</v>
      </c>
      <c r="H7" s="74">
        <v>180</v>
      </c>
    </row>
    <row r="8" spans="1:10" ht="20.100000000000001" customHeight="1" x14ac:dyDescent="0.2">
      <c r="A8" s="7" t="s">
        <v>0</v>
      </c>
      <c r="D8" s="33" t="s">
        <v>933</v>
      </c>
      <c r="E8" s="83" t="s">
        <v>291</v>
      </c>
      <c r="F8" s="74">
        <v>100</v>
      </c>
      <c r="G8" s="15" cm="1">
        <f t="array" ref="G8">Common_InputFunctions.Utility_LookupValueInTableNumber(Table_Input_LivestockPurchases_Pigs[[#This Row],[Class (select)]], Table_SourceData_Swine_Liveweight[Livestock type j],Table_SourceData_Swine_Liveweight[Average liveweight (kg)])</f>
        <v>188</v>
      </c>
      <c r="H8" s="74">
        <v>38</v>
      </c>
    </row>
    <row r="9" spans="1:10" ht="20.100000000000001" customHeight="1" x14ac:dyDescent="0.2">
      <c r="A9" s="5" t="str">
        <f>HYPERLINK("#'Input - Enterprise'!A1", "Enterprise")</f>
        <v>Enterprise</v>
      </c>
      <c r="D9" s="33"/>
      <c r="E9" s="83"/>
      <c r="F9" s="74"/>
      <c r="G9" s="15" cm="1">
        <f t="array" ref="G9">Common_InputFunctions.Utility_LookupValueInTableNumber(Table_Input_LivestockPurchases_Pigs[[#This Row],[Class (select)]], Table_SourceData_Swine_Liveweight[Livestock type j],Table_SourceData_Swine_Liveweight[Average liveweight (kg)])</f>
        <v>0</v>
      </c>
      <c r="H9" s="74"/>
    </row>
    <row r="10" spans="1:10" ht="20.100000000000001" customHeight="1" x14ac:dyDescent="0.2">
      <c r="A10" s="5" t="str">
        <f>HYPERLINK("#'Input - Site'!A1", "Site")</f>
        <v>Site</v>
      </c>
      <c r="D10" s="33"/>
      <c r="E10" s="83"/>
      <c r="F10" s="74"/>
      <c r="G10" s="15" cm="1">
        <f t="array" ref="G10">Common_InputFunctions.Utility_LookupValueInTableNumber(Table_Input_LivestockPurchases_Pigs[[#This Row],[Class (select)]], Table_SourceData_Swine_Liveweight[Livestock type j],Table_SourceData_Swine_Liveweight[Average liveweight (kg)])</f>
        <v>0</v>
      </c>
      <c r="H10" s="74"/>
    </row>
    <row r="11" spans="1:10" ht="20.100000000000001" customHeight="1" x14ac:dyDescent="0.2">
      <c r="A11" s="5" t="str">
        <f>HYPERLINK("#'Input - Swine'!A1", "Swine")</f>
        <v>Swine</v>
      </c>
      <c r="D11" s="33"/>
      <c r="E11" s="83"/>
      <c r="F11" s="74"/>
      <c r="G11" s="15" cm="1">
        <f t="array" ref="G11">Common_InputFunctions.Utility_LookupValueInTableNumber(Table_Input_LivestockPurchases_Pigs[[#This Row],[Class (select)]], Table_SourceData_Swine_Liveweight[Livestock type j],Table_SourceData_Swine_Liveweight[Average liveweight (kg)])</f>
        <v>0</v>
      </c>
      <c r="H11" s="74"/>
    </row>
    <row r="12" spans="1:10" ht="20.100000000000001" customHeight="1" x14ac:dyDescent="0.2">
      <c r="A12" s="5" t="str">
        <f>HYPERLINK("#'Input - Livestock sales'!A1", "Livestock sales")</f>
        <v>Livestock sales</v>
      </c>
      <c r="D12" s="33"/>
      <c r="E12" s="83"/>
      <c r="F12" s="74"/>
      <c r="G12" s="15" cm="1">
        <f t="array" ref="G12">Common_InputFunctions.Utility_LookupValueInTableNumber(Table_Input_LivestockPurchases_Pigs[[#This Row],[Class (select)]], Table_SourceData_Swine_Liveweight[Livestock type j],Table_SourceData_Swine_Liveweight[Average liveweight (kg)])</f>
        <v>0</v>
      </c>
      <c r="H12" s="74"/>
    </row>
    <row r="13" spans="1:10" ht="20.100000000000001" customHeight="1" x14ac:dyDescent="0.2">
      <c r="A13" s="99" t="str">
        <f>HYPERLINK("#'Input - Pig purchases'!A1", "Pig purchases")</f>
        <v>Pig purchases</v>
      </c>
      <c r="D13" s="33"/>
      <c r="E13" s="83"/>
      <c r="F13" s="74"/>
      <c r="G13" s="15" cm="1">
        <f t="array" ref="G13">Common_InputFunctions.Utility_LookupValueInTableNumber(Table_Input_LivestockPurchases_Pigs[[#This Row],[Class (select)]], Table_SourceData_Swine_Liveweight[Livestock type j],Table_SourceData_Swine_Liveweight[Average liveweight (kg)])</f>
        <v>0</v>
      </c>
      <c r="H13" s="74"/>
    </row>
    <row r="14" spans="1:10" ht="20.100000000000001" customHeight="1" x14ac:dyDescent="0.2">
      <c r="A14" s="5" t="str">
        <f>HYPERLINK("#'Input - Fuel'!A1", "Fuel")</f>
        <v>Fuel</v>
      </c>
      <c r="D14" s="33"/>
      <c r="E14" s="83"/>
      <c r="F14" s="74"/>
      <c r="G14" s="15" cm="1">
        <f t="array" ref="G14">Common_InputFunctions.Utility_LookupValueInTableNumber(Table_Input_LivestockPurchases_Pigs[[#This Row],[Class (select)]], Table_SourceData_Swine_Liveweight[Livestock type j],Table_SourceData_Swine_Liveweight[Average liveweight (kg)])</f>
        <v>0</v>
      </c>
      <c r="H14" s="74"/>
    </row>
    <row r="15" spans="1:10" ht="20.100000000000001" customHeight="1" x14ac:dyDescent="0.2">
      <c r="A15" s="5" t="str">
        <f>HYPERLINK("#'Input - Electricity'!A1", "Electricity")</f>
        <v>Electricity</v>
      </c>
      <c r="D15" s="33"/>
      <c r="E15" s="83"/>
      <c r="F15" s="74"/>
      <c r="G15" s="15" cm="1">
        <f t="array" ref="G15">Common_InputFunctions.Utility_LookupValueInTableNumber(Table_Input_LivestockPurchases_Pigs[[#This Row],[Class (select)]], Table_SourceData_Swine_Liveweight[Livestock type j],Table_SourceData_Swine_Liveweight[Average liveweight (kg)])</f>
        <v>0</v>
      </c>
      <c r="H15" s="74"/>
    </row>
    <row r="16" spans="1:10" ht="20.100000000000001" customHeight="1" x14ac:dyDescent="0.2">
      <c r="A16" s="5" t="str">
        <f>HYPERLINK("#'Input - Common farm inputs'!A1", "Common farm inputs")</f>
        <v>Common farm inputs</v>
      </c>
      <c r="D16" s="33"/>
      <c r="E16" s="83"/>
      <c r="F16" s="74"/>
      <c r="G16" s="15" cm="1">
        <f t="array" ref="G16">Common_InputFunctions.Utility_LookupValueInTableNumber(Table_Input_LivestockPurchases_Pigs[[#This Row],[Class (select)]], Table_SourceData_Swine_Liveweight[Livestock type j],Table_SourceData_Swine_Liveweight[Average liveweight (kg)])</f>
        <v>0</v>
      </c>
      <c r="H16" s="74"/>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1">
    <dataValidation type="list" allowBlank="1" showInputMessage="1" showErrorMessage="1" sqref="E7:E16" xr:uid="{C32278E3-B2F4-4101-B60E-6B8EB5A904B4}">
      <formula1>INDIRECT("Table_SourceData_Swine_Liveweight[Livestock type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A3E1-DE4C-46D9-AB51-DF3785612B03}">
  <sheetPr>
    <tabColor theme="5" tint="-0.249977111117893"/>
  </sheetPr>
  <dimension ref="A1:K34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572</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573</v>
      </c>
      <c r="E5" s="24"/>
      <c r="F5" s="24"/>
      <c r="G5" s="24"/>
      <c r="H5" s="24"/>
    </row>
    <row r="6" spans="1:11" ht="20.100000000000001" customHeight="1" x14ac:dyDescent="0.2">
      <c r="D6" s="8"/>
      <c r="E6" s="8"/>
      <c r="F6" s="8"/>
      <c r="G6" s="8"/>
      <c r="H6" s="8"/>
      <c r="I6" s="8"/>
      <c r="J6" s="8"/>
    </row>
    <row r="7" spans="1:11" ht="20.100000000000001" customHeight="1" x14ac:dyDescent="0.2">
      <c r="D7" s="1" t="s">
        <v>574</v>
      </c>
    </row>
    <row r="8" spans="1:11" ht="20.100000000000001" customHeight="1" x14ac:dyDescent="0.2">
      <c r="A8" s="7" t="s">
        <v>0</v>
      </c>
      <c r="D8" s="1" t="s">
        <v>575</v>
      </c>
    </row>
    <row r="9" spans="1:11" ht="20.100000000000001" customHeight="1" x14ac:dyDescent="0.2">
      <c r="A9" s="5" t="str">
        <f>HYPERLINK("#'Input - Enterprise'!A1", "Enterprise")</f>
        <v>Enterprise</v>
      </c>
      <c r="D9" s="1" t="s">
        <v>576</v>
      </c>
    </row>
    <row r="10" spans="1:11" ht="20.100000000000001" customHeight="1" x14ac:dyDescent="0.2">
      <c r="A10" s="5" t="str">
        <f>HYPERLINK("#'Input - Site'!A1", "Site")</f>
        <v>Site</v>
      </c>
    </row>
    <row r="11" spans="1:11" ht="20.100000000000001" customHeight="1" x14ac:dyDescent="0.2">
      <c r="A11" s="5" t="str">
        <f>HYPERLINK("#'Input - Swine'!A1", "Swine")</f>
        <v>Swine</v>
      </c>
      <c r="D11" s="1" t="s">
        <v>577</v>
      </c>
      <c r="E11" s="13" t="s">
        <v>578</v>
      </c>
      <c r="F11" s="16" t="s">
        <v>100</v>
      </c>
    </row>
    <row r="12" spans="1:11" ht="20.100000000000001" customHeight="1" x14ac:dyDescent="0.2">
      <c r="A12" s="5" t="str">
        <f>HYPERLINK("#'Input - Livestock sales'!A1", "Livestock sales")</f>
        <v>Livestock sales</v>
      </c>
    </row>
    <row r="13" spans="1:11" ht="20.100000000000001" customHeight="1" x14ac:dyDescent="0.2">
      <c r="A13" s="5" t="str">
        <f>HYPERLINK("#'Input - Pig purchases'!A1", "Pig purchases")</f>
        <v>Pig purchases</v>
      </c>
      <c r="D13" s="136" t="s">
        <v>544</v>
      </c>
      <c r="E13" s="43"/>
      <c r="F13" s="43"/>
      <c r="G13" s="43"/>
      <c r="H13" s="44"/>
    </row>
    <row r="14" spans="1:11" ht="20.100000000000001" customHeight="1" x14ac:dyDescent="0.2">
      <c r="A14" s="99" t="str">
        <f>HYPERLINK("#'Input - Fuel'!A1", "Fuel")</f>
        <v>Fuel</v>
      </c>
      <c r="D14" s="45" t="s">
        <v>579</v>
      </c>
      <c r="E14" s="46"/>
      <c r="F14" s="46"/>
      <c r="G14" s="46"/>
      <c r="H14" s="47"/>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78" t="s">
        <v>580</v>
      </c>
      <c r="E16" s="78" t="s">
        <v>581</v>
      </c>
      <c r="F16" s="78" t="s">
        <v>582</v>
      </c>
      <c r="G16" s="78" t="s">
        <v>583</v>
      </c>
      <c r="H16" s="78" t="s">
        <v>584</v>
      </c>
      <c r="I16" s="78" t="s">
        <v>585</v>
      </c>
      <c r="J16" s="78" t="s">
        <v>586</v>
      </c>
    </row>
    <row r="17" spans="1:10" ht="20.100000000000001" customHeight="1" x14ac:dyDescent="0.2">
      <c r="A17" s="5" t="str">
        <f>HYPERLINK("#'Input - Livestock farm Inputs'!A1", "Livestock farm Inputs")</f>
        <v>Livestock farm Inputs</v>
      </c>
      <c r="D17" s="13" t="s">
        <v>587</v>
      </c>
      <c r="E17" s="13" t="s">
        <v>588</v>
      </c>
      <c r="F17" s="153">
        <v>100</v>
      </c>
      <c r="G17" s="15" t="str" cm="1">
        <f t="array" ref="G17">Common_InputFunctions.Utility_LookupValueInTable(Table_Input_Fuel[[#This Row],[Fuel type (select)]],Table_FuelTypes_Units[Fuel type], Table_FuelTypes_Units[Input Unit])</f>
        <v>GJ</v>
      </c>
      <c r="H17" s="154">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587</v>
      </c>
      <c r="E18" s="13" t="s">
        <v>589</v>
      </c>
      <c r="F18" s="153">
        <v>10000</v>
      </c>
      <c r="G18" s="15" t="str" cm="1">
        <f t="array" ref="G18">Common_InputFunctions.Utility_LookupValueInTable(Table_Input_Fuel[[#This Row],[Fuel type (select)]],Table_FuelTypes_Units[Fuel type], Table_FuelTypes_Units[Input Unit])</f>
        <v>L</v>
      </c>
      <c r="H18" s="155">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590</v>
      </c>
      <c r="E19" s="13" t="s">
        <v>591</v>
      </c>
      <c r="F19" s="153">
        <v>10000</v>
      </c>
      <c r="G19" s="15" t="str" cm="1">
        <f t="array" ref="G19">Common_InputFunctions.Utility_LookupValueInTable(Table_Input_Fuel[[#This Row],[Fuel type (select)]],Table_FuelTypes_Units[Fuel type], Table_FuelTypes_Units[Input Unit])</f>
        <v>L</v>
      </c>
      <c r="H19" s="155">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Manure sent off-site'!A1", "Manure sent off-site")</f>
        <v>Manure sent off-site</v>
      </c>
      <c r="D20" s="13" t="s">
        <v>592</v>
      </c>
      <c r="E20" s="13" t="s">
        <v>591</v>
      </c>
      <c r="F20" s="153">
        <v>10000</v>
      </c>
      <c r="G20" s="15" t="str" cm="1">
        <f t="array" ref="G20">Common_InputFunctions.Utility_LookupValueInTable(Table_Input_Fuel[[#This Row],[Fuel type (select)]],Table_FuelTypes_Units[Fuel type], Table_FuelTypes_Units[Input Unit])</f>
        <v>L</v>
      </c>
      <c r="H20" s="155">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Data quality'!A1", "Data quality")</f>
        <v>Data quality</v>
      </c>
      <c r="D21" s="83" t="s">
        <v>593</v>
      </c>
      <c r="E21" s="83" t="s">
        <v>594</v>
      </c>
      <c r="F21" s="153">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6" spans="1:10" ht="20.100000000000001" customHeight="1" x14ac:dyDescent="0.2">
      <c r="A26" s="6" t="s">
        <v>2</v>
      </c>
    </row>
    <row r="27" spans="1:10" ht="20.100000000000001" customHeight="1" x14ac:dyDescent="0.2">
      <c r="A27" s="5" t="str">
        <f>HYPERLINK("#'3.5.1.1-2 Enteric Methane'!A1", "3.5.1.1-2 Enteric Methane")</f>
        <v>3.5.1.1-2 Enteric Methane</v>
      </c>
    </row>
    <row r="28" spans="1:10" ht="20.100000000000001" customHeight="1" x14ac:dyDescent="0.2">
      <c r="A28" s="5" t="str">
        <f>HYPERLINK("#'4.5.1.1-2 Methane'!A1", "4.5.1.1-2 Manure Methane")</f>
        <v>4.5.1.1-2 Manure Methane</v>
      </c>
    </row>
    <row r="29" spans="1:10" ht="20.100000000000001" customHeight="1" x14ac:dyDescent="0.2">
      <c r="A29" s="5" t="str">
        <f>HYPERLINK("#'4.5.1.3-4 Direct N2O'!A1", "4.5.1.3-4 Manure Direct N2O")</f>
        <v>4.5.1.3-4 Manure Direct N2O</v>
      </c>
    </row>
    <row r="30" spans="1:10" ht="20.100000000000001" customHeight="1" x14ac:dyDescent="0.2">
      <c r="A30" s="5" t="str">
        <f>HYPERLINK("#'4.5.1.5-6 Atmos Dep'!A1", "4.5.1.5-6 Manure Atmos Dep")</f>
        <v>4.5.1.5-6 Manure Atmos Dep</v>
      </c>
    </row>
    <row r="31" spans="1:10" ht="20.100000000000001" customHeight="1" x14ac:dyDescent="0.2">
      <c r="A31" s="5" t="str">
        <f>HYPERLINK("#'4.5.1.7-8 Leaching and runoff'!A1", "4.5.1.7-8 Manure Leaching and runoff")</f>
        <v>4.5.1.7-8 Manure Leaching and runoff</v>
      </c>
    </row>
    <row r="32" spans="1:10" ht="20.100000000000001" customHeight="1" x14ac:dyDescent="0.2">
      <c r="A32" s="5" t="str">
        <f>HYPERLINK("#'4.5.1.9 Manure applied to soils'!A1", "4.5.1.9 Manure applied to soils")</f>
        <v>4.5.1.9 Manure applied to soils</v>
      </c>
    </row>
    <row r="33" spans="1:11" ht="20.100000000000001" customHeight="1" x14ac:dyDescent="0.2">
      <c r="A33" s="5" t="str">
        <f>HYPERLINK("#'8.1.1.1-2 Transport fuel'!A1", "8.1.1.1-2 Transport fuel")</f>
        <v>8.1.1.1-2 Transport fuel</v>
      </c>
    </row>
    <row r="34" spans="1:11" ht="20.100000000000001" customHeight="1" x14ac:dyDescent="0.2">
      <c r="A34" s="5" t="str">
        <f>HYPERLINK("#'8.2.1.1-2 Stationary fuel'!A1", "8.2.1.1-2 Stationary fuel")</f>
        <v>8.2.1.1-2 Stationary fuel</v>
      </c>
    </row>
    <row r="35" spans="1:11" ht="20.100000000000001" customHeight="1" x14ac:dyDescent="0.2">
      <c r="A35" s="5" t="str">
        <f>HYPERLINK("#'10.1.1-2 Solid waste treatment'!A1", "10.1.1.1-2 Solid waste")</f>
        <v>10.1.1.1-2 Solid waste</v>
      </c>
    </row>
    <row r="36" spans="1:11" ht="20.100000000000001" customHeight="1" x14ac:dyDescent="0.2">
      <c r="A36" s="5" t="str">
        <f>HYPERLINK("#'14.1.1-2 Purchased electricity'!A1", "14.1.1-2 Purchased electricity")</f>
        <v>14.1.1-2 Purchased electricity</v>
      </c>
    </row>
    <row r="37" spans="1:11" ht="20.100000000000001" customHeight="1" x14ac:dyDescent="0.2">
      <c r="A37" s="5" t="str">
        <f>HYPERLINK("#'15 Scope 3'!A1", "15 Scope 3")</f>
        <v>15 Scope 3</v>
      </c>
    </row>
    <row r="38" spans="1:11" ht="20.100000000000001" customHeight="1" x14ac:dyDescent="0.2">
      <c r="A38" s="5" t="str">
        <f>HYPERLINK("#'Calcs - Manure sent off-site'!A1", "Calcs - Manure sent off-site")</f>
        <v>Calcs - Manure sent off-site</v>
      </c>
      <c r="C38" s="145"/>
      <c r="K38" s="145"/>
    </row>
    <row r="39" spans="1:11" ht="20.100000000000001" customHeight="1" x14ac:dyDescent="0.2">
      <c r="A39" s="5" t="str">
        <f>HYPERLINK("#'5.1.1.1-2 Inorganic fert N2O'!A1", "5.1.1.1-2 Inorganic fert N2O")</f>
        <v>5.1.1.1-2 Inorganic fert N2O</v>
      </c>
      <c r="C39" s="145"/>
      <c r="K39" s="145"/>
    </row>
    <row r="40" spans="1:11" s="143" customFormat="1" ht="20.100000000000001" customHeight="1" x14ac:dyDescent="0.2">
      <c r="A40" s="5" t="str">
        <f>HYPERLINK("#'5.1.1.3-4 Inorganic fert CO2'!A1", "5.1.1.3-4 Inorganic fert CO2")</f>
        <v>5.1.1.3-4 Inorganic fert CO2</v>
      </c>
      <c r="C40" s="1"/>
      <c r="D40" s="1"/>
      <c r="E40" s="1"/>
      <c r="F40" s="1"/>
      <c r="G40" s="1"/>
      <c r="H40" s="1"/>
      <c r="I40" s="1"/>
      <c r="J40" s="1"/>
      <c r="K40" s="1"/>
    </row>
    <row r="41" spans="1:11" s="143" customFormat="1" ht="20.100000000000001" customHeight="1" x14ac:dyDescent="0.2">
      <c r="A41" s="5" t="str">
        <f>HYPERLINK("#'5.2.1.1-2 Organic Fert N2O'!A1", "5.2.1.1-2 Organic Fert N2O")</f>
        <v>5.2.1.1-2 Organic Fert N2O</v>
      </c>
      <c r="C41" s="1"/>
      <c r="D41" s="1"/>
      <c r="E41" s="1"/>
      <c r="F41" s="1"/>
      <c r="G41" s="1"/>
      <c r="H41" s="1"/>
      <c r="I41" s="1"/>
      <c r="J41" s="1"/>
      <c r="K41" s="1"/>
    </row>
    <row r="42" spans="1:11" ht="20.100000000000001" customHeight="1" x14ac:dyDescent="0.2">
      <c r="A42" s="5" t="str">
        <f>HYPERLINK("#'5.3.1.1-2 Lime CO2'!A1", "5.3.1.1-2 Lime CO2")</f>
        <v>5.3.1.1-2 Lime CO2</v>
      </c>
    </row>
    <row r="43" spans="1:11" ht="20.100000000000001" customHeight="1" x14ac:dyDescent="0.2">
      <c r="A43" s="5" t="str">
        <f>HYPERLINK("#'5.4.1.1-4 Atmos deposition'!A1", "5.4.1.1-4 Atmos deposition")</f>
        <v>5.4.1.1-4 Atmos deposition</v>
      </c>
    </row>
    <row r="44" spans="1:11" ht="20.100000000000001" customHeight="1" x14ac:dyDescent="0.2">
      <c r="A44" s="5" t="str">
        <f>HYPERLINK("#'5.5.1.1-2 Leaching and runoff'!A1", "5.5.1.1-2 Leaching and runoff")</f>
        <v>5.5.1.1-2 Leaching and runoff</v>
      </c>
    </row>
    <row r="47" spans="1:11" ht="20.100000000000001" customHeight="1" x14ac:dyDescent="0.2">
      <c r="A47" s="79" t="s">
        <v>1</v>
      </c>
    </row>
    <row r="48" spans="1: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row r="346" spans="4:4" ht="20.100000000000001" customHeight="1" x14ac:dyDescent="0.2">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E9718E9B-703E-4574-A812-1C2608B241A7}">
      <formula1>_xlfn.TRIMRANGE(INDIRECT("Table_FuelTypesPerUse["&amp;D17&amp;"]"))</formula1>
    </dataValidation>
    <dataValidation type="list" allowBlank="1" showInputMessage="1" showErrorMessage="1" sqref="D17:D21" xr:uid="{7C8ECD6E-17F3-466A-99CC-047EBAF34262}">
      <formula1>INDIRECT("Table_FuelTypesPerUse[#Headers]")</formula1>
    </dataValidation>
    <dataValidation type="list" allowBlank="1" showInputMessage="1" showErrorMessage="1" sqref="E11" xr:uid="{9B44C020-9AF9-4D01-A14F-DBB95219BA52}">
      <formula1>"Metro, Non-metro"</formula1>
    </dataValidation>
    <dataValidation type="list" allowBlank="1" showInputMessage="1" showErrorMessage="1" sqref="D29:D30" xr:uid="{CC2D25D1-F245-4745-A9F5-09EE54D41C60}">
      <formula1>INDIRECT("Table_SourceData_OrganicFertiliserTypes[Organic fertiliser type]")</formula1>
    </dataValidation>
    <dataValidation type="list" allowBlank="1" showInputMessage="1" showErrorMessage="1" sqref="E49" xr:uid="{A9D5908D-E4E3-493E-BFD7-D69A7B1EBFAC}">
      <formula1>INDIRECT("Table_SourceData_Swine_CropProdSystems[Production system]")</formula1>
    </dataValidation>
    <dataValidation type="list" allowBlank="1" showInputMessage="1" showErrorMessage="1" sqref="E50" xr:uid="{0D0728B7-E584-43EE-B993-8D969F3C0E7A}">
      <formula1>INDIRECT("Table_SourceData_Swine_IrrigationMethods[Irrigation method]")</formula1>
    </dataValidation>
    <dataValidation type="list" allowBlank="1" showInputMessage="1" showErrorMessage="1" sqref="E234 E239 E244 E278 E273 E268 E146 E134 E110 E122" xr:uid="{4EA01EC9-1284-4729-8F48-6FDCBE492BFC}">
      <formula1>"Yes, No"</formula1>
    </dataValidation>
    <dataValidation type="list" allowBlank="1" showInputMessage="1" showErrorMessage="1" sqref="E210" xr:uid="{76B04694-5B0B-474E-B4D5-BFDC7356F0A9}">
      <formula1>INDIRECT("Table_SourceData_Dairy_ProductionSystemTemplates[Area]")</formula1>
    </dataValidation>
    <dataValidation type="list" allowBlank="1" showInputMessage="1" showErrorMessage="1" sqref="D262" xr:uid="{DB99920B-7387-4491-A526-4103F1538517}">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8EB65-2954-43CE-B3C3-5F4E41EC8581}">
  <sheetPr>
    <tabColor theme="5" tint="-0.249977111117893"/>
  </sheetPr>
  <dimension ref="A1:L365"/>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525</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526</v>
      </c>
      <c r="E5" s="13" t="s">
        <v>527</v>
      </c>
      <c r="F5" s="16" t="s">
        <v>100</v>
      </c>
    </row>
    <row r="6" spans="1:10" ht="20.100000000000001" customHeight="1" x14ac:dyDescent="0.2">
      <c r="E6" s="86"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2"/>
      <c r="D8" s="82"/>
      <c r="E8" s="82"/>
      <c r="F8" s="82"/>
      <c r="G8" s="82"/>
      <c r="H8" s="82"/>
      <c r="I8" s="82"/>
      <c r="J8" s="82"/>
    </row>
    <row r="9" spans="1:10" ht="20.100000000000001" customHeight="1" x14ac:dyDescent="0.2">
      <c r="A9" s="5" t="str">
        <f>HYPERLINK("#'Input - Enterprise'!A1", "Enterprise")</f>
        <v>Enterprise</v>
      </c>
      <c r="D9" s="2" t="s">
        <v>528</v>
      </c>
    </row>
    <row r="10" spans="1:10" ht="20.100000000000001" customHeight="1" x14ac:dyDescent="0.2">
      <c r="A10" s="5" t="str">
        <f>HYPERLINK("#'Input - Site'!A1", "Site")</f>
        <v>Site</v>
      </c>
    </row>
    <row r="11" spans="1:10" ht="20.100000000000001" customHeight="1" x14ac:dyDescent="0.2">
      <c r="A11" s="5" t="str">
        <f>HYPERLINK("#'Input - Swine'!A1", "Swine")</f>
        <v>Swine</v>
      </c>
      <c r="D11" s="77" t="s">
        <v>529</v>
      </c>
    </row>
    <row r="12" spans="1:10" ht="20.100000000000001" customHeight="1" x14ac:dyDescent="0.2">
      <c r="A12" s="5" t="str">
        <f>HYPERLINK("#'Input - Livestock sales'!A1", "Livestock sales")</f>
        <v>Livestock sales</v>
      </c>
    </row>
    <row r="13" spans="1:10" ht="20.100000000000001" customHeight="1" x14ac:dyDescent="0.2">
      <c r="A13" s="5" t="str">
        <f>HYPERLINK("#'Input - Pig purchases'!A1", "Pig purchases")</f>
        <v>Pig purchases</v>
      </c>
      <c r="D13" s="35" t="s">
        <v>530</v>
      </c>
      <c r="E13" s="38"/>
      <c r="F13" s="8"/>
    </row>
    <row r="14" spans="1:10" ht="20.100000000000001" customHeight="1" x14ac:dyDescent="0.2">
      <c r="A14" s="5" t="str">
        <f>HYPERLINK("#'Input - Fuel'!A1", "Fuel")</f>
        <v>Fuel</v>
      </c>
      <c r="D14" s="8"/>
      <c r="E14" s="8"/>
      <c r="F14" s="8"/>
    </row>
    <row r="15" spans="1:10" ht="20.100000000000001" customHeight="1" x14ac:dyDescent="0.2">
      <c r="A15" s="99" t="str">
        <f>HYPERLINK("#'Input - Electricity'!A1", "Electricity")</f>
        <v>Electricity</v>
      </c>
      <c r="D15" s="1" t="s">
        <v>531</v>
      </c>
      <c r="E15" s="141">
        <v>30000</v>
      </c>
      <c r="F15" s="16" t="s">
        <v>532</v>
      </c>
    </row>
    <row r="16" spans="1:10" ht="20.100000000000001" customHeight="1" x14ac:dyDescent="0.2">
      <c r="A16" s="5" t="str">
        <f>HYPERLINK("#'Input - Common farm inputs'!A1", "Common farm inputs")</f>
        <v>Common farm inputs</v>
      </c>
      <c r="D16" s="1" t="s">
        <v>533</v>
      </c>
      <c r="E16" s="15" t="str">
        <f>IF(X_Cell_Site_State="Western Australia", X_Cell_Site_Region, X_Cell_Site_State)</f>
        <v>Western Australia - Outback (South)</v>
      </c>
      <c r="F16" s="8"/>
    </row>
    <row r="17" spans="1:11" ht="20.100000000000001" customHeight="1" x14ac:dyDescent="0.2">
      <c r="A17" s="5" t="str">
        <f>HYPERLINK("#'Input - Livestock farm Inputs'!A1", "Livestock farm Inputs")</f>
        <v>Livestock farm Inputs</v>
      </c>
      <c r="D17" s="1" t="s">
        <v>534</v>
      </c>
      <c r="E17" s="13" t="s">
        <v>535</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c r="C20" s="82"/>
      <c r="D20" s="82"/>
      <c r="E20" s="82"/>
      <c r="F20" s="82"/>
      <c r="G20" s="82"/>
      <c r="H20" s="82"/>
      <c r="I20" s="82"/>
      <c r="J20" s="82"/>
    </row>
    <row r="21" spans="1:11" ht="20.100000000000001" customHeight="1" x14ac:dyDescent="0.2">
      <c r="A21" s="5" t="str">
        <f>HYPERLINK("#'Input - Data quality'!A1", "Data quality")</f>
        <v>Data quality</v>
      </c>
      <c r="D21" s="2" t="s">
        <v>536</v>
      </c>
    </row>
    <row r="22" spans="1:11" ht="20.100000000000001" customHeight="1" x14ac:dyDescent="0.2">
      <c r="A22" s="5" t="str">
        <f>HYPERLINK("#'Input - Fert Prod System'!A1", "Fert Prod System")</f>
        <v>Fert Prod System</v>
      </c>
      <c r="E22" s="86" t="str">
        <f>IF(E16="ACT", "", "ALERT: Your farm is not in the ACT, so the JRPP is not applicable")</f>
        <v>ALERT: Your farm is not in the ACT, so the JRPP is not applicable</v>
      </c>
    </row>
    <row r="23" spans="1:11" ht="20.100000000000001" customHeight="1" x14ac:dyDescent="0.2">
      <c r="A23" s="5" t="str">
        <f>HYPERLINK("#'Input - Fertiliser'!A1", "Fertiliser")</f>
        <v>Fertiliser</v>
      </c>
      <c r="D23" s="1" t="s">
        <v>537</v>
      </c>
      <c r="E23" s="141">
        <v>30000</v>
      </c>
      <c r="F23" s="16" t="s">
        <v>532</v>
      </c>
    </row>
    <row r="24" spans="1:11" ht="20.100000000000001" customHeight="1" x14ac:dyDescent="0.2">
      <c r="D24" s="1" t="s">
        <v>538</v>
      </c>
      <c r="E24" s="18">
        <v>0.1</v>
      </c>
      <c r="F24" s="16" t="s">
        <v>140</v>
      </c>
    </row>
    <row r="25" spans="1:11" ht="20.100000000000001" customHeight="1" x14ac:dyDescent="0.2">
      <c r="D25" s="1" t="s">
        <v>539</v>
      </c>
      <c r="E25" s="18">
        <v>0.1</v>
      </c>
      <c r="F25" s="16" t="s">
        <v>140</v>
      </c>
    </row>
    <row r="26" spans="1:11" ht="20.100000000000001" customHeight="1" x14ac:dyDescent="0.2">
      <c r="A26" s="6" t="s">
        <v>2</v>
      </c>
    </row>
    <row r="27" spans="1:11" ht="20.100000000000001" customHeight="1" x14ac:dyDescent="0.2">
      <c r="A27" s="5" t="str">
        <f>HYPERLINK("#'3.5.1.1-2 Enteric Methane'!A1", "3.5.1.1-2 Enteric Methane")</f>
        <v>3.5.1.1-2 Enteric Methane</v>
      </c>
      <c r="D27" s="1" t="s">
        <v>540</v>
      </c>
      <c r="E27" s="141">
        <v>10000</v>
      </c>
      <c r="F27" s="16" t="s">
        <v>532</v>
      </c>
    </row>
    <row r="28" spans="1:11" ht="20.100000000000001" customHeight="1" x14ac:dyDescent="0.2">
      <c r="A28" s="5" t="str">
        <f>HYPERLINK("#'4.5.1.1-2 Methane'!A1", "4.5.1.1-2 Manure Methane")</f>
        <v>4.5.1.1-2 Manure Methane</v>
      </c>
    </row>
    <row r="29" spans="1:11" ht="20.100000000000001" customHeight="1" x14ac:dyDescent="0.2">
      <c r="A29" s="5" t="str">
        <f>HYPERLINK("#'4.5.1.3-4 Direct N2O'!A1", "4.5.1.3-4 Manure Direct N2O")</f>
        <v>4.5.1.3-4 Manure Direct N2O</v>
      </c>
      <c r="D29" s="1" t="s">
        <v>541</v>
      </c>
      <c r="E29" s="142" t="str">
        <f>TEXT(X_Cell_Site_StartDate, "dd mmm yyyy")</f>
        <v>01 Jan 2025</v>
      </c>
      <c r="K29" s="143"/>
    </row>
    <row r="30" spans="1:11" ht="20.100000000000001" customHeight="1" x14ac:dyDescent="0.2">
      <c r="A30" s="5" t="str">
        <f>HYPERLINK("#'4.5.1.5-6 Atmos Dep'!A1", "4.5.1.5-6 Manure Atmos Dep")</f>
        <v>4.5.1.5-6 Manure Atmos Dep</v>
      </c>
      <c r="D30" s="1" t="s">
        <v>542</v>
      </c>
      <c r="E30" s="142" t="str">
        <f>TEXT(X_Cell_Site_EndDate, "dd mmm yyyy")</f>
        <v>31 Dec 2025</v>
      </c>
      <c r="K30" s="143"/>
    </row>
    <row r="31" spans="1:11" ht="20.100000000000001" customHeight="1" x14ac:dyDescent="0.2">
      <c r="A31" s="5" t="str">
        <f>HYPERLINK("#'4.5.1.7-8 Leaching and runoff'!A1", "4.5.1.7-8 Manure Leaching and runoff")</f>
        <v>4.5.1.7-8 Manure Leaching and runoff</v>
      </c>
      <c r="K31" s="143"/>
    </row>
    <row r="32" spans="1:11" ht="20.100000000000001" customHeight="1" x14ac:dyDescent="0.2">
      <c r="A32" s="5" t="str">
        <f>HYPERLINK("#'4.5.1.9 Manure applied to soils'!A1", "4.5.1.9 Manure applied to soils")</f>
        <v>4.5.1.9 Manure applied to soils</v>
      </c>
      <c r="D32" s="77" t="s">
        <v>543</v>
      </c>
      <c r="K32" s="143"/>
    </row>
    <row r="33" spans="1:12" ht="20.100000000000001" customHeight="1" x14ac:dyDescent="0.2">
      <c r="A33" s="5" t="str">
        <f>HYPERLINK("#'8.1.1.1-2 Transport fuel'!A1", "8.1.1.1-2 Transport fuel")</f>
        <v>8.1.1.1-2 Transport fuel</v>
      </c>
      <c r="K33" s="143"/>
    </row>
    <row r="34" spans="1:12" ht="20.100000000000001" customHeight="1" x14ac:dyDescent="0.2">
      <c r="A34" s="5" t="str">
        <f>HYPERLINK("#'8.2.1.1-2 Stationary fuel'!A1", "8.2.1.1-2 Stationary fuel")</f>
        <v>8.2.1.1-2 Stationary fuel</v>
      </c>
      <c r="D34" s="35" t="s">
        <v>544</v>
      </c>
      <c r="E34" s="38"/>
      <c r="K34" s="143"/>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D36" s="78" t="s">
        <v>156</v>
      </c>
      <c r="E36" s="78" t="s">
        <v>545</v>
      </c>
      <c r="F36" s="78" t="s">
        <v>546</v>
      </c>
      <c r="G36" s="78" t="s">
        <v>547</v>
      </c>
      <c r="H36" s="78" t="s">
        <v>548</v>
      </c>
      <c r="I36" s="78" t="s">
        <v>549</v>
      </c>
      <c r="L36" s="143"/>
    </row>
    <row r="37" spans="1:12" ht="20.100000000000001" customHeight="1" x14ac:dyDescent="0.2">
      <c r="A37" s="5" t="str">
        <f>HYPERLINK("#'15 Scope 3'!A1", "15 Scope 3")</f>
        <v>15 Scope 3</v>
      </c>
      <c r="D37" s="19" t="s">
        <v>550</v>
      </c>
      <c r="E37" s="13" t="s">
        <v>551</v>
      </c>
      <c r="F37" s="144">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3"/>
    </row>
    <row r="38" spans="1:12" ht="20.100000000000001" customHeight="1" x14ac:dyDescent="0.2">
      <c r="A38" s="5" t="str">
        <f>HYPERLINK("#'Calcs - Manure sent off-site'!A1", "Calcs - Manure sent off-site")</f>
        <v>Calcs - Manure sent off-site</v>
      </c>
      <c r="D38" s="19" t="s">
        <v>552</v>
      </c>
      <c r="E38" s="13" t="s">
        <v>553</v>
      </c>
      <c r="F38" s="144">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100000000000001" customHeight="1" x14ac:dyDescent="0.2">
      <c r="A39" s="5" t="str">
        <f>HYPERLINK("#'5.1.1.1-2 Inorganic fert N2O'!A1", "5.1.1.1-2 Inorganic fert N2O")</f>
        <v>5.1.1.1-2 Inorganic fert N2O</v>
      </c>
      <c r="D39" s="19" t="s">
        <v>554</v>
      </c>
      <c r="E39" s="13" t="s">
        <v>551</v>
      </c>
      <c r="F39" s="144">
        <v>45438</v>
      </c>
      <c r="G39" s="19">
        <v>5</v>
      </c>
      <c r="H39" s="15">
        <f>Table_Input_RECSurrendered[[#This Row],[Number of certificates]]</f>
        <v>5</v>
      </c>
      <c r="I39" s="15" t="str">
        <f>IF(DATEDIF(Table_Input_RECSurrendered[[#This Row],[Generation date]],DATEVALUE($E$30),"M")&gt;36,"Ineligible - older than 36 months","Elegible")</f>
        <v>Elegible</v>
      </c>
    </row>
    <row r="40" spans="1:12" s="143" customFormat="1" ht="20.100000000000001" customHeight="1" x14ac:dyDescent="0.2">
      <c r="A40" s="5" t="str">
        <f>HYPERLINK("#'5.1.1.3-4 Inorganic fert CO2'!A1", "5.1.1.3-4 Inorganic fert CO2")</f>
        <v>5.1.1.3-4 Inorganic fert CO2</v>
      </c>
      <c r="C40" s="1"/>
      <c r="D40" s="1"/>
      <c r="E40" s="1"/>
      <c r="F40" s="1"/>
      <c r="G40" s="1"/>
      <c r="H40" s="1"/>
      <c r="I40" s="1"/>
      <c r="J40" s="1"/>
    </row>
    <row r="41" spans="1:12" s="143" customFormat="1" ht="20.100000000000001" customHeight="1" x14ac:dyDescent="0.2">
      <c r="A41" s="5" t="str">
        <f>HYPERLINK("#'5.2.1.1-2 Organic Fert N2O'!A1", "5.2.1.1-2 Organic Fert N2O")</f>
        <v>5.2.1.1-2 Organic Fert N2O</v>
      </c>
      <c r="C41" s="1"/>
      <c r="D41" s="1" t="s">
        <v>555</v>
      </c>
      <c r="E41" s="15">
        <f>SUMIF(Table_Input_RECSurrendered[Elegibility], "Elegible", Table_Input_RECSurrendered[MWh])</f>
        <v>5</v>
      </c>
      <c r="F41" s="16" t="s">
        <v>548</v>
      </c>
      <c r="G41" s="1"/>
      <c r="H41" s="1"/>
      <c r="I41" s="1"/>
      <c r="J41" s="1"/>
      <c r="L41" s="143" t="s">
        <v>556</v>
      </c>
    </row>
    <row r="42" spans="1:12" ht="20.100000000000001" customHeight="1" x14ac:dyDescent="0.2">
      <c r="A42" s="5" t="str">
        <f>HYPERLINK("#'5.3.1.1-2 Lime CO2'!A1", "5.3.1.1-2 Lime CO2")</f>
        <v>5.3.1.1-2 Lime CO2</v>
      </c>
      <c r="C42" s="145"/>
    </row>
    <row r="43" spans="1:12" ht="20.100000000000001" customHeight="1" x14ac:dyDescent="0.2">
      <c r="A43" s="5" t="str">
        <f>HYPERLINK("#'5.4.1.1-4 Atmos deposition'!A1", "5.4.1.1-4 Atmos deposition")</f>
        <v>5.4.1.1-4 Atmos deposition</v>
      </c>
      <c r="C43" s="145"/>
      <c r="D43" s="77" t="s">
        <v>557</v>
      </c>
      <c r="J43" s="145"/>
    </row>
    <row r="44" spans="1:12" ht="20.100000000000001" customHeight="1" x14ac:dyDescent="0.2">
      <c r="A44" s="5" t="str">
        <f>HYPERLINK("#'5.5.1.1-2 Leaching and runoff'!A1", "5.5.1.1-2 Leaching and runoff")</f>
        <v>5.5.1.1-2 Leaching and runoff</v>
      </c>
    </row>
    <row r="45" spans="1:12" ht="20.100000000000001" customHeight="1" x14ac:dyDescent="0.2">
      <c r="D45" s="78" t="s">
        <v>156</v>
      </c>
      <c r="E45" s="78" t="s">
        <v>558</v>
      </c>
      <c r="F45" s="78" t="s">
        <v>546</v>
      </c>
      <c r="G45" s="78" t="s">
        <v>547</v>
      </c>
      <c r="H45" s="78" t="s">
        <v>548</v>
      </c>
      <c r="I45" s="78" t="s">
        <v>549</v>
      </c>
    </row>
    <row r="46" spans="1:12" ht="20.100000000000001" customHeight="1" x14ac:dyDescent="0.2">
      <c r="D46" s="19" t="s">
        <v>559</v>
      </c>
      <c r="E46" s="146" t="str">
        <f>"Issued for generated electricity"</f>
        <v>Issued for generated electricity</v>
      </c>
      <c r="F46" s="144">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
      <c r="A47" s="79" t="s">
        <v>1</v>
      </c>
      <c r="D47" s="19" t="s">
        <v>560</v>
      </c>
      <c r="E47" s="146" t="str">
        <f>"Issued for generated electricity"</f>
        <v>Issued for generated electricity</v>
      </c>
      <c r="F47" s="144">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
      <c r="A48" s="5" t="str">
        <f>HYPERLINK("#'Constants - Swine'!A1", "Constants - Swine")</f>
        <v>Constants - Swine</v>
      </c>
      <c r="D48" s="147">
        <v>45597</v>
      </c>
      <c r="E48" s="146" t="str">
        <f>"Issued for generated electricity"</f>
        <v>Issued for generated electricity</v>
      </c>
      <c r="F48" s="144">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100000000000001" customHeight="1" x14ac:dyDescent="0.2">
      <c r="A49" s="5" t="str">
        <f>HYPERLINK("#'Constants - Common livestock'!A1", "Constants - Common Livestock")</f>
        <v>Constants - Common Livestock</v>
      </c>
    </row>
    <row r="50" spans="1:6" ht="20.100000000000001" customHeight="1" x14ac:dyDescent="0.2">
      <c r="A50" s="5" t="str">
        <f>HYPERLINK("#'Constants - Electricity'!A1", "Constants - Electricity")</f>
        <v>Constants - Electricity</v>
      </c>
      <c r="D50" s="1" t="s">
        <v>561</v>
      </c>
      <c r="E50" s="15">
        <f>SUMIF(Table_Input_RECConsumedByEntity[Elegibility], "Elegible", Table_Input_RECConsumedByEntity[Number of certificates])</f>
        <v>0</v>
      </c>
      <c r="F50" s="16" t="s">
        <v>548</v>
      </c>
    </row>
    <row r="51" spans="1:6" ht="20.100000000000001" customHeight="1" x14ac:dyDescent="0.2">
      <c r="A51" s="5" t="str">
        <f>HYPERLINK("#'Constants - Fertiliser'!A1", "Constants - Fertiliser")</f>
        <v>Constants - Fertiliser</v>
      </c>
    </row>
    <row r="52" spans="1:6" ht="20.100000000000001" customHeight="1" x14ac:dyDescent="0.2">
      <c r="A52" s="5" t="str">
        <f>HYPERLINK("#'Constants - Fuel'!A1", "Constants - Fuel")</f>
        <v>Constants - Fuel</v>
      </c>
    </row>
    <row r="53" spans="1:6" ht="20.100000000000001" customHeight="1" x14ac:dyDescent="0.2">
      <c r="A53" s="5" t="str">
        <f>HYPERLINK("#'Constants - Scope 3'!A1", "Constants - Scope 3")</f>
        <v>Constants - Scope 3</v>
      </c>
    </row>
    <row r="54" spans="1:6" ht="20.100000000000001" customHeight="1" x14ac:dyDescent="0.2">
      <c r="A54" s="5" t="str">
        <f>HYPERLINK("#'Constants - Solid Waste'!A1", "Constants - Solid Waste")</f>
        <v>Constants - Solid Waste</v>
      </c>
    </row>
    <row r="55" spans="1:6" ht="20.100000000000001" customHeight="1" x14ac:dyDescent="0.2">
      <c r="A55" s="5" t="str">
        <f>HYPERLINK("#'Constants - Common'!A1", "Constants - Common")</f>
        <v>Constants - Common</v>
      </c>
      <c r="D55" s="148"/>
    </row>
    <row r="56" spans="1:6" ht="20.100000000000001" customHeight="1" x14ac:dyDescent="0.2">
      <c r="A56" s="5" t="str">
        <f>HYPERLINK("#'Acknowledgements'!A1", "Acknowledgements")</f>
        <v>Acknowledgements</v>
      </c>
      <c r="D56" s="148"/>
    </row>
    <row r="365" spans="4:4" ht="20.100000000000001" customHeight="1" x14ac:dyDescent="0.2">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37820501-595C-45AC-914E-4B02F7670ED4}">
      <formula1>"Location-based (simpler), Market-based (more complex)"</formula1>
    </dataValidation>
    <dataValidation type="list" allowBlank="1" showInputMessage="1" showErrorMessage="1" sqref="E37:E39" xr:uid="{0CBAD61C-DB77-41BD-BFEB-81FCF0D558F9}">
      <formula1>"Purchased certificate, Issued for generated electricity"</formula1>
    </dataValidation>
    <dataValidation type="list" allowBlank="1" showInputMessage="1" showErrorMessage="1" sqref="E17" xr:uid="{7BC0EC09-D7CA-48E7-A4C8-1A4B33D6AC4C}">
      <formula1>INDIRECT("Table_SourceData_ElectricityEFs[State, Territory or grid description]")</formula1>
    </dataValidation>
    <dataValidation type="list" allowBlank="1" showInputMessage="1" showErrorMessage="1" sqref="E69" xr:uid="{C580FA36-D218-43F0-91C4-52829AF8B720}">
      <formula1>INDIRECT("Table_SourceData_Swine_IrrigationMethods[Irrigation method]")</formula1>
    </dataValidation>
    <dataValidation type="list" allowBlank="1" showInputMessage="1" showErrorMessage="1" sqref="E253 E258 E263 E297 E292 E287 E165 E153 E129 E141" xr:uid="{40A304DD-CB91-4E90-8D21-F2918A1269A9}">
      <formula1>"Yes, No"</formula1>
    </dataValidation>
    <dataValidation type="list" allowBlank="1" showInputMessage="1" showErrorMessage="1" sqref="E229" xr:uid="{9ACDD00D-3290-476E-9628-5B3719A17CAD}">
      <formula1>INDIRECT("Table_SourceData_Dairy_ProductionSystemTemplates[Area]")</formula1>
    </dataValidation>
    <dataValidation type="list" allowBlank="1" showInputMessage="1" showErrorMessage="1" sqref="D281" xr:uid="{14F22499-8081-4D57-8394-50F55100E0CD}">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34F7D-1366-474C-A073-F0AAF386A099}">
  <sheetPr>
    <tabColor theme="5" tint="-0.249977111117893"/>
  </sheetPr>
  <dimension ref="A1:S195"/>
  <sheetViews>
    <sheetView showGridLines="0" zoomScaleNormal="100" workbookViewId="0">
      <pane xSplit="1" topLeftCell="B1" activePane="topRight" state="frozenSplit"/>
      <selection pane="topRight" activeCell="A55" sqref="A55"/>
    </sheetView>
  </sheetViews>
  <sheetFormatPr defaultColWidth="9" defaultRowHeight="20.100000000000001" customHeight="1" x14ac:dyDescent="0.2"/>
  <cols>
    <col min="1" max="1" width="36.7109375" style="245" customWidth="1"/>
    <col min="2" max="2" width="4.140625" style="245" customWidth="1"/>
    <col min="3" max="3" width="4.140625" style="243" customWidth="1"/>
    <col min="4" max="4" width="41.28515625" style="243" customWidth="1"/>
    <col min="5" max="10" width="26.85546875" style="243" customWidth="1"/>
    <col min="11" max="18" width="30.5703125" style="1" customWidth="1"/>
    <col min="19" max="19" width="4.5703125" style="1" customWidth="1"/>
    <col min="20" max="16384" width="9" style="245"/>
  </cols>
  <sheetData>
    <row r="1" spans="1:19" ht="30" customHeight="1" x14ac:dyDescent="0.35">
      <c r="A1" s="10" t="e" vm="1">
        <v>#VALUE!</v>
      </c>
      <c r="C1" s="27" t="s">
        <v>934</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935</v>
      </c>
      <c r="E5" s="24"/>
      <c r="F5" s="24"/>
      <c r="G5" s="24"/>
      <c r="H5" s="24"/>
      <c r="I5" s="24"/>
      <c r="J5" s="24"/>
    </row>
    <row r="6" spans="1:19" ht="20.100000000000001" customHeight="1" x14ac:dyDescent="0.2">
      <c r="A6"/>
      <c r="C6" s="1"/>
    </row>
    <row r="7" spans="1:19" ht="20.100000000000001" customHeight="1" x14ac:dyDescent="0.2">
      <c r="A7"/>
      <c r="C7" s="1"/>
      <c r="D7" s="78" t="s">
        <v>936</v>
      </c>
      <c r="E7" s="78" t="s">
        <v>937</v>
      </c>
      <c r="F7" s="78" t="s">
        <v>938</v>
      </c>
    </row>
    <row r="8" spans="1:19" ht="20.100000000000001" customHeight="1" x14ac:dyDescent="0.2">
      <c r="A8" s="7" t="s">
        <v>0</v>
      </c>
      <c r="C8" s="1"/>
      <c r="D8" s="33" t="s">
        <v>939</v>
      </c>
      <c r="E8" s="13" t="s">
        <v>940</v>
      </c>
      <c r="F8" s="74">
        <v>100</v>
      </c>
    </row>
    <row r="9" spans="1:19" ht="20.100000000000001" customHeight="1" x14ac:dyDescent="0.2">
      <c r="A9" s="5" t="str">
        <f>HYPERLINK("#'Input - Enterprise'!A1", "Enterprise")</f>
        <v>Enterprise</v>
      </c>
      <c r="C9" s="1"/>
      <c r="D9" s="33" t="s">
        <v>941</v>
      </c>
      <c r="E9" s="83" t="s">
        <v>942</v>
      </c>
      <c r="F9" s="246">
        <v>100</v>
      </c>
    </row>
    <row r="10" spans="1:19" ht="20.100000000000001" customHeight="1" x14ac:dyDescent="0.2">
      <c r="A10" s="5" t="str">
        <f>HYPERLINK("#'Input - Site'!A1", "Site")</f>
        <v>Site</v>
      </c>
      <c r="D10" s="33" t="s">
        <v>943</v>
      </c>
      <c r="E10" s="83" t="s">
        <v>944</v>
      </c>
      <c r="F10" s="246">
        <v>100</v>
      </c>
    </row>
    <row r="11" spans="1:19" ht="20.100000000000001" customHeight="1" x14ac:dyDescent="0.2">
      <c r="A11" s="5" t="str">
        <f>HYPERLINK("#'Input - Swine'!A1", "Swine")</f>
        <v>Swine</v>
      </c>
      <c r="D11" s="33" t="s">
        <v>943</v>
      </c>
      <c r="E11" s="83" t="s">
        <v>944</v>
      </c>
      <c r="F11" s="246">
        <v>100</v>
      </c>
    </row>
    <row r="12" spans="1:19" ht="20.100000000000001" customHeight="1" x14ac:dyDescent="0.2">
      <c r="A12" s="5" t="str">
        <f>HYPERLINK("#'Input - Livestock sales'!A1", "Livestock sales")</f>
        <v>Livestock sales</v>
      </c>
      <c r="C12" s="1"/>
      <c r="D12" s="33" t="s">
        <v>939</v>
      </c>
      <c r="E12" s="83" t="s">
        <v>940</v>
      </c>
      <c r="F12" s="246">
        <v>100</v>
      </c>
    </row>
    <row r="13" spans="1:19" ht="20.100000000000001" customHeight="1" x14ac:dyDescent="0.2">
      <c r="A13" s="5" t="str">
        <f>HYPERLINK("#'Input - Pig purchases'!A1", "Pig purchases")</f>
        <v>Pig purchases</v>
      </c>
      <c r="C13" s="1"/>
      <c r="D13" s="33" t="s">
        <v>939</v>
      </c>
      <c r="E13" s="83" t="s">
        <v>940</v>
      </c>
      <c r="F13" s="246">
        <v>100</v>
      </c>
    </row>
    <row r="14" spans="1:19" ht="20.100000000000001" customHeight="1" x14ac:dyDescent="0.2">
      <c r="A14" s="5" t="str">
        <f>HYPERLINK("#'Input - Fuel'!A1", "Fuel")</f>
        <v>Fuel</v>
      </c>
      <c r="D14" s="33"/>
      <c r="E14" s="13"/>
      <c r="F14" s="74"/>
    </row>
    <row r="15" spans="1:19" ht="20.100000000000001" customHeight="1" x14ac:dyDescent="0.2">
      <c r="A15" s="5" t="str">
        <f>HYPERLINK("#'Input - Electricity'!A1", "Electricity")</f>
        <v>Electricity</v>
      </c>
      <c r="D15" s="33"/>
      <c r="E15" s="13"/>
      <c r="F15" s="74"/>
    </row>
    <row r="16" spans="1:19" ht="20.100000000000001" customHeight="1" x14ac:dyDescent="0.2">
      <c r="A16" s="99" t="str">
        <f>HYPERLINK("#'Input - Common farm inputs'!A1", "Common farm inputs")</f>
        <v>Common farm inputs</v>
      </c>
      <c r="D16" s="33"/>
      <c r="E16" s="13"/>
      <c r="F16" s="74"/>
    </row>
    <row r="17" spans="1:10" ht="20.100000000000001" customHeight="1" x14ac:dyDescent="0.2">
      <c r="A17" s="5" t="str">
        <f>HYPERLINK("#'Input - Livestock farm Inputs'!A1", "Livestock farm Inputs")</f>
        <v>Livestock farm Inputs</v>
      </c>
      <c r="C17" s="1"/>
      <c r="D17" s="33"/>
      <c r="E17" s="13"/>
      <c r="F17" s="74"/>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Manure sent off-site'!A1", "Manure sent off-site")</f>
        <v>Manure sent off-site</v>
      </c>
      <c r="D20" s="2" t="s">
        <v>945</v>
      </c>
    </row>
    <row r="21" spans="1:10" ht="20.100000000000001" customHeight="1" x14ac:dyDescent="0.2">
      <c r="A21" s="5" t="str">
        <f>HYPERLINK("#'Input - Data quality'!A1", "Data quality")</f>
        <v>Data quality</v>
      </c>
      <c r="D21" s="25"/>
      <c r="I21" s="24"/>
      <c r="J21" s="24"/>
    </row>
    <row r="22" spans="1:10" ht="20.100000000000001" customHeight="1" x14ac:dyDescent="0.2">
      <c r="A22" s="5" t="str">
        <f>HYPERLINK("#'Input - Fert Prod System'!A1", "Fert Prod System")</f>
        <v>Fert Prod System</v>
      </c>
      <c r="D22" s="247" t="s">
        <v>946</v>
      </c>
      <c r="E22" s="247" t="s">
        <v>947</v>
      </c>
      <c r="F22" s="247" t="s">
        <v>948</v>
      </c>
      <c r="G22" s="247" t="s">
        <v>583</v>
      </c>
    </row>
    <row r="23" spans="1:10" ht="20.100000000000001" customHeight="1" x14ac:dyDescent="0.2">
      <c r="A23" s="5" t="str">
        <f>HYPERLINK("#'Input - Fertiliser'!A1", "Fertiliser")</f>
        <v>Fertiliser</v>
      </c>
      <c r="D23" s="33" t="s">
        <v>949</v>
      </c>
      <c r="E23" s="33" t="s">
        <v>950</v>
      </c>
      <c r="F23" s="74">
        <v>10000</v>
      </c>
      <c r="G23" s="13" t="s">
        <v>951</v>
      </c>
    </row>
    <row r="24" spans="1:10" ht="20.100000000000001" customHeight="1" x14ac:dyDescent="0.2">
      <c r="A24"/>
      <c r="D24" s="33" t="s">
        <v>952</v>
      </c>
      <c r="E24" s="33" t="s">
        <v>953</v>
      </c>
      <c r="F24" s="74">
        <v>1000</v>
      </c>
      <c r="G24" s="13" t="s">
        <v>954</v>
      </c>
    </row>
    <row r="25" spans="1:10" ht="20.100000000000001" customHeight="1" x14ac:dyDescent="0.2">
      <c r="A25"/>
      <c r="C25" s="1"/>
      <c r="D25" s="33"/>
      <c r="E25" s="33"/>
      <c r="F25" s="74"/>
      <c r="G25" s="13"/>
    </row>
    <row r="26" spans="1:10" ht="20.100000000000001" customHeight="1" x14ac:dyDescent="0.2">
      <c r="A26" s="6" t="s">
        <v>2</v>
      </c>
      <c r="C26" s="1"/>
      <c r="D26" s="33"/>
      <c r="E26" s="33"/>
      <c r="F26" s="74"/>
      <c r="G26" s="13"/>
    </row>
    <row r="27" spans="1:10" ht="20.100000000000001" customHeight="1" x14ac:dyDescent="0.2">
      <c r="A27" s="5" t="str">
        <f>HYPERLINK("#'3.5.1.1-2 Enteric Methane'!A1", "3.5.1.1-2 Enteric Methane")</f>
        <v>3.5.1.1-2 Enteric Methane</v>
      </c>
      <c r="C27" s="1"/>
      <c r="D27" s="33"/>
      <c r="E27" s="33"/>
      <c r="F27" s="74"/>
      <c r="G27" s="13"/>
    </row>
    <row r="28" spans="1:10" ht="20.100000000000001" customHeight="1" x14ac:dyDescent="0.2">
      <c r="A28" s="5" t="str">
        <f>HYPERLINK("#'4.5.1.1-2 Methane'!A1", "4.5.1.1-2 Manure Methane")</f>
        <v>4.5.1.1-2 Manure Methane</v>
      </c>
      <c r="D28" s="33"/>
      <c r="E28" s="33"/>
      <c r="F28" s="74"/>
      <c r="G28" s="13"/>
    </row>
    <row r="29" spans="1:10" ht="20.100000000000001" customHeight="1" x14ac:dyDescent="0.2">
      <c r="A29" s="5" t="str">
        <f>HYPERLINK("#'4.5.1.3-4 Direct N2O'!A1", "4.5.1.3-4 Manure Direct N2O")</f>
        <v>4.5.1.3-4 Manure Direct N2O</v>
      </c>
      <c r="D29" s="33"/>
      <c r="E29" s="33"/>
      <c r="F29" s="74"/>
      <c r="G29" s="13"/>
    </row>
    <row r="30" spans="1:10" ht="20.100000000000001" customHeight="1" x14ac:dyDescent="0.2">
      <c r="A30" s="5" t="str">
        <f>HYPERLINK("#'4.5.1.5-6 Atmos Dep'!A1", "4.5.1.5-6 Manure Atmos Dep")</f>
        <v>4.5.1.5-6 Manure Atmos Dep</v>
      </c>
      <c r="D30" s="33"/>
      <c r="E30" s="33"/>
      <c r="F30" s="74"/>
      <c r="G30" s="13"/>
    </row>
    <row r="31" spans="1:10" ht="20.100000000000001" customHeight="1" x14ac:dyDescent="0.2">
      <c r="A31" s="5" t="str">
        <f>HYPERLINK("#'4.5.1.7-8 Leaching and runoff'!A1", "4.5.1.7-8 Manure Leaching and runoff")</f>
        <v>4.5.1.7-8 Manure Leaching and runoff</v>
      </c>
      <c r="D31" s="33"/>
      <c r="E31" s="33"/>
      <c r="F31" s="74"/>
      <c r="G31" s="13"/>
    </row>
    <row r="32" spans="1:10" ht="20.100000000000001" customHeight="1" x14ac:dyDescent="0.2">
      <c r="A32" s="5" t="str">
        <f>HYPERLINK("#'4.5.1.9 Manure applied to soils'!A1", "4.5.1.9 Manure applied to soils")</f>
        <v>4.5.1.9 Manure applied to soils</v>
      </c>
      <c r="D32" s="33"/>
      <c r="E32" s="33"/>
      <c r="F32" s="74"/>
      <c r="G32" s="13"/>
    </row>
    <row r="33" spans="1:6" ht="20.100000000000001" customHeight="1" x14ac:dyDescent="0.2">
      <c r="A33" s="5" t="str">
        <f>HYPERLINK("#'8.1.1.1-2 Transport fuel'!A1", "8.1.1.1-2 Transport fuel")</f>
        <v>8.1.1.1-2 Transport fuel</v>
      </c>
    </row>
    <row r="34" spans="1:6" ht="20.100000000000001" customHeight="1" x14ac:dyDescent="0.2">
      <c r="A34" s="5" t="str">
        <f>HYPERLINK("#'8.2.1.1-2 Stationary fuel'!A1", "8.2.1.1-2 Stationary fuel")</f>
        <v>8.2.1.1-2 Stationary fuel</v>
      </c>
    </row>
    <row r="35" spans="1:6" ht="20.100000000000001" customHeight="1" x14ac:dyDescent="0.2">
      <c r="A35" s="5" t="str">
        <f>HYPERLINK("#'10.1.1-2 Solid waste treatment'!A1", "10.1.1.1-2 Solid waste")</f>
        <v>10.1.1.1-2 Solid waste</v>
      </c>
      <c r="D35" s="2" t="s">
        <v>955</v>
      </c>
    </row>
    <row r="36" spans="1:6" ht="20.100000000000001" customHeight="1" x14ac:dyDescent="0.2">
      <c r="A36" s="5" t="str">
        <f>HYPERLINK("#'14.1.1-2 Purchased electricity'!A1", "14.1.1-2 Purchased electricity")</f>
        <v>14.1.1-2 Purchased electricity</v>
      </c>
      <c r="D36" s="25"/>
    </row>
    <row r="37" spans="1:6" ht="20.100000000000001" customHeight="1" x14ac:dyDescent="0.2">
      <c r="A37" s="5" t="str">
        <f>HYPERLINK("#'15 Scope 3'!A1", "15 Scope 3")</f>
        <v>15 Scope 3</v>
      </c>
      <c r="D37" s="78" t="s">
        <v>956</v>
      </c>
      <c r="E37" s="78" t="s">
        <v>865</v>
      </c>
      <c r="F37" s="78" t="s">
        <v>583</v>
      </c>
    </row>
    <row r="38" spans="1:6" ht="20.100000000000001" customHeight="1" x14ac:dyDescent="0.2">
      <c r="A38" s="5" t="str">
        <f>HYPERLINK("#'Calcs - Manure sent off-site'!A1", "Calcs - Manure sent off-site")</f>
        <v>Calcs - Manure sent off-site</v>
      </c>
      <c r="D38" s="33" t="s">
        <v>957</v>
      </c>
      <c r="E38" s="74">
        <v>1000</v>
      </c>
      <c r="F38" s="33" t="s">
        <v>746</v>
      </c>
    </row>
    <row r="39" spans="1:6" ht="20.100000000000001" customHeight="1" x14ac:dyDescent="0.2">
      <c r="A39" s="5" t="str">
        <f>HYPERLINK("#'5.1.1.1-2 Inorganic fert N2O'!A1", "5.1.1.1-2 Inorganic fert N2O")</f>
        <v>5.1.1.1-2 Inorganic fert N2O</v>
      </c>
      <c r="D39" s="33"/>
      <c r="E39" s="74"/>
      <c r="F39" s="33"/>
    </row>
    <row r="40" spans="1:6" ht="20.100000000000001" customHeight="1" x14ac:dyDescent="0.2">
      <c r="A40" s="5" t="str">
        <f>HYPERLINK("#'5.1.1.3-4 Inorganic fert CO2'!A1", "5.1.1.3-4 Inorganic fert CO2")</f>
        <v>5.1.1.3-4 Inorganic fert CO2</v>
      </c>
      <c r="D40" s="33"/>
      <c r="E40" s="74"/>
      <c r="F40" s="33"/>
    </row>
    <row r="41" spans="1:6" ht="20.100000000000001" customHeight="1" x14ac:dyDescent="0.2">
      <c r="A41" s="5" t="str">
        <f>HYPERLINK("#'5.2.1.1-2 Organic Fert N2O'!A1", "5.2.1.1-2 Organic Fert N2O")</f>
        <v>5.2.1.1-2 Organic Fert N2O</v>
      </c>
      <c r="D41" s="33"/>
      <c r="E41" s="74"/>
      <c r="F41" s="33"/>
    </row>
    <row r="42" spans="1:6" ht="20.100000000000001" customHeight="1" x14ac:dyDescent="0.2">
      <c r="A42" s="5" t="str">
        <f>HYPERLINK("#'5.3.1.1-2 Lime CO2'!A1", "5.3.1.1-2 Lime CO2")</f>
        <v>5.3.1.1-2 Lime CO2</v>
      </c>
      <c r="D42" s="33"/>
      <c r="E42" s="74"/>
      <c r="F42" s="33"/>
    </row>
    <row r="43" spans="1:6" ht="20.100000000000001" customHeight="1" x14ac:dyDescent="0.2">
      <c r="A43" s="5" t="str">
        <f>HYPERLINK("#'5.4.1.1-4 Atmos deposition'!A1", "5.4.1.1-4 Atmos deposition")</f>
        <v>5.4.1.1-4 Atmos deposition</v>
      </c>
      <c r="D43" s="33"/>
      <c r="E43" s="74"/>
      <c r="F43" s="33"/>
    </row>
    <row r="44" spans="1:6" ht="20.100000000000001" customHeight="1" x14ac:dyDescent="0.2">
      <c r="A44" s="5" t="str">
        <f>HYPERLINK("#'5.5.1.1-2 Leaching and runoff'!A1", "5.5.1.1-2 Leaching and runoff")</f>
        <v>5.5.1.1-2 Leaching and runoff</v>
      </c>
      <c r="C44" s="1"/>
      <c r="D44" s="33"/>
      <c r="E44" s="74"/>
      <c r="F44" s="33"/>
    </row>
    <row r="45" spans="1:6" ht="20.100000000000001" customHeight="1" x14ac:dyDescent="0.2">
      <c r="A45"/>
      <c r="C45" s="1"/>
      <c r="D45" s="33"/>
      <c r="E45" s="74"/>
      <c r="F45" s="33"/>
    </row>
    <row r="46" spans="1:6" ht="20.100000000000001" customHeight="1" x14ac:dyDescent="0.2">
      <c r="A46"/>
      <c r="C46" s="1"/>
      <c r="D46" s="33"/>
      <c r="E46" s="74"/>
      <c r="F46" s="33"/>
    </row>
    <row r="47" spans="1:6" ht="20.100000000000001" customHeight="1" x14ac:dyDescent="0.2">
      <c r="A47" s="79" t="s">
        <v>1</v>
      </c>
      <c r="C47" s="1"/>
      <c r="D47" s="33"/>
      <c r="E47" s="74"/>
      <c r="F47" s="33"/>
    </row>
    <row r="48" spans="1:6" ht="20.100000000000001" customHeight="1" x14ac:dyDescent="0.2">
      <c r="A48" s="5" t="str">
        <f>HYPERLINK("#'Constants - Swine'!A1", "Constants - Swine")</f>
        <v>Constants - Swine</v>
      </c>
      <c r="C48" s="1"/>
    </row>
    <row r="49" spans="1:3" ht="20.100000000000001" customHeight="1" x14ac:dyDescent="0.2">
      <c r="A49" s="5" t="str">
        <f>HYPERLINK("#'Constants - Common livestock'!A1", "Constants - Common Livestock")</f>
        <v>Constants - Common Livestock</v>
      </c>
      <c r="C49" s="1"/>
    </row>
    <row r="50" spans="1:3" ht="20.100000000000001" customHeight="1" x14ac:dyDescent="0.2">
      <c r="A50" s="5" t="str">
        <f>HYPERLINK("#'Constants - Electricity'!A1", "Constants - Electricity")</f>
        <v>Constants - Electricity</v>
      </c>
    </row>
    <row r="51" spans="1:3" ht="20.100000000000001" customHeight="1" x14ac:dyDescent="0.2">
      <c r="A51" s="5" t="str">
        <f>HYPERLINK("#'Constants - Fertiliser'!A1", "Constants - Fertiliser")</f>
        <v>Constants - Fertiliser</v>
      </c>
    </row>
    <row r="52" spans="1:3" ht="20.100000000000001" customHeight="1" x14ac:dyDescent="0.2">
      <c r="A52" s="5" t="str">
        <f>HYPERLINK("#'Constants - Fuel'!A1", "Constants - Fuel")</f>
        <v>Constants - Fuel</v>
      </c>
    </row>
    <row r="53" spans="1:3" ht="20.100000000000001" customHeight="1" x14ac:dyDescent="0.2">
      <c r="A53" s="5" t="str">
        <f>HYPERLINK("#'Constants - Scope 3'!A1", "Constants - Scope 3")</f>
        <v>Constants - Scope 3</v>
      </c>
    </row>
    <row r="54" spans="1:3" ht="20.100000000000001" customHeight="1" x14ac:dyDescent="0.2">
      <c r="A54" s="5" t="str">
        <f>HYPERLINK("#'Constants - Solid Waste'!A1", "Constants - Solid Waste")</f>
        <v>Constants - Solid Waste</v>
      </c>
    </row>
    <row r="55" spans="1:3" ht="20.100000000000001" customHeight="1" x14ac:dyDescent="0.2">
      <c r="A55" s="5" t="str">
        <f>HYPERLINK("#'Constants - Common'!A1", "Constants - Common")</f>
        <v>Constants - Common</v>
      </c>
    </row>
    <row r="56" spans="1:3" ht="20.100000000000001" customHeight="1" x14ac:dyDescent="0.2">
      <c r="A56" s="5" t="str">
        <f>HYPERLINK("#'Acknowledgements'!A1", "Acknowledgements")</f>
        <v>Acknowledgements</v>
      </c>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43"/>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45"/>
    </row>
    <row r="166" spans="1:19" ht="20.100000000000001" customHeight="1" x14ac:dyDescent="0.2">
      <c r="A166"/>
      <c r="S166" s="245"/>
    </row>
    <row r="167" spans="1:19" ht="20.100000000000001" customHeight="1" x14ac:dyDescent="0.2">
      <c r="A167"/>
      <c r="S167" s="245"/>
    </row>
    <row r="168" spans="1:19" ht="20.100000000000001" customHeight="1" x14ac:dyDescent="0.2">
      <c r="A168"/>
      <c r="S168" s="245"/>
    </row>
    <row r="169" spans="1:19" ht="20.100000000000001" customHeight="1" x14ac:dyDescent="0.2">
      <c r="A169"/>
      <c r="S169" s="245"/>
    </row>
    <row r="170" spans="1:19" ht="20.100000000000001" customHeight="1" x14ac:dyDescent="0.2">
      <c r="A170"/>
      <c r="S170" s="245"/>
    </row>
    <row r="171" spans="1:19" ht="20.100000000000001" customHeight="1" x14ac:dyDescent="0.2">
      <c r="A171"/>
      <c r="S171" s="245"/>
    </row>
    <row r="172" spans="1:19" ht="20.100000000000001" customHeight="1" x14ac:dyDescent="0.2">
      <c r="A172"/>
      <c r="S172" s="245"/>
    </row>
    <row r="173" spans="1:19" ht="20.100000000000001" customHeight="1" x14ac:dyDescent="0.2">
      <c r="A173"/>
      <c r="S173" s="245"/>
    </row>
    <row r="174" spans="1:19" ht="20.100000000000001" customHeight="1" x14ac:dyDescent="0.2">
      <c r="A174"/>
      <c r="S174" s="245"/>
    </row>
    <row r="175" spans="1:19" ht="20.100000000000001" customHeight="1" x14ac:dyDescent="0.2">
      <c r="A175"/>
      <c r="S175" s="245"/>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45"/>
    </row>
    <row r="181" spans="1:19" ht="20.100000000000001" customHeight="1" x14ac:dyDescent="0.2">
      <c r="A181"/>
      <c r="S181" s="245"/>
    </row>
    <row r="182" spans="1:19" ht="20.100000000000001" customHeight="1" x14ac:dyDescent="0.2">
      <c r="A182"/>
      <c r="S182" s="245"/>
    </row>
    <row r="183" spans="1:19" ht="20.100000000000001" customHeight="1" x14ac:dyDescent="0.2">
      <c r="A183"/>
      <c r="S183" s="245"/>
    </row>
    <row r="184" spans="1:19" ht="20.100000000000001" customHeight="1" x14ac:dyDescent="0.2">
      <c r="A184"/>
      <c r="S184" s="245"/>
    </row>
    <row r="185" spans="1:19" ht="20.100000000000001" customHeight="1" x14ac:dyDescent="0.2">
      <c r="A185"/>
      <c r="S185" s="245"/>
    </row>
    <row r="186" spans="1:19" ht="20.100000000000001" customHeight="1" x14ac:dyDescent="0.2">
      <c r="A186"/>
      <c r="S186" s="245"/>
    </row>
    <row r="187" spans="1:19" ht="20.100000000000001" customHeight="1" x14ac:dyDescent="0.2">
      <c r="A187"/>
      <c r="S187" s="245"/>
    </row>
    <row r="188" spans="1:19" ht="20.100000000000001" customHeight="1" x14ac:dyDescent="0.2">
      <c r="A188"/>
      <c r="S188" s="245"/>
    </row>
    <row r="189" spans="1:19" ht="20.100000000000001" customHeight="1" x14ac:dyDescent="0.2">
      <c r="A189"/>
      <c r="S189" s="245"/>
    </row>
    <row r="190" spans="1:19" ht="20.100000000000001" customHeight="1" x14ac:dyDescent="0.2">
      <c r="A190"/>
      <c r="S190" s="245"/>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CD2804BD-E4BE-4B2F-860F-1BEA81CB7AED}">
      <formula1>INDIRECT("Table_Scope3_AquacultureFeedBait[Feed / Bait ingredient]")</formula1>
    </dataValidation>
    <dataValidation type="list" allowBlank="1" showInputMessage="1" showErrorMessage="1" sqref="G23:G32" xr:uid="{4F6D46EA-E218-40AD-A188-5DC03191D48D}">
      <formula1>"Hour, Hectare"</formula1>
    </dataValidation>
    <dataValidation type="list" allowBlank="1" showInputMessage="1" showErrorMessage="1" sqref="E8:E17" xr:uid="{4FAF95EB-AFF4-4B16-84BF-61111D02E07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1ACD5-8EBB-493E-B774-F0CAC85D69E9}">
  <sheetPr>
    <tabColor theme="5" tint="-0.249977111117893"/>
  </sheetPr>
  <dimension ref="A1:R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958</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959</v>
      </c>
      <c r="E5" s="243"/>
      <c r="F5" s="243"/>
      <c r="G5" s="243"/>
      <c r="H5" s="243"/>
      <c r="I5" s="243"/>
      <c r="J5" s="243"/>
    </row>
    <row r="6" spans="1:18" ht="20.100000000000001" customHeight="1" x14ac:dyDescent="0.2">
      <c r="D6" s="248" t="s">
        <v>960</v>
      </c>
      <c r="E6" s="249"/>
      <c r="F6" s="250"/>
      <c r="G6" s="243"/>
      <c r="H6" s="243"/>
      <c r="I6" s="243"/>
      <c r="J6" s="243"/>
    </row>
    <row r="7" spans="1:18" ht="20.100000000000001" customHeight="1" x14ac:dyDescent="0.2">
      <c r="D7" s="1" t="str" cm="1">
        <f t="array" ref="D7:D9">Table_SourceData_Scope3_LickBlocks[Product]</f>
        <v>Lick block, dry season mix</v>
      </c>
      <c r="E7" s="74">
        <v>100</v>
      </c>
      <c r="F7" s="16" t="s">
        <v>746</v>
      </c>
      <c r="G7" s="243"/>
      <c r="H7" s="243"/>
      <c r="I7" s="243"/>
      <c r="J7" s="243"/>
    </row>
    <row r="8" spans="1:18" ht="20.100000000000001" customHeight="1" x14ac:dyDescent="0.2">
      <c r="A8" s="7" t="s">
        <v>0</v>
      </c>
      <c r="D8" s="1" t="str">
        <v>Lick block, mineral</v>
      </c>
      <c r="E8" s="74">
        <v>100</v>
      </c>
      <c r="F8" s="16" t="s">
        <v>746</v>
      </c>
      <c r="G8" s="243"/>
      <c r="H8" s="243"/>
      <c r="I8" s="243"/>
      <c r="J8" s="243"/>
    </row>
    <row r="9" spans="1:18" ht="20.100000000000001" customHeight="1" x14ac:dyDescent="0.2">
      <c r="A9" s="5" t="str">
        <f>HYPERLINK("#'Input - Enterprise'!A1", "Enterprise")</f>
        <v>Enterprise</v>
      </c>
      <c r="D9" s="1" t="str">
        <v>Lick block, weaner</v>
      </c>
      <c r="E9" s="74">
        <v>100</v>
      </c>
      <c r="F9" s="16" t="s">
        <v>746</v>
      </c>
      <c r="G9" s="243"/>
      <c r="H9" s="243"/>
      <c r="I9" s="243"/>
      <c r="J9" s="243"/>
    </row>
    <row r="10" spans="1:18" ht="20.100000000000001" customHeight="1" x14ac:dyDescent="0.2">
      <c r="A10" s="5" t="str">
        <f>HYPERLINK("#'Input - Site'!A1", "Site")</f>
        <v>Site</v>
      </c>
      <c r="G10" s="243"/>
      <c r="H10" s="243"/>
      <c r="I10" s="243"/>
      <c r="J10" s="243"/>
    </row>
    <row r="11" spans="1:18" ht="20.100000000000001" customHeight="1" x14ac:dyDescent="0.2">
      <c r="A11" s="5" t="str">
        <f>HYPERLINK("#'Input - Swine'!A1", "Swine")</f>
        <v>Swine</v>
      </c>
      <c r="D11" s="248" t="s">
        <v>961</v>
      </c>
      <c r="E11" s="24"/>
      <c r="F11" s="24"/>
      <c r="G11" s="243"/>
      <c r="H11" s="243"/>
      <c r="I11" s="243"/>
      <c r="J11" s="243"/>
    </row>
    <row r="12" spans="1:18" ht="20.100000000000001" customHeight="1" x14ac:dyDescent="0.2">
      <c r="A12" s="5" t="str">
        <f>HYPERLINK("#'Input - Livestock sales'!A1", "Livestock sales")</f>
        <v>Livestock sales</v>
      </c>
      <c r="D12" s="1" t="str" cm="1">
        <f t="array" ref="D12:D15">Table_SourceData_Scope3_MixedRations[Product]</f>
        <v>Feed for chickens</v>
      </c>
      <c r="E12" s="74">
        <v>100</v>
      </c>
      <c r="F12" s="16" t="s">
        <v>746</v>
      </c>
      <c r="G12" s="243"/>
      <c r="H12" s="243"/>
      <c r="I12" s="243"/>
      <c r="J12" s="243"/>
    </row>
    <row r="13" spans="1:18" ht="20.100000000000001" customHeight="1" x14ac:dyDescent="0.2">
      <c r="A13" s="5" t="str">
        <f>HYPERLINK("#'Input - Pig purchases'!A1", "Pig purchases")</f>
        <v>Pig purchases</v>
      </c>
      <c r="D13" s="1" t="str">
        <v>Feed for dairy calves</v>
      </c>
      <c r="E13" s="74">
        <v>100</v>
      </c>
      <c r="F13" s="16" t="s">
        <v>746</v>
      </c>
      <c r="G13" s="243"/>
      <c r="H13" s="243"/>
      <c r="I13" s="243"/>
      <c r="J13" s="243"/>
    </row>
    <row r="14" spans="1:18" ht="20.100000000000001" customHeight="1" x14ac:dyDescent="0.2">
      <c r="A14" s="5" t="str">
        <f>HYPERLINK("#'Input - Fuel'!A1", "Fuel")</f>
        <v>Fuel</v>
      </c>
      <c r="D14" s="1" t="str">
        <v>Feed for dairy cows</v>
      </c>
      <c r="E14" s="74">
        <v>100</v>
      </c>
      <c r="F14" s="16" t="s">
        <v>746</v>
      </c>
      <c r="G14" s="243"/>
      <c r="H14" s="243"/>
      <c r="I14" s="243"/>
      <c r="J14" s="243"/>
    </row>
    <row r="15" spans="1:18" ht="20.100000000000001" customHeight="1" x14ac:dyDescent="0.2">
      <c r="A15" s="5" t="str">
        <f>HYPERLINK("#'Input - Electricity'!A1", "Electricity")</f>
        <v>Electricity</v>
      </c>
      <c r="D15" s="1" t="str">
        <v>Feed for pigs</v>
      </c>
      <c r="E15" s="74">
        <v>100</v>
      </c>
      <c r="F15" s="16" t="s">
        <v>746</v>
      </c>
      <c r="G15" s="243"/>
      <c r="H15" s="243"/>
      <c r="I15" s="243"/>
      <c r="J15" s="243"/>
    </row>
    <row r="16" spans="1:18" ht="20.100000000000001" customHeight="1" x14ac:dyDescent="0.2">
      <c r="A16" s="5" t="str">
        <f>HYPERLINK("#'Input - Common farm inputs'!A1", "Common farm inputs")</f>
        <v>Common farm inputs</v>
      </c>
      <c r="D16" s="24"/>
      <c r="E16" s="24"/>
      <c r="F16" s="24"/>
      <c r="G16" s="243"/>
      <c r="H16" s="243"/>
      <c r="I16" s="243"/>
      <c r="J16" s="243"/>
    </row>
    <row r="17" spans="1:17" ht="20.100000000000001" customHeight="1" x14ac:dyDescent="0.2">
      <c r="A17" s="99" t="str">
        <f>HYPERLINK("#'Input - Livestock farm Inputs'!A1", "Livestock farm Inputs")</f>
        <v>Livestock farm Inputs</v>
      </c>
      <c r="D17" s="248" t="s">
        <v>962</v>
      </c>
      <c r="E17" s="24"/>
      <c r="F17" s="24"/>
      <c r="G17" s="243"/>
      <c r="H17" s="243"/>
      <c r="I17" s="243"/>
      <c r="J17" s="243"/>
    </row>
    <row r="18" spans="1:17" ht="20.100000000000001" customHeight="1" x14ac:dyDescent="0.2">
      <c r="A18" s="5" t="str">
        <f>HYPERLINK("#'Input - Freight'!A1", "Freight")</f>
        <v>Freight</v>
      </c>
      <c r="D18" s="78" t="s">
        <v>963</v>
      </c>
      <c r="E18" s="78" t="s">
        <v>964</v>
      </c>
      <c r="F18" s="78" t="s">
        <v>708</v>
      </c>
      <c r="G18" s="78" t="s">
        <v>965</v>
      </c>
      <c r="H18" s="78" t="s">
        <v>686</v>
      </c>
      <c r="I18" s="78" t="s">
        <v>966</v>
      </c>
      <c r="J18" s="78" t="s">
        <v>967</v>
      </c>
      <c r="K18" s="78" t="s">
        <v>688</v>
      </c>
      <c r="L18" s="78" t="s">
        <v>968</v>
      </c>
      <c r="M18" s="78" t="s">
        <v>969</v>
      </c>
      <c r="N18" s="78" t="s">
        <v>690</v>
      </c>
      <c r="O18" s="78" t="s">
        <v>970</v>
      </c>
      <c r="P18" s="78" t="s">
        <v>971</v>
      </c>
      <c r="Q18" s="153" t="s">
        <v>692</v>
      </c>
    </row>
    <row r="19" spans="1:17" ht="20.100000000000001" customHeight="1" x14ac:dyDescent="0.2">
      <c r="A19" s="5" t="str">
        <f>HYPERLINK("#'Input - Solid waste'!A1", "Solid waste")</f>
        <v>Solid waste</v>
      </c>
      <c r="D19" s="33"/>
      <c r="E19" s="251">
        <v>1200</v>
      </c>
      <c r="F19" s="13" t="s">
        <v>972</v>
      </c>
      <c r="G19" s="13" t="s">
        <v>490</v>
      </c>
      <c r="H19" s="154">
        <v>0.35</v>
      </c>
      <c r="I19" s="13" t="s">
        <v>973</v>
      </c>
      <c r="J19" s="13" t="s">
        <v>490</v>
      </c>
      <c r="K19" s="154">
        <v>0.22</v>
      </c>
      <c r="L19" s="13" t="s">
        <v>974</v>
      </c>
      <c r="M19" s="13" t="s">
        <v>975</v>
      </c>
      <c r="N19" s="154">
        <v>0.12</v>
      </c>
      <c r="O19" s="13" t="s">
        <v>976</v>
      </c>
      <c r="P19" s="13" t="s">
        <v>488</v>
      </c>
      <c r="Q19" s="154">
        <v>0.05</v>
      </c>
    </row>
    <row r="20" spans="1:17" ht="20.100000000000001" customHeight="1" x14ac:dyDescent="0.2">
      <c r="A20" s="5" t="str">
        <f>HYPERLINK("#'Input - Manure sent off-site'!A1", "Manure sent off-site")</f>
        <v>Manure sent off-site</v>
      </c>
      <c r="D20" s="33"/>
      <c r="E20" s="251">
        <v>3456</v>
      </c>
      <c r="F20" s="13" t="s">
        <v>977</v>
      </c>
      <c r="G20" s="13" t="s">
        <v>975</v>
      </c>
      <c r="H20" s="154">
        <v>0.2</v>
      </c>
      <c r="I20" s="13" t="s">
        <v>977</v>
      </c>
      <c r="J20" s="13" t="s">
        <v>486</v>
      </c>
      <c r="K20" s="154">
        <v>0.2</v>
      </c>
      <c r="L20" s="13"/>
      <c r="M20" s="13"/>
      <c r="N20" s="154"/>
      <c r="O20" s="13"/>
      <c r="P20" s="13"/>
      <c r="Q20" s="154"/>
    </row>
    <row r="21" spans="1:17" ht="20.100000000000001" customHeight="1" x14ac:dyDescent="0.2">
      <c r="A21" s="5" t="str">
        <f>HYPERLINK("#'Input - Data quality'!A1", "Data quality")</f>
        <v>Data quality</v>
      </c>
      <c r="D21" s="33" t="s">
        <v>978</v>
      </c>
      <c r="E21" s="251">
        <v>300</v>
      </c>
      <c r="F21" s="13" t="s">
        <v>979</v>
      </c>
      <c r="G21" s="13" t="s">
        <v>490</v>
      </c>
      <c r="H21" s="154">
        <v>0.8</v>
      </c>
      <c r="I21" s="13" t="s">
        <v>980</v>
      </c>
      <c r="J21" s="13" t="s">
        <v>981</v>
      </c>
      <c r="K21" s="154">
        <v>0.2</v>
      </c>
      <c r="L21" s="13"/>
      <c r="M21" s="13"/>
      <c r="N21" s="154"/>
      <c r="O21" s="13"/>
      <c r="P21" s="13"/>
      <c r="Q21" s="154"/>
    </row>
    <row r="22" spans="1:17" ht="20.100000000000001" customHeight="1" x14ac:dyDescent="0.2">
      <c r="A22" s="5" t="str">
        <f>HYPERLINK("#'Input - Fert Prod System'!A1", "Fert Prod System")</f>
        <v>Fert Prod System</v>
      </c>
      <c r="D22" s="33"/>
      <c r="E22" s="251">
        <v>500</v>
      </c>
      <c r="F22" s="13" t="s">
        <v>982</v>
      </c>
      <c r="G22" s="13" t="s">
        <v>492</v>
      </c>
      <c r="H22" s="154">
        <v>1</v>
      </c>
      <c r="I22" s="13"/>
      <c r="J22" s="13"/>
      <c r="K22" s="154"/>
      <c r="L22" s="13"/>
      <c r="M22" s="13"/>
      <c r="N22" s="154"/>
      <c r="O22" s="13"/>
      <c r="P22" s="13"/>
      <c r="Q22" s="154"/>
    </row>
    <row r="23" spans="1:17" ht="20.100000000000001" customHeight="1" x14ac:dyDescent="0.2">
      <c r="A23" s="5" t="str">
        <f>HYPERLINK("#'Input - Fertiliser'!A1", "Fertiliser")</f>
        <v>Fertiliser</v>
      </c>
      <c r="D23" s="33"/>
      <c r="E23" s="251"/>
      <c r="F23" s="13"/>
      <c r="G23" s="13"/>
      <c r="H23" s="154"/>
      <c r="I23" s="13"/>
      <c r="J23" s="13"/>
      <c r="K23" s="154"/>
      <c r="L23" s="13"/>
      <c r="M23" s="13"/>
      <c r="N23" s="154"/>
      <c r="O23" s="13"/>
      <c r="P23" s="13"/>
      <c r="Q23" s="154"/>
    </row>
    <row r="24" spans="1:17" ht="20.100000000000001" customHeight="1" x14ac:dyDescent="0.2">
      <c r="D24" s="33"/>
      <c r="E24" s="251"/>
      <c r="F24" s="13"/>
      <c r="G24" s="13"/>
      <c r="H24" s="154"/>
      <c r="I24" s="13"/>
      <c r="J24" s="13"/>
      <c r="K24" s="154"/>
      <c r="L24" s="13"/>
      <c r="M24" s="13"/>
      <c r="N24" s="154"/>
      <c r="O24" s="13"/>
      <c r="P24" s="13"/>
      <c r="Q24" s="154"/>
    </row>
    <row r="25" spans="1:17" ht="20.100000000000001" customHeight="1" x14ac:dyDescent="0.2">
      <c r="D25" s="33"/>
      <c r="E25" s="251"/>
      <c r="F25" s="13"/>
      <c r="G25" s="13"/>
      <c r="H25" s="154"/>
      <c r="I25" s="13"/>
      <c r="J25" s="13"/>
      <c r="K25" s="154"/>
      <c r="L25" s="13"/>
      <c r="M25" s="13"/>
      <c r="N25" s="154"/>
      <c r="O25" s="13"/>
      <c r="P25" s="13"/>
      <c r="Q25" s="154"/>
    </row>
    <row r="26" spans="1:17" ht="20.100000000000001" customHeight="1" x14ac:dyDescent="0.2">
      <c r="A26" s="6" t="s">
        <v>2</v>
      </c>
      <c r="D26" s="33"/>
      <c r="E26" s="251"/>
      <c r="F26" s="13"/>
      <c r="G26" s="13"/>
      <c r="H26" s="154"/>
      <c r="I26" s="13"/>
      <c r="J26" s="13"/>
      <c r="K26" s="154"/>
      <c r="L26" s="13"/>
      <c r="M26" s="13"/>
      <c r="N26" s="154"/>
      <c r="O26" s="13"/>
      <c r="P26" s="13"/>
      <c r="Q26" s="154"/>
    </row>
    <row r="27" spans="1:17" ht="20.100000000000001" customHeight="1" x14ac:dyDescent="0.2">
      <c r="A27" s="5" t="str">
        <f>HYPERLINK("#'3.5.1.1-2 Enteric Methane'!A1", "3.5.1.1-2 Enteric Methane")</f>
        <v>3.5.1.1-2 Enteric Methane</v>
      </c>
      <c r="D27" s="33"/>
      <c r="E27" s="251"/>
      <c r="F27" s="13"/>
      <c r="G27" s="13"/>
      <c r="H27" s="154"/>
      <c r="I27" s="13"/>
      <c r="J27" s="13"/>
      <c r="K27" s="154"/>
      <c r="L27" s="13"/>
      <c r="M27" s="13"/>
      <c r="N27" s="154"/>
      <c r="O27" s="13"/>
      <c r="P27" s="13"/>
      <c r="Q27" s="154"/>
    </row>
    <row r="28" spans="1:17" ht="20.100000000000001" customHeight="1" x14ac:dyDescent="0.2">
      <c r="A28" s="5" t="str">
        <f>HYPERLINK("#'4.5.1.1-2 Methane'!A1", "4.5.1.1-2 Manure Methane")</f>
        <v>4.5.1.1-2 Manure Methane</v>
      </c>
      <c r="D28" s="33"/>
      <c r="E28" s="251"/>
      <c r="F28" s="13"/>
      <c r="G28" s="13"/>
      <c r="H28" s="154"/>
      <c r="I28" s="13"/>
      <c r="J28" s="13"/>
      <c r="K28" s="154"/>
      <c r="L28" s="13"/>
      <c r="M28" s="13"/>
      <c r="N28" s="154"/>
      <c r="O28" s="13"/>
      <c r="P28" s="13"/>
      <c r="Q28" s="154"/>
    </row>
    <row r="29" spans="1:17" ht="20.100000000000001" customHeight="1" x14ac:dyDescent="0.2">
      <c r="A29" s="5" t="str">
        <f>HYPERLINK("#'4.5.1.3-4 Direct N2O'!A1", "4.5.1.3-4 Manure Direct N2O")</f>
        <v>4.5.1.3-4 Manure Direct N2O</v>
      </c>
    </row>
    <row r="30" spans="1:17" ht="20.100000000000001" customHeight="1" x14ac:dyDescent="0.2">
      <c r="A30" s="5" t="str">
        <f>HYPERLINK("#'4.5.1.5-6 Atmos Dep'!A1", "4.5.1.5-6 Manure Atmos Dep")</f>
        <v>4.5.1.5-6 Manure Atmos Dep</v>
      </c>
    </row>
    <row r="31" spans="1:17" ht="20.100000000000001" customHeight="1" x14ac:dyDescent="0.2">
      <c r="A31" s="5" t="str">
        <f>HYPERLINK("#'4.5.1.7-8 Leaching and runoff'!A1", "4.5.1.7-8 Manure Leaching and runoff")</f>
        <v>4.5.1.7-8 Manure Leaching and runoff</v>
      </c>
      <c r="D31" s="248" t="s">
        <v>983</v>
      </c>
    </row>
    <row r="32" spans="1:17" ht="20.100000000000001" customHeight="1" x14ac:dyDescent="0.2">
      <c r="A32" s="5" t="str">
        <f>HYPERLINK("#'4.5.1.9 Manure applied to soils'!A1", "4.5.1.9 Manure applied to soils")</f>
        <v>4.5.1.9 Manure applied to soils</v>
      </c>
      <c r="D32" s="78" t="s">
        <v>936</v>
      </c>
      <c r="E32" s="78" t="s">
        <v>937</v>
      </c>
      <c r="F32" s="78" t="s">
        <v>984</v>
      </c>
    </row>
    <row r="33" spans="1:6" ht="20.100000000000001" customHeight="1" x14ac:dyDescent="0.2">
      <c r="A33" s="5" t="str">
        <f>HYPERLINK("#'8.1.1.1-2 Transport fuel'!A1", "8.1.1.1-2 Transport fuel")</f>
        <v>8.1.1.1-2 Transport fuel</v>
      </c>
      <c r="D33" s="33" t="s">
        <v>985</v>
      </c>
      <c r="E33" s="202" t="s">
        <v>986</v>
      </c>
      <c r="F33" s="74">
        <v>100</v>
      </c>
    </row>
    <row r="34" spans="1:6" ht="20.100000000000001" customHeight="1" x14ac:dyDescent="0.2">
      <c r="A34" s="5" t="str">
        <f>HYPERLINK("#'8.2.1.1-2 Stationary fuel'!A1", "8.2.1.1-2 Stationary fuel")</f>
        <v>8.2.1.1-2 Stationary fuel</v>
      </c>
      <c r="D34" s="33" t="s">
        <v>987</v>
      </c>
      <c r="E34" s="252" t="s">
        <v>988</v>
      </c>
      <c r="F34" s="246">
        <v>100</v>
      </c>
    </row>
    <row r="35" spans="1:6" ht="20.100000000000001" customHeight="1" x14ac:dyDescent="0.2">
      <c r="A35" s="5" t="str">
        <f>HYPERLINK("#'10.1.1-2 Solid waste treatment'!A1", "10.1.1.1-2 Solid waste")</f>
        <v>10.1.1.1-2 Solid waste</v>
      </c>
      <c r="D35" s="33" t="s">
        <v>989</v>
      </c>
      <c r="E35" s="252" t="s">
        <v>990</v>
      </c>
      <c r="F35" s="246">
        <v>100</v>
      </c>
    </row>
    <row r="36" spans="1:6" ht="20.100000000000001" customHeight="1" x14ac:dyDescent="0.2">
      <c r="A36" s="5" t="str">
        <f>HYPERLINK("#'14.1.1-2 Purchased electricity'!A1", "14.1.1-2 Purchased electricity")</f>
        <v>14.1.1-2 Purchased electricity</v>
      </c>
      <c r="D36" s="33" t="s">
        <v>991</v>
      </c>
      <c r="E36" s="252" t="s">
        <v>992</v>
      </c>
      <c r="F36" s="246">
        <v>100</v>
      </c>
    </row>
    <row r="37" spans="1:6" ht="20.100000000000001" customHeight="1" x14ac:dyDescent="0.2">
      <c r="A37" s="5" t="str">
        <f>HYPERLINK("#'15 Scope 3'!A1", "15 Scope 3")</f>
        <v>15 Scope 3</v>
      </c>
      <c r="D37" s="33" t="s">
        <v>985</v>
      </c>
      <c r="E37" s="252" t="s">
        <v>986</v>
      </c>
      <c r="F37" s="246">
        <v>100</v>
      </c>
    </row>
    <row r="38" spans="1:6" ht="20.100000000000001" customHeight="1" x14ac:dyDescent="0.2">
      <c r="A38" s="5" t="str">
        <f>HYPERLINK("#'Calcs - Manure sent off-site'!A1", "Calcs - Manure sent off-site")</f>
        <v>Calcs - Manure sent off-site</v>
      </c>
      <c r="D38" s="33" t="s">
        <v>987</v>
      </c>
      <c r="E38" s="252" t="s">
        <v>988</v>
      </c>
      <c r="F38" s="246">
        <v>100</v>
      </c>
    </row>
    <row r="39" spans="1:6" ht="20.100000000000001" customHeight="1" x14ac:dyDescent="0.2">
      <c r="A39" s="5" t="str">
        <f>HYPERLINK("#'5.1.1.1-2 Inorganic fert N2O'!A1", "5.1.1.1-2 Inorganic fert N2O")</f>
        <v>5.1.1.1-2 Inorganic fert N2O</v>
      </c>
      <c r="D39" s="33"/>
      <c r="E39" s="202"/>
      <c r="F39" s="74"/>
    </row>
    <row r="40" spans="1:6" ht="20.100000000000001" customHeight="1" x14ac:dyDescent="0.2">
      <c r="A40" s="5" t="str">
        <f>HYPERLINK("#'5.1.1.3-4 Inorganic fert CO2'!A1", "5.1.1.3-4 Inorganic fert CO2")</f>
        <v>5.1.1.3-4 Inorganic fert CO2</v>
      </c>
      <c r="D40" s="33"/>
      <c r="E40" s="202"/>
      <c r="F40" s="74"/>
    </row>
    <row r="41" spans="1:6" ht="20.100000000000001" customHeight="1" x14ac:dyDescent="0.2">
      <c r="A41" s="5" t="str">
        <f>HYPERLINK("#'5.2.1.1-2 Organic Fert N2O'!A1", "5.2.1.1-2 Organic Fert N2O")</f>
        <v>5.2.1.1-2 Organic Fert N2O</v>
      </c>
      <c r="D41" s="33"/>
      <c r="E41" s="202"/>
      <c r="F41" s="74"/>
    </row>
    <row r="42" spans="1:6" ht="20.100000000000001" customHeight="1" x14ac:dyDescent="0.2">
      <c r="A42" s="5" t="str">
        <f>HYPERLINK("#'5.3.1.1-2 Lime CO2'!A1", "5.3.1.1-2 Lime CO2")</f>
        <v>5.3.1.1-2 Lime CO2</v>
      </c>
      <c r="D42" s="33"/>
      <c r="E42" s="202"/>
      <c r="F42" s="74"/>
    </row>
    <row r="43" spans="1:6" ht="20.100000000000001" customHeight="1" x14ac:dyDescent="0.2">
      <c r="A43" s="5" t="str">
        <f>HYPERLINK("#'5.4.1.1-4 Atmos deposition'!A1", "5.4.1.1-4 Atmos deposition")</f>
        <v>5.4.1.1-4 Atmos deposition</v>
      </c>
    </row>
    <row r="44" spans="1:6" ht="20.100000000000001" customHeight="1" x14ac:dyDescent="0.2">
      <c r="A44" s="5" t="str">
        <f>HYPERLINK("#'5.5.1.1-2 Leaching and runoff'!A1", "5.5.1.1-2 Leaching and runoff")</f>
        <v>5.5.1.1-2 Leaching and runoff</v>
      </c>
    </row>
    <row r="46" spans="1:6" ht="20.100000000000001" customHeight="1" x14ac:dyDescent="0.2">
      <c r="D46" s="2" t="s">
        <v>993</v>
      </c>
      <c r="E46" s="243"/>
      <c r="F46" s="243"/>
    </row>
    <row r="47" spans="1:6" ht="20.100000000000001" customHeight="1" x14ac:dyDescent="0.2">
      <c r="A47" s="79" t="s">
        <v>1</v>
      </c>
      <c r="D47" s="1" t="str">
        <f>'Constants - Scope 3'!E202</f>
        <v>Animal ear tags (large)</v>
      </c>
      <c r="E47" s="74">
        <v>100</v>
      </c>
      <c r="F47" s="16" t="s">
        <v>994</v>
      </c>
    </row>
    <row r="48" spans="1:6" ht="20.100000000000001" customHeight="1" x14ac:dyDescent="0.2">
      <c r="A48" s="5" t="str">
        <f>HYPERLINK("#'Constants - Swine'!A1", "Constants - Swine")</f>
        <v>Constants - Swine</v>
      </c>
      <c r="D48" s="1" t="str">
        <f>'Constants - Scope 3'!E203</f>
        <v>Animal ear tags (small)</v>
      </c>
      <c r="E48" s="74">
        <v>200</v>
      </c>
      <c r="F48" s="16" t="s">
        <v>994</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3">
    <dataValidation type="list" allowBlank="1" showInputMessage="1" showErrorMessage="1" sqref="E33:E42" xr:uid="{362F590D-F69A-4759-9BD2-E1CB31FEBEC6}">
      <formula1>INDIRECT("Table_SourceData_Scope3_ChemicalsPharmacy[Product]")</formula1>
    </dataValidation>
    <dataValidation type="list" allowBlank="1" showInputMessage="1" showErrorMessage="1" sqref="M19:M28 P19:P28 J19:J28 G19:G28" xr:uid="{11BDF3FF-4C43-4D5C-ACB8-E97E14D31D2E}">
      <formula1>INDIRECT("Table_ProductRegions_" &amp; SUBSTITUTE(SUBSTITUTE(SUBSTITUTE(SUBSTITUTE(F19, " ", ""), ",", ""), "(", ""), ")", "") &amp; "[Region]")</formula1>
    </dataValidation>
    <dataValidation type="list" allowBlank="1" showInputMessage="1" showErrorMessage="1" sqref="F19:F28 I19:I28 L19:L28 O19:O28" xr:uid="{2D05FC7B-A371-4F29-81CC-5A21EEC3DEF6}">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9062F-3F20-4733-97BA-2C0A6058F929}">
  <sheetPr>
    <tabColor theme="5" tint="-0.249977111117893"/>
  </sheetPr>
  <dimension ref="A1:J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995</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996</v>
      </c>
    </row>
    <row r="8" spans="1:10" ht="20.100000000000001" customHeight="1" x14ac:dyDescent="0.2">
      <c r="A8" s="7" t="s">
        <v>0</v>
      </c>
      <c r="D8" s="19" t="s">
        <v>997</v>
      </c>
      <c r="E8" s="19" t="s">
        <v>998</v>
      </c>
      <c r="F8" s="19" t="s">
        <v>999</v>
      </c>
      <c r="G8" s="19" t="s">
        <v>1000</v>
      </c>
      <c r="H8" s="19" t="s">
        <v>1001</v>
      </c>
    </row>
    <row r="9" spans="1:10" ht="20.100000000000001" customHeight="1" x14ac:dyDescent="0.2">
      <c r="A9" s="5" t="str">
        <f>HYPERLINK("#'Input - Enterprise'!A1", "Enterprise")</f>
        <v>Enterprise</v>
      </c>
      <c r="D9" s="33" t="s">
        <v>1002</v>
      </c>
      <c r="E9" s="13" t="s">
        <v>1003</v>
      </c>
      <c r="F9" s="19">
        <v>986</v>
      </c>
      <c r="G9" s="19">
        <v>10</v>
      </c>
      <c r="H9" s="19">
        <v>52</v>
      </c>
    </row>
    <row r="10" spans="1:10" ht="20.100000000000001" customHeight="1" x14ac:dyDescent="0.2">
      <c r="A10" s="5" t="str">
        <f>HYPERLINK("#'Input - Site'!A1", "Site")</f>
        <v>Site</v>
      </c>
      <c r="D10" s="33" t="s">
        <v>1004</v>
      </c>
      <c r="E10" s="13" t="s">
        <v>1005</v>
      </c>
      <c r="F10" s="19">
        <v>65</v>
      </c>
      <c r="G10" s="19">
        <v>10</v>
      </c>
      <c r="H10" s="19">
        <v>6</v>
      </c>
    </row>
    <row r="11" spans="1:10" ht="20.100000000000001" customHeight="1" x14ac:dyDescent="0.2">
      <c r="A11" s="5" t="str">
        <f>HYPERLINK("#'Input - Swine'!A1", "Swine")</f>
        <v>Swine</v>
      </c>
      <c r="D11" s="33"/>
      <c r="E11" s="13"/>
      <c r="F11" s="19"/>
      <c r="G11" s="19"/>
      <c r="H11" s="19"/>
    </row>
    <row r="12" spans="1:10" ht="20.100000000000001" customHeight="1" x14ac:dyDescent="0.2">
      <c r="A12" s="5" t="str">
        <f>HYPERLINK("#'Input - Livestock sales'!A1", "Livestock sales")</f>
        <v>Livestock sales</v>
      </c>
      <c r="D12" s="33"/>
      <c r="E12" s="13"/>
      <c r="F12" s="19"/>
      <c r="G12" s="19"/>
      <c r="H12" s="19"/>
    </row>
    <row r="13" spans="1:10" ht="20.100000000000001" customHeight="1" x14ac:dyDescent="0.2">
      <c r="A13" s="5" t="str">
        <f>HYPERLINK("#'Input - Pig purchases'!A1", "Pig purchases")</f>
        <v>Pig purchases</v>
      </c>
      <c r="D13" s="33"/>
      <c r="E13" s="13"/>
      <c r="F13" s="19"/>
      <c r="G13" s="19"/>
      <c r="H13" s="19"/>
    </row>
    <row r="14" spans="1:10" ht="20.100000000000001" customHeight="1" x14ac:dyDescent="0.2">
      <c r="A14" s="5" t="str">
        <f>HYPERLINK("#'Input - Fuel'!A1", "Fuel")</f>
        <v>Fuel</v>
      </c>
      <c r="D14" s="33"/>
      <c r="E14" s="13"/>
      <c r="F14" s="19"/>
      <c r="G14" s="19"/>
      <c r="H14" s="19"/>
    </row>
    <row r="15" spans="1:10" ht="20.100000000000001" customHeight="1" x14ac:dyDescent="0.2">
      <c r="A15" s="5" t="str">
        <f>HYPERLINK("#'Input - Electricity'!A1", "Electricity")</f>
        <v>Electricity</v>
      </c>
      <c r="D15" s="33"/>
      <c r="E15" s="13"/>
      <c r="F15" s="19"/>
      <c r="G15" s="19"/>
      <c r="H15" s="19"/>
    </row>
    <row r="16" spans="1:10" ht="20.100000000000001" customHeight="1" x14ac:dyDescent="0.2">
      <c r="A16" s="5" t="str">
        <f>HYPERLINK("#'Input - Common farm inputs'!A1", "Common farm inputs")</f>
        <v>Common farm inputs</v>
      </c>
      <c r="D16" s="33"/>
      <c r="E16" s="13"/>
      <c r="F16" s="19"/>
      <c r="G16" s="19"/>
      <c r="H16" s="19"/>
    </row>
    <row r="17" spans="1:8" ht="20.100000000000001" customHeight="1" x14ac:dyDescent="0.2">
      <c r="A17" s="5" t="str">
        <f>HYPERLINK("#'Input - Livestock farm Inputs'!A1", "Livestock farm Inputs")</f>
        <v>Livestock farm Inputs</v>
      </c>
      <c r="D17" s="33"/>
      <c r="E17" s="13"/>
      <c r="F17" s="19"/>
      <c r="G17" s="19"/>
      <c r="H17" s="19"/>
    </row>
    <row r="18" spans="1:8" ht="20.100000000000001" customHeight="1" x14ac:dyDescent="0.2">
      <c r="A18" s="99" t="str">
        <f>HYPERLINK("#'Input - Freight'!A1", "Freight")</f>
        <v>Freight</v>
      </c>
      <c r="D18" s="33"/>
      <c r="E18" s="13"/>
      <c r="F18" s="19"/>
      <c r="G18" s="19"/>
      <c r="H18" s="19"/>
    </row>
    <row r="19" spans="1:8" ht="20.100000000000001" customHeight="1" x14ac:dyDescent="0.2">
      <c r="A19" s="5" t="str">
        <f>HYPERLINK("#'Input - Solid waste'!A1", "Solid waste")</f>
        <v>Solid waste</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row>
    <row r="22" spans="1:8" ht="20.100000000000001" customHeight="1" x14ac:dyDescent="0.2">
      <c r="A22" s="5" t="str">
        <f>HYPERLINK("#'Input - Fert Prod System'!A1", "Fert Prod System")</f>
        <v>Fert Prod System</v>
      </c>
      <c r="D22" s="2" t="s">
        <v>1006</v>
      </c>
    </row>
    <row r="23" spans="1:8" ht="20.100000000000001" customHeight="1" x14ac:dyDescent="0.2">
      <c r="A23" s="5" t="str">
        <f>HYPERLINK("#'Input - Fertiliser'!A1", "Fertiliser")</f>
        <v>Fertiliser</v>
      </c>
    </row>
    <row r="24" spans="1:8" ht="20.100000000000001" customHeight="1" x14ac:dyDescent="0.2">
      <c r="D24" s="19" t="s">
        <v>997</v>
      </c>
      <c r="E24" s="19" t="s">
        <v>998</v>
      </c>
      <c r="F24" s="19" t="s">
        <v>999</v>
      </c>
      <c r="G24" s="19" t="s">
        <v>1000</v>
      </c>
      <c r="H24" s="19" t="s">
        <v>1001</v>
      </c>
    </row>
    <row r="25" spans="1:8" ht="20.100000000000001" customHeight="1" x14ac:dyDescent="0.2">
      <c r="D25" s="33" t="s">
        <v>1007</v>
      </c>
      <c r="E25" s="13" t="s">
        <v>1003</v>
      </c>
      <c r="F25" s="19">
        <v>65</v>
      </c>
      <c r="G25" s="19">
        <v>20</v>
      </c>
      <c r="H25" s="19">
        <v>52</v>
      </c>
    </row>
    <row r="26" spans="1:8" ht="20.100000000000001" customHeight="1" x14ac:dyDescent="0.2">
      <c r="A26" s="6" t="s">
        <v>2</v>
      </c>
      <c r="D26" s="33"/>
      <c r="E26" s="13"/>
      <c r="F26" s="19"/>
      <c r="G26" s="19"/>
      <c r="H26" s="19"/>
    </row>
    <row r="27" spans="1:8" ht="20.100000000000001" customHeight="1" x14ac:dyDescent="0.2">
      <c r="A27" s="5" t="str">
        <f>HYPERLINK("#'3.5.1.1-2 Enteric Methane'!A1", "3.5.1.1-2 Enteric Methane")</f>
        <v>3.5.1.1-2 Enteric Methane</v>
      </c>
      <c r="D27" s="33"/>
      <c r="E27" s="13"/>
      <c r="F27" s="19"/>
      <c r="G27" s="19"/>
      <c r="H27" s="19"/>
    </row>
    <row r="28" spans="1:8" ht="20.100000000000001" customHeight="1" x14ac:dyDescent="0.2">
      <c r="A28" s="5" t="str">
        <f>HYPERLINK("#'4.5.1.1-2 Methane'!A1", "4.5.1.1-2 Manure Methane")</f>
        <v>4.5.1.1-2 Manure Methane</v>
      </c>
      <c r="D28" s="33"/>
      <c r="E28" s="13"/>
      <c r="F28" s="19"/>
      <c r="G28" s="19"/>
      <c r="H28" s="19"/>
    </row>
    <row r="29" spans="1:8" ht="20.100000000000001" customHeight="1" x14ac:dyDescent="0.2">
      <c r="A29" s="5" t="str">
        <f>HYPERLINK("#'4.5.1.3-4 Direct N2O'!A1", "4.5.1.3-4 Manure Direct N2O")</f>
        <v>4.5.1.3-4 Manure Direct N2O</v>
      </c>
      <c r="D29" s="33"/>
      <c r="E29" s="13"/>
      <c r="F29" s="19"/>
      <c r="G29" s="19"/>
      <c r="H29" s="19"/>
    </row>
    <row r="30" spans="1:8" ht="20.100000000000001" customHeight="1" x14ac:dyDescent="0.2">
      <c r="A30" s="5" t="str">
        <f>HYPERLINK("#'4.5.1.5-6 Atmos Dep'!A1", "4.5.1.5-6 Manure Atmos Dep")</f>
        <v>4.5.1.5-6 Manure Atmos Dep</v>
      </c>
      <c r="D30" s="33"/>
      <c r="E30" s="13"/>
      <c r="F30" s="19"/>
      <c r="G30" s="19"/>
      <c r="H30" s="19"/>
    </row>
    <row r="31" spans="1:8" ht="20.100000000000001" customHeight="1" x14ac:dyDescent="0.2">
      <c r="A31" s="5" t="str">
        <f>HYPERLINK("#'4.5.1.7-8 Leaching and runoff'!A1", "4.5.1.7-8 Manure Leaching and runoff")</f>
        <v>4.5.1.7-8 Manure Leaching and runoff</v>
      </c>
      <c r="D31" s="33"/>
      <c r="E31" s="13"/>
      <c r="F31" s="19"/>
      <c r="G31" s="19"/>
      <c r="H31" s="19"/>
    </row>
    <row r="32" spans="1:8" ht="20.100000000000001" customHeight="1" x14ac:dyDescent="0.2">
      <c r="A32" s="5" t="str">
        <f>HYPERLINK("#'4.5.1.9 Manure applied to soils'!A1", "4.5.1.9 Manure applied to soils")</f>
        <v>4.5.1.9 Manure applied to soils</v>
      </c>
      <c r="D32" s="33"/>
      <c r="E32" s="13"/>
      <c r="F32" s="19"/>
      <c r="G32" s="19"/>
      <c r="H32" s="19"/>
    </row>
    <row r="33" spans="1:8" ht="20.100000000000001" customHeight="1" x14ac:dyDescent="0.2">
      <c r="A33" s="5" t="str">
        <f>HYPERLINK("#'8.1.1.1-2 Transport fuel'!A1", "8.1.1.1-2 Transport fuel")</f>
        <v>8.1.1.1-2 Transport fuel</v>
      </c>
      <c r="D33" s="33"/>
      <c r="E33" s="13"/>
      <c r="F33" s="19"/>
      <c r="G33" s="19"/>
      <c r="H33" s="19"/>
    </row>
    <row r="34" spans="1:8" ht="20.100000000000001" customHeight="1" x14ac:dyDescent="0.2">
      <c r="A34" s="5" t="str">
        <f>HYPERLINK("#'8.2.1.1-2 Stationary fuel'!A1", "8.2.1.1-2 Stationary fuel")</f>
        <v>8.2.1.1-2 Stationary fuel</v>
      </c>
      <c r="D34" s="33"/>
      <c r="E34" s="13"/>
      <c r="F34" s="19"/>
      <c r="G34" s="19"/>
      <c r="H34" s="19"/>
    </row>
    <row r="35" spans="1:8" ht="20.100000000000001" customHeight="1" x14ac:dyDescent="0.2">
      <c r="A35" s="5" t="str">
        <f>HYPERLINK("#'10.1.1-2 Solid waste treatment'!A1", "10.1.1.1-2 Solid waste")</f>
        <v>10.1.1.1-2 Solid waste</v>
      </c>
    </row>
    <row r="36" spans="1:8" ht="20.100000000000001" customHeight="1" x14ac:dyDescent="0.2">
      <c r="A36" s="5" t="str">
        <f>HYPERLINK("#'14.1.1-2 Purchased electricity'!A1", "14.1.1-2 Purchased electricity")</f>
        <v>14.1.1-2 Purchased electricity</v>
      </c>
    </row>
    <row r="37" spans="1:8" ht="20.100000000000001" customHeight="1" x14ac:dyDescent="0.2">
      <c r="A37" s="5" t="str">
        <f>HYPERLINK("#'15 Scope 3'!A1", "15 Scope 3")</f>
        <v>15 Scope 3</v>
      </c>
    </row>
    <row r="38" spans="1:8" ht="20.100000000000001" customHeight="1" x14ac:dyDescent="0.2">
      <c r="A38" s="5" t="str">
        <f>HYPERLINK("#'Calcs - Manure sent off-site'!A1", "Calcs - Manure sent off-site")</f>
        <v>Calcs - Manure sent off-site</v>
      </c>
    </row>
    <row r="39" spans="1:8" ht="20.100000000000001" customHeight="1" x14ac:dyDescent="0.2">
      <c r="A39" s="5" t="str">
        <f>HYPERLINK("#'5.1.1.1-2 Inorganic fert N2O'!A1", "5.1.1.1-2 Inorganic fert N2O")</f>
        <v>5.1.1.1-2 Inorganic fert N2O</v>
      </c>
    </row>
    <row r="40" spans="1:8" ht="20.100000000000001" customHeight="1" x14ac:dyDescent="0.2">
      <c r="A40" s="5" t="str">
        <f>HYPERLINK("#'5.1.1.3-4 Inorganic fert CO2'!A1", "5.1.1.3-4 Inorganic fert CO2")</f>
        <v>5.1.1.3-4 Inorganic fert CO2</v>
      </c>
    </row>
    <row r="41" spans="1:8" ht="20.100000000000001" customHeight="1" x14ac:dyDescent="0.2">
      <c r="A41" s="5" t="str">
        <f>HYPERLINK("#'5.2.1.1-2 Organic Fert N2O'!A1", "5.2.1.1-2 Organic Fert N2O")</f>
        <v>5.2.1.1-2 Organic Fert N2O</v>
      </c>
    </row>
    <row r="42" spans="1:8" ht="20.100000000000001" customHeight="1" x14ac:dyDescent="0.2">
      <c r="A42" s="5" t="str">
        <f>HYPERLINK("#'5.3.1.1-2 Lime CO2'!A1", "5.3.1.1-2 Lime CO2")</f>
        <v>5.3.1.1-2 Lime CO2</v>
      </c>
    </row>
    <row r="43" spans="1:8" ht="20.100000000000001" customHeight="1" x14ac:dyDescent="0.2">
      <c r="A43" s="5" t="str">
        <f>HYPERLINK("#'5.4.1.1-4 Atmos deposition'!A1", "5.4.1.1-4 Atmos deposition")</f>
        <v>5.4.1.1-4 Atmos deposition</v>
      </c>
    </row>
    <row r="44" spans="1:8" ht="20.100000000000001" customHeight="1" x14ac:dyDescent="0.2">
      <c r="A44" s="5" t="str">
        <f>HYPERLINK("#'5.5.1.1-2 Leaching and runoff'!A1", "5.5.1.1-2 Leaching and runoff")</f>
        <v>5.5.1.1-2 Leaching and runoff</v>
      </c>
    </row>
    <row r="47" spans="1:8" ht="20.100000000000001" customHeight="1" x14ac:dyDescent="0.2">
      <c r="A47" s="79" t="s">
        <v>1</v>
      </c>
    </row>
    <row r="48" spans="1:8"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1">
    <dataValidation type="list" allowBlank="1" showInputMessage="1" showErrorMessage="1" sqref="E9:E18 E25:E34" xr:uid="{E97B42F0-432C-45BF-911D-1FF6D8CF7FF2}">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AC97-0417-4981-AF6B-C7A384507709}">
  <sheetPr>
    <tabColor theme="5" tint="-0.249977111117893"/>
  </sheetPr>
  <dimension ref="A1:L385"/>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860</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861</v>
      </c>
    </row>
    <row r="7" spans="1:10" ht="20.100000000000001" customHeight="1" x14ac:dyDescent="0.2">
      <c r="D7" s="35" t="s">
        <v>544</v>
      </c>
      <c r="E7" s="38"/>
    </row>
    <row r="8" spans="1:10" ht="20.100000000000001" customHeight="1" x14ac:dyDescent="0.2">
      <c r="A8" s="7" t="s">
        <v>0</v>
      </c>
    </row>
    <row r="9" spans="1:10" ht="20.100000000000001" customHeight="1" x14ac:dyDescent="0.2">
      <c r="A9" s="5" t="str">
        <f>HYPERLINK("#'Input - Enterprise'!A1", "Enterprise")</f>
        <v>Enterprise</v>
      </c>
      <c r="D9" s="78" t="s">
        <v>156</v>
      </c>
      <c r="E9" s="78" t="s">
        <v>862</v>
      </c>
      <c r="F9" s="78" t="s">
        <v>863</v>
      </c>
      <c r="G9" s="78" t="s">
        <v>864</v>
      </c>
      <c r="H9" s="78" t="s">
        <v>865</v>
      </c>
      <c r="I9" s="78" t="s">
        <v>866</v>
      </c>
    </row>
    <row r="10" spans="1:10" ht="20.100000000000001" customHeight="1" x14ac:dyDescent="0.2">
      <c r="A10" s="5" t="str">
        <f>HYPERLINK("#'Input - Site'!A1", "Site")</f>
        <v>Site</v>
      </c>
      <c r="D10" s="33" t="s">
        <v>867</v>
      </c>
      <c r="E10" s="13" t="s">
        <v>868</v>
      </c>
      <c r="F10" s="13" t="s">
        <v>869</v>
      </c>
      <c r="G10" s="13" t="s">
        <v>870</v>
      </c>
      <c r="H10" s="74">
        <v>50</v>
      </c>
      <c r="I10" s="13" t="s">
        <v>19</v>
      </c>
    </row>
    <row r="11" spans="1:10" ht="20.100000000000001" customHeight="1" x14ac:dyDescent="0.2">
      <c r="A11" s="5" t="str">
        <f>HYPERLINK("#'Input - Swine'!A1", "Swine")</f>
        <v>Swine</v>
      </c>
      <c r="D11" s="33" t="s">
        <v>871</v>
      </c>
      <c r="E11" s="13" t="s">
        <v>868</v>
      </c>
      <c r="F11" s="13" t="s">
        <v>869</v>
      </c>
      <c r="G11" s="13" t="s">
        <v>872</v>
      </c>
      <c r="H11" s="74">
        <v>50</v>
      </c>
      <c r="I11" s="13" t="s">
        <v>873</v>
      </c>
    </row>
    <row r="12" spans="1:10" ht="20.100000000000001" customHeight="1" x14ac:dyDescent="0.2">
      <c r="A12" s="5" t="str">
        <f>HYPERLINK("#'Input - Livestock sales'!A1", "Livestock sales")</f>
        <v>Livestock sales</v>
      </c>
      <c r="D12" s="33" t="s">
        <v>874</v>
      </c>
      <c r="E12" s="13" t="s">
        <v>868</v>
      </c>
      <c r="F12" s="13" t="s">
        <v>875</v>
      </c>
      <c r="G12" s="13" t="s">
        <v>870</v>
      </c>
      <c r="H12" s="74">
        <v>50</v>
      </c>
      <c r="I12" s="13" t="s">
        <v>19</v>
      </c>
    </row>
    <row r="13" spans="1:10" ht="20.100000000000001" customHeight="1" x14ac:dyDescent="0.2">
      <c r="A13" s="5" t="str">
        <f>HYPERLINK("#'Input - Pig purchases'!A1", "Pig purchases")</f>
        <v>Pig purchases</v>
      </c>
      <c r="D13" s="33" t="s">
        <v>876</v>
      </c>
      <c r="E13" s="13" t="s">
        <v>868</v>
      </c>
      <c r="F13" s="13" t="s">
        <v>875</v>
      </c>
      <c r="G13" s="13" t="s">
        <v>872</v>
      </c>
      <c r="H13" s="74">
        <v>50</v>
      </c>
      <c r="I13" s="13" t="s">
        <v>873</v>
      </c>
    </row>
    <row r="14" spans="1:10" ht="20.100000000000001" customHeight="1" x14ac:dyDescent="0.2">
      <c r="A14" s="5" t="str">
        <f>HYPERLINK("#'Input - Fuel'!A1", "Fuel")</f>
        <v>Fuel</v>
      </c>
      <c r="D14" s="33" t="s">
        <v>877</v>
      </c>
      <c r="E14" s="13" t="s">
        <v>878</v>
      </c>
      <c r="F14" s="13" t="s">
        <v>875</v>
      </c>
      <c r="G14" s="13" t="s">
        <v>870</v>
      </c>
      <c r="H14" s="74">
        <v>50</v>
      </c>
      <c r="I14" s="13" t="s">
        <v>19</v>
      </c>
    </row>
    <row r="15" spans="1:10" ht="20.100000000000001" customHeight="1" x14ac:dyDescent="0.2">
      <c r="A15" s="5" t="str">
        <f>HYPERLINK("#'Input - Electricity'!A1", "Electricity")</f>
        <v>Electricity</v>
      </c>
      <c r="D15" s="33" t="s">
        <v>879</v>
      </c>
      <c r="E15" s="13" t="s">
        <v>878</v>
      </c>
      <c r="F15" s="13" t="s">
        <v>875</v>
      </c>
      <c r="G15" s="13" t="s">
        <v>870</v>
      </c>
      <c r="H15" s="74">
        <v>50</v>
      </c>
      <c r="I15" s="13" t="s">
        <v>873</v>
      </c>
    </row>
    <row r="16" spans="1:10" ht="20.100000000000001" customHeight="1" x14ac:dyDescent="0.2">
      <c r="A16" s="5" t="str">
        <f>HYPERLINK("#'Input - Common farm inputs'!A1", "Common farm inputs")</f>
        <v>Common farm inputs</v>
      </c>
      <c r="D16" s="33" t="s">
        <v>880</v>
      </c>
      <c r="E16" s="13" t="s">
        <v>878</v>
      </c>
      <c r="F16" s="13" t="s">
        <v>875</v>
      </c>
      <c r="G16" s="13" t="s">
        <v>872</v>
      </c>
      <c r="H16" s="74">
        <v>50</v>
      </c>
      <c r="I16" s="13" t="s">
        <v>19</v>
      </c>
    </row>
    <row r="17" spans="1:11" ht="20.100000000000001" customHeight="1" x14ac:dyDescent="0.2">
      <c r="A17" s="5" t="str">
        <f>HYPERLINK("#'Input - Livestock farm Inputs'!A1", "Livestock farm Inputs")</f>
        <v>Livestock farm Inputs</v>
      </c>
      <c r="D17" s="33" t="s">
        <v>881</v>
      </c>
      <c r="E17" s="13" t="s">
        <v>878</v>
      </c>
      <c r="F17" s="13" t="s">
        <v>875</v>
      </c>
      <c r="G17" s="13" t="s">
        <v>872</v>
      </c>
      <c r="H17" s="74">
        <v>50</v>
      </c>
      <c r="I17" s="13" t="s">
        <v>873</v>
      </c>
    </row>
    <row r="18" spans="1:11" ht="20.100000000000001" customHeight="1" x14ac:dyDescent="0.2">
      <c r="A18" s="5" t="str">
        <f>HYPERLINK("#'Input - Freight'!A1", "Freight")</f>
        <v>Freight</v>
      </c>
      <c r="D18" s="33" t="s">
        <v>882</v>
      </c>
      <c r="E18" s="13" t="s">
        <v>878</v>
      </c>
      <c r="F18" s="13" t="s">
        <v>869</v>
      </c>
      <c r="G18" s="13" t="s">
        <v>870</v>
      </c>
      <c r="H18" s="74">
        <v>50</v>
      </c>
      <c r="I18" s="13" t="s">
        <v>19</v>
      </c>
    </row>
    <row r="19" spans="1:11" ht="20.100000000000001" customHeight="1" x14ac:dyDescent="0.2">
      <c r="A19" s="99" t="str">
        <f>HYPERLINK("#'Input - Solid waste'!A1", "Solid waste")</f>
        <v>Solid waste</v>
      </c>
      <c r="D19" s="33" t="s">
        <v>883</v>
      </c>
      <c r="E19" s="13" t="s">
        <v>878</v>
      </c>
      <c r="F19" s="13" t="s">
        <v>869</v>
      </c>
      <c r="G19" s="13" t="s">
        <v>870</v>
      </c>
      <c r="H19" s="74">
        <v>50</v>
      </c>
      <c r="I19" s="13" t="s">
        <v>873</v>
      </c>
    </row>
    <row r="20" spans="1:11" ht="20.100000000000001" customHeight="1" x14ac:dyDescent="0.2">
      <c r="A20" s="5" t="str">
        <f>HYPERLINK("#'Input - Manure sent off-site'!A1", "Manure sent off-site")</f>
        <v>Manure sent off-site</v>
      </c>
      <c r="D20" s="33" t="s">
        <v>884</v>
      </c>
      <c r="E20" s="13" t="s">
        <v>878</v>
      </c>
      <c r="F20" s="13" t="s">
        <v>869</v>
      </c>
      <c r="G20" s="13" t="s">
        <v>872</v>
      </c>
      <c r="H20" s="74">
        <v>50</v>
      </c>
      <c r="I20" s="13" t="s">
        <v>19</v>
      </c>
    </row>
    <row r="21" spans="1:11" ht="20.100000000000001" customHeight="1" x14ac:dyDescent="0.2">
      <c r="A21" s="5" t="str">
        <f>HYPERLINK("#'Input - Data quality'!A1", "Data quality")</f>
        <v>Data quality</v>
      </c>
      <c r="D21" s="33" t="s">
        <v>885</v>
      </c>
      <c r="E21" s="13" t="s">
        <v>878</v>
      </c>
      <c r="F21" s="13" t="s">
        <v>869</v>
      </c>
      <c r="G21" s="13" t="s">
        <v>872</v>
      </c>
      <c r="H21" s="74">
        <v>50</v>
      </c>
      <c r="I21" s="13" t="s">
        <v>873</v>
      </c>
    </row>
    <row r="22" spans="1:11" ht="20.100000000000001" customHeight="1" x14ac:dyDescent="0.2">
      <c r="A22" s="5" t="str">
        <f>HYPERLINK("#'Input - Fert Prod System'!A1", "Fert Prod System")</f>
        <v>Fert Prod System</v>
      </c>
      <c r="D22" s="33" t="s">
        <v>886</v>
      </c>
      <c r="E22" s="13" t="s">
        <v>878</v>
      </c>
      <c r="F22" s="13" t="s">
        <v>887</v>
      </c>
      <c r="G22" s="13" t="s">
        <v>870</v>
      </c>
      <c r="H22" s="74">
        <v>50</v>
      </c>
      <c r="I22" s="13" t="s">
        <v>19</v>
      </c>
    </row>
    <row r="23" spans="1:11" ht="20.100000000000001" customHeight="1" x14ac:dyDescent="0.2">
      <c r="A23" s="5" t="str">
        <f>HYPERLINK("#'Input - Fertiliser'!A1", "Fertiliser")</f>
        <v>Fertiliser</v>
      </c>
      <c r="D23" s="33" t="s">
        <v>888</v>
      </c>
      <c r="E23" s="13" t="s">
        <v>878</v>
      </c>
      <c r="F23" s="13" t="s">
        <v>887</v>
      </c>
      <c r="G23" s="13" t="s">
        <v>870</v>
      </c>
      <c r="H23" s="74">
        <v>50</v>
      </c>
      <c r="I23" s="13" t="s">
        <v>873</v>
      </c>
    </row>
    <row r="24" spans="1:11" ht="20.100000000000001" customHeight="1" x14ac:dyDescent="0.2">
      <c r="D24" s="33" t="s">
        <v>889</v>
      </c>
      <c r="E24" s="13" t="s">
        <v>878</v>
      </c>
      <c r="F24" s="13" t="s">
        <v>887</v>
      </c>
      <c r="G24" s="13" t="s">
        <v>872</v>
      </c>
      <c r="H24" s="74">
        <v>50</v>
      </c>
      <c r="I24" s="13" t="s">
        <v>19</v>
      </c>
    </row>
    <row r="25" spans="1:11" ht="20.100000000000001" customHeight="1" x14ac:dyDescent="0.2">
      <c r="D25" s="33" t="s">
        <v>890</v>
      </c>
      <c r="E25" s="13" t="s">
        <v>878</v>
      </c>
      <c r="F25" s="13" t="s">
        <v>887</v>
      </c>
      <c r="G25" s="13" t="s">
        <v>872</v>
      </c>
      <c r="H25" s="74">
        <v>50</v>
      </c>
      <c r="I25" s="13" t="s">
        <v>873</v>
      </c>
    </row>
    <row r="26" spans="1:11" ht="20.100000000000001" customHeight="1" x14ac:dyDescent="0.2">
      <c r="A26" s="6" t="s">
        <v>2</v>
      </c>
      <c r="D26" s="33" t="s">
        <v>891</v>
      </c>
      <c r="E26" s="13" t="s">
        <v>892</v>
      </c>
      <c r="F26" s="13" t="s">
        <v>869</v>
      </c>
      <c r="G26" s="13" t="s">
        <v>872</v>
      </c>
      <c r="H26" s="74">
        <v>50</v>
      </c>
      <c r="I26" s="13" t="s">
        <v>19</v>
      </c>
    </row>
    <row r="27" spans="1:11" ht="20.100000000000001" customHeight="1" x14ac:dyDescent="0.2">
      <c r="A27" s="5" t="str">
        <f>HYPERLINK("#'3.5.1.1-2 Enteric Methane'!A1", "3.5.1.1-2 Enteric Methane")</f>
        <v>3.5.1.1-2 Enteric Methane</v>
      </c>
      <c r="D27" s="33" t="s">
        <v>893</v>
      </c>
      <c r="E27" s="13" t="s">
        <v>892</v>
      </c>
      <c r="F27" s="13" t="s">
        <v>869</v>
      </c>
      <c r="G27" s="13" t="s">
        <v>872</v>
      </c>
      <c r="H27" s="74">
        <v>50</v>
      </c>
      <c r="I27" s="13" t="s">
        <v>873</v>
      </c>
    </row>
    <row r="28" spans="1:11" ht="20.100000000000001" customHeight="1" x14ac:dyDescent="0.2">
      <c r="A28" s="5" t="str">
        <f>HYPERLINK("#'4.5.1.1-2 Methane'!A1", "4.5.1.1-2 Manure Methane")</f>
        <v>4.5.1.1-2 Manure Methane</v>
      </c>
      <c r="D28" s="33" t="s">
        <v>894</v>
      </c>
      <c r="E28" s="13" t="s">
        <v>892</v>
      </c>
      <c r="F28" s="13" t="s">
        <v>887</v>
      </c>
      <c r="G28" s="13" t="s">
        <v>872</v>
      </c>
      <c r="H28" s="74">
        <v>50</v>
      </c>
      <c r="I28" s="13" t="s">
        <v>19</v>
      </c>
    </row>
    <row r="29" spans="1:11" ht="20.100000000000001" customHeight="1" x14ac:dyDescent="0.2">
      <c r="A29" s="5" t="str">
        <f>HYPERLINK("#'4.5.1.3-4 Direct N2O'!A1", "4.5.1.3-4 Manure Direct N2O")</f>
        <v>4.5.1.3-4 Manure Direct N2O</v>
      </c>
      <c r="D29" s="33" t="s">
        <v>895</v>
      </c>
      <c r="E29" s="13" t="s">
        <v>892</v>
      </c>
      <c r="F29" s="13" t="s">
        <v>887</v>
      </c>
      <c r="G29" s="13" t="s">
        <v>872</v>
      </c>
      <c r="H29" s="74">
        <v>50</v>
      </c>
      <c r="I29" s="13" t="s">
        <v>873</v>
      </c>
      <c r="K29" s="143"/>
    </row>
    <row r="30" spans="1:11" ht="20.100000000000001" customHeight="1" x14ac:dyDescent="0.2">
      <c r="A30" s="5" t="str">
        <f>HYPERLINK("#'4.5.1.5-6 Atmos Dep'!A1", "4.5.1.5-6 Manure Atmos Dep")</f>
        <v>4.5.1.5-6 Manure Atmos Dep</v>
      </c>
      <c r="D30" s="33" t="s">
        <v>896</v>
      </c>
      <c r="E30" s="13" t="s">
        <v>892</v>
      </c>
      <c r="F30" s="13" t="s">
        <v>887</v>
      </c>
      <c r="G30" s="13" t="s">
        <v>870</v>
      </c>
      <c r="H30" s="74">
        <v>50</v>
      </c>
      <c r="I30" s="13" t="s">
        <v>19</v>
      </c>
      <c r="K30" s="143"/>
    </row>
    <row r="31" spans="1:11" ht="20.100000000000001" customHeight="1" x14ac:dyDescent="0.2">
      <c r="A31" s="5" t="str">
        <f>HYPERLINK("#'4.5.1.7-8 Leaching and runoff'!A1", "4.5.1.7-8 Manure Leaching and runoff")</f>
        <v>4.5.1.7-8 Manure Leaching and runoff</v>
      </c>
      <c r="D31" s="33" t="s">
        <v>897</v>
      </c>
      <c r="E31" s="13" t="s">
        <v>892</v>
      </c>
      <c r="F31" s="13" t="s">
        <v>887</v>
      </c>
      <c r="G31" s="13" t="s">
        <v>870</v>
      </c>
      <c r="H31" s="74">
        <v>50</v>
      </c>
      <c r="I31" s="13" t="s">
        <v>873</v>
      </c>
      <c r="K31" s="143"/>
    </row>
    <row r="32" spans="1:11" ht="20.100000000000001" customHeight="1" x14ac:dyDescent="0.2">
      <c r="A32" s="5" t="str">
        <f>HYPERLINK("#'4.5.1.9 Manure applied to soils'!A1", "4.5.1.9 Manure applied to soils")</f>
        <v>4.5.1.9 Manure applied to soils</v>
      </c>
      <c r="D32" s="33" t="s">
        <v>895</v>
      </c>
      <c r="E32" s="13" t="s">
        <v>892</v>
      </c>
      <c r="F32" s="13" t="s">
        <v>887</v>
      </c>
      <c r="G32" s="13" t="s">
        <v>872</v>
      </c>
      <c r="H32" s="74">
        <v>50</v>
      </c>
      <c r="I32" s="13" t="s">
        <v>873</v>
      </c>
      <c r="K32" s="143"/>
    </row>
    <row r="33" spans="1:12" ht="20.100000000000001" customHeight="1" x14ac:dyDescent="0.2">
      <c r="A33" s="5" t="str">
        <f>HYPERLINK("#'8.1.1.1-2 Transport fuel'!A1", "8.1.1.1-2 Transport fuel")</f>
        <v>8.1.1.1-2 Transport fuel</v>
      </c>
      <c r="K33" s="143"/>
    </row>
    <row r="34" spans="1:12" ht="20.100000000000001" customHeight="1" x14ac:dyDescent="0.2">
      <c r="A34" s="5" t="str">
        <f>HYPERLINK("#'8.2.1.1-2 Stationary fuel'!A1", "8.2.1.1-2 Stationary fuel")</f>
        <v>8.2.1.1-2 Stationary fuel</v>
      </c>
      <c r="K34" s="143"/>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c r="L36" s="143"/>
    </row>
    <row r="37" spans="1:12" ht="20.100000000000001" customHeight="1" x14ac:dyDescent="0.2">
      <c r="A37" s="5" t="str">
        <f>HYPERLINK("#'15 Scope 3'!A1", "15 Scope 3")</f>
        <v>15 Scope 3</v>
      </c>
      <c r="L37" s="143"/>
    </row>
    <row r="38" spans="1:12" ht="20.100000000000001" customHeight="1" x14ac:dyDescent="0.2">
      <c r="A38" s="5" t="str">
        <f>HYPERLINK("#'Calcs - Manure sent off-site'!A1", "Calcs - Manure sent off-site")</f>
        <v>Calcs - Manure sent off-site</v>
      </c>
      <c r="C38" s="145"/>
    </row>
    <row r="39" spans="1:12" ht="20.100000000000001" customHeight="1" x14ac:dyDescent="0.2">
      <c r="A39" s="5" t="str">
        <f>HYPERLINK("#'5.1.1.1-2 Inorganic fert N2O'!A1", "5.1.1.1-2 Inorganic fert N2O")</f>
        <v>5.1.1.1-2 Inorganic fert N2O</v>
      </c>
      <c r="C39" s="145"/>
      <c r="J39" s="145"/>
    </row>
    <row r="40" spans="1:12" s="143" customFormat="1" ht="20.100000000000001" customHeight="1" x14ac:dyDescent="0.2">
      <c r="A40" s="5" t="str">
        <f>HYPERLINK("#'5.1.1.3-4 Inorganic fert CO2'!A1", "5.1.1.3-4 Inorganic fert CO2")</f>
        <v>5.1.1.3-4 Inorganic fert CO2</v>
      </c>
      <c r="C40" s="1"/>
      <c r="D40" s="1"/>
      <c r="E40" s="1"/>
      <c r="F40" s="1"/>
      <c r="G40" s="1"/>
      <c r="H40" s="1"/>
      <c r="I40" s="1"/>
      <c r="J40" s="1"/>
    </row>
    <row r="41" spans="1:12" s="143" customFormat="1" ht="20.100000000000001" customHeight="1" x14ac:dyDescent="0.2">
      <c r="A41" s="5" t="str">
        <f>HYPERLINK("#'5.2.1.1-2 Organic Fert N2O'!A1", "5.2.1.1-2 Organic Fert N2O")</f>
        <v>5.2.1.1-2 Organic Fert N2O</v>
      </c>
      <c r="C41" s="1"/>
      <c r="D41" s="1"/>
      <c r="E41" s="1"/>
      <c r="F41" s="1"/>
      <c r="G41" s="1"/>
      <c r="H41" s="1"/>
      <c r="I41" s="1"/>
      <c r="J41" s="1"/>
      <c r="L41" s="143" t="s">
        <v>556</v>
      </c>
    </row>
    <row r="42" spans="1:12" ht="20.100000000000001" customHeight="1" x14ac:dyDescent="0.2">
      <c r="A42" s="5" t="str">
        <f>HYPERLINK("#'5.3.1.1-2 Lime CO2'!A1", "5.3.1.1-2 Lime CO2")</f>
        <v>5.3.1.1-2 Lime CO2</v>
      </c>
    </row>
    <row r="43" spans="1:12" ht="20.100000000000001" customHeight="1" x14ac:dyDescent="0.2">
      <c r="A43" s="5" t="str">
        <f>HYPERLINK("#'5.4.1.1-4 Atmos deposition'!A1", "5.4.1.1-4 Atmos deposition")</f>
        <v>5.4.1.1-4 Atmos deposition</v>
      </c>
    </row>
    <row r="44" spans="1:12" ht="20.100000000000001" customHeight="1" x14ac:dyDescent="0.2">
      <c r="A44" s="5" t="str">
        <f>HYPERLINK("#'5.5.1.1-2 Leaching and runoff'!A1", "5.5.1.1-2 Leaching and runoff")</f>
        <v>5.5.1.1-2 Leaching and runoff</v>
      </c>
    </row>
    <row r="47" spans="1:12" ht="20.100000000000001" customHeight="1" x14ac:dyDescent="0.2">
      <c r="A47" s="79" t="s">
        <v>1</v>
      </c>
    </row>
    <row r="48" spans="1:12"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row r="73" spans="4:4" ht="20.100000000000001" customHeight="1" x14ac:dyDescent="0.2">
      <c r="D73" s="148"/>
    </row>
    <row r="75" spans="4:4" ht="20.100000000000001" customHeight="1" x14ac:dyDescent="0.2">
      <c r="D75" s="148"/>
    </row>
    <row r="76" spans="4:4" ht="20.100000000000001" customHeight="1" x14ac:dyDescent="0.2">
      <c r="D76" s="148"/>
    </row>
    <row r="385" spans="4:4" ht="20.100000000000001" customHeight="1" x14ac:dyDescent="0.2">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369D4981-9F4B-428A-B690-C8F00FCC83DA}">
      <formula1>INDIRECT("Table_WasteTypes_" &amp; SUBSTITUTE(E10, " ", "") &amp; "[Waste type w]")</formula1>
    </dataValidation>
    <dataValidation type="list" allowBlank="1" showInputMessage="1" showErrorMessage="1" sqref="I10:I32" xr:uid="{C8B6DDBC-0045-44DD-A13A-ED5DC2270C9D}">
      <formula1>"tonnes, cubic metres m3"</formula1>
    </dataValidation>
    <dataValidation type="list" allowBlank="1" showInputMessage="1" showErrorMessage="1" sqref="G10:G32" xr:uid="{345A9340-82CD-4C91-9BD1-05FE1EFD197E}">
      <formula1>"Treated on-site, Removed and treated off-site"</formula1>
    </dataValidation>
    <dataValidation type="list" allowBlank="1" showInputMessage="1" showErrorMessage="1" sqref="E10:E32" xr:uid="{FD12083C-8920-427C-AD30-0D40E85993BD}">
      <formula1>INDIRECT(_xlfn.UNIQUE("Table_SourceData_WasteSolid_WasteTreatmentEFs[Treatment type t]"))</formula1>
    </dataValidation>
    <dataValidation type="list" allowBlank="1" showInputMessage="1" showErrorMessage="1" sqref="E35" xr:uid="{52411E44-7AB6-4C4B-B477-305C36245473}">
      <formula1>INDIRECT("Table_SourceData_ElectricityEFs[State, Territory or grid description]")</formula1>
    </dataValidation>
    <dataValidation type="list" allowBlank="1" showInputMessage="1" showErrorMessage="1" sqref="E89" xr:uid="{8DAE4B51-A3D9-4669-9EE7-9E38E9913F73}">
      <formula1>INDIRECT("Table_SourceData_Swine_IrrigationMethods[Irrigation method]")</formula1>
    </dataValidation>
    <dataValidation type="list" allowBlank="1" showInputMessage="1" showErrorMessage="1" sqref="E273 E278 E283 E317 E312 E307 E185 E173 E149 E161" xr:uid="{35A2210B-D203-42AA-A0C1-C5CE8E338A24}">
      <formula1>"Yes, No"</formula1>
    </dataValidation>
    <dataValidation type="list" allowBlank="1" showInputMessage="1" showErrorMessage="1" sqref="E249" xr:uid="{72E7BEA8-02AA-44E4-B0E4-BF5F9340790C}">
      <formula1>INDIRECT("Table_SourceData_Dairy_ProductionSystemTemplates[Area]")</formula1>
    </dataValidation>
    <dataValidation type="list" allowBlank="1" showInputMessage="1" showErrorMessage="1" sqref="D301" xr:uid="{565A81C4-20F8-43B2-A7F9-58E7087D30A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2995A-56D3-4719-8ED5-72DB7C1B05E3}">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1008</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1009</v>
      </c>
    </row>
    <row r="7" spans="1:11" ht="20.100000000000001" customHeight="1" x14ac:dyDescent="0.2">
      <c r="D7" s="1" t="s">
        <v>1010</v>
      </c>
    </row>
    <row r="8" spans="1:11" ht="20.100000000000001" customHeight="1" x14ac:dyDescent="0.2">
      <c r="A8" s="7" t="s">
        <v>0</v>
      </c>
      <c r="D8" s="1" t="s">
        <v>1011</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1012</v>
      </c>
      <c r="F10" s="74">
        <v>1000</v>
      </c>
      <c r="G10" s="16" t="s">
        <v>1013</v>
      </c>
    </row>
    <row r="11" spans="1:11" ht="20.100000000000001" customHeight="1" x14ac:dyDescent="0.2">
      <c r="A11" s="5" t="str">
        <f>HYPERLINK("#'Input - Swine'!A1", "Swine")</f>
        <v>Swine</v>
      </c>
      <c r="D11" s="1" t="s">
        <v>1014</v>
      </c>
      <c r="F11" s="74">
        <v>2000</v>
      </c>
      <c r="G11" s="16" t="s">
        <v>1013</v>
      </c>
    </row>
    <row r="12" spans="1:11" ht="20.100000000000001" customHeight="1" x14ac:dyDescent="0.2">
      <c r="A12" s="5" t="str">
        <f>HYPERLINK("#'Input - Livestock sales'!A1", "Livestock sales")</f>
        <v>Livestock sales</v>
      </c>
    </row>
    <row r="13" spans="1:11" ht="20.100000000000001" customHeight="1" x14ac:dyDescent="0.2">
      <c r="A13" s="5" t="str">
        <f>HYPERLINK("#'Input - Pig purchases'!A1", "Pig purchases")</f>
        <v>Pig purchases</v>
      </c>
      <c r="D13" s="1" t="s">
        <v>1015</v>
      </c>
      <c r="F13" s="13" t="s">
        <v>319</v>
      </c>
      <c r="G13" s="16" t="s">
        <v>100</v>
      </c>
    </row>
    <row r="14" spans="1:11" ht="20.100000000000001" customHeight="1" x14ac:dyDescent="0.2">
      <c r="A14" s="5" t="str">
        <f>HYPERLINK("#'Input - Fuel'!A1", "Fuel")</f>
        <v>Fuel</v>
      </c>
      <c r="D14" s="1" t="s">
        <v>1016</v>
      </c>
      <c r="F14" s="13" t="s">
        <v>320</v>
      </c>
      <c r="G14" s="16" t="s">
        <v>100</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99"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2">
    <dataValidation type="list" allowBlank="1" showInputMessage="1" showErrorMessage="1" sqref="F14" xr:uid="{830CBB43-7389-4F25-8331-0AA97750FCD4}">
      <formula1>INDIRECT("Table_SourceData_Fertiliser_IrrigationMethods[Irrigation method]")</formula1>
    </dataValidation>
    <dataValidation type="list" allowBlank="1" showInputMessage="1" showErrorMessage="1" sqref="F13" xr:uid="{8F2F71B5-008D-4DDA-B6DD-2E33167A8146}">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8"/>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147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219</v>
      </c>
    </row>
    <row r="7" spans="1:13" ht="20.100000000000001" customHeight="1" x14ac:dyDescent="0.2">
      <c r="D7" s="78" t="s">
        <v>220</v>
      </c>
      <c r="E7" s="78" t="s">
        <v>221</v>
      </c>
      <c r="F7" s="78" t="s">
        <v>222</v>
      </c>
      <c r="G7" s="78" t="s">
        <v>223</v>
      </c>
      <c r="H7" s="78" t="s">
        <v>148</v>
      </c>
      <c r="I7" s="78" t="s">
        <v>149</v>
      </c>
      <c r="J7" s="78" t="s">
        <v>150</v>
      </c>
    </row>
    <row r="8" spans="1:13" ht="20.100000000000001" customHeight="1" x14ac:dyDescent="0.2">
      <c r="A8" s="7" t="s">
        <v>0</v>
      </c>
      <c r="D8" s="1" t="str">
        <f>"Liveweight sold"</f>
        <v>Liveweight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"Manure produced"</f>
        <v>Manure produced</v>
      </c>
      <c r="E9" s="13" t="s">
        <v>200</v>
      </c>
      <c r="F9" s="13" t="s">
        <v>205</v>
      </c>
      <c r="G9" s="13" t="s">
        <v>210</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"Manure sold"</f>
        <v>Manure sold</v>
      </c>
      <c r="E10" s="13" t="s">
        <v>201</v>
      </c>
      <c r="F10" s="13" t="s">
        <v>206</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Swine'!A1", "Swine")</f>
        <v>Swine</v>
      </c>
      <c r="D11" s="1" t="str">
        <f>"Percent income from liveweight sold"</f>
        <v>Percent income from liveweight sold</v>
      </c>
      <c r="E11" s="13" t="s">
        <v>203</v>
      </c>
      <c r="F11" s="13" t="s">
        <v>208</v>
      </c>
      <c r="G11" s="13" t="s">
        <v>213</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ht="20.100000000000001" customHeight="1" x14ac:dyDescent="0.2">
      <c r="A12" s="5" t="str">
        <f>HYPERLINK("#'Input - Livestock sales'!A1", "Livestock sales")</f>
        <v>Livestock sales</v>
      </c>
      <c r="D12" s="1" t="str">
        <f>"Percent income from manure sold"</f>
        <v>Percent income from manure sold</v>
      </c>
      <c r="E12" s="13" t="s">
        <v>199</v>
      </c>
      <c r="F12" s="13" t="s">
        <v>205</v>
      </c>
      <c r="G12" s="13" t="s">
        <v>209</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ht="20.100000000000001" customHeight="1" x14ac:dyDescent="0.2">
      <c r="A13" s="5" t="str">
        <f>HYPERLINK("#'Input - Pig purchases'!A1", "Pig purchases")</f>
        <v>Pig purchases</v>
      </c>
    </row>
    <row r="14" spans="1:13" ht="20.100000000000001" customHeight="1" x14ac:dyDescent="0.2">
      <c r="A14" s="5" t="str">
        <f>HYPERLINK("#'Input - Fuel'!A1", "Fuel")</f>
        <v>Fuel</v>
      </c>
      <c r="J14" s="82">
        <f>SUM(Table_Input_DataQuality_Enterprise[Score])</f>
        <v>54</v>
      </c>
    </row>
    <row r="15" spans="1:13" ht="20.100000000000001" customHeight="1" x14ac:dyDescent="0.2">
      <c r="A15" s="5" t="str">
        <f>HYPERLINK("#'Input - Electricity'!A1", "Electricity")</f>
        <v>Electricity</v>
      </c>
      <c r="D15" s="2" t="s">
        <v>224</v>
      </c>
    </row>
    <row r="16" spans="1:13"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ht="20.100000000000001" customHeight="1" x14ac:dyDescent="0.2">
      <c r="A18" s="5" t="str">
        <f>HYPERLINK("#'Input - Freight'!A1", "Freight")</f>
        <v>Freight</v>
      </c>
      <c r="D18" s="1" t="str">
        <f>"Leaching zone"</f>
        <v>Leaching zone</v>
      </c>
      <c r="E18" s="13" t="s">
        <v>200</v>
      </c>
      <c r="F18" s="13" t="s">
        <v>206</v>
      </c>
      <c r="G18" s="13" t="s">
        <v>209</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ht="20.100000000000001" customHeight="1" x14ac:dyDescent="0.2">
      <c r="A19" s="5" t="str">
        <f>HYPERLINK("#'Input - Solid waste'!A1", "Solid waste")</f>
        <v>Solid waste</v>
      </c>
      <c r="D19" s="1" t="str">
        <f>"Elevation"</f>
        <v>Elevation</v>
      </c>
      <c r="E19" s="13" t="s">
        <v>200</v>
      </c>
      <c r="F19" s="13" t="s">
        <v>206</v>
      </c>
      <c r="G19" s="13" t="s">
        <v>209</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5" t="str">
        <f>HYPERLINK("#'Input - Manure sent off-site'!A1", "Manure sent off-site")</f>
        <v>Manure sent off-site</v>
      </c>
      <c r="D20" s="1" t="str">
        <f>"Average temperature for reporting period"</f>
        <v>Average temperature for reporting period</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99" t="str">
        <f>HYPERLINK("#'Input - Data quality'!A1", "Data quality")</f>
        <v>Data quality</v>
      </c>
      <c r="D21" s="1" t="str">
        <f>"Total rainfall for reporting period"</f>
        <v>Total rainfall for reporting period</v>
      </c>
      <c r="E21" s="13" t="s">
        <v>199</v>
      </c>
      <c r="F21" s="13" t="s">
        <v>205</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ht="20.100000000000001" customHeight="1" x14ac:dyDescent="0.2">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Fertiliser'!A1", "Fertiliser")</f>
        <v>Fertiliser</v>
      </c>
      <c r="D23" s="1" t="str">
        <f>"Number of frost days for reporting period"</f>
        <v>Number of frost days for reporting period</v>
      </c>
      <c r="E23" s="83" t="s">
        <v>201</v>
      </c>
      <c r="F23" s="83" t="s">
        <v>206</v>
      </c>
      <c r="G23" s="8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J25" s="82">
        <f>SUM(Table_Input_DataQuality_Site[Score])</f>
        <v>73</v>
      </c>
    </row>
    <row r="26" spans="1:10" ht="20.100000000000001" customHeight="1" x14ac:dyDescent="0.2">
      <c r="A26" s="6" t="s">
        <v>2</v>
      </c>
      <c r="D26" s="2" t="s">
        <v>268</v>
      </c>
    </row>
    <row r="27" spans="1:10" ht="20.100000000000001" customHeight="1" x14ac:dyDescent="0.2">
      <c r="A27" s="5" t="str">
        <f>HYPERLINK("#'3.5.1.1-2 Enteric Methane'!A1", "3.5.1.1-2 Enteric Methane")</f>
        <v>3.5.1.1-2 Enteric Methane</v>
      </c>
    </row>
    <row r="28" spans="1:10" ht="20.100000000000001" customHeight="1" x14ac:dyDescent="0.2">
      <c r="A28" s="5" t="str">
        <f>HYPERLINK("#'4.5.1.1-2 Methane'!A1", "4.5.1.1-2 Manure Methane")</f>
        <v>4.5.1.1-2 Manure Methane</v>
      </c>
      <c r="D28" s="78" t="s">
        <v>220</v>
      </c>
      <c r="E28" s="78" t="s">
        <v>221</v>
      </c>
      <c r="F28" s="78" t="s">
        <v>222</v>
      </c>
      <c r="G28" s="78" t="s">
        <v>223</v>
      </c>
      <c r="H28" s="78" t="s">
        <v>148</v>
      </c>
      <c r="I28" s="78" t="s">
        <v>149</v>
      </c>
      <c r="J28" s="78" t="s">
        <v>150</v>
      </c>
    </row>
    <row r="29" spans="1:10" ht="20.100000000000001" customHeight="1" x14ac:dyDescent="0.2">
      <c r="A29" s="5" t="str">
        <f>HYPERLINK("#'4.5.1.3-4 Direct N2O'!A1", "4.5.1.3-4 Manure Direct N2O")</f>
        <v>4.5.1.3-4 Manure Direct N2O</v>
      </c>
      <c r="D29" s="1" t="str">
        <f>"Head count"</f>
        <v>Head count</v>
      </c>
      <c r="E29" s="13" t="s">
        <v>199</v>
      </c>
      <c r="F29" s="13" t="s">
        <v>205</v>
      </c>
      <c r="G29" s="13" t="s">
        <v>209</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ht="20.100000000000001" customHeight="1" x14ac:dyDescent="0.2">
      <c r="A30" s="5" t="str">
        <f>HYPERLINK("#'4.5.1.5-6 Atmos Dep'!A1", "4.5.1.5-6 Manure Atmos Dep")</f>
        <v>4.5.1.5-6 Manure Atmos Dep</v>
      </c>
      <c r="D30" s="1" t="str">
        <f>"Duration of stay"</f>
        <v>Duration of stay</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ht="20.100000000000001" customHeight="1" x14ac:dyDescent="0.2">
      <c r="A31" s="5" t="str">
        <f>HYPERLINK("#'4.5.1.7-8 Leaching and runoff'!A1", "4.5.1.7-8 Manure Leaching and runoff")</f>
        <v>4.5.1.7-8 Manure Leaching and runoff</v>
      </c>
      <c r="D31" s="1" t="str">
        <f>"Volatile solid production"</f>
        <v>Volatile solid production</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HYPERLINK("#'4.5.1.9 Manure applied to soils'!A1", "4.5.1.9 Manure applied to soils")</f>
        <v>4.5.1.9 Manure applied to soils</v>
      </c>
      <c r="D32" s="1" t="str">
        <f>"Nitrogen in waste"</f>
        <v>Nitrogen in waste</v>
      </c>
      <c r="E32" s="13" t="s">
        <v>199</v>
      </c>
      <c r="F32" s="13" t="s">
        <v>205</v>
      </c>
      <c r="G32" s="13" t="s">
        <v>209</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HYPERLINK("#'8.1.1.1-2 Transport fuel'!A1", "8.1.1.1-2 Transport fuel")</f>
        <v>8.1.1.1-2 Transport fuel</v>
      </c>
      <c r="D33" s="1" t="str">
        <f>"Production and manure management systems"</f>
        <v>Production and manure management systems</v>
      </c>
      <c r="E33" s="13" t="s">
        <v>199</v>
      </c>
      <c r="F33" s="13" t="s">
        <v>205</v>
      </c>
      <c r="G33" s="13" t="s">
        <v>209</v>
      </c>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HYPERLINK("#'8.2.1.1-2 Stationary fuel'!A1", "8.2.1.1-2 Stationary fuel")</f>
        <v>8.2.1.1-2 Stationary fuel</v>
      </c>
      <c r="D34" s="1" t="str">
        <f>"Livestock sales"</f>
        <v>Livestock sales</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ht="20.100000000000001" customHeight="1" x14ac:dyDescent="0.2">
      <c r="A35" s="5" t="str">
        <f>HYPERLINK("#'10.1.1-2 Solid waste treatment'!A1", "10.1.1.1-2 Solid waste")</f>
        <v>10.1.1.1-2 Solid waste</v>
      </c>
      <c r="D35" s="1" t="str">
        <f>"Livestock purchases"</f>
        <v>Livestock purchases</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ht="20.100000000000001" customHeight="1" x14ac:dyDescent="0.2">
      <c r="A36" s="5" t="str">
        <f>HYPERLINK("#'14.1.1-2 Purchased electricity'!A1", "14.1.1-2 Purchased electricity")</f>
        <v>14.1.1-2 Purchased electricity</v>
      </c>
    </row>
    <row r="37" spans="1:10" ht="20.100000000000001" customHeight="1" x14ac:dyDescent="0.2">
      <c r="A37" s="5" t="str">
        <f>HYPERLINK("#'15 Scope 3'!A1", "15 Scope 3")</f>
        <v>15 Scope 3</v>
      </c>
      <c r="J37" s="82">
        <f>SUM(Table_Input_DataQuality_PastureManagement[Score])</f>
        <v>56</v>
      </c>
    </row>
    <row r="38" spans="1:10" ht="20.100000000000001" customHeight="1" x14ac:dyDescent="0.2">
      <c r="A38" s="5" t="str">
        <f>HYPERLINK("#'Calcs - Manure sent off-site'!A1", "Calcs - Manure sent off-site")</f>
        <v>Calcs - Manure sent off-site</v>
      </c>
      <c r="D38" s="2" t="s">
        <v>225</v>
      </c>
    </row>
    <row r="39" spans="1:10" ht="20.100000000000001" customHeight="1" x14ac:dyDescent="0.2">
      <c r="A39" s="5" t="str">
        <f>HYPERLINK("#'5.1.1.1-2 Inorganic fert N2O'!A1", "5.1.1.1-2 Inorganic fert N2O")</f>
        <v>5.1.1.1-2 Inorganic fert N2O</v>
      </c>
    </row>
    <row r="40" spans="1:10" ht="20.100000000000001" customHeight="1" x14ac:dyDescent="0.2">
      <c r="A40" s="5" t="str">
        <f>HYPERLINK("#'5.1.1.3-4 Inorganic fert CO2'!A1", "5.1.1.3-4 Inorganic fert CO2")</f>
        <v>5.1.1.3-4 Inorganic fert CO2</v>
      </c>
      <c r="D40" s="78" t="s">
        <v>220</v>
      </c>
      <c r="E40" s="78" t="s">
        <v>221</v>
      </c>
      <c r="F40" s="78" t="s">
        <v>222</v>
      </c>
      <c r="G40" s="78" t="s">
        <v>223</v>
      </c>
      <c r="H40" s="78" t="s">
        <v>148</v>
      </c>
      <c r="I40" s="78" t="s">
        <v>149</v>
      </c>
      <c r="J40" s="78" t="s">
        <v>150</v>
      </c>
    </row>
    <row r="41" spans="1:10" ht="20.100000000000001" customHeight="1" x14ac:dyDescent="0.2">
      <c r="A41" s="5" t="str">
        <f>HYPERLINK("#'5.2.1.1-2 Organic Fert N2O'!A1", "5.2.1.1-2 Organic Fert N2O")</f>
        <v>5.2.1.1-2 Organic Fert N2O</v>
      </c>
      <c r="D41" s="1" t="str">
        <f>"Fuel purchases"</f>
        <v>Fuel purchases</v>
      </c>
      <c r="E41" s="13" t="s">
        <v>199</v>
      </c>
      <c r="F41" s="13" t="s">
        <v>205</v>
      </c>
      <c r="G41" s="13" t="s">
        <v>210</v>
      </c>
      <c r="H41" s="81"/>
      <c r="I41" s="81"/>
      <c r="J4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1:10" ht="20.100000000000001" customHeight="1" x14ac:dyDescent="0.2">
      <c r="A42" s="5" t="str">
        <f>HYPERLINK("#'5.3.1.1-2 Lime CO2'!A1", "5.3.1.1-2 Lime CO2")</f>
        <v>5.3.1.1-2 Lime CO2</v>
      </c>
      <c r="D42" s="1" t="str">
        <f>"Fuel consumption"</f>
        <v>Fuel consumption</v>
      </c>
      <c r="E42" s="13" t="s">
        <v>199</v>
      </c>
      <c r="F42" s="13" t="s">
        <v>205</v>
      </c>
      <c r="G42" s="13" t="s">
        <v>209</v>
      </c>
      <c r="H42" s="81"/>
      <c r="I42" s="81"/>
      <c r="J42"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1:10" ht="20.100000000000001" customHeight="1" x14ac:dyDescent="0.2">
      <c r="A43" s="5" t="str">
        <f>HYPERLINK("#'5.4.1.1-4 Atmos deposition'!A1", "5.4.1.1-4 Atmos deposition")</f>
        <v>5.4.1.1-4 Atmos deposition</v>
      </c>
      <c r="D43" s="1" t="str">
        <f>"Electricity consumption"</f>
        <v>Electricity consumption</v>
      </c>
      <c r="E43" s="13" t="s">
        <v>199</v>
      </c>
      <c r="F43" s="13" t="s">
        <v>205</v>
      </c>
      <c r="G43" s="13" t="s">
        <v>209</v>
      </c>
      <c r="H43" s="81"/>
      <c r="I43" s="81"/>
      <c r="J43"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1:10" ht="20.100000000000001" customHeight="1" x14ac:dyDescent="0.2">
      <c r="A44" s="5" t="str">
        <f>HYPERLINK("#'5.5.1.1-2 Leaching and runoff'!A1", "5.5.1.1-2 Leaching and runoff")</f>
        <v>5.5.1.1-2 Leaching and runoff</v>
      </c>
      <c r="D44" s="1" t="str">
        <f>"Electricity generation"</f>
        <v>Electricity generation</v>
      </c>
      <c r="E44" s="13" t="s">
        <v>199</v>
      </c>
      <c r="F44" s="13" t="s">
        <v>205</v>
      </c>
      <c r="G44" s="13" t="s">
        <v>209</v>
      </c>
      <c r="H44" s="81"/>
      <c r="I44" s="81"/>
      <c r="J44"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1:10" ht="20.100000000000001" customHeight="1" x14ac:dyDescent="0.2">
      <c r="J46" s="82">
        <f>SUM(Table_Input_DataQuality_FuelElectricity[Score])</f>
        <v>55</v>
      </c>
    </row>
    <row r="47" spans="1:10" ht="20.100000000000001" customHeight="1" x14ac:dyDescent="0.2">
      <c r="A47" s="79" t="s">
        <v>1</v>
      </c>
    </row>
    <row r="48" spans="1:10" ht="20.100000000000001" customHeight="1" x14ac:dyDescent="0.2">
      <c r="A48" s="5" t="str">
        <f>HYPERLINK("#'Constants - Swine'!A1", "Constants - Swine")</f>
        <v>Constants - Swine</v>
      </c>
      <c r="D48" s="2" t="s">
        <v>226</v>
      </c>
    </row>
    <row r="49" spans="1:10" ht="20.100000000000001" customHeight="1" x14ac:dyDescent="0.2">
      <c r="A49" s="5" t="str">
        <f>HYPERLINK("#'Constants - Common livestock'!A1", "Constants - Common Livestock")</f>
        <v>Constants - Common Livestock</v>
      </c>
    </row>
    <row r="50" spans="1:10" ht="20.100000000000001" customHeight="1" x14ac:dyDescent="0.2">
      <c r="A50" s="5" t="str">
        <f>HYPERLINK("#'Constants - Electricity'!A1", "Constants - Electricity")</f>
        <v>Constants - Electricity</v>
      </c>
      <c r="D50" s="78" t="s">
        <v>220</v>
      </c>
      <c r="E50" s="78" t="s">
        <v>221</v>
      </c>
      <c r="F50" s="78" t="s">
        <v>222</v>
      </c>
      <c r="G50" s="78" t="s">
        <v>223</v>
      </c>
      <c r="H50" s="78" t="s">
        <v>148</v>
      </c>
      <c r="I50" s="78" t="s">
        <v>149</v>
      </c>
      <c r="J50" s="78" t="s">
        <v>150</v>
      </c>
    </row>
    <row r="51" spans="1:10" ht="20.100000000000001" customHeight="1" x14ac:dyDescent="0.2">
      <c r="A51" s="5" t="str">
        <f>HYPERLINK("#'Constants - Fertiliser'!A1", "Constants - Fertiliser")</f>
        <v>Constants - Fertiliser</v>
      </c>
      <c r="D51" s="1" t="str">
        <f>"Farm input purchases"</f>
        <v>Farm input purchases</v>
      </c>
      <c r="E51" s="13" t="s">
        <v>199</v>
      </c>
      <c r="F51" s="13" t="s">
        <v>205</v>
      </c>
      <c r="G51" s="13" t="s">
        <v>210</v>
      </c>
      <c r="H51" s="81"/>
      <c r="I51" s="81"/>
      <c r="J5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1:10" ht="20.100000000000001" customHeight="1" x14ac:dyDescent="0.2">
      <c r="A52" s="5" t="str">
        <f>HYPERLINK("#'Constants - Fuel'!A1", "Constants - Fuel")</f>
        <v>Constants - Fuel</v>
      </c>
      <c r="D52" s="1" t="str">
        <f>"Inbound freight use"</f>
        <v>Inbound freight use</v>
      </c>
      <c r="E52" s="13" t="s">
        <v>199</v>
      </c>
      <c r="F52" s="13" t="s">
        <v>205</v>
      </c>
      <c r="G52" s="13" t="s">
        <v>209</v>
      </c>
      <c r="H52" s="81"/>
      <c r="I52" s="81"/>
      <c r="J52"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1:10" ht="20.100000000000001" customHeight="1" x14ac:dyDescent="0.2">
      <c r="A53" s="5" t="str">
        <f>HYPERLINK("#'Constants - Scope 3'!A1", "Constants - Scope 3")</f>
        <v>Constants - Scope 3</v>
      </c>
      <c r="D53" s="1" t="str">
        <f>"Outbound freight use"</f>
        <v>Outbound freight use</v>
      </c>
      <c r="E53" s="13" t="s">
        <v>199</v>
      </c>
      <c r="F53" s="13" t="s">
        <v>205</v>
      </c>
      <c r="G53" s="13" t="s">
        <v>209</v>
      </c>
      <c r="H53" s="81"/>
      <c r="I53" s="81"/>
      <c r="J53"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1:10" ht="20.100000000000001" customHeight="1" x14ac:dyDescent="0.2">
      <c r="A54" s="5" t="str">
        <f>HYPERLINK("#'Constants - Solid Waste'!A1", "Constants - Solid Waste")</f>
        <v>Constants - Solid Waste</v>
      </c>
      <c r="D54" s="1" t="str">
        <f>"Use of contractors and service providers"</f>
        <v>Use of contractors and service providers</v>
      </c>
      <c r="E54" s="13"/>
      <c r="F54" s="13"/>
      <c r="G54" s="13"/>
      <c r="H54" s="81"/>
      <c r="I54" s="81"/>
      <c r="J54"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1:10" ht="20.100000000000001" customHeight="1" x14ac:dyDescent="0.2">
      <c r="A55" s="5" t="str">
        <f>HYPERLINK("#'Constants - Common'!A1", "Constants - Common")</f>
        <v>Constants - Common</v>
      </c>
      <c r="D55" s="1" t="str">
        <f>"Solid waste generation and treatment"</f>
        <v>Solid waste generation and treatment</v>
      </c>
      <c r="E55" s="13" t="s">
        <v>199</v>
      </c>
      <c r="F55" s="13" t="s">
        <v>205</v>
      </c>
      <c r="G55" s="13" t="s">
        <v>209</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6" spans="1:10" ht="20.100000000000001" customHeight="1" x14ac:dyDescent="0.2">
      <c r="A56" s="5" t="str">
        <f>HYPERLINK("#'Acknowledgements'!A1", "Acknowledgements")</f>
        <v>Acknowledgements</v>
      </c>
    </row>
    <row r="57" spans="1:10" ht="20.100000000000001" customHeight="1" x14ac:dyDescent="0.2">
      <c r="J57" s="82">
        <f>SUM(Table_Input_DataQuality_FarmInputsFreightWaste[Score])</f>
        <v>55</v>
      </c>
    </row>
    <row r="58" spans="1:10" ht="20.100000000000001" customHeight="1" x14ac:dyDescent="0.2">
      <c r="D58" s="84" t="s">
        <v>227</v>
      </c>
      <c r="E58" s="85"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D5E5-62AE-4C99-9761-DDC6D4064646}">
  <sheetPr>
    <tabColor rgb="FF008000"/>
  </sheetPr>
  <dimension ref="A1:R342"/>
  <sheetViews>
    <sheetView showGridLines="0" zoomScaleNormal="100" workbookViewId="0">
      <pane xSplit="1" topLeftCell="B1" activePane="topRight" state="frozenSplit"/>
      <selection pane="topRight" activeCell="A217" sqref="A21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20" customFormat="1" ht="30" customHeight="1" x14ac:dyDescent="0.35">
      <c r="A1" s="10" t="e" vm="1">
        <v>#VALUE!</v>
      </c>
      <c r="C1" s="20" t="s">
        <v>513</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L3" s="22"/>
      <c r="M3" s="22" t="s">
        <v>131</v>
      </c>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EntericMethane_Swine_Equations.VEERG_3_5_1_1__2_DailyEntericMethaneProduction_Title()</f>
        <v>Total daily production of enteric methane of swine</v>
      </c>
    </row>
    <row r="6" spans="1:18" ht="20.100000000000001" customHeight="1" x14ac:dyDescent="0.2">
      <c r="D6" s="17" t="str" cm="1">
        <f t="array" ref="D6">EntericMethane_Swine_Equations.VEERG_3_5_1_1__2_DailyEntericMethaneProduction_Source()</f>
        <v>VEERG 2026: 3.5.1.1, Equation (2)</v>
      </c>
    </row>
    <row r="7" spans="1:18" ht="20.100000000000001" customHeight="1" x14ac:dyDescent="0.2">
      <c r="D7" s="110" t="s">
        <v>321</v>
      </c>
      <c r="E7" s="110" t="str" cm="1">
        <f t="array" aca="1" ref="E7" ca="1">Common_InputFunctions.Utility_DisplayFunctionName(D26)</f>
        <v>=EntericMethane_Swine_Equations.VEERG_3_5_1_1__2_DailyEntericMethaneProduction</v>
      </c>
    </row>
    <row r="8" spans="1:18" ht="20.100000000000001" customHeight="1" x14ac:dyDescent="0.2">
      <c r="A8" s="7" t="s">
        <v>0</v>
      </c>
      <c r="D8" s="25"/>
    </row>
    <row r="9" spans="1:18" ht="20.100000000000001" customHeight="1" x14ac:dyDescent="0.2">
      <c r="A9" s="5" t="str">
        <f>HYPERLINK("#'Input - Enterprise'!A1", "Enterprise")</f>
        <v>Enterprise</v>
      </c>
    </row>
    <row r="10" spans="1:18" ht="20.100000000000001" customHeight="1" x14ac:dyDescent="0.2">
      <c r="A10" s="5" t="str">
        <f>HYPERLINK("#'Input - Site'!A1", "Site")</f>
        <v>Site</v>
      </c>
      <c r="D10" s="75" t="s">
        <v>322</v>
      </c>
      <c r="E10" s="1" t="str" cm="1">
        <f t="array" ref="E10">EntericMethane_Swine_Equations.VEERG_3_5_1_1__2_DailyEntericMethaneProduction_Variable()</f>
        <v>M_j</v>
      </c>
    </row>
    <row r="11" spans="1:18" ht="20.100000000000001" customHeight="1" x14ac:dyDescent="0.2">
      <c r="A11" s="5" t="str">
        <f>HYPERLINK("#'Input - Swine'!A1", "Swine")</f>
        <v>Swine</v>
      </c>
      <c r="D11" s="75" t="s">
        <v>118</v>
      </c>
      <c r="E11" s="9" t="str" cm="1">
        <f t="array" ref="E11">EntericMethane_Swine_Equations.VEERG_3_5_1_1__2_DailyEntericMethaneProduction_Unit()</f>
        <v>kg CH4/head/day</v>
      </c>
    </row>
    <row r="12" spans="1:18" ht="20.100000000000001" customHeight="1" x14ac:dyDescent="0.2">
      <c r="A12" s="5" t="str">
        <f>HYPERLINK("#'Input - Livestock sales'!A1", "Livestock sales")</f>
        <v>Livestock sales</v>
      </c>
    </row>
    <row r="13" spans="1:18" ht="20.100000000000001" customHeight="1" x14ac:dyDescent="0.2">
      <c r="A13" s="5" t="str">
        <f>HYPERLINK("#'Input - Pig purchases'!A1", "Pig purchases")</f>
        <v>Pig purchases</v>
      </c>
      <c r="D13" s="127" t="str" cm="1">
        <f t="array" ref="D13:E16">_xlfn.CHOOSECOLS(EntericMethane_Swine_Equations.VEERG_3_5_1_1__2_DailyEntericMethaneProduction_Arguments(),1,2)</f>
        <v>I_j</v>
      </c>
      <c r="E13" s="128" t="str">
        <v>daily feed ingested by each swine class</v>
      </c>
      <c r="F13" s="129"/>
      <c r="G13" s="127" t="str" cm="1">
        <f t="array" ref="G13:H16">_xlfn.CHOOSECOLS(EntericMethane_Swine_Equations.VEERG_3_5_1_1__2_DailyEntericMethaneProduction_Arguments(),3,4)</f>
        <v>kg/head/day</v>
      </c>
      <c r="H13" s="114" t="str">
        <v>Input</v>
      </c>
      <c r="I13" s="127" t="str" cm="1">
        <f t="array" aca="1" ref="I13" ca="1">HYPERLINK(Common_InputFunctions.Utility_SourceHyperlink($D$18), $D$18)</f>
        <v>M1_Table_I_j</v>
      </c>
    </row>
    <row r="14" spans="1:18" ht="20.100000000000001" customHeight="1" x14ac:dyDescent="0.2">
      <c r="A14" s="5" t="str">
        <f>HYPERLINK("#'Input - Fuel'!A1", "Fuel")</f>
        <v>Fuel</v>
      </c>
      <c r="D14" s="127" t="str">
        <v>18.6</v>
      </c>
      <c r="E14" s="128" t="str">
        <v>gross energy (GE) content of feed</v>
      </c>
      <c r="F14" s="129"/>
      <c r="G14" s="127" t="str">
        <v>MJ GE/kg feed</v>
      </c>
      <c r="H14" s="125" t="str">
        <v>Constant</v>
      </c>
      <c r="I14" s="127" t="str">
        <f>D14</f>
        <v>18.6</v>
      </c>
    </row>
    <row r="15" spans="1:18" ht="20.100000000000001" customHeight="1" x14ac:dyDescent="0.2">
      <c r="A15" s="5" t="str">
        <f>HYPERLINK("#'Input - Electricity'!A1", "Electricity")</f>
        <v>Electricity</v>
      </c>
      <c r="D15" s="127" t="str">
        <v>0.007</v>
      </c>
      <c r="E15" s="128" t="str">
        <v>fraction of GE intake converted to methane by swine</v>
      </c>
      <c r="F15" s="129"/>
      <c r="G15" s="127" t="str">
        <v>fraction</v>
      </c>
      <c r="H15" s="125" t="str">
        <v>Constant</v>
      </c>
      <c r="I15" s="127" t="str">
        <f>D15</f>
        <v>0.007</v>
      </c>
    </row>
    <row r="16" spans="1:18" ht="20.100000000000001" customHeight="1" x14ac:dyDescent="0.2">
      <c r="A16" s="5" t="str">
        <f>HYPERLINK("#'Input - Common farm inputs'!A1", "Common farm inputs")</f>
        <v>Common farm inputs</v>
      </c>
      <c r="D16" s="127" t="str">
        <v>F</v>
      </c>
      <c r="E16" s="128" t="str">
        <v>megajoules per kilogram of methane</v>
      </c>
      <c r="F16" s="129"/>
      <c r="G16" s="127" t="str">
        <v>MJ/kg CH4</v>
      </c>
      <c r="H16" s="125" t="str">
        <v>Constant</v>
      </c>
      <c r="I16" s="127">
        <f>SourceData_Swine_MegajoulesPerKilogramMethane_Data</f>
        <v>55.22</v>
      </c>
    </row>
    <row r="17" spans="1:17" ht="20.100000000000001" customHeight="1" x14ac:dyDescent="0.2">
      <c r="A17" s="5" t="str">
        <f>HYPERLINK("#'Input - Livestock farm Inputs'!A1", "Livestock farm Inputs")</f>
        <v>Livestock farm Inputs</v>
      </c>
    </row>
    <row r="18" spans="1:17" ht="20.100000000000001" customHeight="1" x14ac:dyDescent="0.2">
      <c r="A18" s="5" t="str">
        <f>HYPERLINK("#'Input - Freight'!A1", "Freight")</f>
        <v>Freight</v>
      </c>
      <c r="D18" s="117" t="s">
        <v>514</v>
      </c>
      <c r="M18" s="117" t="s">
        <v>515</v>
      </c>
    </row>
    <row r="19" spans="1:17" ht="20.100000000000001" customHeight="1" x14ac:dyDescent="0.2">
      <c r="A19" s="5" t="str">
        <f>HYPERLINK("#'Input - Solid waste'!A1", "Solid waste")</f>
        <v>Solid waste</v>
      </c>
      <c r="D19" s="118" t="s">
        <v>516</v>
      </c>
      <c r="M19" s="118" t="s">
        <v>517</v>
      </c>
    </row>
    <row r="20" spans="1:17" ht="20.100000000000001" customHeight="1" x14ac:dyDescent="0.2">
      <c r="A20" s="5" t="str">
        <f>HYPERLINK("#'Input - Manure sent off-site'!A1", "Manure sent off-site")</f>
        <v>Manure sent off-site</v>
      </c>
      <c r="D20" s="78" t="str" cm="1">
        <f t="array" aca="1" ref="D20:G21" ca="1">OFFSET(X_Table_Swine_FeedIntake_Method1,0,1,2,4)</f>
        <v>Boars</v>
      </c>
      <c r="E20" s="78" t="str">
        <f ca="1"/>
        <v>Sows</v>
      </c>
      <c r="F20" s="78" t="str">
        <f ca="1"/>
        <v>Gilts</v>
      </c>
      <c r="G20" s="78" t="str">
        <f ca="1"/>
        <v>Others</v>
      </c>
      <c r="M20" s="78" t="str" cm="1">
        <f t="array" aca="1" ref="M20:P21" ca="1">OFFSET(X_Table_Swine_FeedIntake_Method2,0,1,2,4)</f>
        <v>Boars</v>
      </c>
      <c r="N20" s="78" t="str">
        <f ca="1"/>
        <v>Sows</v>
      </c>
      <c r="O20" s="78" t="str">
        <f ca="1"/>
        <v>Gilts</v>
      </c>
      <c r="P20" s="78" t="str">
        <f ca="1"/>
        <v>Others</v>
      </c>
    </row>
    <row r="21" spans="1:17" ht="20.100000000000001" customHeight="1" x14ac:dyDescent="0.2">
      <c r="A21" s="5" t="str">
        <f>HYPERLINK("#'Input - Data quality'!A1", "Data quality")</f>
        <v>Data quality</v>
      </c>
      <c r="D21" s="111">
        <f ca="1"/>
        <v>2.62</v>
      </c>
      <c r="E21" s="111">
        <f ca="1"/>
        <v>2.2999999999999998</v>
      </c>
      <c r="F21" s="111">
        <f ca="1"/>
        <v>2.5</v>
      </c>
      <c r="G21" s="111">
        <f ca="1"/>
        <v>1.71</v>
      </c>
      <c r="H21" s="16" t="str">
        <f>G13</f>
        <v>kg/head/day</v>
      </c>
      <c r="M21" s="111">
        <f ca="1"/>
        <v>2.62</v>
      </c>
      <c r="N21" s="111">
        <f ca="1"/>
        <v>2.2999999999999998</v>
      </c>
      <c r="O21" s="111">
        <f ca="1"/>
        <v>2.5</v>
      </c>
      <c r="P21" s="111">
        <f ca="1"/>
        <v>1.71</v>
      </c>
      <c r="Q21" s="16" t="str">
        <f>G13</f>
        <v>kg/head/day</v>
      </c>
    </row>
    <row r="22" spans="1:17" ht="20.100000000000001" customHeight="1" x14ac:dyDescent="0.2">
      <c r="A22" s="5" t="str">
        <f>HYPERLINK("#'Input - Fert Prod System'!A1", "Fert Prod System")</f>
        <v>Fert Prod System</v>
      </c>
    </row>
    <row r="23" spans="1:17" ht="20.100000000000001" customHeight="1" x14ac:dyDescent="0.2">
      <c r="A23" s="5" t="str">
        <f>HYPERLINK("#'Input - Fertiliser'!A1", "Fertiliser")</f>
        <v>Fertiliser</v>
      </c>
      <c r="D23" s="117" t="s">
        <v>518</v>
      </c>
      <c r="M23" s="117" t="s">
        <v>518</v>
      </c>
    </row>
    <row r="24" spans="1:17" ht="20.100000000000001" customHeight="1" x14ac:dyDescent="0.2">
      <c r="D24" s="118" t="s">
        <v>519</v>
      </c>
      <c r="M24" s="118" t="s">
        <v>519</v>
      </c>
    </row>
    <row r="25" spans="1:17" ht="20.100000000000001" customHeight="1" x14ac:dyDescent="0.2">
      <c r="D25" s="119" t="s">
        <v>290</v>
      </c>
      <c r="E25" s="119" t="s">
        <v>291</v>
      </c>
      <c r="F25" s="119" t="s">
        <v>265</v>
      </c>
      <c r="G25" s="119" t="s">
        <v>292</v>
      </c>
      <c r="M25" s="119" t="s">
        <v>290</v>
      </c>
      <c r="N25" s="119" t="s">
        <v>291</v>
      </c>
      <c r="O25" s="119" t="s">
        <v>265</v>
      </c>
      <c r="P25" s="119" t="s">
        <v>292</v>
      </c>
    </row>
    <row r="26" spans="1:17" ht="20.100000000000001" customHeight="1" x14ac:dyDescent="0.2">
      <c r="A26" s="6" t="s">
        <v>2</v>
      </c>
      <c r="D26" s="111" cm="1">
        <f t="array" aca="1" ref="D26" ca="1">EntericMethane_Swine_Equations.VEERG_3_5_1_1__2_DailyEntericMethaneProduction(D21,$I$16)</f>
        <v>6.1775443679826158E-3</v>
      </c>
      <c r="E26" s="111" cm="1">
        <f t="array" aca="1" ref="E26" ca="1">EntericMethane_Swine_Equations.VEERG_3_5_1_1__2_DailyEntericMethaneProduction(E21,$I$16)</f>
        <v>5.4230351321984793E-3</v>
      </c>
      <c r="F26" s="111" cm="1">
        <f t="array" aca="1" ref="F26" ca="1">EntericMethane_Swine_Equations.VEERG_3_5_1_1__2_DailyEntericMethaneProduction(F21,$I$16)</f>
        <v>5.8946034045635641E-3</v>
      </c>
      <c r="G26" s="111" cm="1">
        <f t="array" aca="1" ref="G26" ca="1">EntericMethane_Swine_Equations.VEERG_3_5_1_1__2_DailyEntericMethaneProduction(G21,$I$16)</f>
        <v>4.031908728721478E-3</v>
      </c>
      <c r="H26" s="16" t="str">
        <f>$E$11</f>
        <v>kg CH4/head/day</v>
      </c>
      <c r="M26" s="111" cm="1">
        <f t="array" aca="1" ref="M26" ca="1">EntericMethane_Swine_Equations.VEERG_3_5_1_1__2_DailyEntericMethaneProduction(M21,$I$16)</f>
        <v>6.1775443679826158E-3</v>
      </c>
      <c r="N26" s="111" cm="1">
        <f t="array" aca="1" ref="N26" ca="1">EntericMethane_Swine_Equations.VEERG_3_5_1_1__2_DailyEntericMethaneProduction(N21,$I$16)</f>
        <v>5.4230351321984793E-3</v>
      </c>
      <c r="O26" s="111" cm="1">
        <f t="array" aca="1" ref="O26" ca="1">EntericMethane_Swine_Equations.VEERG_3_5_1_1__2_DailyEntericMethaneProduction(O21,$I$16)</f>
        <v>5.8946034045635641E-3</v>
      </c>
      <c r="P26" s="111" cm="1">
        <f t="array" aca="1" ref="P26" ca="1">EntericMethane_Swine_Equations.VEERG_3_5_1_1__2_DailyEntericMethaneProduction(P21,$I$16)</f>
        <v>4.031908728721478E-3</v>
      </c>
      <c r="Q26" s="16" t="str">
        <f>$E$11</f>
        <v>kg CH4/head/day</v>
      </c>
    </row>
    <row r="27" spans="1:17" ht="20.100000000000001" customHeight="1" x14ac:dyDescent="0.2">
      <c r="A27" s="116" t="str">
        <f>HYPERLINK("#'3.5.1.1-2 Enteric Methane'!A1", "3.5.1.1-2 Enteric Methane")</f>
        <v>3.5.1.1-2 Enteric Methane</v>
      </c>
    </row>
    <row r="28" spans="1:17" ht="20.100000000000001" customHeight="1" x14ac:dyDescent="0.2">
      <c r="A28" s="5" t="str">
        <f>HYPERLINK("#'4.5.1.1-2 Methane'!A1", "4.5.1.1-2 Manure Methane")</f>
        <v>4.5.1.1-2 Manure Methane</v>
      </c>
    </row>
    <row r="29" spans="1:17" ht="20.100000000000001" customHeight="1" x14ac:dyDescent="0.2">
      <c r="A29" s="5" t="str">
        <f>HYPERLINK("#'4.5.1.3-4 Direct N2O'!A1", "4.5.1.3-4 Manure Direct N2O")</f>
        <v>4.5.1.3-4 Manure Direct N2O</v>
      </c>
      <c r="C29" s="82"/>
      <c r="D29" s="82"/>
      <c r="E29" s="82"/>
      <c r="F29" s="82"/>
      <c r="G29" s="82"/>
      <c r="H29" s="82"/>
      <c r="I29" s="82"/>
      <c r="J29" s="82"/>
    </row>
    <row r="30" spans="1:17" ht="20.100000000000001" customHeight="1" x14ac:dyDescent="0.2">
      <c r="A30" s="5" t="str">
        <f>HYPERLINK("#'4.5.1.5-6 Atmos Dep'!A1", "4.5.1.5-6 Manure Atmos Dep")</f>
        <v>4.5.1.5-6 Manure Atmos Dep</v>
      </c>
      <c r="D30" s="2" t="str" cm="1">
        <f t="array" ref="D30">EntericMethane_Swine_Equations.VEERG_3_5_1_1__1_TotalAnnualMethaneFromEntericFermentation_Title()</f>
        <v>Total annual methane production from enteric fermentation in swine</v>
      </c>
    </row>
    <row r="31" spans="1:17" ht="20.100000000000001" customHeight="1" x14ac:dyDescent="0.2">
      <c r="A31" s="5" t="str">
        <f>HYPERLINK("#'4.5.1.7-8 Leaching and runoff'!A1", "4.5.1.7-8 Manure Leaching and runoff")</f>
        <v>4.5.1.7-8 Manure Leaching and runoff</v>
      </c>
      <c r="D31" s="17" t="str" cm="1">
        <f t="array" ref="D31">EntericMethane_Swine_Equations.VEERG_3_5_1_1__1_TotalAnnualMethaneFromEntericFermentation_Source()</f>
        <v>VEERG 2026: 3.5.1.1, Equation (1)</v>
      </c>
    </row>
    <row r="32" spans="1:17" ht="20.100000000000001" customHeight="1" x14ac:dyDescent="0.2">
      <c r="A32" s="5" t="str">
        <f>HYPERLINK("#'4.5.1.9 Manure applied to soils'!A1", "4.5.1.9 Manure applied to soils")</f>
        <v>4.5.1.9 Manure applied to soils</v>
      </c>
      <c r="D32" s="110" t="s">
        <v>321</v>
      </c>
      <c r="E32" s="110" t="str" cm="1">
        <f t="array" aca="1" ref="E32" ca="1">Common_InputFunctions.Utility_DisplayFunctionName(D56)</f>
        <v>=EntericMethane_Swine_Equations.VEERG_3_5_1_1__1_TotalAnnualMethaneFromEntericFermentation</v>
      </c>
    </row>
    <row r="33" spans="1:9" ht="20.100000000000001" customHeight="1" x14ac:dyDescent="0.2">
      <c r="A33" s="5" t="str">
        <f>HYPERLINK("#'8.1.1.1-2 Transport fuel'!A1", "8.1.1.1-2 Transport fuel")</f>
        <v>8.1.1.1-2 Transport fuel</v>
      </c>
    </row>
    <row r="34" spans="1:9" ht="20.100000000000001" customHeight="1" x14ac:dyDescent="0.2">
      <c r="A34" s="5" t="str">
        <f>HYPERLINK("#'8.2.1.1-2 Stationary fuel'!A1", "8.2.1.1-2 Stationary fuel")</f>
        <v>8.2.1.1-2 Stationary fuel</v>
      </c>
      <c r="F34" s="2"/>
    </row>
    <row r="35" spans="1:9" ht="20.100000000000001" customHeight="1" x14ac:dyDescent="0.2">
      <c r="A35" s="5" t="str">
        <f>HYPERLINK("#'10.1.1-2 Solid waste treatment'!A1", "10.1.1.1-2 Solid waste")</f>
        <v>10.1.1.1-2 Solid waste</v>
      </c>
    </row>
    <row r="36" spans="1:9" ht="20.100000000000001" customHeight="1" x14ac:dyDescent="0.2">
      <c r="A36" s="5" t="str">
        <f>HYPERLINK("#'14.1.1-2 Purchased electricity'!A1", "14.1.1-2 Purchased electricity")</f>
        <v>14.1.1-2 Purchased electricity</v>
      </c>
      <c r="D36" s="75" t="s">
        <v>322</v>
      </c>
      <c r="E36" s="1" t="str" cm="1">
        <f t="array" ref="E36">EntericMethane_Swine_Equations.VEERG_3_5_1_1__1_TotalAnnualMethaneFromEntericFermentation_Variable()</f>
        <v>E_enteric</v>
      </c>
    </row>
    <row r="37" spans="1:9" ht="20.100000000000001" customHeight="1" x14ac:dyDescent="0.2">
      <c r="A37" s="5" t="str">
        <f>HYPERLINK("#'15 Scope 3'!A1", "15 Scope 3")</f>
        <v>15 Scope 3</v>
      </c>
      <c r="D37" s="75" t="s">
        <v>118</v>
      </c>
      <c r="E37" s="9" t="str" cm="1">
        <f t="array" ref="E37">EntericMethane_Swine_Equations.VEERG_3_5_1_1__1_TotalAnnualMethaneFromEntericFermentation_Unit()</f>
        <v>t CH4</v>
      </c>
    </row>
    <row r="38" spans="1:9" ht="20.100000000000001" customHeight="1" x14ac:dyDescent="0.2">
      <c r="A38" s="5" t="str">
        <f>HYPERLINK("#'Calcs - Manure sent off-site'!A1", "Calcs - Manure sent off-site")</f>
        <v>Calcs - Manure sent off-site</v>
      </c>
    </row>
    <row r="39" spans="1:9" ht="20.100000000000001" customHeight="1" x14ac:dyDescent="0.2">
      <c r="A39" s="5" t="str">
        <f>HYPERLINK("#'5.1.1.1-2 Inorganic fert N2O'!A1", "5.1.1.1-2 Inorganic fert N2O")</f>
        <v>5.1.1.1-2 Inorganic fert N2O</v>
      </c>
      <c r="D39" s="111" t="str" cm="1">
        <f t="array" ref="D39:E41">_xlfn.CHOOSECOLS(EntericMethane_Swine_Equations.VEERG_3_5_1_1__1_TotalAnnualMethaneFromEntericFermentation_Arguments(), 1, 2)</f>
        <v>N_j</v>
      </c>
      <c r="E39" s="112" t="str">
        <v>numbers of swine of each class</v>
      </c>
      <c r="F39" s="124"/>
      <c r="G39" s="111" t="str" cm="1">
        <f t="array" ref="G39:H41">_xlfn.CHOOSECOLS(EntericMethane_Swine_Equations.VEERG_3_5_1_1__1_TotalAnnualMethaneFromEntericFermentation_Arguments(), 3,4)</f>
        <v>head</v>
      </c>
      <c r="H39" s="123" t="str">
        <v>Input</v>
      </c>
      <c r="I39" s="115" t="str" cm="1">
        <f t="array" aca="1" ref="I39" ca="1">HYPERLINK(Common_InputFunctions.Utility_SourceHyperlink($D$48), $D$48)</f>
        <v>Table_N_j</v>
      </c>
    </row>
    <row r="40" spans="1:9" ht="20.100000000000001" customHeight="1" x14ac:dyDescent="0.2">
      <c r="A40" s="5" t="str">
        <f>HYPERLINK("#'5.1.1.3-4 Inorganic fert CO2'!A1", "5.1.1.3-4 Inorganic fert CO2")</f>
        <v>5.1.1.3-4 Inorganic fert CO2</v>
      </c>
      <c r="D40" s="111" t="str">
        <v>M_j</v>
      </c>
      <c r="E40" s="112" t="str">
        <v>methane production</v>
      </c>
      <c r="F40" s="124"/>
      <c r="G40" s="111" t="str">
        <v>kg CH4/head/day</v>
      </c>
      <c r="H40" s="125" t="str">
        <v>Calculated from 3.5.1.1, (2)</v>
      </c>
      <c r="I40" s="115" t="str" cm="1">
        <f t="array" aca="1" ref="I40" ca="1">HYPERLINK(Common_InputFunctions.Utility_SourceHyperlink($D$23), $D$23)</f>
        <v>M1_Table_M_j</v>
      </c>
    </row>
    <row r="41" spans="1:9" ht="20.100000000000001" customHeight="1" x14ac:dyDescent="0.2">
      <c r="A41" s="5" t="str">
        <f>HYPERLINK("#'5.2.1.1-2 Organic Fert N2O'!A1", "5.2.1.1-2 Organic Fert N2O")</f>
        <v>5.2.1.1-2 Organic Fert N2O</v>
      </c>
      <c r="D41" s="111" t="str">
        <v>D_j</v>
      </c>
      <c r="E41" s="112" t="str">
        <v>the average number of days on farm for each swine class</v>
      </c>
      <c r="F41" s="124"/>
      <c r="G41" s="111" t="str">
        <v>days</v>
      </c>
      <c r="H41" s="123" t="str">
        <v>Input</v>
      </c>
      <c r="I41" s="115" t="str" cm="1">
        <f t="array" aca="1" ref="I41" ca="1">HYPERLINK(Common_InputFunctions.Utility_SourceHyperlink($D$43), $D$43)</f>
        <v>Table_D_j</v>
      </c>
    </row>
    <row r="42" spans="1:9" ht="20.100000000000001" customHeight="1" x14ac:dyDescent="0.2">
      <c r="A42" s="5" t="str">
        <f>HYPERLINK("#'5.3.1.1-2 Lime CO2'!A1", "5.3.1.1-2 Lime CO2")</f>
        <v>5.3.1.1-2 Lime CO2</v>
      </c>
    </row>
    <row r="43" spans="1:9" ht="20.100000000000001" customHeight="1" x14ac:dyDescent="0.2">
      <c r="A43" s="5" t="str">
        <f>HYPERLINK("#'5.4.1.1-4 Atmos deposition'!A1", "5.4.1.1-4 Atmos deposition")</f>
        <v>5.4.1.1-4 Atmos deposition</v>
      </c>
      <c r="D43" s="117" t="s">
        <v>373</v>
      </c>
    </row>
    <row r="44" spans="1:9" ht="20.100000000000001" customHeight="1" x14ac:dyDescent="0.2">
      <c r="A44" s="5" t="str">
        <f>HYPERLINK("#'5.5.1.1-2 Leaching and runoff'!A1", "5.5.1.1-2 Leaching and runoff")</f>
        <v>5.5.1.1-2 Leaching and runoff</v>
      </c>
      <c r="D44" s="118" t="s">
        <v>374</v>
      </c>
    </row>
    <row r="45" spans="1:9" ht="20.100000000000001" customHeight="1" x14ac:dyDescent="0.2">
      <c r="D45" s="78" t="str" cm="1">
        <f t="array" aca="1" ref="D45:G46" ca="1">OFFSET(X_Table_Swine_HerdMovement,0,1,2,4)</f>
        <v>Boars</v>
      </c>
      <c r="E45" s="78" t="str">
        <f ca="1"/>
        <v>Sows</v>
      </c>
      <c r="F45" s="78" t="str">
        <f ca="1"/>
        <v>Gilts</v>
      </c>
      <c r="G45" s="78" t="str">
        <f ca="1"/>
        <v>Others</v>
      </c>
    </row>
    <row r="46" spans="1:9" ht="20.100000000000001" customHeight="1" x14ac:dyDescent="0.2">
      <c r="D46" s="132">
        <f ca="1"/>
        <v>365</v>
      </c>
      <c r="E46" s="132">
        <f ca="1"/>
        <v>365</v>
      </c>
      <c r="F46" s="132">
        <f ca="1"/>
        <v>365</v>
      </c>
      <c r="G46" s="132">
        <f ca="1"/>
        <v>365</v>
      </c>
      <c r="H46" s="16" t="str">
        <f>G39</f>
        <v>head</v>
      </c>
    </row>
    <row r="47" spans="1:9" ht="20.100000000000001" customHeight="1" x14ac:dyDescent="0.2">
      <c r="A47" s="79" t="s">
        <v>1</v>
      </c>
    </row>
    <row r="48" spans="1:9" ht="20.100000000000001" customHeight="1" x14ac:dyDescent="0.2">
      <c r="A48" s="5" t="str">
        <f>HYPERLINK("#'Constants - Swine'!A1", "Constants - Swine")</f>
        <v>Constants - Swine</v>
      </c>
      <c r="D48" s="117" t="s">
        <v>375</v>
      </c>
    </row>
    <row r="49" spans="1:17" ht="20.100000000000001" customHeight="1" x14ac:dyDescent="0.2">
      <c r="A49" s="5" t="str">
        <f>HYPERLINK("#'Constants - Common livestock'!A1", "Constants - Common Livestock")</f>
        <v>Constants - Common Livestock</v>
      </c>
      <c r="D49" s="118" t="s">
        <v>376</v>
      </c>
    </row>
    <row r="50" spans="1:17" ht="20.100000000000001" customHeight="1" x14ac:dyDescent="0.2">
      <c r="A50" s="5" t="str">
        <f>HYPERLINK("#'Constants - Electricity'!A1", "Constants - Electricity")</f>
        <v>Constants - Electricity</v>
      </c>
      <c r="D50" s="78" t="s">
        <v>290</v>
      </c>
      <c r="E50" s="78" t="s">
        <v>291</v>
      </c>
      <c r="F50" s="78" t="s">
        <v>265</v>
      </c>
      <c r="G50" s="78" t="s">
        <v>292</v>
      </c>
    </row>
    <row r="51" spans="1:17" ht="20.100000000000001" customHeight="1" x14ac:dyDescent="0.2">
      <c r="A51" s="5" t="str">
        <f>HYPERLINK("#'Constants - Fertiliser'!A1", "Constants - Fertiliser")</f>
        <v>Constants - Fertiliser</v>
      </c>
      <c r="D51" s="132" cm="1">
        <f t="array" aca="1" ref="D51:G51" ca="1">OFFSET(X_Table_Swine_HerdMovement,2,1,1,4)</f>
        <v>100</v>
      </c>
      <c r="E51" s="132">
        <f ca="1"/>
        <v>100</v>
      </c>
      <c r="F51" s="132">
        <f ca="1"/>
        <v>100</v>
      </c>
      <c r="G51" s="132">
        <f ca="1"/>
        <v>100</v>
      </c>
      <c r="H51" s="16" t="str">
        <f>G41</f>
        <v>days</v>
      </c>
    </row>
    <row r="52" spans="1:17" ht="20.100000000000001" customHeight="1" x14ac:dyDescent="0.2">
      <c r="A52" s="5" t="str">
        <f>HYPERLINK("#'Constants - Fuel'!A1", "Constants - Fuel")</f>
        <v>Constants - Fuel</v>
      </c>
    </row>
    <row r="53" spans="1:17" ht="20.100000000000001" customHeight="1" x14ac:dyDescent="0.2">
      <c r="A53" s="5" t="str">
        <f>HYPERLINK("#'Constants - Scope 3'!A1", "Constants - Scope 3")</f>
        <v>Constants - Scope 3</v>
      </c>
      <c r="D53" s="117" t="s">
        <v>520</v>
      </c>
      <c r="M53" s="117" t="s">
        <v>521</v>
      </c>
    </row>
    <row r="54" spans="1:17" ht="20.100000000000001" customHeight="1" x14ac:dyDescent="0.2">
      <c r="A54" s="5" t="str">
        <f>HYPERLINK("#'Constants - Solid Waste'!A1", "Constants - Solid Waste")</f>
        <v>Constants - Solid Waste</v>
      </c>
      <c r="D54" s="118" t="s">
        <v>522</v>
      </c>
      <c r="M54" s="118" t="s">
        <v>523</v>
      </c>
    </row>
    <row r="55" spans="1:17" ht="20.100000000000001" customHeight="1" x14ac:dyDescent="0.2">
      <c r="A55" s="5" t="str">
        <f>HYPERLINK("#'Constants - Common'!A1", "Constants - Common")</f>
        <v>Constants - Common</v>
      </c>
      <c r="D55" s="119" t="s">
        <v>290</v>
      </c>
      <c r="E55" s="119" t="s">
        <v>291</v>
      </c>
      <c r="F55" s="119" t="s">
        <v>265</v>
      </c>
      <c r="G55" s="119" t="s">
        <v>292</v>
      </c>
      <c r="M55" s="119" t="s">
        <v>290</v>
      </c>
      <c r="N55" s="119" t="s">
        <v>291</v>
      </c>
      <c r="O55" s="119" t="s">
        <v>265</v>
      </c>
      <c r="P55" s="119" t="s">
        <v>292</v>
      </c>
    </row>
    <row r="56" spans="1:17" ht="20.100000000000001" customHeight="1" x14ac:dyDescent="0.2">
      <c r="A56" s="5" t="str">
        <f>HYPERLINK("#'Acknowledgements'!A1", "Acknowledgements")</f>
        <v>Acknowledgements</v>
      </c>
      <c r="D56" s="15" cm="1">
        <f t="array" aca="1" ref="D56" ca="1">EntericMethane_Swine_Equations.VEERG_3_5_1_1__1_TotalAnnualMethaneFromEntericFermentation($D51,D26,$D46)</f>
        <v>0.22548036943136548</v>
      </c>
      <c r="E56" s="15" cm="1">
        <f t="array" aca="1" ref="E56" ca="1">EntericMethane_Swine_Equations.VEERG_3_5_1_1__1_TotalAnnualMethaneFromEntericFermentation($E51,E26,$E46)</f>
        <v>0.19794078232524451</v>
      </c>
      <c r="F56" s="15" cm="1">
        <f t="array" aca="1" ref="F56" ca="1">EntericMethane_Swine_Equations.VEERG_3_5_1_1__1_TotalAnnualMethaneFromEntericFermentation($F51,F26,$F46)</f>
        <v>0.2151530242665701</v>
      </c>
      <c r="G56" s="15" cm="1">
        <f t="array" aca="1" ref="G56" ca="1">EntericMethane_Swine_Equations.VEERG_3_5_1_1__1_TotalAnnualMethaneFromEntericFermentation($G51,G26,$G46)</f>
        <v>0.14716466859833394</v>
      </c>
      <c r="H56" s="16" t="str">
        <f>$E$37</f>
        <v>t CH4</v>
      </c>
      <c r="M56" s="15" cm="1">
        <f t="array" aca="1" ref="M56" ca="1">EntericMethane_Swine_Equations.VEERG_3_5_1_1__1_TotalAnnualMethaneFromEntericFermentation($D51,M26,$D46)</f>
        <v>0.22548036943136548</v>
      </c>
      <c r="N56" s="15" cm="1">
        <f t="array" aca="1" ref="N56" ca="1">EntericMethane_Swine_Equations.VEERG_3_5_1_1__1_TotalAnnualMethaneFromEntericFermentation($E51,N26,$E46)</f>
        <v>0.19794078232524451</v>
      </c>
      <c r="O56" s="15" cm="1">
        <f t="array" aca="1" ref="O56" ca="1">EntericMethane_Swine_Equations.VEERG_3_5_1_1__1_TotalAnnualMethaneFromEntericFermentation($F51,O26,$F46)</f>
        <v>0.2151530242665701</v>
      </c>
      <c r="P56" s="15" cm="1">
        <f t="array" aca="1" ref="P56" ca="1">EntericMethane_Swine_Equations.VEERG_3_5_1_1__1_TotalAnnualMethaneFromEntericFermentation($G51,P26,$G46)</f>
        <v>0.14716466859833394</v>
      </c>
      <c r="Q56" s="16" t="str">
        <f>$E$37</f>
        <v>t CH4</v>
      </c>
    </row>
    <row r="58" spans="1:17" ht="20.100000000000001" customHeight="1" x14ac:dyDescent="0.2">
      <c r="D58" s="84" t="s">
        <v>381</v>
      </c>
      <c r="E58" s="85">
        <f ca="1">SUM(D56:G56)</f>
        <v>0.78573884462151411</v>
      </c>
      <c r="F58" s="94" t="str">
        <f>$E$37</f>
        <v>t CH4</v>
      </c>
      <c r="M58" s="84" t="s">
        <v>381</v>
      </c>
      <c r="N58" s="85">
        <f ca="1">SUM(M56:P56)</f>
        <v>0.78573884462151411</v>
      </c>
      <c r="O58" s="94" t="str">
        <f>$E$37</f>
        <v>t CH4</v>
      </c>
    </row>
    <row r="60" spans="1:17" ht="20.100000000000001" customHeight="1" x14ac:dyDescent="0.2">
      <c r="D60" s="111" t="str" cm="1">
        <f t="array" ref="D60:E61">Common_Equations.Common_ConvertCH4ToCO2e_Arguments()</f>
        <v>ECH4</v>
      </c>
      <c r="E60" s="112" t="str">
        <v>Methane emissions (t CH4)</v>
      </c>
      <c r="F60" s="133"/>
      <c r="G60" s="15">
        <f ca="1">VEERG_3_5_1_1__1_TotalAnnualMethaneFromEntericFermentation_Result_Method1</f>
        <v>0.78573884462151411</v>
      </c>
      <c r="M60" s="111" t="str" cm="1">
        <f t="array" ref="M60:N61">Common_Equations.Common_ConvertCH4ToCO2e_Arguments()</f>
        <v>ECH4</v>
      </c>
      <c r="N60" s="112" t="str">
        <v>Methane emissions (t CH4)</v>
      </c>
      <c r="O60" s="133"/>
      <c r="P60" s="15">
        <f ca="1">VEERG_3_5_1_1__1_TotalAnnualMethaneFromEntericFermentation_Result_Method2</f>
        <v>0.78573884462151411</v>
      </c>
    </row>
    <row r="61" spans="1:17" ht="20.100000000000001" customHeight="1" x14ac:dyDescent="0.2">
      <c r="D61" s="111" t="str">
        <v>GWPCH4</v>
      </c>
      <c r="E61" s="112" t="str">
        <v>Global warming potential for methane (t CO2-e / t CH4)</v>
      </c>
      <c r="F61" s="133"/>
      <c r="G61" s="15">
        <f>Common_InputFunctions.Utility_LookupValueInTableNumber("CH4",Table_GWPData[Gas],Table_GWPData[CO2-e factor])</f>
        <v>28</v>
      </c>
      <c r="M61" s="111" t="str">
        <v>GWPCH4</v>
      </c>
      <c r="N61" s="112" t="str">
        <v>Global warming potential for methane (t CO2-e / t CH4)</v>
      </c>
      <c r="O61" s="133"/>
      <c r="P61" s="15">
        <f>Common_InputFunctions.Utility_LookupValueInTableNumber("CH4",Table_GWPData[Gas],Table_GWPData[CO2-e factor])</f>
        <v>28</v>
      </c>
    </row>
    <row r="63" spans="1:17" ht="20.100000000000001" customHeight="1" x14ac:dyDescent="0.2">
      <c r="D63" s="87" t="s">
        <v>524</v>
      </c>
      <c r="E63" s="82" cm="1">
        <f t="array" aca="1" ref="E63" ca="1">Common_Equations.Common_ConvertCH4ToCO2e(G60,G61)</f>
        <v>22.000687649402394</v>
      </c>
      <c r="F63" s="88" t="str" cm="1">
        <f t="array" ref="F63">Common_Equations.Common_ConvertN2OToCO2e_Unit()</f>
        <v>t CO2e</v>
      </c>
      <c r="M63" s="87" t="s">
        <v>524</v>
      </c>
      <c r="N63" s="82" cm="1">
        <f t="array" aca="1" ref="N63" ca="1">Common_Equations.Common_ConvertCH4ToCO2e(P60,P61)</f>
        <v>22.000687649402394</v>
      </c>
      <c r="O63" s="88" t="str" cm="1">
        <f t="array" ref="O63">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61:Q161 E126:I126 I207 E49 O133:Q134 E221 H128:I131 F145:I147 F127:I127 F128:F131 P155:Q156 Q121:Q124 O121:O124" xr:uid="{13DB302D-4EA0-4A83-A7B2-DFD3D125D68F}"/>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62C29-12C9-4C56-AA40-7EC91A9E19C7}">
  <sheetPr>
    <tabColor rgb="FF008000"/>
  </sheetPr>
  <dimension ref="A1:U342"/>
  <sheetViews>
    <sheetView showGridLines="0" zoomScaleNormal="100" workbookViewId="0">
      <pane xSplit="1" topLeftCell="B1" activePane="topRight" state="frozenSplit"/>
      <selection pane="topRight" activeCell="A247" sqref="A24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270</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MMS_Swine_Methane_Equations.VEERG_4_5_1_1__4_FractionVolatileSolidsPrimarySystem_Title()</f>
        <v>Fraction of volatile solids in each primary system other than solid storage</v>
      </c>
    </row>
    <row r="6" spans="1:21" ht="20.100000000000001" customHeight="1" x14ac:dyDescent="0.2">
      <c r="D6" s="17" t="str" cm="1">
        <f t="array" ref="D6">MMS_Swine_Methane_Equations.VEERG_4_5_1_1__4_FractionVolatileSolidsPrimarySystem_Source()</f>
        <v>VEERG 2026: 4.5.1.1, Equation (4)</v>
      </c>
    </row>
    <row r="7" spans="1:21" ht="20.100000000000001" customHeight="1" x14ac:dyDescent="0.2">
      <c r="D7" s="110" t="s">
        <v>321</v>
      </c>
      <c r="E7" s="110" t="str" cm="1">
        <f t="array" aca="1" ref="E7" ca="1">Common_InputFunctions.Utility_DisplayFunctionName($E$37)</f>
        <v>=MMS_Swine_Methane_Equations.VEERG_4_5_1_1__4_FractionVolatileSolidsPrimarySystem</v>
      </c>
    </row>
    <row r="8" spans="1:21" ht="20.100000000000001" customHeight="1" x14ac:dyDescent="0.2">
      <c r="A8" s="7" t="s">
        <v>0</v>
      </c>
      <c r="D8" s="25"/>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MMS_Swine_Methane_Equations.VEERG_4_5_1_1__4_FractionVolatileSolidsPrimarySystem_Variable()</f>
        <v>FVSjmT1</v>
      </c>
    </row>
    <row r="11" spans="1:21" ht="20.100000000000001" customHeight="1" x14ac:dyDescent="0.2">
      <c r="A11" s="5" t="str">
        <f>HYPERLINK("#'Input - Swine'!A1", "Swine")</f>
        <v>Swine</v>
      </c>
      <c r="D11" s="75" t="s">
        <v>118</v>
      </c>
      <c r="E11" s="9" t="str" cm="1">
        <f t="array" ref="E11">MMS_Swine_Methane_Equations.VEERG_4_5_1_1__4_FractionVolatileSolidsPrimarySystem_Unit()</f>
        <v>fraction</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4">Common_InputFunctions.Utility_DisplayArguments_1_2(MMS_Swine_Methane_Equations.VEERG_4_5_1_1__4_FractionVolatileSolidsPrimarySystem_Arguments())</f>
        <v>MMSjmT1</v>
      </c>
      <c r="E13" s="112" t="str">
        <v>fraction of manure to each primary MMS for each class prior to solid separation</v>
      </c>
      <c r="F13" s="113"/>
      <c r="G13" s="111" t="str" cm="1">
        <f t="array" ref="G13:H14">Common_InputFunctions.Utility_DisplayArguments_3_4(MMS_Swine_Methane_Equations.VEERG_4_5_1_1__4_FractionVolatileSolidsPrimarySystem_Arguments())</f>
        <v>fraction</v>
      </c>
      <c r="H13" s="114" t="str">
        <v>Input</v>
      </c>
      <c r="I13" s="115" t="str" cm="1">
        <f t="array" aca="1" ref="I13" ca="1">HYPERLINK(Common_InputFunctions.Utility_SourceHyperlink($D$16), $D$16)</f>
        <v>Table_MMS_j_m_T-1</v>
      </c>
    </row>
    <row r="14" spans="1:21" ht="20.100000000000001" customHeight="1" x14ac:dyDescent="0.2">
      <c r="A14" s="5" t="str">
        <f>HYPERLINK("#'Input - Fuel'!A1", "Fuel")</f>
        <v>Fuel</v>
      </c>
      <c r="D14" s="111" t="str">
        <v>SSm</v>
      </c>
      <c r="E14" s="112" t="str">
        <v>fraction of volatile solids separated to solid storage for each MMS</v>
      </c>
      <c r="F14" s="113"/>
      <c r="G14" s="111" t="str">
        <v>fraction</v>
      </c>
      <c r="H14" s="114" t="str">
        <v>Input</v>
      </c>
      <c r="I14" s="115" t="str" cm="1">
        <f t="array" aca="1" ref="I14" ca="1">HYPERLINK(Common_InputFunctions.Utility_SourceHyperlink($D$25), $D$25)</f>
        <v>M1_Table_SS_m</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7" t="s">
        <v>323</v>
      </c>
    </row>
    <row r="17" spans="1:19" ht="20.100000000000001" customHeight="1" x14ac:dyDescent="0.2">
      <c r="A17" s="5" t="str">
        <f>HYPERLINK("#'Input - Livestock farm Inputs'!A1", "Livestock farm Inputs")</f>
        <v>Livestock farm Inputs</v>
      </c>
      <c r="D17" s="118" t="s">
        <v>324</v>
      </c>
    </row>
    <row r="18" spans="1:19" ht="20.100000000000001" customHeight="1" x14ac:dyDescent="0.2">
      <c r="A18" s="5" t="str">
        <f>HYPERLINK("#'Input - Freight'!A1", "Freight")</f>
        <v>Freight</v>
      </c>
      <c r="D18" s="78" t="s">
        <v>325</v>
      </c>
      <c r="E18" s="78" t="s">
        <v>290</v>
      </c>
      <c r="F18" s="78" t="s">
        <v>291</v>
      </c>
      <c r="G18" s="78" t="s">
        <v>265</v>
      </c>
      <c r="H18" s="78" t="s">
        <v>292</v>
      </c>
    </row>
    <row r="19" spans="1:19" ht="20.100000000000001" customHeight="1" x14ac:dyDescent="0.2">
      <c r="A19" s="5" t="str">
        <f>HYPERLINK("#'Input - Solid waste'!A1", "Solid waste")</f>
        <v>Solid waste</v>
      </c>
      <c r="D19" s="111" t="str">
        <f>INDEX(X_Table_Swine_Stage1MMS_AnaerobicLagoon,2,1)</f>
        <v>Anaerobic lagoon</v>
      </c>
      <c r="E19" s="15" cm="1">
        <f t="array" aca="1" ref="E19:H19" ca="1">OFFSET(X_Table_Swine_Stage1MMS_AnaerobicLagoon,1,1,1,4)</f>
        <v>0.15</v>
      </c>
      <c r="F19" s="15">
        <f ca="1"/>
        <v>0.15</v>
      </c>
      <c r="G19" s="15">
        <f ca="1"/>
        <v>0.15</v>
      </c>
      <c r="H19" s="15">
        <f ca="1"/>
        <v>0.15</v>
      </c>
      <c r="I19" s="16" t="str">
        <f>G13</f>
        <v>fraction</v>
      </c>
    </row>
    <row r="20" spans="1:19" ht="20.100000000000001" customHeight="1" x14ac:dyDescent="0.2">
      <c r="A20" s="5" t="str">
        <f>HYPERLINK("#'Input - Manure sent off-site'!A1", "Manure sent off-site")</f>
        <v>Manure sent off-site</v>
      </c>
      <c r="D20" s="111" t="str">
        <f>INDEX(X_Table_Swine_Stage1MMS_Drylot,2,1)</f>
        <v>Drylot (feed pad)</v>
      </c>
      <c r="E20" s="15" cm="1">
        <f t="array" aca="1" ref="E20:H20" ca="1">OFFSET(X_Table_Swine_Stage1MMS_Drylot,1,1,1,4)</f>
        <v>0.15</v>
      </c>
      <c r="F20" s="15">
        <f ca="1"/>
        <v>0.15</v>
      </c>
      <c r="G20" s="15">
        <f ca="1"/>
        <v>0.15</v>
      </c>
      <c r="H20" s="15">
        <f ca="1"/>
        <v>0.15</v>
      </c>
      <c r="I20" s="16"/>
    </row>
    <row r="21" spans="1:19" ht="20.100000000000001" customHeight="1" x14ac:dyDescent="0.2">
      <c r="A21" s="5" t="str">
        <f>HYPERLINK("#'Input - Data quality'!A1", "Data quality")</f>
        <v>Data quality</v>
      </c>
      <c r="D21" s="111" t="str">
        <f>INDEX(X_Table_Swine_Stage1MMS_DigesterCoveredLagoons,2,1)</f>
        <v>Digester / covered lagoons</v>
      </c>
      <c r="E21" s="15" cm="1">
        <f t="array" aca="1" ref="E21:H21" ca="1">OFFSET(X_Table_Swine_Stage1MMS_DigesterCoveredLagoons,1,1,1,4)</f>
        <v>0.15</v>
      </c>
      <c r="F21" s="15">
        <f ca="1"/>
        <v>0.15</v>
      </c>
      <c r="G21" s="15">
        <f ca="1"/>
        <v>0.15</v>
      </c>
      <c r="H21" s="15">
        <f ca="1"/>
        <v>0.15</v>
      </c>
      <c r="I21" s="16"/>
    </row>
    <row r="22" spans="1:19" ht="20.100000000000001" customHeight="1" x14ac:dyDescent="0.2">
      <c r="A22" s="5" t="str">
        <f>HYPERLINK("#'Input - Fert Prod System'!A1", "Fert Prod System")</f>
        <v>Fert Prod System</v>
      </c>
      <c r="D22" s="111" t="str">
        <f>INDEX(X_Table_Swine_Stage1MMS_DeepLitter,2,1)</f>
        <v>Deep litter</v>
      </c>
      <c r="E22" s="15" cm="1">
        <f t="array" aca="1" ref="E22:H22" ca="1">OFFSET(X_Table_Swine_Stage1MMS_DeepLitter,1,1,1,4)</f>
        <v>0.15</v>
      </c>
      <c r="F22" s="15">
        <f ca="1"/>
        <v>0.15</v>
      </c>
      <c r="G22" s="15">
        <f ca="1"/>
        <v>0.15</v>
      </c>
      <c r="H22" s="15">
        <f ca="1"/>
        <v>0.15</v>
      </c>
      <c r="I22" s="16"/>
    </row>
    <row r="23" spans="1:19" ht="20.100000000000001" customHeight="1" x14ac:dyDescent="0.2">
      <c r="A23" s="5" t="str">
        <f>HYPERLINK("#'Input - Fertiliser'!A1", "Fertiliser")</f>
        <v>Fertiliser</v>
      </c>
      <c r="D23" s="111" t="str">
        <f>INDEX(X_Table_Swine_Stage1MMS_PitStorage,2,1)</f>
        <v>Pit storage</v>
      </c>
      <c r="E23" s="15" cm="1">
        <f t="array" aca="1" ref="E23:H23" ca="1">OFFSET(X_Table_Swine_Stage1MMS_PitStorage,1,1,1,4)</f>
        <v>0.15</v>
      </c>
      <c r="F23" s="15">
        <f ca="1"/>
        <v>0.15</v>
      </c>
      <c r="G23" s="15">
        <f ca="1"/>
        <v>0.15</v>
      </c>
      <c r="H23" s="15">
        <f ca="1"/>
        <v>0.15</v>
      </c>
      <c r="I23" s="16"/>
    </row>
    <row r="25" spans="1:19" ht="20.100000000000001" customHeight="1" x14ac:dyDescent="0.2">
      <c r="D25" s="117" t="s">
        <v>326</v>
      </c>
      <c r="N25" s="117" t="s">
        <v>327</v>
      </c>
    </row>
    <row r="26" spans="1:19" ht="20.100000000000001" customHeight="1" x14ac:dyDescent="0.2">
      <c r="A26" s="6" t="s">
        <v>2</v>
      </c>
      <c r="D26" s="118" t="s">
        <v>328</v>
      </c>
      <c r="N26" s="118" t="s">
        <v>329</v>
      </c>
    </row>
    <row r="27" spans="1:19" ht="20.100000000000001" customHeight="1" x14ac:dyDescent="0.2">
      <c r="A27" s="5" t="str">
        <f>HYPERLINK("#'3.5.1.1-2 Enteric Methane'!A1", "3.5.1.1-2 Enteric Methane")</f>
        <v>3.5.1.1-2 Enteric Methane</v>
      </c>
      <c r="D27" s="78" t="s">
        <v>325</v>
      </c>
      <c r="E27" s="78" t="s">
        <v>290</v>
      </c>
      <c r="F27" s="78" t="s">
        <v>291</v>
      </c>
      <c r="G27" s="78" t="s">
        <v>265</v>
      </c>
      <c r="H27" s="78" t="s">
        <v>292</v>
      </c>
      <c r="N27" s="78" t="s">
        <v>325</v>
      </c>
      <c r="O27" s="78" t="s">
        <v>290</v>
      </c>
      <c r="P27" s="78" t="s">
        <v>291</v>
      </c>
      <c r="Q27" s="78" t="s">
        <v>265</v>
      </c>
      <c r="R27" s="78" t="s">
        <v>292</v>
      </c>
    </row>
    <row r="28" spans="1:19" ht="20.100000000000001" customHeight="1" x14ac:dyDescent="0.2">
      <c r="A28" s="116" t="str">
        <f>HYPERLINK("#'4.5.1.1-2 Methane'!A1", "4.5.1.1-2 Manure Methane")</f>
        <v>4.5.1.1-2 Manure Methane</v>
      </c>
      <c r="D28" s="111" t="str">
        <f>INDEX(X_Table_Swine_Stage1MMS_AnaerobicLagoon,2,1)</f>
        <v>Anaerobic lagoon</v>
      </c>
      <c r="E28" s="15">
        <f>X_Cell_Swine_Stage1MMS_AnaerobicLagoon_AmountSeparated_Method1</f>
        <v>0.2</v>
      </c>
      <c r="F28" s="15">
        <f>X_Cell_Swine_Stage1MMS_AnaerobicLagoon_AmountSeparated_Method1</f>
        <v>0.2</v>
      </c>
      <c r="G28" s="15">
        <f>X_Cell_Swine_Stage1MMS_AnaerobicLagoon_AmountSeparated_Method1</f>
        <v>0.2</v>
      </c>
      <c r="H28" s="15">
        <f>X_Cell_Swine_Stage1MMS_AnaerobicLagoon_AmountSeparated_Method1</f>
        <v>0.2</v>
      </c>
      <c r="I28" s="16" t="str">
        <f>G14</f>
        <v>fraction</v>
      </c>
      <c r="N28" s="111" t="str">
        <f>INDEX(X_Table_Swine_Stage1MMS_AnaerobicLagoon,2,1)</f>
        <v>Anaerobic lagoon</v>
      </c>
      <c r="O28" s="15">
        <f>X_Cell_Swine_Stage1MMS_AnaerobicLagoon_AmountSeparated_Method2</f>
        <v>0.2</v>
      </c>
      <c r="P28" s="15">
        <f>X_Cell_Swine_Stage1MMS_AnaerobicLagoon_AmountSeparated_Method2</f>
        <v>0.2</v>
      </c>
      <c r="Q28" s="15">
        <f>X_Cell_Swine_Stage1MMS_AnaerobicLagoon_AmountSeparated_Method2</f>
        <v>0.2</v>
      </c>
      <c r="R28" s="15">
        <f>X_Cell_Swine_Stage1MMS_AnaerobicLagoon_AmountSeparated_Method2</f>
        <v>0.2</v>
      </c>
      <c r="S28" s="16" t="str">
        <f>G14</f>
        <v>fraction</v>
      </c>
    </row>
    <row r="29" spans="1:19" ht="20.100000000000001" customHeight="1" x14ac:dyDescent="0.2">
      <c r="A29" s="5" t="str">
        <f>HYPERLINK("#'4.5.1.3-4 Direct N2O'!A1", "4.5.1.3-4 Manure Direct N2O")</f>
        <v>4.5.1.3-4 Manure Direct N2O</v>
      </c>
      <c r="D29" s="111" t="str">
        <f>INDEX(X_Table_Swine_Stage1MMS_Drylot,2,1)</f>
        <v>Drylot (feed pad)</v>
      </c>
      <c r="E29" s="15">
        <f>X_Cell_Swine_Stage1MMS_Drylot_AmountSeparated_Method1</f>
        <v>0.2</v>
      </c>
      <c r="F29" s="15">
        <f>X_Cell_Swine_Stage1MMS_Drylot_AmountSeparated_Method1</f>
        <v>0.2</v>
      </c>
      <c r="G29" s="15">
        <f>X_Cell_Swine_Stage1MMS_Drylot_AmountSeparated_Method1</f>
        <v>0.2</v>
      </c>
      <c r="H29" s="15">
        <f>X_Cell_Swine_Stage1MMS_Drylot_AmountSeparated_Method1</f>
        <v>0.2</v>
      </c>
      <c r="I29" s="16"/>
      <c r="N29" s="111" t="str">
        <f>INDEX(X_Table_Swine_Stage1MMS_Drylot,2,1)</f>
        <v>Drylot (feed pad)</v>
      </c>
      <c r="O29" s="15">
        <f>X_Cell_Swine_Stage1MMS_Drylot_AmountSeparated_Method2</f>
        <v>0.2</v>
      </c>
      <c r="P29" s="15">
        <f>X_Cell_Swine_Stage1MMS_Drylot_AmountSeparated_Method2</f>
        <v>0.2</v>
      </c>
      <c r="Q29" s="15">
        <f>X_Cell_Swine_Stage1MMS_Drylot_AmountSeparated_Method2</f>
        <v>0.2</v>
      </c>
      <c r="R29" s="15">
        <f>X_Cell_Swine_Stage1MMS_Drylot_AmountSeparated_Method2</f>
        <v>0.2</v>
      </c>
      <c r="S29" s="16"/>
    </row>
    <row r="30" spans="1:19" ht="20.100000000000001" customHeight="1" x14ac:dyDescent="0.2">
      <c r="A30" s="5" t="str">
        <f>HYPERLINK("#'4.5.1.5-6 Atmos Dep'!A1", "4.5.1.5-6 Manure Atmos Dep")</f>
        <v>4.5.1.5-6 Manure Atmos Dep</v>
      </c>
      <c r="D30" s="111" t="str">
        <f>INDEX(X_Table_Swine_Stage1MMS_DigesterCoveredLagoons,2,1)</f>
        <v>Digester / covered lagoons</v>
      </c>
      <c r="E30" s="15">
        <f>X_Cell_Swine_Stage1MMS_DigesterCoveredLagoons_AmountSeparated_Method1</f>
        <v>0.2</v>
      </c>
      <c r="F30" s="15">
        <f>X_Cell_Swine_Stage1MMS_DigesterCoveredLagoons_AmountSeparated_Method1</f>
        <v>0.2</v>
      </c>
      <c r="G30" s="15">
        <f>X_Cell_Swine_Stage1MMS_DigesterCoveredLagoons_AmountSeparated_Method1</f>
        <v>0.2</v>
      </c>
      <c r="H30" s="15">
        <f>X_Cell_Swine_Stage1MMS_DigesterCoveredLagoons_AmountSeparated_Method1</f>
        <v>0.2</v>
      </c>
      <c r="I30" s="16"/>
      <c r="N30" s="111" t="str">
        <f>INDEX(X_Table_Swine_Stage1MMS_DigesterCoveredLagoons,2,1)</f>
        <v>Digester / covered lagoons</v>
      </c>
      <c r="O30" s="15">
        <f>X_Cell_Swine_Stage1MMS_DigesterCoveredLagoons_AmountSeparated_Method2</f>
        <v>0.2</v>
      </c>
      <c r="P30" s="15">
        <f>X_Cell_Swine_Stage1MMS_DigesterCoveredLagoons_AmountSeparated_Method2</f>
        <v>0.2</v>
      </c>
      <c r="Q30" s="15">
        <f>X_Cell_Swine_Stage1MMS_DigesterCoveredLagoons_AmountSeparated_Method2</f>
        <v>0.2</v>
      </c>
      <c r="R30" s="15">
        <f>X_Cell_Swine_Stage1MMS_DigesterCoveredLagoons_AmountSeparated_Method2</f>
        <v>0.2</v>
      </c>
      <c r="S30" s="16"/>
    </row>
    <row r="31" spans="1:19" ht="20.100000000000001" customHeight="1" x14ac:dyDescent="0.2">
      <c r="A31" s="5" t="str">
        <f>HYPERLINK("#'4.5.1.7-8 Leaching and runoff'!A1", "4.5.1.7-8 Manure Leaching and runoff")</f>
        <v>4.5.1.7-8 Manure Leaching and runoff</v>
      </c>
      <c r="D31" s="111" t="str">
        <f>INDEX(X_Table_Swine_Stage1MMS_DeepLitter,2,1)</f>
        <v>Deep litter</v>
      </c>
      <c r="E31" s="15">
        <f>X_Cell_Swine_Stage1MMS_DeepLitter_AmountSeparated_Method1</f>
        <v>0.2</v>
      </c>
      <c r="F31" s="15">
        <f>X_Cell_Swine_Stage1MMS_DeepLitter_AmountSeparated_Method1</f>
        <v>0.2</v>
      </c>
      <c r="G31" s="15">
        <f>X_Cell_Swine_Stage1MMS_DeepLitter_AmountSeparated_Method1</f>
        <v>0.2</v>
      </c>
      <c r="H31" s="15">
        <f>X_Cell_Swine_Stage1MMS_DeepLitter_AmountSeparated_Method1</f>
        <v>0.2</v>
      </c>
      <c r="I31" s="16"/>
      <c r="N31" s="111" t="str">
        <f>INDEX(X_Table_Swine_Stage1MMS_DeepLitter,2,1)</f>
        <v>Deep litter</v>
      </c>
      <c r="O31" s="15">
        <f>X_Cell_Swine_Stage1MMS_DeepLitter_AmountSeparated_Method2</f>
        <v>0.2</v>
      </c>
      <c r="P31" s="15">
        <f>X_Cell_Swine_Stage1MMS_DeepLitter_AmountSeparated_Method2</f>
        <v>0.2</v>
      </c>
      <c r="Q31" s="15">
        <f>X_Cell_Swine_Stage1MMS_DeepLitter_AmountSeparated_Method2</f>
        <v>0.2</v>
      </c>
      <c r="R31" s="15">
        <f>X_Cell_Swine_Stage1MMS_DeepLitter_AmountSeparated_Method2</f>
        <v>0.2</v>
      </c>
      <c r="S31" s="16"/>
    </row>
    <row r="32" spans="1:19" ht="20.100000000000001" customHeight="1" x14ac:dyDescent="0.2">
      <c r="A32" s="5" t="str">
        <f>HYPERLINK("#'4.5.1.9 Manure applied to soils'!A1", "4.5.1.9 Manure applied to soils")</f>
        <v>4.5.1.9 Manure applied to soils</v>
      </c>
      <c r="D32" s="111" t="str">
        <f>INDEX(X_Table_Swine_Stage1MMS_PitStorage,2,1)</f>
        <v>Pit storage</v>
      </c>
      <c r="E32" s="15">
        <f>X_Cell_Swine_Stage1MMS_PitStorage_AmountSeparated_Method1</f>
        <v>0.2</v>
      </c>
      <c r="F32" s="15">
        <f>X_Cell_Swine_Stage1MMS_PitStorage_AmountSeparated_Method1</f>
        <v>0.2</v>
      </c>
      <c r="G32" s="15">
        <f>X_Cell_Swine_Stage1MMS_PitStorage_AmountSeparated_Method1</f>
        <v>0.2</v>
      </c>
      <c r="H32" s="15">
        <f>X_Cell_Swine_Stage1MMS_PitStorage_AmountSeparated_Method1</f>
        <v>0.2</v>
      </c>
      <c r="I32" s="16"/>
      <c r="N32" s="111" t="str">
        <f>INDEX(X_Table_Swine_Stage1MMS_PitStorage,2,1)</f>
        <v>Pit storage</v>
      </c>
      <c r="O32" s="15">
        <f>X_Cell_Swine_Stage1MMS_PitStorage_AmountSeparated_Method2</f>
        <v>0.2</v>
      </c>
      <c r="P32" s="15">
        <f>X_Cell_Swine_Stage1MMS_PitStorage_AmountSeparated_Method2</f>
        <v>0.2</v>
      </c>
      <c r="Q32" s="15">
        <f>X_Cell_Swine_Stage1MMS_PitStorage_AmountSeparated_Method2</f>
        <v>0.2</v>
      </c>
      <c r="R32" s="15">
        <f>X_Cell_Swine_Stage1MMS_PitStorage_AmountSeparated_Method2</f>
        <v>0.2</v>
      </c>
      <c r="S32" s="16"/>
    </row>
    <row r="33" spans="1:21" ht="20.100000000000001" customHeight="1" x14ac:dyDescent="0.2">
      <c r="A33" s="5" t="str">
        <f>HYPERLINK("#'8.1.1.1-2 Transport fuel'!A1", "8.1.1.1-2 Transport fuel")</f>
        <v>8.1.1.1-2 Transport fuel</v>
      </c>
    </row>
    <row r="34" spans="1:21" ht="20.100000000000001" customHeight="1" x14ac:dyDescent="0.2">
      <c r="A34" s="5" t="str">
        <f>HYPERLINK("#'8.2.1.1-2 Stationary fuel'!A1", "8.2.1.1-2 Stationary fuel")</f>
        <v>8.2.1.1-2 Stationary fuel</v>
      </c>
      <c r="D34" s="117" t="s">
        <v>330</v>
      </c>
      <c r="N34" s="117" t="s">
        <v>331</v>
      </c>
    </row>
    <row r="35" spans="1:21" ht="20.100000000000001" customHeight="1" x14ac:dyDescent="0.2">
      <c r="A35" s="5" t="str">
        <f>HYPERLINK("#'10.1.1-2 Solid waste treatment'!A1", "10.1.1.1-2 Solid waste")</f>
        <v>10.1.1.1-2 Solid waste</v>
      </c>
      <c r="D35" s="118" t="s">
        <v>332</v>
      </c>
      <c r="N35" s="118" t="s">
        <v>333</v>
      </c>
    </row>
    <row r="36" spans="1:21" ht="20.100000000000001" customHeight="1" x14ac:dyDescent="0.2">
      <c r="A36" s="5" t="str">
        <f>HYPERLINK("#'14.1.1-2 Purchased electricity'!A1", "14.1.1-2 Purchased electricity")</f>
        <v>14.1.1-2 Purchased electricity</v>
      </c>
      <c r="D36" s="119" t="s">
        <v>325</v>
      </c>
      <c r="E36" s="119" t="s">
        <v>290</v>
      </c>
      <c r="F36" s="119" t="s">
        <v>291</v>
      </c>
      <c r="G36" s="119" t="s">
        <v>265</v>
      </c>
      <c r="H36" s="119" t="s">
        <v>292</v>
      </c>
      <c r="N36" s="119" t="s">
        <v>325</v>
      </c>
      <c r="O36" s="119" t="s">
        <v>290</v>
      </c>
      <c r="P36" s="119" t="s">
        <v>291</v>
      </c>
      <c r="Q36" s="119" t="s">
        <v>265</v>
      </c>
      <c r="R36" s="119" t="s">
        <v>292</v>
      </c>
    </row>
    <row r="37" spans="1:21" ht="20.100000000000001" customHeight="1" x14ac:dyDescent="0.2">
      <c r="A37" s="5" t="str">
        <f>HYPERLINK("#'15 Scope 3'!A1", "15 Scope 3")</f>
        <v>15 Scope 3</v>
      </c>
      <c r="D37" s="111" t="str">
        <f>INDEX(X_Table_Swine_Stage1MMS_AnaerobicLagoon,2,1)</f>
        <v>Anaerobic lagoon</v>
      </c>
      <c r="E37" s="15" cm="1">
        <f t="array" aca="1" ref="E37" ca="1">MMS_Swine_Methane_Equations.VEERG_4_5_1_1__4_FractionVolatileSolidsPrimarySystem(E19,E28)</f>
        <v>0.12</v>
      </c>
      <c r="F37" s="15" cm="1">
        <f t="array" aca="1" ref="F37" ca="1">MMS_Swine_Methane_Equations.VEERG_4_5_1_1__4_FractionVolatileSolidsPrimarySystem(F19,F28)</f>
        <v>0.12</v>
      </c>
      <c r="G37" s="15" cm="1">
        <f t="array" aca="1" ref="G37" ca="1">MMS_Swine_Methane_Equations.VEERG_4_5_1_1__4_FractionVolatileSolidsPrimarySystem(G19,G28)</f>
        <v>0.12</v>
      </c>
      <c r="H37" s="15" cm="1">
        <f t="array" aca="1" ref="H37" ca="1">MMS_Swine_Methane_Equations.VEERG_4_5_1_1__4_FractionVolatileSolidsPrimarySystem(H19,H28)</f>
        <v>0.12</v>
      </c>
      <c r="I37" s="16" t="str">
        <f>$E$11</f>
        <v>fraction</v>
      </c>
      <c r="N37" s="111" t="str">
        <f>INDEX(X_Table_Swine_Stage1MMS_AnaerobicLagoon,2,1)</f>
        <v>Anaerobic lagoon</v>
      </c>
      <c r="O37" s="15" cm="1">
        <f t="array" aca="1" ref="O37" ca="1">MMS_Swine_Methane_Equations.VEERG_4_5_1_1__4_FractionVolatileSolidsPrimarySystem(E19,O28)</f>
        <v>0.12</v>
      </c>
      <c r="P37" s="15" cm="1">
        <f t="array" aca="1" ref="P37" ca="1">MMS_Swine_Methane_Equations.VEERG_4_5_1_1__4_FractionVolatileSolidsPrimarySystem(F19,P28)</f>
        <v>0.12</v>
      </c>
      <c r="Q37" s="15" cm="1">
        <f t="array" aca="1" ref="Q37" ca="1">MMS_Swine_Methane_Equations.VEERG_4_5_1_1__4_FractionVolatileSolidsPrimarySystem(G19,Q28)</f>
        <v>0.12</v>
      </c>
      <c r="R37" s="15" cm="1">
        <f t="array" aca="1" ref="R37" ca="1">MMS_Swine_Methane_Equations.VEERG_4_5_1_1__4_FractionVolatileSolidsPrimarySystem(H19,R28)</f>
        <v>0.12</v>
      </c>
      <c r="S37" s="16" t="str">
        <f>$E$11</f>
        <v>fraction</v>
      </c>
    </row>
    <row r="38" spans="1:21" ht="20.100000000000001" customHeight="1" x14ac:dyDescent="0.2">
      <c r="A38" s="5" t="str">
        <f>HYPERLINK("#'Calcs - Manure sent off-site'!A1", "Calcs - Manure sent off-site")</f>
        <v>Calcs - Manure sent off-site</v>
      </c>
      <c r="D38" s="111" t="str">
        <f>INDEX(X_Table_Swine_Stage1MMS_Drylot,2,1)</f>
        <v>Drylot (feed pad)</v>
      </c>
      <c r="E38" s="15" cm="1">
        <f t="array" aca="1" ref="E38" ca="1">MMS_Swine_Methane_Equations.VEERG_4_5_1_1__4_FractionVolatileSolidsPrimarySystem(E20,E29)</f>
        <v>0.12</v>
      </c>
      <c r="F38" s="15" cm="1">
        <f t="array" aca="1" ref="F38" ca="1">MMS_Swine_Methane_Equations.VEERG_4_5_1_1__4_FractionVolatileSolidsPrimarySystem(F20,F29)</f>
        <v>0.12</v>
      </c>
      <c r="G38" s="15" cm="1">
        <f t="array" aca="1" ref="G38" ca="1">MMS_Swine_Methane_Equations.VEERG_4_5_1_1__4_FractionVolatileSolidsPrimarySystem(G20,G29)</f>
        <v>0.12</v>
      </c>
      <c r="H38" s="15" cm="1">
        <f t="array" aca="1" ref="H38" ca="1">MMS_Swine_Methane_Equations.VEERG_4_5_1_1__4_FractionVolatileSolidsPrimarySystem(H20,H29)</f>
        <v>0.12</v>
      </c>
      <c r="I38" s="16"/>
      <c r="N38" s="111" t="str">
        <f>INDEX(X_Table_Swine_Stage1MMS_Drylot,2,1)</f>
        <v>Drylot (feed pad)</v>
      </c>
      <c r="O38" s="15" cm="1">
        <f t="array" aca="1" ref="O38" ca="1">MMS_Swine_Methane_Equations.VEERG_4_5_1_1__4_FractionVolatileSolidsPrimarySystem(E20,O29)</f>
        <v>0.12</v>
      </c>
      <c r="P38" s="15" cm="1">
        <f t="array" aca="1" ref="P38" ca="1">MMS_Swine_Methane_Equations.VEERG_4_5_1_1__4_FractionVolatileSolidsPrimarySystem(F20,P29)</f>
        <v>0.12</v>
      </c>
      <c r="Q38" s="15" cm="1">
        <f t="array" aca="1" ref="Q38" ca="1">MMS_Swine_Methane_Equations.VEERG_4_5_1_1__4_FractionVolatileSolidsPrimarySystem(G20,Q29)</f>
        <v>0.12</v>
      </c>
      <c r="R38" s="15" cm="1">
        <f t="array" aca="1" ref="R38" ca="1">MMS_Swine_Methane_Equations.VEERG_4_5_1_1__4_FractionVolatileSolidsPrimarySystem(H20,R29)</f>
        <v>0.12</v>
      </c>
      <c r="S38" s="16"/>
    </row>
    <row r="39" spans="1:21" ht="20.100000000000001" customHeight="1" x14ac:dyDescent="0.2">
      <c r="A39" s="5" t="str">
        <f>HYPERLINK("#'5.1.1.1-2 Inorganic fert N2O'!A1", "5.1.1.1-2 Inorganic fert N2O")</f>
        <v>5.1.1.1-2 Inorganic fert N2O</v>
      </c>
      <c r="D39" s="111" t="str">
        <f>INDEX(X_Table_Swine_Stage1MMS_DigesterCoveredLagoons,2,1)</f>
        <v>Digester / covered lagoons</v>
      </c>
      <c r="E39" s="15" cm="1">
        <f t="array" aca="1" ref="E39" ca="1">MMS_Swine_Methane_Equations.VEERG_4_5_1_1__4_FractionVolatileSolidsPrimarySystem(E21,E30)</f>
        <v>0.12</v>
      </c>
      <c r="F39" s="15" cm="1">
        <f t="array" aca="1" ref="F39" ca="1">MMS_Swine_Methane_Equations.VEERG_4_5_1_1__4_FractionVolatileSolidsPrimarySystem(F21,F30)</f>
        <v>0.12</v>
      </c>
      <c r="G39" s="15" cm="1">
        <f t="array" aca="1" ref="G39" ca="1">MMS_Swine_Methane_Equations.VEERG_4_5_1_1__4_FractionVolatileSolidsPrimarySystem(G21,G30)</f>
        <v>0.12</v>
      </c>
      <c r="H39" s="15" cm="1">
        <f t="array" aca="1" ref="H39" ca="1">MMS_Swine_Methane_Equations.VEERG_4_5_1_1__4_FractionVolatileSolidsPrimarySystem(H21,H30)</f>
        <v>0.12</v>
      </c>
      <c r="I39" s="16"/>
      <c r="N39" s="111" t="str">
        <f>INDEX(X_Table_Swine_Stage1MMS_DigesterCoveredLagoons,2,1)</f>
        <v>Digester / covered lagoons</v>
      </c>
      <c r="O39" s="15" cm="1">
        <f t="array" aca="1" ref="O39" ca="1">MMS_Swine_Methane_Equations.VEERG_4_5_1_1__4_FractionVolatileSolidsPrimarySystem(E21,O30)</f>
        <v>0.12</v>
      </c>
      <c r="P39" s="15" cm="1">
        <f t="array" aca="1" ref="P39" ca="1">MMS_Swine_Methane_Equations.VEERG_4_5_1_1__4_FractionVolatileSolidsPrimarySystem(F21,P30)</f>
        <v>0.12</v>
      </c>
      <c r="Q39" s="15" cm="1">
        <f t="array" aca="1" ref="Q39" ca="1">MMS_Swine_Methane_Equations.VEERG_4_5_1_1__4_FractionVolatileSolidsPrimarySystem(G21,Q30)</f>
        <v>0.12</v>
      </c>
      <c r="R39" s="15" cm="1">
        <f t="array" aca="1" ref="R39" ca="1">MMS_Swine_Methane_Equations.VEERG_4_5_1_1__4_FractionVolatileSolidsPrimarySystem(H21,R30)</f>
        <v>0.12</v>
      </c>
      <c r="S39" s="16"/>
    </row>
    <row r="40" spans="1:21" ht="20.100000000000001" customHeight="1" x14ac:dyDescent="0.2">
      <c r="A40" s="5" t="str">
        <f>HYPERLINK("#'5.1.1.3-4 Inorganic fert CO2'!A1", "5.1.1.3-4 Inorganic fert CO2")</f>
        <v>5.1.1.3-4 Inorganic fert CO2</v>
      </c>
      <c r="D40" s="111" t="str">
        <f>INDEX(X_Table_Swine_Stage1MMS_DeepLitter,2,1)</f>
        <v>Deep litter</v>
      </c>
      <c r="E40" s="15" cm="1">
        <f t="array" aca="1" ref="E40" ca="1">MMS_Swine_Methane_Equations.VEERG_4_5_1_1__4_FractionVolatileSolidsPrimarySystem(E22,E31)</f>
        <v>0.12</v>
      </c>
      <c r="F40" s="15" cm="1">
        <f t="array" aca="1" ref="F40" ca="1">MMS_Swine_Methane_Equations.VEERG_4_5_1_1__4_FractionVolatileSolidsPrimarySystem(F22,F31)</f>
        <v>0.12</v>
      </c>
      <c r="G40" s="15" cm="1">
        <f t="array" aca="1" ref="G40" ca="1">MMS_Swine_Methane_Equations.VEERG_4_5_1_1__4_FractionVolatileSolidsPrimarySystem(G22,G31)</f>
        <v>0.12</v>
      </c>
      <c r="H40" s="15" cm="1">
        <f t="array" aca="1" ref="H40" ca="1">MMS_Swine_Methane_Equations.VEERG_4_5_1_1__4_FractionVolatileSolidsPrimarySystem(H22,H31)</f>
        <v>0.12</v>
      </c>
      <c r="I40" s="16"/>
      <c r="N40" s="111" t="str">
        <f>INDEX(X_Table_Swine_Stage1MMS_DeepLitter,2,1)</f>
        <v>Deep litter</v>
      </c>
      <c r="O40" s="15" cm="1">
        <f t="array" aca="1" ref="O40" ca="1">MMS_Swine_Methane_Equations.VEERG_4_5_1_1__4_FractionVolatileSolidsPrimarySystem(E22,O31)</f>
        <v>0.12</v>
      </c>
      <c r="P40" s="15" cm="1">
        <f t="array" aca="1" ref="P40" ca="1">MMS_Swine_Methane_Equations.VEERG_4_5_1_1__4_FractionVolatileSolidsPrimarySystem(F22,P31)</f>
        <v>0.12</v>
      </c>
      <c r="Q40" s="15" cm="1">
        <f t="array" aca="1" ref="Q40" ca="1">MMS_Swine_Methane_Equations.VEERG_4_5_1_1__4_FractionVolatileSolidsPrimarySystem(G22,Q31)</f>
        <v>0.12</v>
      </c>
      <c r="R40" s="15" cm="1">
        <f t="array" aca="1" ref="R40" ca="1">MMS_Swine_Methane_Equations.VEERG_4_5_1_1__4_FractionVolatileSolidsPrimarySystem(H22,R31)</f>
        <v>0.12</v>
      </c>
      <c r="S40" s="16"/>
    </row>
    <row r="41" spans="1:21" ht="20.100000000000001" customHeight="1" x14ac:dyDescent="0.2">
      <c r="A41" s="5" t="str">
        <f>HYPERLINK("#'5.2.1.1-2 Organic Fert N2O'!A1", "5.2.1.1-2 Organic Fert N2O")</f>
        <v>5.2.1.1-2 Organic Fert N2O</v>
      </c>
      <c r="D41" s="111" t="str">
        <f>INDEX(X_Table_Swine_Stage1MMS_PitStorage,2,1)</f>
        <v>Pit storage</v>
      </c>
      <c r="E41" s="15" cm="1">
        <f t="array" aca="1" ref="E41" ca="1">MMS_Swine_Methane_Equations.VEERG_4_5_1_1__4_FractionVolatileSolidsPrimarySystem(E23,E32)</f>
        <v>0.12</v>
      </c>
      <c r="F41" s="15" cm="1">
        <f t="array" aca="1" ref="F41" ca="1">MMS_Swine_Methane_Equations.VEERG_4_5_1_1__4_FractionVolatileSolidsPrimarySystem(F23,F32)</f>
        <v>0.12</v>
      </c>
      <c r="G41" s="15" cm="1">
        <f t="array" aca="1" ref="G41" ca="1">MMS_Swine_Methane_Equations.VEERG_4_5_1_1__4_FractionVolatileSolidsPrimarySystem(G23,G32)</f>
        <v>0.12</v>
      </c>
      <c r="H41" s="15" cm="1">
        <f t="array" aca="1" ref="H41" ca="1">MMS_Swine_Methane_Equations.VEERG_4_5_1_1__4_FractionVolatileSolidsPrimarySystem(H23,H32)</f>
        <v>0.12</v>
      </c>
      <c r="I41" s="16"/>
      <c r="N41" s="111" t="str">
        <f>INDEX(X_Table_Swine_Stage1MMS_PitStorage,2,1)</f>
        <v>Pit storage</v>
      </c>
      <c r="O41" s="15" cm="1">
        <f t="array" aca="1" ref="O41" ca="1">MMS_Swine_Methane_Equations.VEERG_4_5_1_1__4_FractionVolatileSolidsPrimarySystem(E23,O32)</f>
        <v>0.12</v>
      </c>
      <c r="P41" s="15" cm="1">
        <f t="array" aca="1" ref="P41" ca="1">MMS_Swine_Methane_Equations.VEERG_4_5_1_1__4_FractionVolatileSolidsPrimarySystem(F23,P32)</f>
        <v>0.12</v>
      </c>
      <c r="Q41" s="15" cm="1">
        <f t="array" aca="1" ref="Q41" ca="1">MMS_Swine_Methane_Equations.VEERG_4_5_1_1__4_FractionVolatileSolidsPrimarySystem(G23,Q32)</f>
        <v>0.12</v>
      </c>
      <c r="R41" s="15" cm="1">
        <f t="array" aca="1" ref="R41" ca="1">MMS_Swine_Methane_Equations.VEERG_4_5_1_1__4_FractionVolatileSolidsPrimarySystem(H23,R32)</f>
        <v>0.12</v>
      </c>
      <c r="S41" s="16"/>
    </row>
    <row r="42" spans="1:21" ht="20.100000000000001" customHeight="1" x14ac:dyDescent="0.2">
      <c r="A42" s="5" t="str">
        <f>HYPERLINK("#'5.3.1.1-2 Lime CO2'!A1", "5.3.1.1-2 Lime CO2")</f>
        <v>5.3.1.1-2 Lime CO2</v>
      </c>
    </row>
    <row r="43" spans="1:21" ht="20.100000000000001" customHeight="1" x14ac:dyDescent="0.2">
      <c r="A43" s="5" t="str">
        <f>HYPERLINK("#'5.4.1.1-4 Atmos deposition'!A1", "5.4.1.1-4 Atmos deposition")</f>
        <v>5.4.1.1-4 Atmos deposition</v>
      </c>
    </row>
    <row r="44" spans="1:21" ht="20.100000000000001" customHeight="1" x14ac:dyDescent="0.2">
      <c r="A44" s="5" t="str">
        <f>HYPERLINK("#'5.5.1.1-2 Leaching and runoff'!A1", "5.5.1.1-2 Leaching and runoff")</f>
        <v>5.5.1.1-2 Leaching and runoff</v>
      </c>
      <c r="C44" s="82"/>
      <c r="D44" s="82"/>
      <c r="E44" s="82"/>
      <c r="F44" s="82"/>
      <c r="G44" s="82"/>
      <c r="H44" s="82"/>
      <c r="I44" s="82"/>
      <c r="J44" s="82"/>
      <c r="K44" s="82"/>
      <c r="M44" s="82"/>
      <c r="N44" s="82"/>
      <c r="O44" s="82"/>
      <c r="P44" s="82"/>
      <c r="Q44" s="82"/>
      <c r="R44" s="82"/>
      <c r="S44" s="82"/>
      <c r="T44" s="82"/>
      <c r="U44" s="82"/>
    </row>
    <row r="45" spans="1:21" ht="20.100000000000001" customHeight="1" x14ac:dyDescent="0.2">
      <c r="D45" s="2" t="str" cm="1">
        <f t="array" ref="D45">MMS_Swine_Methane_Equations.VEERG_4_5_1_1__5_FractionVolatileSolidsSolidStorage_Title()</f>
        <v>Fraction of volatile solids in solid storage</v>
      </c>
    </row>
    <row r="46" spans="1:21" ht="20.100000000000001" customHeight="1" x14ac:dyDescent="0.2">
      <c r="D46" s="17" t="str" cm="1">
        <f t="array" ref="D46">MMS_Swine_Methane_Equations.VEERG_4_5_1_1__5_FractionVolatileSolidsSolidStorage_Source()</f>
        <v>VEERG 2026: 4.5.1.1, Equation (5)</v>
      </c>
    </row>
    <row r="47" spans="1:21" ht="20.100000000000001" customHeight="1" x14ac:dyDescent="0.2">
      <c r="A47" s="79" t="s">
        <v>1</v>
      </c>
      <c r="D47" s="110" t="s">
        <v>321</v>
      </c>
      <c r="E47" s="110" t="str" cm="1">
        <f t="array" aca="1" ref="E47" ca="1">Common_InputFunctions.Utility_DisplayFunctionName($E$68)</f>
        <v>=MMS_Swine_Methane_Equations.VEERG_4_5_1_1__5_FractionVolatileSolidsSolidStorageVariation</v>
      </c>
    </row>
    <row r="48" spans="1:21" ht="20.100000000000001" customHeight="1" x14ac:dyDescent="0.2">
      <c r="A48" s="5" t="str">
        <f>HYPERLINK("#'Constants - Swine'!A1", "Constants - Swine")</f>
        <v>Constants - Swine</v>
      </c>
      <c r="D48" s="25" t="str" cm="1">
        <f t="array" ref="D48">MMS_Swine_Methane_Equations.VEERG_4_5_1_1__5_FractionVolatileSolidsSolidStorage_Variation()</f>
        <v>VARIATION ON SOURCE: Split equation for MMSm=1,7,9 into separate items to allow for calculation</v>
      </c>
    </row>
    <row r="49" spans="1:9" ht="20.100000000000001" customHeight="1" x14ac:dyDescent="0.2">
      <c r="A49" s="5" t="str">
        <f>HYPERLINK("#'Constants - Common livestock'!A1", "Constants - Common Livestock")</f>
        <v>Constants - Common Livestock</v>
      </c>
    </row>
    <row r="50" spans="1:9" ht="20.100000000000001" customHeight="1" x14ac:dyDescent="0.2">
      <c r="A50" s="5" t="str">
        <f>HYPERLINK("#'Constants - Electricity'!A1", "Constants - Electricity")</f>
        <v>Constants - Electricity</v>
      </c>
    </row>
    <row r="51" spans="1:9" ht="20.100000000000001" customHeight="1" x14ac:dyDescent="0.2">
      <c r="A51" s="5" t="str">
        <f>HYPERLINK("#'Constants - Fertiliser'!A1", "Constants - Fertiliser")</f>
        <v>Constants - Fertiliser</v>
      </c>
      <c r="D51" s="2"/>
      <c r="H51" s="25"/>
    </row>
    <row r="52" spans="1:9" ht="20.100000000000001" customHeight="1" x14ac:dyDescent="0.2">
      <c r="A52" s="5" t="str">
        <f>HYPERLINK("#'Constants - Fuel'!A1", "Constants - Fuel")</f>
        <v>Constants - Fuel</v>
      </c>
    </row>
    <row r="53" spans="1:9" ht="20.100000000000001" customHeight="1" x14ac:dyDescent="0.2">
      <c r="A53" s="5" t="str">
        <f>HYPERLINK("#'Constants - Scope 3'!A1", "Constants - Scope 3")</f>
        <v>Constants - Scope 3</v>
      </c>
      <c r="D53" s="75" t="s">
        <v>322</v>
      </c>
      <c r="E53" s="1" t="str" cm="1">
        <f t="array" ref="E53">MMS_Swine_Methane_Equations.VEERG_4_5_1_1__5_FractionVolatileSolidsSolidStorage_Variable()</f>
        <v>FVSjm4T1</v>
      </c>
    </row>
    <row r="54" spans="1:9" ht="20.100000000000001" customHeight="1" x14ac:dyDescent="0.2">
      <c r="A54" s="5" t="str">
        <f>HYPERLINK("#'Constants - Solid Waste'!A1", "Constants - Solid Waste")</f>
        <v>Constants - Solid Waste</v>
      </c>
      <c r="D54" s="75" t="s">
        <v>118</v>
      </c>
      <c r="E54" s="9" t="str" cm="1">
        <f t="array" ref="E54">MMS_Swine_Methane_Equations.VEERG_4_5_1_1__5_FractionVolatileSolidsSolidStorage_Unit()</f>
        <v>fraction</v>
      </c>
    </row>
    <row r="55" spans="1:9" ht="20.100000000000001" customHeight="1" x14ac:dyDescent="0.2">
      <c r="A55" s="5" t="str">
        <f>HYPERLINK("#'Constants - Common'!A1", "Constants - Common")</f>
        <v>Constants - Common</v>
      </c>
    </row>
    <row r="56" spans="1:9" ht="20.100000000000001" customHeight="1" x14ac:dyDescent="0.2">
      <c r="A56" s="5" t="str">
        <f>HYPERLINK("#'Acknowledgements'!A1", "Acknowledgements")</f>
        <v>Acknowledgements</v>
      </c>
      <c r="D56" s="120" t="str" cm="1">
        <f t="array" ref="D56:E58">Common_InputFunctions.Utility_DisplayArguments_1_2(MMS_Swine_Methane_Equations.VEERG_4_5_1_1__5_FractionVolatileSolidsSolidStorage_Arguments())</f>
        <v>MMSjm4T1</v>
      </c>
      <c r="E56" s="121" t="str">
        <v>fraction of manure in solid storage primary system</v>
      </c>
      <c r="F56" s="122"/>
      <c r="G56" s="120" t="str" cm="1">
        <f t="array" ref="G56:H58">Common_InputFunctions.Utility_DisplayArguments_3_4(MMS_Swine_Methane_Equations.VEERG_4_5_1_1__5_FractionVolatileSolidsSolidStorage_Arguments())</f>
        <v>fraction</v>
      </c>
      <c r="H56" s="123" t="str">
        <v>Input</v>
      </c>
      <c r="I56" s="115" t="str" cm="1">
        <f t="array" aca="1" ref="I56" ca="1">HYPERLINK(Common_InputFunctions.Utility_SourceHyperlink($D$60), $D$60)</f>
        <v>Table_MMS_j_m-4_T-1</v>
      </c>
    </row>
    <row r="57" spans="1:9" ht="20.100000000000001" customHeight="1" x14ac:dyDescent="0.2">
      <c r="D57" s="120" t="str">
        <v>MMSjm179T1</v>
      </c>
      <c r="E57" s="121" t="str">
        <v>fraction of manure in MMS 1, 7, and 9 in treatment stage 1</v>
      </c>
      <c r="F57" s="122"/>
      <c r="G57" s="120" t="str">
        <v>fraction</v>
      </c>
      <c r="H57" s="123" t="str">
        <v>Input</v>
      </c>
      <c r="I57" s="115" t="str" cm="1">
        <f t="array" aca="1" ref="I57" ca="1">HYPERLINK(Common_InputFunctions.Utility_SourceHyperlink($D$16), $D$16)</f>
        <v>Table_MMS_j_m_T-1</v>
      </c>
    </row>
    <row r="58" spans="1:9" ht="20.100000000000001" customHeight="1" x14ac:dyDescent="0.2">
      <c r="D58" s="120" t="str">
        <v>SSm</v>
      </c>
      <c r="E58" s="121" t="str">
        <v>fraction of volatile solids separated to solid storage for each MMS</v>
      </c>
      <c r="F58" s="122"/>
      <c r="G58" s="120" t="str">
        <v>fraction</v>
      </c>
      <c r="H58" s="123" t="str">
        <v>Input</v>
      </c>
      <c r="I58" s="115" t="str" cm="1">
        <f t="array" aca="1" ref="I58" ca="1">HYPERLINK(Common_InputFunctions.Utility_SourceHyperlink($D$25), $D$25)</f>
        <v>M1_Table_SS_m</v>
      </c>
    </row>
    <row r="60" spans="1:9" ht="20.100000000000001" customHeight="1" x14ac:dyDescent="0.2">
      <c r="D60" s="117" t="s">
        <v>334</v>
      </c>
    </row>
    <row r="61" spans="1:9" ht="20.100000000000001" customHeight="1" x14ac:dyDescent="0.2">
      <c r="D61" s="118" t="s">
        <v>335</v>
      </c>
    </row>
    <row r="62" spans="1:9" ht="20.100000000000001" customHeight="1" x14ac:dyDescent="0.2">
      <c r="D62" s="78" t="s">
        <v>325</v>
      </c>
      <c r="E62" s="78" t="s">
        <v>290</v>
      </c>
      <c r="F62" s="78" t="s">
        <v>291</v>
      </c>
      <c r="G62" s="78" t="s">
        <v>265</v>
      </c>
      <c r="H62" s="78" t="s">
        <v>292</v>
      </c>
    </row>
    <row r="63" spans="1:9" ht="20.100000000000001" customHeight="1" x14ac:dyDescent="0.2">
      <c r="D63" s="111" t="str">
        <f>INDEX(X_Table_Swine_Stage1MMS_SolidStorage,2,1)</f>
        <v>Solid storage (before solid separation)</v>
      </c>
      <c r="E63" s="15" cm="1">
        <f t="array" aca="1" ref="E63:H63" ca="1">OFFSET(X_Table_Swine_Stage1MMS_SolidStorage,1,1,1,4)</f>
        <v>0.25</v>
      </c>
      <c r="F63" s="15">
        <f ca="1"/>
        <v>0.25</v>
      </c>
      <c r="G63" s="15">
        <f ca="1"/>
        <v>0.25</v>
      </c>
      <c r="H63" s="15">
        <f ca="1"/>
        <v>0.25</v>
      </c>
      <c r="I63" s="16" t="str">
        <f>$G$56</f>
        <v>fraction</v>
      </c>
    </row>
    <row r="65" spans="1:21" ht="20.100000000000001" customHeight="1" x14ac:dyDescent="0.2">
      <c r="D65" s="117" t="s">
        <v>336</v>
      </c>
      <c r="N65" s="117" t="s">
        <v>337</v>
      </c>
    </row>
    <row r="66" spans="1:21" ht="20.100000000000001" customHeight="1" x14ac:dyDescent="0.2">
      <c r="D66" s="118" t="s">
        <v>338</v>
      </c>
      <c r="N66" s="118" t="s">
        <v>339</v>
      </c>
    </row>
    <row r="67" spans="1:21" ht="20.100000000000001" customHeight="1" x14ac:dyDescent="0.2">
      <c r="A67" s="131" t="str">
        <f>HYPERLINK("#A1", "▲ Back to top")</f>
        <v>▲ Back to top</v>
      </c>
      <c r="D67" s="119" t="s">
        <v>325</v>
      </c>
      <c r="E67" s="119" t="s">
        <v>290</v>
      </c>
      <c r="F67" s="119" t="s">
        <v>291</v>
      </c>
      <c r="G67" s="119" t="s">
        <v>265</v>
      </c>
      <c r="H67" s="119" t="s">
        <v>292</v>
      </c>
      <c r="N67" s="119" t="s">
        <v>325</v>
      </c>
      <c r="O67" s="119" t="s">
        <v>290</v>
      </c>
      <c r="P67" s="119" t="s">
        <v>291</v>
      </c>
      <c r="Q67" s="119" t="s">
        <v>265</v>
      </c>
      <c r="R67" s="119" t="s">
        <v>292</v>
      </c>
    </row>
    <row r="68" spans="1:21" ht="20.100000000000001" customHeight="1" x14ac:dyDescent="0.2">
      <c r="D68" s="111" t="s">
        <v>75</v>
      </c>
      <c r="E68" s="15" cm="1">
        <f t="array" aca="1" ref="E68" ca="1">MMS_Swine_Methane_Equations.VEERG_4_5_1_1__5_FractionVolatileSolidsSolidStorageVariation(E63,E19,E20,E21,E22,E23,E28,E29,E30,E31,E32)</f>
        <v>0.40000000000000013</v>
      </c>
      <c r="F68" s="15" cm="1">
        <f t="array" aca="1" ref="F68" ca="1">MMS_Swine_Methane_Equations.VEERG_4_5_1_1__5_FractionVolatileSolidsSolidStorageVariation(F63,F19,F20,F21,F22,F23,F28,F29,F30,F31,F32)</f>
        <v>0.40000000000000013</v>
      </c>
      <c r="G68" s="15" cm="1">
        <f t="array" aca="1" ref="G68" ca="1">MMS_Swine_Methane_Equations.VEERG_4_5_1_1__5_FractionVolatileSolidsSolidStorageVariation(G63,G19,G20,G21,G22,G23,G28,G29,G30,G31,G32)</f>
        <v>0.40000000000000013</v>
      </c>
      <c r="H68" s="15" cm="1">
        <f t="array" aca="1" ref="H68" ca="1">MMS_Swine_Methane_Equations.VEERG_4_5_1_1__5_FractionVolatileSolidsSolidStorageVariation(H63,H19,H20,H21,H22,H23,H28,H29,H30,H31,H32)</f>
        <v>0.40000000000000013</v>
      </c>
      <c r="I68" s="16" t="str">
        <f>$E$54</f>
        <v>fraction</v>
      </c>
      <c r="N68" s="111" t="s">
        <v>75</v>
      </c>
      <c r="O68" s="15" cm="1">
        <f t="array" aca="1" ref="O68" ca="1">MMS_Swine_Methane_Equations.VEERG_4_5_1_1__5_FractionVolatileSolidsSolidStorageVariation(E63,E19,E20,E21,E22,E23,O28,O29,O30,O31,O32)</f>
        <v>0.40000000000000013</v>
      </c>
      <c r="P68" s="15" cm="1">
        <f t="array" aca="1" ref="P68" ca="1">MMS_Swine_Methane_Equations.VEERG_4_5_1_1__5_FractionVolatileSolidsSolidStorageVariation(F63,F19,F20,F21,F22,F23,P28,P29,P30,P31,P32)</f>
        <v>0.40000000000000013</v>
      </c>
      <c r="Q68" s="15" cm="1">
        <f t="array" aca="1" ref="Q68" ca="1">MMS_Swine_Methane_Equations.VEERG_4_5_1_1__5_FractionVolatileSolidsSolidStorageVariation(G63,G19,G20,G21,G22,G23,Q28,Q29,Q30,Q31,Q32)</f>
        <v>0.40000000000000013</v>
      </c>
      <c r="R68" s="15" cm="1">
        <f t="array" aca="1" ref="R68" ca="1">MMS_Swine_Methane_Equations.VEERG_4_5_1_1__5_FractionVolatileSolidsSolidStorageVariation(H63,H19,H20,H21,H22,H23,R28,R29,R30,R31,R32)</f>
        <v>0.40000000000000013</v>
      </c>
      <c r="S68" s="16" t="str">
        <f>$E$54</f>
        <v>fraction</v>
      </c>
    </row>
    <row r="71" spans="1:21" ht="20.100000000000001" customHeight="1" x14ac:dyDescent="0.2">
      <c r="C71" s="82"/>
      <c r="D71" s="82"/>
      <c r="E71" s="82"/>
      <c r="F71" s="82"/>
      <c r="G71" s="82"/>
      <c r="H71" s="82"/>
      <c r="I71" s="82"/>
      <c r="J71" s="82"/>
      <c r="K71" s="82"/>
      <c r="M71" s="82"/>
      <c r="N71" s="82"/>
      <c r="O71" s="82"/>
      <c r="P71" s="82"/>
      <c r="Q71" s="82"/>
      <c r="R71" s="82"/>
      <c r="S71" s="82"/>
      <c r="T71" s="82"/>
      <c r="U71" s="82"/>
    </row>
    <row r="72" spans="1:21" ht="20.100000000000001" customHeight="1" x14ac:dyDescent="0.2">
      <c r="D72" s="2" t="str" cm="1">
        <f t="array" ref="D72">MMS_Swine_Methane_Equations.VEERG_4_5_1_1__7_VolatileSolidsTransferredStage2_Title()</f>
        <v>Volatile solids transferred to treatment stage 2 MMS</v>
      </c>
    </row>
    <row r="73" spans="1:21" ht="20.100000000000001" customHeight="1" x14ac:dyDescent="0.2">
      <c r="D73" s="17" t="str" cm="1">
        <f t="array" ref="D73">MMS_Swine_Methane_Equations.VEERG_4_5_1_1__7_VolatileSolidsTransferredStage2_Source()</f>
        <v>VEERG 2026: 4.5.1.1, Equation (7)</v>
      </c>
    </row>
    <row r="74" spans="1:21" ht="20.100000000000001" customHeight="1" x14ac:dyDescent="0.2">
      <c r="D74" s="110" t="s">
        <v>321</v>
      </c>
      <c r="E74" s="110" t="str" cm="1">
        <f t="array" aca="1" ref="E74" ca="1">Common_InputFunctions.Utility_DisplayFunctionName(E103)</f>
        <v>=MMS_Swine_Methane_Equations.VEERG_4_5_1_1__7_VolatileSolidsTransferredStage2</v>
      </c>
    </row>
    <row r="78" spans="1:21" ht="20.100000000000001" customHeight="1" x14ac:dyDescent="0.2">
      <c r="D78" s="75" t="s">
        <v>322</v>
      </c>
      <c r="E78" s="1" t="str" cm="1">
        <f t="array" ref="E78">MMS_Swine_Methane_Equations.VEERG_4_5_1_1__7_VolatileSolidsTransferredStage2_Variable()</f>
        <v>VSTijmT2</v>
      </c>
    </row>
    <row r="79" spans="1:21" ht="20.100000000000001" customHeight="1" x14ac:dyDescent="0.2">
      <c r="D79" s="75" t="s">
        <v>118</v>
      </c>
      <c r="E79" s="9" t="str" cm="1">
        <f t="array" ref="E79">MMS_Swine_Methane_Equations.VEERG_4_5_1_1__7_VolatileSolidsTransferredStage2_Unit()</f>
        <v>kg VS</v>
      </c>
    </row>
    <row r="81" spans="4:18" ht="20.100000000000001" customHeight="1" x14ac:dyDescent="0.2">
      <c r="D81" s="111" t="str" cm="1">
        <f t="array" ref="D81:E83">Common_InputFunctions.Utility_DisplayArguments_1_2(MMS_Swine_Methane_Equations.VEERG_4_5_1_1__7_VolatileSolidsTransferredStage2_Arguments())</f>
        <v>VSj</v>
      </c>
      <c r="E81" s="112" t="str">
        <v>volatile solid production from swine in each class</v>
      </c>
      <c r="F81" s="124"/>
      <c r="G81" s="111" t="str" cm="1">
        <f t="array" ref="G81:H83">Common_InputFunctions.Utility_DisplayArguments_3_4(MMS_Swine_Methane_Equations.VEERG_4_5_1_1__7_VolatileSolidsTransferredStage2_Arguments())</f>
        <v>kg/head/day</v>
      </c>
      <c r="H81" s="123" t="str">
        <v>Input</v>
      </c>
      <c r="I81" s="115" t="str" cm="1">
        <f t="array" aca="1" ref="I81" ca="1">HYPERLINK(Common_InputFunctions.Utility_SourceHyperlink(D85), D85)</f>
        <v>M1_Table_VS_j</v>
      </c>
      <c r="J81" s="115"/>
    </row>
    <row r="82" spans="4:18" ht="20.100000000000001" customHeight="1" x14ac:dyDescent="0.2">
      <c r="D82" s="111" t="str">
        <v>FVSjmT1</v>
      </c>
      <c r="E82" s="112" t="str">
        <v>fraction of volatile solids in each primary system</v>
      </c>
      <c r="F82" s="124"/>
      <c r="G82" s="111" t="str">
        <v>fraction</v>
      </c>
      <c r="H82" s="125" t="str">
        <v>Calculated from 4.5.1.1 (4)(5)</v>
      </c>
      <c r="I82" s="115" t="str" cm="1">
        <f t="array" aca="1" ref="I82" ca="1">HYPERLINK(Common_InputFunctions.Utility_SourceHyperlink($D$34), $D$34)</f>
        <v>M1_Table_FVS_j_m_T-1</v>
      </c>
      <c r="J82" s="115" t="str" cm="1">
        <f t="array" aca="1" ref="J82" ca="1">HYPERLINK(Common_InputFunctions.Utility_SourceHyperlink($D$65), $D$65)</f>
        <v>M1_Table_FVS_j_m-4_T-1</v>
      </c>
    </row>
    <row r="83" spans="4:18" ht="20.100000000000001" customHeight="1" x14ac:dyDescent="0.2">
      <c r="D83" s="111" t="str">
        <v>VSLmT1</v>
      </c>
      <c r="E83" s="112" t="str">
        <v>fraction of volatile solids lost during storage in the primary system</v>
      </c>
      <c r="F83" s="124"/>
      <c r="G83" s="111" t="str">
        <v>fraction</v>
      </c>
      <c r="H83" s="125" t="str">
        <v>Lookup</v>
      </c>
      <c r="I83" s="115" t="str" cm="1">
        <f t="array" aca="1" ref="I83" ca="1">HYPERLINK(Common_InputFunctions.Utility_SourceHyperlink($D$90), $D$90)</f>
        <v>Table_VSL_m_T-1</v>
      </c>
      <c r="J83" s="115"/>
    </row>
    <row r="85" spans="4:18" ht="20.100000000000001" customHeight="1" x14ac:dyDescent="0.2">
      <c r="D85" s="117" t="s">
        <v>340</v>
      </c>
      <c r="N85" s="117" t="s">
        <v>341</v>
      </c>
    </row>
    <row r="86" spans="4:18" ht="20.100000000000001" customHeight="1" x14ac:dyDescent="0.2">
      <c r="D86" s="118" t="s">
        <v>342</v>
      </c>
      <c r="N86" s="118" t="s">
        <v>343</v>
      </c>
    </row>
    <row r="87" spans="4:18" ht="20.100000000000001" customHeight="1" x14ac:dyDescent="0.2">
      <c r="D87" s="78" t="s">
        <v>290</v>
      </c>
      <c r="E87" s="78" t="s">
        <v>291</v>
      </c>
      <c r="F87" s="78" t="s">
        <v>265</v>
      </c>
      <c r="G87" s="78" t="s">
        <v>292</v>
      </c>
      <c r="I87" s="16"/>
      <c r="J87" s="16"/>
      <c r="N87" s="78" t="s">
        <v>290</v>
      </c>
      <c r="O87" s="78" t="s">
        <v>291</v>
      </c>
      <c r="P87" s="78" t="s">
        <v>265</v>
      </c>
      <c r="Q87" s="78" t="s">
        <v>292</v>
      </c>
    </row>
    <row r="88" spans="4:18" ht="20.100000000000001" customHeight="1" x14ac:dyDescent="0.2">
      <c r="D88" s="15" cm="1">
        <f t="array" aca="1" ref="D88:G88" ca="1">OFFSET(X_Table_Swine_ManureProduction_Method1,1,1,1,4)</f>
        <v>0.4</v>
      </c>
      <c r="E88" s="15">
        <f ca="1"/>
        <v>0.46</v>
      </c>
      <c r="F88" s="15">
        <f ca="1"/>
        <v>0.55000000000000004</v>
      </c>
      <c r="G88" s="15">
        <f ca="1"/>
        <v>0.39</v>
      </c>
      <c r="H88" s="16" t="str">
        <f>$G$81</f>
        <v>kg/head/day</v>
      </c>
      <c r="N88" s="15" cm="1">
        <f t="array" aca="1" ref="N88:Q88" ca="1">OFFSET(X_Table_Swine_ManureProduction_Method2,1,1,1,4)</f>
        <v>0.4</v>
      </c>
      <c r="O88" s="15">
        <f ca="1"/>
        <v>0.46</v>
      </c>
      <c r="P88" s="15">
        <f ca="1"/>
        <v>0.55000000000000004</v>
      </c>
      <c r="Q88" s="15">
        <f ca="1"/>
        <v>0.39</v>
      </c>
      <c r="R88" s="16" t="str">
        <f>$G$81</f>
        <v>kg/head/day</v>
      </c>
    </row>
    <row r="90" spans="4:18" ht="20.100000000000001" customHeight="1" x14ac:dyDescent="0.2">
      <c r="D90" s="117" t="s">
        <v>344</v>
      </c>
    </row>
    <row r="91" spans="4:18" ht="20.100000000000001" customHeight="1" x14ac:dyDescent="0.2">
      <c r="D91" s="118" t="s">
        <v>345</v>
      </c>
    </row>
    <row r="92" spans="4:18" ht="20.100000000000001" customHeight="1" x14ac:dyDescent="0.2">
      <c r="D92" s="119" t="s">
        <v>325</v>
      </c>
      <c r="E92" s="119" t="s">
        <v>346</v>
      </c>
    </row>
    <row r="93" spans="4:18" ht="20.100000000000001" customHeight="1" x14ac:dyDescent="0.2">
      <c r="D93" s="111" t="str">
        <f>INDEX(X_Table_Swine_Stage1MMS_AnaerobicLagoon,2,1)</f>
        <v>Anaerobic lagoon</v>
      </c>
      <c r="E93" s="15" cm="1">
        <f t="array" ref="E93">Common_InputFunctions.Utility_LookupValueInTableNumber(D93,Table_SourceData_SwineVSL[MMS],Table_SourceData_SwineVSL[VSL])</f>
        <v>0</v>
      </c>
      <c r="F93" s="16" t="str">
        <f>G83</f>
        <v>fraction</v>
      </c>
    </row>
    <row r="94" spans="4:18" ht="20.100000000000001" customHeight="1" x14ac:dyDescent="0.2">
      <c r="D94" s="111" t="str">
        <f>INDEX(X_Table_Swine_Stage1MMS_Drylot,2,1)</f>
        <v>Drylot (feed pad)</v>
      </c>
      <c r="E94" s="15" cm="1">
        <f t="array" ref="E94">Common_InputFunctions.Utility_LookupValueInTableNumber(D94,Table_SourceData_SwineVSL[MMS],Table_SourceData_SwineVSL[VSL])</f>
        <v>0</v>
      </c>
      <c r="F94" s="16"/>
    </row>
    <row r="95" spans="4:18" ht="20.100000000000001" customHeight="1" x14ac:dyDescent="0.2">
      <c r="D95" s="111" t="str">
        <f>INDEX(X_Table_Swine_Stage1MMS_DigesterCoveredLagoons,2,1)</f>
        <v>Digester / covered lagoons</v>
      </c>
      <c r="E95" s="15" cm="1">
        <f t="array" ref="E95">Common_InputFunctions.Utility_LookupValueInTableNumber(D95,Table_SourceData_SwineVSL[MMS],Table_SourceData_SwineVSL[VSL])</f>
        <v>0.75</v>
      </c>
      <c r="F95" s="16"/>
    </row>
    <row r="96" spans="4:18" ht="20.100000000000001" customHeight="1" x14ac:dyDescent="0.2">
      <c r="D96" s="111" t="str">
        <f>INDEX(X_Table_Swine_Stage1MMS_DeepLitter,2,1)</f>
        <v>Deep litter</v>
      </c>
      <c r="E96" s="15" cm="1">
        <f t="array" ref="E96">Common_InputFunctions.Utility_LookupValueInTableNumber(D96,Table_SourceData_SwineVSL[MMS],Table_SourceData_SwineVSL[VSL])</f>
        <v>0.05</v>
      </c>
      <c r="F96" s="16"/>
      <c r="G96" s="126" t="s">
        <v>347</v>
      </c>
    </row>
    <row r="97" spans="1:21" ht="20.100000000000001" customHeight="1" x14ac:dyDescent="0.2">
      <c r="A97" s="131" t="str">
        <f>HYPERLINK("#A1", "▲ Back to top")</f>
        <v>▲ Back to top</v>
      </c>
      <c r="D97" s="111" t="str">
        <f>INDEX(X_Table_Swine_Stage1MMS_PitStorage,2,1)</f>
        <v>Pit storage</v>
      </c>
      <c r="E97" s="15" cm="1">
        <f t="array" ref="E97">Common_InputFunctions.Utility_LookupValueInTableNumber(D97,Table_SourceData_SwineVSL[MMS],Table_SourceData_SwineVSL[VSL])</f>
        <v>0</v>
      </c>
      <c r="F97" s="16"/>
    </row>
    <row r="98" spans="1:21" ht="20.100000000000001" customHeight="1" x14ac:dyDescent="0.2">
      <c r="D98" s="111" t="str">
        <f>INDEX(X_Table_Swine_Stage1MMS_SolidStorage,2,1)</f>
        <v>Solid storage (before solid separation)</v>
      </c>
      <c r="E98" s="15" cm="1">
        <f t="array" ref="E98">Common_InputFunctions.Utility_LookupValueInTableNumber(D98,Table_SourceData_SwineVSL[MMS],Table_SourceData_SwineVSL[VSL])</f>
        <v>0</v>
      </c>
      <c r="F98" s="16"/>
    </row>
    <row r="100" spans="1:21" ht="20.100000000000001" customHeight="1" x14ac:dyDescent="0.2">
      <c r="D100" s="117" t="s">
        <v>348</v>
      </c>
      <c r="N100" s="117" t="s">
        <v>349</v>
      </c>
    </row>
    <row r="101" spans="1:21" ht="20.100000000000001" customHeight="1" x14ac:dyDescent="0.2">
      <c r="D101" s="118" t="s">
        <v>350</v>
      </c>
      <c r="N101" s="118" t="s">
        <v>351</v>
      </c>
    </row>
    <row r="102" spans="1:21" ht="20.100000000000001" customHeight="1" x14ac:dyDescent="0.2">
      <c r="D102" s="119" t="s">
        <v>325</v>
      </c>
      <c r="E102" s="119" t="s">
        <v>290</v>
      </c>
      <c r="F102" s="119" t="s">
        <v>291</v>
      </c>
      <c r="G102" s="119" t="s">
        <v>265</v>
      </c>
      <c r="H102" s="119" t="s">
        <v>292</v>
      </c>
      <c r="N102" s="119" t="s">
        <v>325</v>
      </c>
      <c r="O102" s="119" t="s">
        <v>290</v>
      </c>
      <c r="P102" s="119" t="s">
        <v>291</v>
      </c>
      <c r="Q102" s="119" t="s">
        <v>265</v>
      </c>
      <c r="R102" s="119" t="s">
        <v>292</v>
      </c>
    </row>
    <row r="103" spans="1:21" ht="20.100000000000001" customHeight="1" x14ac:dyDescent="0.2">
      <c r="D103" s="111" t="str">
        <f>INDEX(X_Table_Swine_Stage1MMS_AnaerobicLagoon,2,1)</f>
        <v>Anaerobic lagoon</v>
      </c>
      <c r="E103" s="15" cm="1">
        <f t="array" aca="1" ref="E103" ca="1">MMS_Swine_Methane_Equations.VEERG_4_5_1_1__7_VolatileSolidsTransferredStage2(D$88,E37,$E93)</f>
        <v>4.8000000000000001E-2</v>
      </c>
      <c r="F103" s="15" cm="1">
        <f t="array" aca="1" ref="F103" ca="1">MMS_Swine_Methane_Equations.VEERG_4_5_1_1__7_VolatileSolidsTransferredStage2(E$88,F37,$E93)</f>
        <v>5.5199999999999999E-2</v>
      </c>
      <c r="G103" s="15" cm="1">
        <f t="array" aca="1" ref="G103" ca="1">MMS_Swine_Methane_Equations.VEERG_4_5_1_1__7_VolatileSolidsTransferredStage2(F$88,G37,$E93)</f>
        <v>6.6000000000000003E-2</v>
      </c>
      <c r="H103" s="15" cm="1">
        <f t="array" aca="1" ref="H103" ca="1">MMS_Swine_Methane_Equations.VEERG_4_5_1_1__7_VolatileSolidsTransferredStage2(G$88,H37,$E93)</f>
        <v>4.6800000000000001E-2</v>
      </c>
      <c r="I103" s="16" t="str">
        <f>$E$79</f>
        <v>kg VS</v>
      </c>
      <c r="N103" s="111" t="str">
        <f>INDEX(X_Table_Swine_Stage1MMS_AnaerobicLagoon,2,1)</f>
        <v>Anaerobic lagoon</v>
      </c>
      <c r="O103" s="15" cm="1">
        <f t="array" aca="1" ref="O103" ca="1">MMS_Swine_Methane_Equations.VEERG_4_5_1_1__7_VolatileSolidsTransferredStage2(N$88,O37,$E93)</f>
        <v>4.8000000000000001E-2</v>
      </c>
      <c r="P103" s="15" cm="1">
        <f t="array" aca="1" ref="P103" ca="1">MMS_Swine_Methane_Equations.VEERG_4_5_1_1__7_VolatileSolidsTransferredStage2(O$88,P37,$E93)</f>
        <v>5.5199999999999999E-2</v>
      </c>
      <c r="Q103" s="15" cm="1">
        <f t="array" aca="1" ref="Q103" ca="1">MMS_Swine_Methane_Equations.VEERG_4_5_1_1__7_VolatileSolidsTransferredStage2(P$88,Q37,$E93)</f>
        <v>6.6000000000000003E-2</v>
      </c>
      <c r="R103" s="15" cm="1">
        <f t="array" aca="1" ref="R103" ca="1">MMS_Swine_Methane_Equations.VEERG_4_5_1_1__7_VolatileSolidsTransferredStage2(Q$88,R37,$E93)</f>
        <v>4.6800000000000001E-2</v>
      </c>
      <c r="S103" s="16" t="str">
        <f t="shared" ref="S103" si="0">$E$79</f>
        <v>kg VS</v>
      </c>
    </row>
    <row r="104" spans="1:21" ht="20.100000000000001" customHeight="1" x14ac:dyDescent="0.2">
      <c r="D104" s="111" t="str">
        <f>INDEX(X_Table_Swine_Stage1MMS_Drylot,2,1)</f>
        <v>Drylot (feed pad)</v>
      </c>
      <c r="E104" s="15" cm="1">
        <f t="array" aca="1" ref="E104" ca="1">MMS_Swine_Methane_Equations.VEERG_4_5_1_1__7_VolatileSolidsTransferredStage2(D$88,E38,$E94)</f>
        <v>4.8000000000000001E-2</v>
      </c>
      <c r="F104" s="15" cm="1">
        <f t="array" aca="1" ref="F104" ca="1">MMS_Swine_Methane_Equations.VEERG_4_5_1_1__7_VolatileSolidsTransferredStage2(E$88,F38,$E94)</f>
        <v>5.5199999999999999E-2</v>
      </c>
      <c r="G104" s="15" cm="1">
        <f t="array" aca="1" ref="G104" ca="1">MMS_Swine_Methane_Equations.VEERG_4_5_1_1__7_VolatileSolidsTransferredStage2(F$88,G38,$E94)</f>
        <v>6.6000000000000003E-2</v>
      </c>
      <c r="H104" s="15" cm="1">
        <f t="array" aca="1" ref="H104" ca="1">MMS_Swine_Methane_Equations.VEERG_4_5_1_1__7_VolatileSolidsTransferredStage2(G$88,H38,$E94)</f>
        <v>4.6800000000000001E-2</v>
      </c>
      <c r="I104" s="16"/>
      <c r="N104" s="111" t="str">
        <f>INDEX(X_Table_Swine_Stage1MMS_Drylot,2,1)</f>
        <v>Drylot (feed pad)</v>
      </c>
      <c r="O104" s="15" cm="1">
        <f t="array" aca="1" ref="O104" ca="1">MMS_Swine_Methane_Equations.VEERG_4_5_1_1__7_VolatileSolidsTransferredStage2(N$88,O38,$E94)</f>
        <v>4.8000000000000001E-2</v>
      </c>
      <c r="P104" s="15" cm="1">
        <f t="array" aca="1" ref="P104" ca="1">MMS_Swine_Methane_Equations.VEERG_4_5_1_1__7_VolatileSolidsTransferredStage2(O$88,P38,$E94)</f>
        <v>5.5199999999999999E-2</v>
      </c>
      <c r="Q104" s="15" cm="1">
        <f t="array" aca="1" ref="Q104" ca="1">MMS_Swine_Methane_Equations.VEERG_4_5_1_1__7_VolatileSolidsTransferredStage2(P$88,Q38,$E94)</f>
        <v>6.6000000000000003E-2</v>
      </c>
      <c r="R104" s="15" cm="1">
        <f t="array" aca="1" ref="R104" ca="1">MMS_Swine_Methane_Equations.VEERG_4_5_1_1__7_VolatileSolidsTransferredStage2(Q$88,R38,$E94)</f>
        <v>4.6800000000000001E-2</v>
      </c>
      <c r="S104" s="16"/>
    </row>
    <row r="105" spans="1:21" ht="20.100000000000001" customHeight="1" x14ac:dyDescent="0.2">
      <c r="D105" s="111" t="str">
        <f>INDEX(X_Table_Swine_Stage1MMS_DigesterCoveredLagoons,2,1)</f>
        <v>Digester / covered lagoons</v>
      </c>
      <c r="E105" s="15" cm="1">
        <f t="array" aca="1" ref="E105" ca="1">MMS_Swine_Methane_Equations.VEERG_4_5_1_1__7_VolatileSolidsTransferredStage2(D$88,E39,$E95)</f>
        <v>1.2E-2</v>
      </c>
      <c r="F105" s="15" cm="1">
        <f t="array" aca="1" ref="F105" ca="1">MMS_Swine_Methane_Equations.VEERG_4_5_1_1__7_VolatileSolidsTransferredStage2(E$88,F39,$E95)</f>
        <v>1.38E-2</v>
      </c>
      <c r="G105" s="15" cm="1">
        <f t="array" aca="1" ref="G105" ca="1">MMS_Swine_Methane_Equations.VEERG_4_5_1_1__7_VolatileSolidsTransferredStage2(F$88,G39,$E95)</f>
        <v>1.6500000000000001E-2</v>
      </c>
      <c r="H105" s="15" cm="1">
        <f t="array" aca="1" ref="H105" ca="1">MMS_Swine_Methane_Equations.VEERG_4_5_1_1__7_VolatileSolidsTransferredStage2(G$88,H39,$E95)</f>
        <v>1.17E-2</v>
      </c>
      <c r="I105" s="16"/>
      <c r="N105" s="111" t="str">
        <f>INDEX(X_Table_Swine_Stage1MMS_DigesterCoveredLagoons,2,1)</f>
        <v>Digester / covered lagoons</v>
      </c>
      <c r="O105" s="15" cm="1">
        <f t="array" aca="1" ref="O105" ca="1">MMS_Swine_Methane_Equations.VEERG_4_5_1_1__7_VolatileSolidsTransferredStage2(N$88,O39,$E95)</f>
        <v>1.2E-2</v>
      </c>
      <c r="P105" s="15" cm="1">
        <f t="array" aca="1" ref="P105" ca="1">MMS_Swine_Methane_Equations.VEERG_4_5_1_1__7_VolatileSolidsTransferredStage2(O$88,P39,$E95)</f>
        <v>1.38E-2</v>
      </c>
      <c r="Q105" s="15" cm="1">
        <f t="array" aca="1" ref="Q105" ca="1">MMS_Swine_Methane_Equations.VEERG_4_5_1_1__7_VolatileSolidsTransferredStage2(P$88,Q39,$E95)</f>
        <v>1.6500000000000001E-2</v>
      </c>
      <c r="R105" s="15" cm="1">
        <f t="array" aca="1" ref="R105" ca="1">MMS_Swine_Methane_Equations.VEERG_4_5_1_1__7_VolatileSolidsTransferredStage2(Q$88,R39,$E95)</f>
        <v>1.17E-2</v>
      </c>
      <c r="S105" s="16"/>
    </row>
    <row r="106" spans="1:21" ht="20.100000000000001" customHeight="1" x14ac:dyDescent="0.2">
      <c r="D106" s="111" t="str">
        <f>INDEX(X_Table_Swine_Stage1MMS_DeepLitter,2,1)</f>
        <v>Deep litter</v>
      </c>
      <c r="E106" s="15" cm="1">
        <f t="array" aca="1" ref="E106" ca="1">MMS_Swine_Methane_Equations.VEERG_4_5_1_1__7_VolatileSolidsTransferredStage2(D$88,E40,$E96)</f>
        <v>4.5600000000000002E-2</v>
      </c>
      <c r="F106" s="15" cm="1">
        <f t="array" aca="1" ref="F106" ca="1">MMS_Swine_Methane_Equations.VEERG_4_5_1_1__7_VolatileSolidsTransferredStage2(E$88,F40,$E96)</f>
        <v>5.2439999999999994E-2</v>
      </c>
      <c r="G106" s="15" cm="1">
        <f t="array" aca="1" ref="G106" ca="1">MMS_Swine_Methane_Equations.VEERG_4_5_1_1__7_VolatileSolidsTransferredStage2(F$88,G40,$E96)</f>
        <v>6.2700000000000006E-2</v>
      </c>
      <c r="H106" s="15" cm="1">
        <f t="array" aca="1" ref="H106" ca="1">MMS_Swine_Methane_Equations.VEERG_4_5_1_1__7_VolatileSolidsTransferredStage2(G$88,H40,$E96)</f>
        <v>4.446E-2</v>
      </c>
      <c r="I106" s="16"/>
      <c r="N106" s="111" t="str">
        <f>INDEX(X_Table_Swine_Stage1MMS_DeepLitter,2,1)</f>
        <v>Deep litter</v>
      </c>
      <c r="O106" s="15" cm="1">
        <f t="array" aca="1" ref="O106" ca="1">MMS_Swine_Methane_Equations.VEERG_4_5_1_1__7_VolatileSolidsTransferredStage2(N$88,O40,$E96)</f>
        <v>4.5600000000000002E-2</v>
      </c>
      <c r="P106" s="15" cm="1">
        <f t="array" aca="1" ref="P106" ca="1">MMS_Swine_Methane_Equations.VEERG_4_5_1_1__7_VolatileSolidsTransferredStage2(O$88,P40,$E96)</f>
        <v>5.2439999999999994E-2</v>
      </c>
      <c r="Q106" s="15" cm="1">
        <f t="array" aca="1" ref="Q106" ca="1">MMS_Swine_Methane_Equations.VEERG_4_5_1_1__7_VolatileSolidsTransferredStage2(P$88,Q40,$E96)</f>
        <v>6.2700000000000006E-2</v>
      </c>
      <c r="R106" s="15" cm="1">
        <f t="array" aca="1" ref="R106" ca="1">MMS_Swine_Methane_Equations.VEERG_4_5_1_1__7_VolatileSolidsTransferredStage2(Q$88,R40,$E96)</f>
        <v>4.446E-2</v>
      </c>
      <c r="S106" s="16"/>
    </row>
    <row r="107" spans="1:21" ht="20.100000000000001" customHeight="1" x14ac:dyDescent="0.2">
      <c r="D107" s="111" t="str">
        <f>INDEX(X_Table_Swine_Stage1MMS_PitStorage,2,1)</f>
        <v>Pit storage</v>
      </c>
      <c r="E107" s="15" cm="1">
        <f t="array" aca="1" ref="E107" ca="1">MMS_Swine_Methane_Equations.VEERG_4_5_1_1__7_VolatileSolidsTransferredStage2(D$88,E41,$E97)</f>
        <v>4.8000000000000001E-2</v>
      </c>
      <c r="F107" s="15" cm="1">
        <f t="array" aca="1" ref="F107" ca="1">MMS_Swine_Methane_Equations.VEERG_4_5_1_1__7_VolatileSolidsTransferredStage2(E$88,F41,$E97)</f>
        <v>5.5199999999999999E-2</v>
      </c>
      <c r="G107" s="15" cm="1">
        <f t="array" aca="1" ref="G107" ca="1">MMS_Swine_Methane_Equations.VEERG_4_5_1_1__7_VolatileSolidsTransferredStage2(F$88,G41,$E97)</f>
        <v>6.6000000000000003E-2</v>
      </c>
      <c r="H107" s="15" cm="1">
        <f t="array" aca="1" ref="H107" ca="1">MMS_Swine_Methane_Equations.VEERG_4_5_1_1__7_VolatileSolidsTransferredStage2(G$88,H41,$E97)</f>
        <v>4.6800000000000001E-2</v>
      </c>
      <c r="I107" s="16"/>
      <c r="N107" s="111" t="str">
        <f>INDEX(X_Table_Swine_Stage1MMS_PitStorage,2,1)</f>
        <v>Pit storage</v>
      </c>
      <c r="O107" s="15" cm="1">
        <f t="array" aca="1" ref="O107" ca="1">MMS_Swine_Methane_Equations.VEERG_4_5_1_1__7_VolatileSolidsTransferredStage2(N$88,O41,$E97)</f>
        <v>4.8000000000000001E-2</v>
      </c>
      <c r="P107" s="15" cm="1">
        <f t="array" aca="1" ref="P107" ca="1">MMS_Swine_Methane_Equations.VEERG_4_5_1_1__7_VolatileSolidsTransferredStage2(O$88,P41,$E97)</f>
        <v>5.5199999999999999E-2</v>
      </c>
      <c r="Q107" s="15" cm="1">
        <f t="array" aca="1" ref="Q107" ca="1">MMS_Swine_Methane_Equations.VEERG_4_5_1_1__7_VolatileSolidsTransferredStage2(P$88,Q41,$E97)</f>
        <v>6.6000000000000003E-2</v>
      </c>
      <c r="R107" s="15" cm="1">
        <f t="array" aca="1" ref="R107" ca="1">MMS_Swine_Methane_Equations.VEERG_4_5_1_1__7_VolatileSolidsTransferredStage2(Q$88,R41,$E97)</f>
        <v>4.6800000000000001E-2</v>
      </c>
      <c r="S107" s="16"/>
    </row>
    <row r="108" spans="1:21" ht="20.100000000000001" customHeight="1" x14ac:dyDescent="0.2">
      <c r="D108" s="111" t="s">
        <v>75</v>
      </c>
      <c r="E108" s="15" cm="1">
        <f t="array" aca="1" ref="E108" ca="1">MMS_Swine_Methane_Equations.VEERG_4_5_1_1__7_VolatileSolidsTransferredStage2(D$88,E68,$E98)</f>
        <v>0.16000000000000006</v>
      </c>
      <c r="F108" s="15" cm="1">
        <f t="array" aca="1" ref="F108" ca="1">MMS_Swine_Methane_Equations.VEERG_4_5_1_1__7_VolatileSolidsTransferredStage2(E$88,F68,$E98)</f>
        <v>0.18400000000000008</v>
      </c>
      <c r="G108" s="15" cm="1">
        <f t="array" aca="1" ref="G108" ca="1">MMS_Swine_Methane_Equations.VEERG_4_5_1_1__7_VolatileSolidsTransferredStage2(F$88,G68,$E98)</f>
        <v>0.22000000000000008</v>
      </c>
      <c r="H108" s="15" cm="1">
        <f t="array" aca="1" ref="H108" ca="1">MMS_Swine_Methane_Equations.VEERG_4_5_1_1__7_VolatileSolidsTransferredStage2(G$88,H68,$E98)</f>
        <v>0.15600000000000006</v>
      </c>
      <c r="I108" s="16"/>
      <c r="N108" s="111" t="s">
        <v>75</v>
      </c>
      <c r="O108" s="15" cm="1">
        <f t="array" aca="1" ref="O108" ca="1">MMS_Swine_Methane_Equations.VEERG_4_5_1_1__7_VolatileSolidsTransferredStage2(N$88,O68,$E98)</f>
        <v>0.16000000000000006</v>
      </c>
      <c r="P108" s="15" cm="1">
        <f t="array" aca="1" ref="P108" ca="1">MMS_Swine_Methane_Equations.VEERG_4_5_1_1__7_VolatileSolidsTransferredStage2(O$88,P68,$E98)</f>
        <v>0.18400000000000008</v>
      </c>
      <c r="Q108" s="15" cm="1">
        <f t="array" aca="1" ref="Q108" ca="1">MMS_Swine_Methane_Equations.VEERG_4_5_1_1__7_VolatileSolidsTransferredStage2(P$88,Q68,$E98)</f>
        <v>0.22000000000000008</v>
      </c>
      <c r="R108" s="15" cm="1">
        <f t="array" aca="1" ref="R108" ca="1">MMS_Swine_Methane_Equations.VEERG_4_5_1_1__7_VolatileSolidsTransferredStage2(Q$88,R68,$E98)</f>
        <v>0.15600000000000006</v>
      </c>
      <c r="S108" s="16"/>
    </row>
    <row r="111" spans="1:21" ht="20.100000000000001" customHeight="1" x14ac:dyDescent="0.2">
      <c r="C111" s="82"/>
      <c r="D111" s="82"/>
      <c r="E111" s="82"/>
      <c r="F111" s="82"/>
      <c r="G111" s="82"/>
      <c r="H111" s="82"/>
      <c r="I111" s="82"/>
      <c r="J111" s="82"/>
      <c r="K111" s="82"/>
      <c r="M111" s="82"/>
      <c r="N111" s="82"/>
      <c r="O111" s="82"/>
      <c r="P111" s="82"/>
      <c r="Q111" s="82"/>
      <c r="R111" s="82"/>
      <c r="S111" s="82"/>
      <c r="T111" s="82"/>
      <c r="U111" s="82"/>
    </row>
    <row r="112" spans="1:21" ht="20.100000000000001" customHeight="1" x14ac:dyDescent="0.2">
      <c r="D112" s="2" t="str" cm="1">
        <f t="array" ref="D112">MMS_Swine_Methane_Equations.VEERG_4_5_1_1__6_Stage2MethaneProduction_Title()</f>
        <v>Production of methane in each treatment stage 2 MMS</v>
      </c>
    </row>
    <row r="113" spans="1:19" ht="20.100000000000001" customHeight="1" x14ac:dyDescent="0.2">
      <c r="D113" s="17" t="str" cm="1">
        <f t="array" ref="D113">MMS_Swine_Methane_Equations.VEERG_4_5_1_1__6_Stage2MethaneProduction_Source()</f>
        <v>VEERG 2026: 4.5.1.1, Equation (6)</v>
      </c>
    </row>
    <row r="114" spans="1:19" ht="20.100000000000001" customHeight="1" x14ac:dyDescent="0.2">
      <c r="D114" s="110" t="s">
        <v>321</v>
      </c>
      <c r="E114" s="110" t="str" cm="1">
        <f t="array" aca="1" ref="E114" ca="1">Common_InputFunctions.Utility_DisplayFunctionName(F165)</f>
        <v>=MMS_Swine_Methane_Equations.VEERG_4_5_1_1__6_Stage2MethaneProduction</v>
      </c>
    </row>
    <row r="118" spans="1:19" ht="20.100000000000001" customHeight="1" x14ac:dyDescent="0.2">
      <c r="D118" s="75" t="s">
        <v>322</v>
      </c>
      <c r="E118" s="1" t="str" cm="1">
        <f t="array" ref="E118">MMS_Swine_Methane_Equations.VEERG_4_5_1_1__6_Stage2MethaneProduction_Variable()</f>
        <v>MijmT2</v>
      </c>
    </row>
    <row r="119" spans="1:19" ht="20.100000000000001" customHeight="1" x14ac:dyDescent="0.2">
      <c r="D119" s="75" t="s">
        <v>118</v>
      </c>
      <c r="E119" s="9" t="str" cm="1">
        <f t="array" ref="E119">MMS_Swine_Methane_Equations.VEERG_4_5_1_1__6_Stage2MethaneProduction_Unit()</f>
        <v>kg CH4/head/day</v>
      </c>
    </row>
    <row r="121" spans="1:19" ht="20.100000000000001" customHeight="1" x14ac:dyDescent="0.2">
      <c r="D121" s="127" t="str" cm="1">
        <f t="array" ref="D121:E126">Common_InputFunctions.Utility_DisplayArguments_1_2(MMS_Swine_Methane_Equations.VEERG_4_5_1_1__6_Stage2MethaneProduction_Arguments())</f>
        <v>VSTjmT2</v>
      </c>
      <c r="E121" s="128" t="str">
        <v>volatile solids transferred to treatment stage 2 MMS</v>
      </c>
      <c r="F121" s="129"/>
      <c r="G121" s="127" t="str" cm="1">
        <f t="array" ref="G121:H126">Common_InputFunctions.Utility_DisplayArguments_3_4(MMS_Swine_Methane_Equations.VEERG_4_5_1_1__6_Stage2MethaneProduction_Arguments())</f>
        <v>kg/head/day</v>
      </c>
      <c r="H121" s="125" t="str">
        <v>Calculated from 4.5.1.1 (7)</v>
      </c>
      <c r="I121" s="115" t="str" cm="1">
        <f t="array" aca="1" ref="I121" ca="1">HYPERLINK(Common_InputFunctions.Utility_SourceHyperlink($D$100), $D$100)</f>
        <v>M1 Table_VST_j_m_T-2</v>
      </c>
      <c r="N121" s="111" t="str" cm="1">
        <f t="array" ref="N121:O126">Common_InputFunctions.Utility_DisplayArguments_1_2(MMS_Swine_Methane_Equations.VEERG_4_5_1_1__6_Stage2MethaneProduction_Arguments_Method2())</f>
        <v>VSTjmT2</v>
      </c>
      <c r="O121" s="112" t="str">
        <v>volatile solids transferred to treatment stage 2 MMS</v>
      </c>
      <c r="P121" s="124"/>
      <c r="Q121" s="111" t="str" cm="1">
        <f t="array" ref="Q121:R126">Common_InputFunctions.Utility_DisplayArguments_3_4(MMS_Swine_Methane_Equations.VEERG_4_5_1_1__6_Stage2MethaneProduction_Arguments_Method2())</f>
        <v>kg/head/day</v>
      </c>
      <c r="R121" s="125" t="str">
        <v>Calculated from 4.5.1.1 (7)</v>
      </c>
      <c r="S121" s="115"/>
    </row>
    <row r="122" spans="1:19" ht="20.100000000000001" customHeight="1" x14ac:dyDescent="0.2">
      <c r="D122" s="127" t="str">
        <v>BO</v>
      </c>
      <c r="E122" s="128" t="str">
        <v>emissions potential</v>
      </c>
      <c r="F122" s="129"/>
      <c r="G122" s="127" t="str">
        <v>m3 CH4/kg VS</v>
      </c>
      <c r="H122" s="125" t="str">
        <v>Constant</v>
      </c>
      <c r="I122" s="127">
        <f>SourceData_Swine_MethaneVolatileSolidsEmissionsPotential_Data</f>
        <v>0.19</v>
      </c>
      <c r="N122" s="111" t="str">
        <v>BO</v>
      </c>
      <c r="O122" s="112" t="str">
        <v>emissions potential</v>
      </c>
      <c r="P122" s="124"/>
      <c r="Q122" s="111" t="str">
        <v>m3 CH4/kg VS</v>
      </c>
      <c r="R122" s="125" t="str">
        <v>Constant</v>
      </c>
      <c r="S122" s="111">
        <f>SourceData_Swine_MethaneVolatileSolidsEmissionsPotential_Data</f>
        <v>0.19</v>
      </c>
    </row>
    <row r="123" spans="1:19" ht="20.100000000000001" customHeight="1" x14ac:dyDescent="0.2">
      <c r="D123" s="127" t="str">
        <v>MMSjmT2</v>
      </c>
      <c r="E123" s="128" t="str">
        <v>fraction of manure in each secondary system</v>
      </c>
      <c r="F123" s="129"/>
      <c r="G123" s="127" t="str">
        <v>fraction</v>
      </c>
      <c r="H123" s="123" t="str">
        <v>Input</v>
      </c>
      <c r="I123" s="115" t="str" cm="1">
        <f t="array" aca="1" ref="I123" ca="1">HYPERLINK(Common_InputFunctions.Utility_SourceHyperlink($D$128), $D$128)</f>
        <v>Table_MMS_j_m_T-2</v>
      </c>
      <c r="N123" s="111" t="str">
        <v>MMSjmT2</v>
      </c>
      <c r="O123" s="112" t="str">
        <v>fraction of manure in each secondary system</v>
      </c>
      <c r="P123" s="124"/>
      <c r="Q123" s="111" t="str">
        <v>fraction</v>
      </c>
      <c r="R123" s="123" t="str">
        <v>Input</v>
      </c>
      <c r="S123" s="115"/>
    </row>
    <row r="124" spans="1:19" ht="20.100000000000001" customHeight="1" x14ac:dyDescent="0.2">
      <c r="D124" s="127" t="str">
        <v>MCFim</v>
      </c>
      <c r="E124" s="128" t="str">
        <v>methane conversion factor for temperate zone and system</v>
      </c>
      <c r="F124" s="129"/>
      <c r="G124" s="127" t="str">
        <v>fraction</v>
      </c>
      <c r="H124" s="125" t="str">
        <v>Constant</v>
      </c>
      <c r="I124" s="115" t="str" cm="1">
        <f t="array" aca="1" ref="I124" ca="1">HYPERLINK(Common_InputFunctions.Utility_SourceHyperlink($D$152), $D$152)</f>
        <v>M1_Table_MCF_i_m</v>
      </c>
      <c r="N124" s="111" t="str">
        <v>MCFim</v>
      </c>
      <c r="O124" s="112" t="str">
        <v>methane conversion factor for temperate zone and system</v>
      </c>
      <c r="P124" s="124"/>
      <c r="Q124" s="111" t="str">
        <v>fraction</v>
      </c>
      <c r="R124" s="125" t="str">
        <v>Constant</v>
      </c>
      <c r="S124" s="115"/>
    </row>
    <row r="125" spans="1:19" ht="20.100000000000001" customHeight="1" x14ac:dyDescent="0.2">
      <c r="D125" s="127" t="str">
        <v>rho</v>
      </c>
      <c r="E125" s="128" t="str">
        <v>density of methane</v>
      </c>
      <c r="F125" s="129"/>
      <c r="G125" s="127" t="str">
        <v>kg/m3</v>
      </c>
      <c r="H125" s="125" t="str">
        <v>Constant</v>
      </c>
      <c r="I125" s="127">
        <f>Common_SourceData_DensityOfMethane_Data</f>
        <v>0.6784</v>
      </c>
      <c r="N125" s="111" t="str">
        <v>rho</v>
      </c>
      <c r="O125" s="112" t="str">
        <v>density of methane</v>
      </c>
      <c r="P125" s="124"/>
      <c r="Q125" s="111" t="str">
        <v>kg/m3</v>
      </c>
      <c r="R125" s="125" t="str">
        <v>Constant</v>
      </c>
      <c r="S125" s="111"/>
    </row>
    <row r="126" spans="1:19" ht="20.100000000000001" customHeight="1" x14ac:dyDescent="0.2">
      <c r="D126" s="127" t="str">
        <v>i</v>
      </c>
      <c r="E126" s="128" t="str">
        <v>state</v>
      </c>
      <c r="F126" s="129"/>
      <c r="G126" s="127" t="str">
        <v/>
      </c>
      <c r="H126" s="123" t="str">
        <v>Input</v>
      </c>
      <c r="I126" s="127" t="str">
        <f>X_Cell_Site_State</f>
        <v>Western Australia</v>
      </c>
      <c r="N126" s="111" t="str">
        <v>MAT</v>
      </c>
      <c r="O126" s="112" t="str">
        <v>Mean annual temperature</v>
      </c>
      <c r="P126" s="124"/>
      <c r="Q126" s="111" t="str">
        <v>°C</v>
      </c>
      <c r="R126" s="123" t="str">
        <v>Input</v>
      </c>
      <c r="S126" s="111">
        <f>X_Cell_Site_AverageTemperature</f>
        <v>18</v>
      </c>
    </row>
    <row r="127" spans="1:19" ht="20.100000000000001" customHeight="1" x14ac:dyDescent="0.2">
      <c r="A127" s="131" t="str">
        <f>HYPERLINK("#A1", "▲ Back to top")</f>
        <v>▲ Back to top</v>
      </c>
    </row>
    <row r="128" spans="1:19" ht="20.100000000000001" customHeight="1" x14ac:dyDescent="0.2">
      <c r="D128" s="117" t="s">
        <v>352</v>
      </c>
    </row>
    <row r="129" spans="4:10" ht="20.100000000000001" customHeight="1" x14ac:dyDescent="0.2">
      <c r="D129" s="118" t="s">
        <v>353</v>
      </c>
    </row>
    <row r="130" spans="4:10" ht="20.100000000000001" customHeight="1" x14ac:dyDescent="0.2">
      <c r="D130" s="78" t="s">
        <v>325</v>
      </c>
      <c r="E130" s="78" t="s">
        <v>354</v>
      </c>
      <c r="F130" s="78" t="s">
        <v>290</v>
      </c>
      <c r="G130" s="78" t="s">
        <v>291</v>
      </c>
      <c r="H130" s="78" t="s">
        <v>265</v>
      </c>
      <c r="I130" s="78" t="s">
        <v>292</v>
      </c>
    </row>
    <row r="131" spans="4:10" ht="20.100000000000001" customHeight="1" x14ac:dyDescent="0.2">
      <c r="D131" s="111" t="str">
        <f>INDEX(X_Table_Swine_Stage1MMS_AnaerobicLagoon,2,1)</f>
        <v>Anaerobic lagoon</v>
      </c>
      <c r="E131" s="120" t="str" cm="1">
        <f t="array" aca="1" ref="E131:I133" ca="1">OFFSET(X_Table_Swine_Stage2MMS_From_AnaerobicLagoon,1,0,3,5)</f>
        <v>Digester / covered lagoons</v>
      </c>
      <c r="F131" s="15">
        <f ca="1"/>
        <v>0.2</v>
      </c>
      <c r="G131" s="15">
        <f ca="1"/>
        <v>0.25</v>
      </c>
      <c r="H131" s="15">
        <f ca="1"/>
        <v>0.25</v>
      </c>
      <c r="I131" s="15">
        <f ca="1"/>
        <v>0.25</v>
      </c>
      <c r="J131" s="16" t="str">
        <f>$G$123</f>
        <v>fraction</v>
      </c>
    </row>
    <row r="132" spans="4:10" ht="20.100000000000001" customHeight="1" x14ac:dyDescent="0.2">
      <c r="D132" s="111"/>
      <c r="E132" s="120" t="str">
        <f ca="1"/>
        <v>Deep litter</v>
      </c>
      <c r="F132" s="15">
        <f ca="1"/>
        <v>0.2</v>
      </c>
      <c r="G132" s="15">
        <f ca="1"/>
        <v>0.25</v>
      </c>
      <c r="H132" s="15">
        <f ca="1"/>
        <v>0.25</v>
      </c>
      <c r="I132" s="15">
        <f ca="1"/>
        <v>0.25</v>
      </c>
      <c r="J132" s="16"/>
    </row>
    <row r="133" spans="4:10" ht="20.100000000000001" customHeight="1" x14ac:dyDescent="0.2">
      <c r="D133" s="111"/>
      <c r="E133" s="120" t="str">
        <f ca="1"/>
        <v>Pit storage</v>
      </c>
      <c r="F133" s="15">
        <f ca="1"/>
        <v>0.2</v>
      </c>
      <c r="G133" s="15">
        <f ca="1"/>
        <v>0.25</v>
      </c>
      <c r="H133" s="15">
        <f ca="1"/>
        <v>0.25</v>
      </c>
      <c r="I133" s="15">
        <f ca="1"/>
        <v>0.25</v>
      </c>
      <c r="J133" s="16"/>
    </row>
    <row r="134" spans="4:10" ht="20.100000000000001" customHeight="1" x14ac:dyDescent="0.2">
      <c r="D134" s="111" t="str">
        <f>INDEX(X_Table_Swine_Stage1MMS_Drylot,2,1)</f>
        <v>Drylot (feed pad)</v>
      </c>
      <c r="E134" s="120" t="str" cm="1">
        <f t="array" aca="1" ref="E134:I137" ca="1">OFFSET(X_Table_Swine_Stage2MMS_From_Drylot,1,0,4,5)</f>
        <v>Anaerobic lagoon</v>
      </c>
      <c r="F134" s="15">
        <f ca="1"/>
        <v>0.2</v>
      </c>
      <c r="G134" s="15">
        <f ca="1"/>
        <v>0.25</v>
      </c>
      <c r="H134" s="15">
        <f ca="1"/>
        <v>0.25</v>
      </c>
      <c r="I134" s="15">
        <f ca="1"/>
        <v>0.25</v>
      </c>
      <c r="J134" s="16"/>
    </row>
    <row r="135" spans="4:10" ht="20.100000000000001" customHeight="1" x14ac:dyDescent="0.2">
      <c r="D135" s="111"/>
      <c r="E135" s="120" t="str">
        <f ca="1"/>
        <v>Digester / covered lagoons</v>
      </c>
      <c r="F135" s="15">
        <f ca="1"/>
        <v>0.2</v>
      </c>
      <c r="G135" s="15">
        <f ca="1"/>
        <v>0.25</v>
      </c>
      <c r="H135" s="15">
        <f ca="1"/>
        <v>0.25</v>
      </c>
      <c r="I135" s="15">
        <f ca="1"/>
        <v>0.25</v>
      </c>
      <c r="J135" s="16"/>
    </row>
    <row r="136" spans="4:10" ht="20.100000000000001" customHeight="1" x14ac:dyDescent="0.2">
      <c r="D136" s="111"/>
      <c r="E136" s="120" t="str">
        <f ca="1"/>
        <v>Deep litter</v>
      </c>
      <c r="F136" s="15">
        <f ca="1"/>
        <v>0.2</v>
      </c>
      <c r="G136" s="15">
        <f ca="1"/>
        <v>0.25</v>
      </c>
      <c r="H136" s="15">
        <f ca="1"/>
        <v>0.25</v>
      </c>
      <c r="I136" s="15">
        <f ca="1"/>
        <v>0.25</v>
      </c>
      <c r="J136" s="16"/>
    </row>
    <row r="137" spans="4:10" ht="20.100000000000001" customHeight="1" x14ac:dyDescent="0.2">
      <c r="D137" s="111"/>
      <c r="E137" s="120" t="str">
        <f ca="1"/>
        <v>Pit storage</v>
      </c>
      <c r="F137" s="15">
        <f ca="1"/>
        <v>0.2</v>
      </c>
      <c r="G137" s="15">
        <f ca="1"/>
        <v>0.25</v>
      </c>
      <c r="H137" s="15">
        <f ca="1"/>
        <v>0.25</v>
      </c>
      <c r="I137" s="15">
        <f ca="1"/>
        <v>0.25</v>
      </c>
      <c r="J137" s="16"/>
    </row>
    <row r="138" spans="4:10" ht="20.100000000000001" customHeight="1" x14ac:dyDescent="0.2">
      <c r="D138" s="111" t="str">
        <f>INDEX(X_Table_Swine_Stage1MMS_DigesterCoveredLagoons,2,1)</f>
        <v>Digester / covered lagoons</v>
      </c>
      <c r="E138" s="120" t="str" cm="1">
        <f t="array" aca="1" ref="E138:I140" ca="1">OFFSET(X_Table_Swine_Stage2MMS_From_DigesterCoveredLagoons,1,0,3,5)</f>
        <v>Anaerobic lagoon</v>
      </c>
      <c r="F138" s="15">
        <f ca="1"/>
        <v>0.2</v>
      </c>
      <c r="G138" s="15">
        <f ca="1"/>
        <v>0.25</v>
      </c>
      <c r="H138" s="15">
        <f ca="1"/>
        <v>0.25</v>
      </c>
      <c r="I138" s="15">
        <f ca="1"/>
        <v>0.25</v>
      </c>
      <c r="J138" s="16"/>
    </row>
    <row r="139" spans="4:10" ht="20.100000000000001" customHeight="1" x14ac:dyDescent="0.2">
      <c r="D139" s="111"/>
      <c r="E139" s="120" t="str">
        <f ca="1"/>
        <v>Deep litter</v>
      </c>
      <c r="F139" s="15">
        <f ca="1"/>
        <v>0.2</v>
      </c>
      <c r="G139" s="15">
        <f ca="1"/>
        <v>0.25</v>
      </c>
      <c r="H139" s="15">
        <f ca="1"/>
        <v>0.25</v>
      </c>
      <c r="I139" s="15">
        <f ca="1"/>
        <v>0.25</v>
      </c>
      <c r="J139" s="16"/>
    </row>
    <row r="140" spans="4:10" ht="20.100000000000001" customHeight="1" x14ac:dyDescent="0.2">
      <c r="D140" s="111"/>
      <c r="E140" s="120" t="str">
        <f ca="1"/>
        <v>Pit storage</v>
      </c>
      <c r="F140" s="15">
        <f ca="1"/>
        <v>0.2</v>
      </c>
      <c r="G140" s="15">
        <f ca="1"/>
        <v>0.25</v>
      </c>
      <c r="H140" s="15">
        <f ca="1"/>
        <v>0.25</v>
      </c>
      <c r="I140" s="15">
        <f ca="1"/>
        <v>0.25</v>
      </c>
      <c r="J140" s="16"/>
    </row>
    <row r="141" spans="4:10" ht="20.100000000000001" customHeight="1" x14ac:dyDescent="0.2">
      <c r="D141" s="111" t="str">
        <f>INDEX(X_Table_Swine_Stage1MMS_DeepLitter,2,1)</f>
        <v>Deep litter</v>
      </c>
      <c r="E141" s="120" t="str" cm="1">
        <f t="array" aca="1" ref="E141:I143" ca="1">OFFSET(X_Table_Swine_Stage2MMS_From_DeepLitter,1,0,3,5)</f>
        <v>Anaerobic lagoon</v>
      </c>
      <c r="F141" s="15">
        <f ca="1"/>
        <v>0.2</v>
      </c>
      <c r="G141" s="15">
        <f ca="1"/>
        <v>0.25</v>
      </c>
      <c r="H141" s="15">
        <f ca="1"/>
        <v>0.25</v>
      </c>
      <c r="I141" s="15">
        <f ca="1"/>
        <v>0.25</v>
      </c>
      <c r="J141" s="16"/>
    </row>
    <row r="142" spans="4:10" ht="20.100000000000001" customHeight="1" x14ac:dyDescent="0.2">
      <c r="D142" s="111"/>
      <c r="E142" s="120" t="str">
        <f ca="1"/>
        <v>Digester / covered lagoons</v>
      </c>
      <c r="F142" s="15">
        <f ca="1"/>
        <v>0.2</v>
      </c>
      <c r="G142" s="15">
        <f ca="1"/>
        <v>0.25</v>
      </c>
      <c r="H142" s="15">
        <f ca="1"/>
        <v>0.25</v>
      </c>
      <c r="I142" s="15">
        <f ca="1"/>
        <v>0.25</v>
      </c>
      <c r="J142" s="16"/>
    </row>
    <row r="143" spans="4:10" ht="20.100000000000001" customHeight="1" x14ac:dyDescent="0.2">
      <c r="D143" s="111"/>
      <c r="E143" s="120" t="str">
        <f ca="1"/>
        <v>Pit storage</v>
      </c>
      <c r="F143" s="15">
        <f ca="1"/>
        <v>0.2</v>
      </c>
      <c r="G143" s="15">
        <f ca="1"/>
        <v>0.25</v>
      </c>
      <c r="H143" s="15">
        <f ca="1"/>
        <v>0.25</v>
      </c>
      <c r="I143" s="15">
        <f ca="1"/>
        <v>0.25</v>
      </c>
      <c r="J143" s="16"/>
    </row>
    <row r="144" spans="4:10" ht="20.100000000000001" customHeight="1" x14ac:dyDescent="0.2">
      <c r="D144" s="111" t="str">
        <f>INDEX(X_Table_Swine_Stage1MMS_PitStorage,2,1)</f>
        <v>Pit storage</v>
      </c>
      <c r="E144" s="120" t="str" cm="1">
        <f t="array" aca="1" ref="E144:I146" ca="1">OFFSET(X_Table_Swine_Stage2MMS_From_PitStorage,1,0,3,5)</f>
        <v>Anaerobic lagoon</v>
      </c>
      <c r="F144" s="15">
        <f ca="1"/>
        <v>0.2</v>
      </c>
      <c r="G144" s="15">
        <f ca="1"/>
        <v>0.25</v>
      </c>
      <c r="H144" s="15">
        <f ca="1"/>
        <v>0.25</v>
      </c>
      <c r="I144" s="15">
        <f ca="1"/>
        <v>0.25</v>
      </c>
      <c r="J144" s="16"/>
    </row>
    <row r="145" spans="1:16" ht="20.100000000000001" customHeight="1" x14ac:dyDescent="0.2">
      <c r="D145" s="111"/>
      <c r="E145" s="120" t="str">
        <f ca="1"/>
        <v>Digester / covered lagoons</v>
      </c>
      <c r="F145" s="15">
        <f ca="1"/>
        <v>0.2</v>
      </c>
      <c r="G145" s="15">
        <f ca="1"/>
        <v>0.25</v>
      </c>
      <c r="H145" s="15">
        <f ca="1"/>
        <v>0.25</v>
      </c>
      <c r="I145" s="15">
        <f ca="1"/>
        <v>0.25</v>
      </c>
      <c r="J145" s="16"/>
    </row>
    <row r="146" spans="1:16" ht="20.100000000000001" customHeight="1" x14ac:dyDescent="0.2">
      <c r="D146" s="111"/>
      <c r="E146" s="120" t="str">
        <f ca="1"/>
        <v>Deep litter</v>
      </c>
      <c r="F146" s="15">
        <f ca="1"/>
        <v>0.2</v>
      </c>
      <c r="G146" s="15">
        <f ca="1"/>
        <v>0.25</v>
      </c>
      <c r="H146" s="15">
        <f ca="1"/>
        <v>0.25</v>
      </c>
      <c r="I146" s="15">
        <f ca="1"/>
        <v>0.25</v>
      </c>
      <c r="J146" s="16"/>
    </row>
    <row r="147" spans="1:16" ht="20.100000000000001" customHeight="1" x14ac:dyDescent="0.2">
      <c r="D147" s="111" t="s">
        <v>75</v>
      </c>
      <c r="E147" s="120" t="str" cm="1">
        <f t="array" aca="1" ref="E147:I150" ca="1">OFFSET(X_Table_Swine_Stage2MMS_From_SolidStorage,1,0,4,5)</f>
        <v>Anaerobic lagoon</v>
      </c>
      <c r="F147" s="15">
        <f ca="1"/>
        <v>0.2</v>
      </c>
      <c r="G147" s="15">
        <f ca="1"/>
        <v>0.2</v>
      </c>
      <c r="H147" s="15">
        <f ca="1"/>
        <v>0.2</v>
      </c>
      <c r="I147" s="15">
        <f ca="1"/>
        <v>0.2</v>
      </c>
      <c r="J147" s="16"/>
    </row>
    <row r="148" spans="1:16" ht="20.100000000000001" customHeight="1" x14ac:dyDescent="0.2">
      <c r="D148" s="111"/>
      <c r="E148" s="120" t="str">
        <f ca="1"/>
        <v>Digester / covered lagoons</v>
      </c>
      <c r="F148" s="15">
        <f ca="1"/>
        <v>0.2</v>
      </c>
      <c r="G148" s="15">
        <f ca="1"/>
        <v>0.2</v>
      </c>
      <c r="H148" s="15">
        <f ca="1"/>
        <v>0.2</v>
      </c>
      <c r="I148" s="15">
        <f ca="1"/>
        <v>0.2</v>
      </c>
      <c r="J148" s="16"/>
    </row>
    <row r="149" spans="1:16" ht="20.100000000000001" customHeight="1" x14ac:dyDescent="0.2">
      <c r="D149" s="111"/>
      <c r="E149" s="120" t="str">
        <f ca="1"/>
        <v>Deep litter</v>
      </c>
      <c r="F149" s="15">
        <f ca="1"/>
        <v>0.2</v>
      </c>
      <c r="G149" s="15">
        <f ca="1"/>
        <v>0.2</v>
      </c>
      <c r="H149" s="15">
        <f ca="1"/>
        <v>0.2</v>
      </c>
      <c r="I149" s="15">
        <f ca="1"/>
        <v>0.2</v>
      </c>
      <c r="J149" s="16"/>
    </row>
    <row r="150" spans="1:16" ht="20.100000000000001" customHeight="1" x14ac:dyDescent="0.2">
      <c r="D150" s="111"/>
      <c r="E150" s="120" t="str">
        <f ca="1"/>
        <v>Pit storage</v>
      </c>
      <c r="F150" s="15">
        <f ca="1"/>
        <v>0.1</v>
      </c>
      <c r="G150" s="15">
        <f ca="1"/>
        <v>0.1</v>
      </c>
      <c r="H150" s="15">
        <f ca="1"/>
        <v>0.1</v>
      </c>
      <c r="I150" s="15">
        <f ca="1"/>
        <v>0.1</v>
      </c>
      <c r="J150" s="16"/>
      <c r="N150" s="130" t="s">
        <v>355</v>
      </c>
      <c r="O150" s="130"/>
      <c r="P150" s="130"/>
    </row>
    <row r="152" spans="1:16" ht="20.100000000000001" customHeight="1" x14ac:dyDescent="0.2">
      <c r="D152" s="117" t="s">
        <v>356</v>
      </c>
      <c r="N152" s="117" t="s">
        <v>356</v>
      </c>
    </row>
    <row r="153" spans="1:16" ht="20.100000000000001" customHeight="1" x14ac:dyDescent="0.2">
      <c r="D153" s="118" t="s">
        <v>357</v>
      </c>
      <c r="N153" s="118" t="s">
        <v>358</v>
      </c>
    </row>
    <row r="154" spans="1:16" ht="20.100000000000001" customHeight="1" x14ac:dyDescent="0.2">
      <c r="D154" s="119" t="s">
        <v>359</v>
      </c>
      <c r="E154" s="119" t="s">
        <v>360</v>
      </c>
      <c r="N154" s="119" t="s">
        <v>359</v>
      </c>
      <c r="O154" s="119" t="s">
        <v>360</v>
      </c>
    </row>
    <row r="155" spans="1:16" ht="20.100000000000001" customHeight="1" x14ac:dyDescent="0.2">
      <c r="D155" s="111" t="str">
        <f>INDEX(X_Table_Swine_Stage1MMS_AnaerobicLagoon,2,1)</f>
        <v>Anaerobic lagoon</v>
      </c>
      <c r="E155" s="15">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16" t="str">
        <f>$G$124</f>
        <v>fraction</v>
      </c>
      <c r="N155" s="111" t="str">
        <f>INDEX(X_Table_Swine_Stage1MMS_AnaerobicLagoon,2,1)</f>
        <v>Anaerobic lagoon</v>
      </c>
      <c r="O155" s="15">
        <f>Common_InputFunctions.Common_GetMCFTemperatureZone($S$126, N155,Table_SourceData_Common_MCFTemperatureZone[MAT raw],Table_SourceData_Common_MCFTemperatureZone[#Headers],Table_SourceData_Common_MCFTemperatureZone[#Data])</f>
        <v>0.77</v>
      </c>
      <c r="P155" s="16" t="str">
        <f>$G$124</f>
        <v>fraction</v>
      </c>
    </row>
    <row r="156" spans="1:16" ht="20.100000000000001" customHeight="1" x14ac:dyDescent="0.2">
      <c r="D156" s="111" t="str">
        <f>INDEX(X_Table_Swine_Stage1MMS_Drylot,2,1)</f>
        <v>Drylot (feed pad)</v>
      </c>
      <c r="E156" s="15">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111" t="str">
        <f>INDEX(X_Table_Swine_Stage1MMS_Drylot,2,1)</f>
        <v>Drylot (feed pad)</v>
      </c>
      <c r="O156" s="15">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1:16" ht="20.100000000000001" customHeight="1" x14ac:dyDescent="0.2">
      <c r="A157" s="131" t="str">
        <f>HYPERLINK("#A1", "▲ Back to top")</f>
        <v>▲ Back to top</v>
      </c>
      <c r="D157" s="111" t="str">
        <f>INDEX(X_Table_Swine_Stage1MMS_DigesterCoveredLagoons,2,1)</f>
        <v>Digester / covered lagoons</v>
      </c>
      <c r="E157" s="15">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111" t="str">
        <f>INDEX(X_Table_Swine_Stage1MMS_DigesterCoveredLagoons,2,1)</f>
        <v>Digester / covered lagoons</v>
      </c>
      <c r="O157" s="15">
        <f>Common_InputFunctions.Common_GetMCFTemperatureZone($S$126, N157,Table_SourceData_Common_MCFTemperatureZone[MAT raw],Table_SourceData_Common_MCFTemperatureZone[#Headers],Table_SourceData_Common_MCFTemperatureZone[#Data])</f>
        <v>0.1</v>
      </c>
    </row>
    <row r="158" spans="1:16" ht="20.100000000000001" customHeight="1" x14ac:dyDescent="0.2">
      <c r="D158" s="111" t="str">
        <f>INDEX(X_Table_Swine_Stage1MMS_DeepLitter,2,1)</f>
        <v>Deep litter</v>
      </c>
      <c r="E158" s="15">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111" t="str">
        <f>INDEX(X_Table_Swine_Stage1MMS_DeepLitter,2,1)</f>
        <v>Deep litter</v>
      </c>
      <c r="O158" s="15">
        <f>Common_InputFunctions.Common_GetMCFTemperatureZone($S$126, N158,Table_SourceData_Common_MCFTemperatureZone[MAT raw],Table_SourceData_Common_MCFTemperatureZone[#Headers],Table_SourceData_Common_MCFTemperatureZone[#Data])</f>
        <v>0.04</v>
      </c>
    </row>
    <row r="159" spans="1:16" ht="20.100000000000001" customHeight="1" x14ac:dyDescent="0.2">
      <c r="D159" s="111" t="str">
        <f>INDEX(X_Table_Swine_Stage1MMS_PitStorage,2,1)</f>
        <v>Pit storage</v>
      </c>
      <c r="E159" s="15">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111" t="str">
        <f>INDEX(X_Table_Swine_Stage1MMS_PitStorage,2,1)</f>
        <v>Pit storage</v>
      </c>
      <c r="O159" s="15">
        <f>Common_InputFunctions.Common_GetMCFTemperatureZone($S$126, N159,Table_SourceData_Common_MCFTemperatureZone[MAT raw],Table_SourceData_Common_MCFTemperatureZone[#Headers],Table_SourceData_Common_MCFTemperatureZone[#Data])</f>
        <v>0.03</v>
      </c>
    </row>
    <row r="160" spans="1:16" ht="20.100000000000001" customHeight="1" x14ac:dyDescent="0.2">
      <c r="D160" s="111" t="s">
        <v>75</v>
      </c>
      <c r="E160" s="15">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111" t="s">
        <v>75</v>
      </c>
      <c r="O160" s="15">
        <f>Common_InputFunctions.Common_GetMCFTemperatureZone($S$126, N160,Table_SourceData_Common_MCFTemperatureZone[MAT raw],Table_SourceData_Common_MCFTemperatureZone[#Headers],Table_SourceData_Common_MCFTemperatureZone[#Data])</f>
        <v>0.02</v>
      </c>
    </row>
    <row r="162" spans="4:20" ht="20.100000000000001" customHeight="1" x14ac:dyDescent="0.2">
      <c r="D162" s="117" t="s">
        <v>361</v>
      </c>
      <c r="N162" s="117" t="s">
        <v>362</v>
      </c>
    </row>
    <row r="163" spans="4:20" ht="20.100000000000001" customHeight="1" x14ac:dyDescent="0.2">
      <c r="D163" s="118" t="s">
        <v>363</v>
      </c>
      <c r="N163" s="118" t="s">
        <v>364</v>
      </c>
    </row>
    <row r="164" spans="4:20" ht="20.100000000000001" customHeight="1" x14ac:dyDescent="0.2">
      <c r="D164" s="119" t="s">
        <v>325</v>
      </c>
      <c r="E164" s="119" t="s">
        <v>354</v>
      </c>
      <c r="F164" s="119" t="s">
        <v>290</v>
      </c>
      <c r="G164" s="119" t="s">
        <v>291</v>
      </c>
      <c r="H164" s="119" t="s">
        <v>265</v>
      </c>
      <c r="I164" s="119" t="s">
        <v>292</v>
      </c>
      <c r="N164" s="119" t="s">
        <v>325</v>
      </c>
      <c r="O164" s="119" t="s">
        <v>354</v>
      </c>
      <c r="P164" s="119" t="s">
        <v>290</v>
      </c>
      <c r="Q164" s="119" t="s">
        <v>291</v>
      </c>
      <c r="R164" s="119" t="s">
        <v>265</v>
      </c>
      <c r="S164" s="119" t="s">
        <v>292</v>
      </c>
    </row>
    <row r="165" spans="4:20" ht="20.100000000000001" customHeight="1" x14ac:dyDescent="0.2">
      <c r="D165" s="111" t="str">
        <f>INDEX(X_Table_Swine_Stage1MMS_AnaerobicLagoon,2,1)</f>
        <v>Anaerobic lagoon</v>
      </c>
      <c r="E165" s="111" t="str">
        <f>INDEX(X_Table_Swine_Stage2MMS_From_AnaerobicLagoon,2,1)</f>
        <v>Digester / covered lagoons</v>
      </c>
      <c r="F165" s="15" cm="1">
        <f t="array" aca="1" ref="F165" ca="1">MMS_Swine_Methane_Equations.VEERG_4_5_1_1__6_Stage2MethaneProduction($E$103,$I$122,F131,VLOOKUP($E165,$D$155:$E$160,2, FALSE),$I$125)</f>
        <v>1.2374016000000002E-4</v>
      </c>
      <c r="G165" s="15" cm="1">
        <f t="array" aca="1" ref="G165" ca="1">MMS_Swine_Methane_Equations.VEERG_4_5_1_1__6_Stage2MethaneProduction($F$103,$I$122,G131,VLOOKUP($E165,$D$155:$E$160,2, FALSE),$I$125)</f>
        <v>1.7787648000000002E-4</v>
      </c>
      <c r="H165" s="15" cm="1">
        <f t="array" aca="1" ref="H165" ca="1">MMS_Swine_Methane_Equations.VEERG_4_5_1_1__6_Stage2MethaneProduction($G$103,$I$122,H131,VLOOKUP($E165,$D$155:$E$160,2, FALSE),$I$125)</f>
        <v>2.1267840000000003E-4</v>
      </c>
      <c r="I165" s="15" cm="1">
        <f t="array" aca="1" ref="I165" ca="1">MMS_Swine_Methane_Equations.VEERG_4_5_1_1__6_Stage2MethaneProduction($H$103,$I$122,I131,VLOOKUP($E165,$D$155:$E$160,2, FALSE),$I$125)</f>
        <v>1.5080832000000002E-4</v>
      </c>
      <c r="J165" s="16" t="str">
        <f>$E$119</f>
        <v>kg CH4/head/day</v>
      </c>
      <c r="N165" s="111" t="str">
        <f>INDEX(X_Table_Swine_Stage1MMS_AnaerobicLagoon,2,1)</f>
        <v>Anaerobic lagoon</v>
      </c>
      <c r="O165" s="111" t="str">
        <f>INDEX(X_Table_Swine_Stage2MMS_From_AnaerobicLagoon,2,1)</f>
        <v>Digester / covered lagoons</v>
      </c>
      <c r="P165" s="15" cm="1">
        <f t="array" aca="1" ref="P165" ca="1">MMS_Swine_Methane_Equations.VEERG_4_5_1_1__6_Stage2MethaneProduction($O$103,$I$122,F131,VLOOKUP($O165,$N$155:$O$160,2, FALSE),$I$125)</f>
        <v>1.2374016000000002E-4</v>
      </c>
      <c r="Q165" s="15" cm="1">
        <f t="array" aca="1" ref="Q165" ca="1">MMS_Swine_Methane_Equations.VEERG_4_5_1_1__6_Stage2MethaneProduction($P$103,$I$122,G131,VLOOKUP($O165,$N$155:$O$160,2, FALSE),$I$125)</f>
        <v>1.7787648000000002E-4</v>
      </c>
      <c r="R165" s="15" cm="1">
        <f t="array" aca="1" ref="R165" ca="1">MMS_Swine_Methane_Equations.VEERG_4_5_1_1__6_Stage2MethaneProduction($Q$103,$I$122,H131,VLOOKUP($O165,$N$155:$O$160,2, FALSE),$I$125)</f>
        <v>2.1267840000000003E-4</v>
      </c>
      <c r="S165" s="15" cm="1">
        <f t="array" aca="1" ref="S165" ca="1">MMS_Swine_Methane_Equations.VEERG_4_5_1_1__6_Stage2MethaneProduction($R$103,$I$122,I131,VLOOKUP($O165,$N$155:$O$160,2, FALSE),$I$125)</f>
        <v>1.5080832000000002E-4</v>
      </c>
      <c r="T165" s="16" t="str">
        <f t="shared" ref="T165" si="1">$E$119</f>
        <v>kg CH4/head/day</v>
      </c>
    </row>
    <row r="166" spans="4:20" ht="20.100000000000001" customHeight="1" x14ac:dyDescent="0.2">
      <c r="D166" s="111"/>
      <c r="E166" s="111" t="str">
        <f>INDEX(X_Table_Swine_Stage2MMS_From_AnaerobicLagoon,3,1)</f>
        <v>Deep litter</v>
      </c>
      <c r="F166" s="15" cm="1">
        <f t="array" aca="1" ref="F166" ca="1">MMS_Swine_Methane_Equations.VEERG_4_5_1_1__6_Stage2MethaneProduction($E$103,$I$122,F132,VLOOKUP($E166,$D$155:$E$160,2, FALSE),$I$125)</f>
        <v>4.9496064000000004E-5</v>
      </c>
      <c r="G166" s="15" cm="1">
        <f t="array" aca="1" ref="G166" ca="1">MMS_Swine_Methane_Equations.VEERG_4_5_1_1__6_Stage2MethaneProduction($F$103,$I$122,G132,VLOOKUP($E166,$D$155:$E$160,2, FALSE),$I$125)</f>
        <v>7.1150592000000014E-5</v>
      </c>
      <c r="H166" s="15" cm="1">
        <f t="array" aca="1" ref="H166" ca="1">MMS_Swine_Methane_Equations.VEERG_4_5_1_1__6_Stage2MethaneProduction($G$103,$I$122,H132,VLOOKUP($E166,$D$155:$E$160,2, FALSE),$I$125)</f>
        <v>8.5071360000000011E-5</v>
      </c>
      <c r="I166" s="15" cm="1">
        <f t="array" aca="1" ref="I166" ca="1">MMS_Swine_Methane_Equations.VEERG_4_5_1_1__6_Stage2MethaneProduction($H$103,$I$122,I132,VLOOKUP($E166,$D$155:$E$160,2, FALSE),$I$125)</f>
        <v>6.0323328000000009E-5</v>
      </c>
      <c r="J166" s="16"/>
      <c r="N166" s="111"/>
      <c r="O166" s="111" t="str">
        <f>INDEX(X_Table_Swine_Stage2MMS_From_AnaerobicLagoon,3,1)</f>
        <v>Deep litter</v>
      </c>
      <c r="P166" s="15" cm="1">
        <f t="array" aca="1" ref="P166" ca="1">MMS_Swine_Methane_Equations.VEERG_4_5_1_1__6_Stage2MethaneProduction($O$103,$I$122,F132,VLOOKUP($O166,$N$155:$O$160,2, FALSE),$I$125)</f>
        <v>4.9496064000000004E-5</v>
      </c>
      <c r="Q166" s="15" cm="1">
        <f t="array" aca="1" ref="Q166" ca="1">MMS_Swine_Methane_Equations.VEERG_4_5_1_1__6_Stage2MethaneProduction($P$103,$I$122,G132,VLOOKUP($O166,$N$155:$O$160,2, FALSE),$I$125)</f>
        <v>7.1150592000000014E-5</v>
      </c>
      <c r="R166" s="15" cm="1">
        <f t="array" aca="1" ref="R166" ca="1">MMS_Swine_Methane_Equations.VEERG_4_5_1_1__6_Stage2MethaneProduction($Q$103,$I$122,H132,VLOOKUP($O166,$N$155:$O$160,2, FALSE),$I$125)</f>
        <v>8.5071360000000011E-5</v>
      </c>
      <c r="S166" s="15" cm="1">
        <f t="array" aca="1" ref="S166" ca="1">MMS_Swine_Methane_Equations.VEERG_4_5_1_1__6_Stage2MethaneProduction($R$103,$I$122,I132,VLOOKUP($O166,$N$155:$O$160,2, FALSE),$I$125)</f>
        <v>6.0323328000000009E-5</v>
      </c>
      <c r="T166" s="16"/>
    </row>
    <row r="167" spans="4:20" ht="20.100000000000001" customHeight="1" x14ac:dyDescent="0.2">
      <c r="D167" s="111"/>
      <c r="E167" s="111" t="str">
        <f>INDEX(X_Table_Swine_Stage2MMS_From_AnaerobicLagoon,4,1)</f>
        <v>Pit storage</v>
      </c>
      <c r="F167" s="15" cm="1">
        <f t="array" aca="1" ref="F167" ca="1">MMS_Swine_Methane_Equations.VEERG_4_5_1_1__6_Stage2MethaneProduction($E$103,$I$122,F133,VLOOKUP($E167,$D$155:$E$160,2, FALSE),$I$125)</f>
        <v>3.7122047999999999E-5</v>
      </c>
      <c r="G167" s="15" cm="1">
        <f t="array" aca="1" ref="G167" ca="1">MMS_Swine_Methane_Equations.VEERG_4_5_1_1__6_Stage2MethaneProduction($F$103,$I$122,G133,VLOOKUP($E167,$D$155:$E$160,2, FALSE),$I$125)</f>
        <v>5.3362944000000004E-5</v>
      </c>
      <c r="H167" s="15" cm="1">
        <f t="array" aca="1" ref="H167" ca="1">MMS_Swine_Methane_Equations.VEERG_4_5_1_1__6_Stage2MethaneProduction($G$103,$I$122,H133,VLOOKUP($E167,$D$155:$E$160,2, FALSE),$I$125)</f>
        <v>6.3803520000000008E-5</v>
      </c>
      <c r="I167" s="15" cm="1">
        <f t="array" aca="1" ref="I167" ca="1">MMS_Swine_Methane_Equations.VEERG_4_5_1_1__6_Stage2MethaneProduction($H$103,$I$122,I133,VLOOKUP($E167,$D$155:$E$160,2, FALSE),$I$125)</f>
        <v>4.5242496000000002E-5</v>
      </c>
      <c r="J167" s="16"/>
      <c r="N167" s="111"/>
      <c r="O167" s="111" t="str">
        <f>INDEX(X_Table_Swine_Stage2MMS_From_AnaerobicLagoon,4,1)</f>
        <v>Pit storage</v>
      </c>
      <c r="P167" s="15" cm="1">
        <f t="array" aca="1" ref="P167" ca="1">MMS_Swine_Methane_Equations.VEERG_4_5_1_1__6_Stage2MethaneProduction($O$103,$I$122,F133,VLOOKUP($O167,$N$155:$O$160,2, FALSE),$I$125)</f>
        <v>3.7122047999999999E-5</v>
      </c>
      <c r="Q167" s="15" cm="1">
        <f t="array" aca="1" ref="Q167" ca="1">MMS_Swine_Methane_Equations.VEERG_4_5_1_1__6_Stage2MethaneProduction($P$103,$I$122,G133,VLOOKUP($O167,$N$155:$O$160,2, FALSE),$I$125)</f>
        <v>5.3362944000000004E-5</v>
      </c>
      <c r="R167" s="15" cm="1">
        <f t="array" aca="1" ref="R167" ca="1">MMS_Swine_Methane_Equations.VEERG_4_5_1_1__6_Stage2MethaneProduction($Q$103,$I$122,H133,VLOOKUP($O167,$N$155:$O$160,2, FALSE),$I$125)</f>
        <v>6.3803520000000008E-5</v>
      </c>
      <c r="S167" s="15" cm="1">
        <f t="array" aca="1" ref="S167" ca="1">MMS_Swine_Methane_Equations.VEERG_4_5_1_1__6_Stage2MethaneProduction($R$103,$I$122,I133,VLOOKUP($O167,$N$155:$O$160,2, FALSE),$I$125)</f>
        <v>4.5242496000000002E-5</v>
      </c>
      <c r="T167" s="16"/>
    </row>
    <row r="168" spans="4:20" ht="20.100000000000001" customHeight="1" x14ac:dyDescent="0.2">
      <c r="D168" s="111" t="str">
        <f>INDEX(X_Table_Swine_Stage1MMS_Drylot,2,1)</f>
        <v>Drylot (feed pad)</v>
      </c>
      <c r="E168" s="111" t="str">
        <f>INDEX(X_Table_Swine_Stage2MMS_From_Drylot,2,1)</f>
        <v>Anaerobic lagoon</v>
      </c>
      <c r="F168" s="15" cm="1">
        <f t="array" aca="1" ref="F168" ca="1">MMS_Swine_Methane_Equations.VEERG_4_5_1_1__6_Stage2MethaneProduction($E$104,$I$122,F134,VLOOKUP($E168,$D$155:$E$160,2, FALSE),$I$125)</f>
        <v>9.4042521600000016E-4</v>
      </c>
      <c r="G168" s="15" cm="1">
        <f t="array" aca="1" ref="G168" ca="1">MMS_Swine_Methane_Equations.VEERG_4_5_1_1__6_Stage2MethaneProduction($F$104,$I$122,G134,VLOOKUP($E168,$D$155:$E$160,2, FALSE),$I$125)</f>
        <v>1.3518612480000003E-3</v>
      </c>
      <c r="H168" s="15" cm="1">
        <f t="array" aca="1" ref="H168" ca="1">MMS_Swine_Methane_Equations.VEERG_4_5_1_1__6_Stage2MethaneProduction($G$104,$I$122,H134,VLOOKUP($E168,$D$155:$E$160,2, FALSE),$I$125)</f>
        <v>1.6163558400000002E-3</v>
      </c>
      <c r="I168" s="15" cm="1">
        <f t="array" aca="1" ref="I168" ca="1">MMS_Swine_Methane_Equations.VEERG_4_5_1_1__6_Stage2MethaneProduction($H$104,$I$122,I134,VLOOKUP($E168,$D$155:$E$160,2, FALSE),$I$125)</f>
        <v>1.146143232E-3</v>
      </c>
      <c r="J168" s="16"/>
      <c r="N168" s="111" t="str">
        <f>INDEX(X_Table_Swine_Stage1MMS_Drylot,2,1)</f>
        <v>Drylot (feed pad)</v>
      </c>
      <c r="O168" s="111" t="str">
        <f>INDEX(X_Table_Swine_Stage2MMS_From_Drylot,2,1)</f>
        <v>Anaerobic lagoon</v>
      </c>
      <c r="P168" s="15" cm="1">
        <f t="array" aca="1" ref="P168" ca="1">MMS_Swine_Methane_Equations.VEERG_4_5_1_1__6_Stage2MethaneProduction($O$104,$I$122,F134,VLOOKUP($O168,$N$155:$O$160,2, FALSE),$I$125)</f>
        <v>9.5279923199999999E-4</v>
      </c>
      <c r="Q168" s="15" cm="1">
        <f t="array" aca="1" ref="Q168" ca="1">MMS_Swine_Methane_Equations.VEERG_4_5_1_1__6_Stage2MethaneProduction($P$104,$I$122,G134,VLOOKUP($O168,$N$155:$O$160,2, FALSE),$I$125)</f>
        <v>1.3696488960000003E-3</v>
      </c>
      <c r="R168" s="15" cm="1">
        <f t="array" aca="1" ref="R168" ca="1">MMS_Swine_Methane_Equations.VEERG_4_5_1_1__6_Stage2MethaneProduction($Q$104,$I$122,H134,VLOOKUP($O168,$N$155:$O$160,2, FALSE),$I$125)</f>
        <v>1.63762368E-3</v>
      </c>
      <c r="S168" s="15" cm="1">
        <f t="array" aca="1" ref="S168" ca="1">MMS_Swine_Methane_Equations.VEERG_4_5_1_1__6_Stage2MethaneProduction($R$104,$I$122,I134,VLOOKUP($O168,$N$155:$O$160,2, FALSE),$I$125)</f>
        <v>1.1612240640000002E-3</v>
      </c>
      <c r="T168" s="16"/>
    </row>
    <row r="169" spans="4:20" ht="20.100000000000001" customHeight="1" x14ac:dyDescent="0.2">
      <c r="D169" s="111"/>
      <c r="E169" s="111" t="str">
        <f>INDEX(X_Table_Swine_Stage2MMS_From_Drylot,3,1)</f>
        <v>Digester / covered lagoons</v>
      </c>
      <c r="F169" s="15" cm="1">
        <f t="array" aca="1" ref="F169" ca="1">MMS_Swine_Methane_Equations.VEERG_4_5_1_1__6_Stage2MethaneProduction($E$104,$I$122,F135,VLOOKUP($E169,$D$155:$E$160,2, FALSE),$I$125)</f>
        <v>1.2374016000000002E-4</v>
      </c>
      <c r="G169" s="15" cm="1">
        <f t="array" aca="1" ref="G169" ca="1">MMS_Swine_Methane_Equations.VEERG_4_5_1_1__6_Stage2MethaneProduction($F$104,$I$122,G135,VLOOKUP($E169,$D$155:$E$160,2, FALSE),$I$125)</f>
        <v>1.7787648000000002E-4</v>
      </c>
      <c r="H169" s="15" cm="1">
        <f t="array" aca="1" ref="H169" ca="1">MMS_Swine_Methane_Equations.VEERG_4_5_1_1__6_Stage2MethaneProduction($G$104,$I$122,H135,VLOOKUP($E169,$D$155:$E$160,2, FALSE),$I$125)</f>
        <v>2.1267840000000003E-4</v>
      </c>
      <c r="I169" s="15" cm="1">
        <f t="array" aca="1" ref="I169" ca="1">MMS_Swine_Methane_Equations.VEERG_4_5_1_1__6_Stage2MethaneProduction($H$104,$I$122,I135,VLOOKUP($E169,$D$155:$E$160,2, FALSE),$I$125)</f>
        <v>1.5080832000000002E-4</v>
      </c>
      <c r="J169" s="16"/>
      <c r="N169" s="111"/>
      <c r="O169" s="111" t="str">
        <f>INDEX(X_Table_Swine_Stage2MMS_From_Drylot,3,1)</f>
        <v>Digester / covered lagoons</v>
      </c>
      <c r="P169" s="15" cm="1">
        <f t="array" aca="1" ref="P169" ca="1">MMS_Swine_Methane_Equations.VEERG_4_5_1_1__6_Stage2MethaneProduction($O$104,$I$122,F135,VLOOKUP($O169,$N$155:$O$160,2, FALSE),$I$125)</f>
        <v>1.2374016000000002E-4</v>
      </c>
      <c r="Q169" s="15" cm="1">
        <f t="array" aca="1" ref="Q169" ca="1">MMS_Swine_Methane_Equations.VEERG_4_5_1_1__6_Stage2MethaneProduction($P$104,$I$122,G135,VLOOKUP($O169,$N$155:$O$160,2, FALSE),$I$125)</f>
        <v>1.7787648000000002E-4</v>
      </c>
      <c r="R169" s="15" cm="1">
        <f t="array" aca="1" ref="R169" ca="1">MMS_Swine_Methane_Equations.VEERG_4_5_1_1__6_Stage2MethaneProduction($Q$104,$I$122,H135,VLOOKUP($O169,$N$155:$O$160,2, FALSE),$I$125)</f>
        <v>2.1267840000000003E-4</v>
      </c>
      <c r="S169" s="15" cm="1">
        <f t="array" aca="1" ref="S169" ca="1">MMS_Swine_Methane_Equations.VEERG_4_5_1_1__6_Stage2MethaneProduction($R$104,$I$122,I135,VLOOKUP($O169,$N$155:$O$160,2, FALSE),$I$125)</f>
        <v>1.5080832000000002E-4</v>
      </c>
      <c r="T169" s="16"/>
    </row>
    <row r="170" spans="4:20" ht="20.100000000000001" customHeight="1" x14ac:dyDescent="0.2">
      <c r="D170" s="111"/>
      <c r="E170" s="111" t="str">
        <f>INDEX(X_Table_Swine_Stage2MMS_From_Drylot,4,1)</f>
        <v>Deep litter</v>
      </c>
      <c r="F170" s="15" cm="1">
        <f t="array" aca="1" ref="F170" ca="1">MMS_Swine_Methane_Equations.VEERG_4_5_1_1__6_Stage2MethaneProduction($E$104,$I$122,F136,VLOOKUP($E170,$D$155:$E$160,2, FALSE),$I$125)</f>
        <v>4.9496064000000004E-5</v>
      </c>
      <c r="G170" s="15" cm="1">
        <f t="array" aca="1" ref="G170" ca="1">MMS_Swine_Methane_Equations.VEERG_4_5_1_1__6_Stage2MethaneProduction($F$104,$I$122,G136,VLOOKUP($E170,$D$155:$E$160,2, FALSE),$I$125)</f>
        <v>7.1150592000000014E-5</v>
      </c>
      <c r="H170" s="15" cm="1">
        <f t="array" aca="1" ref="H170" ca="1">MMS_Swine_Methane_Equations.VEERG_4_5_1_1__6_Stage2MethaneProduction($G$104,$I$122,H136,VLOOKUP($E170,$D$155:$E$160,2, FALSE),$I$125)</f>
        <v>8.5071360000000011E-5</v>
      </c>
      <c r="I170" s="15" cm="1">
        <f t="array" aca="1" ref="I170" ca="1">MMS_Swine_Methane_Equations.VEERG_4_5_1_1__6_Stage2MethaneProduction($H$104,$I$122,I136,VLOOKUP($E170,$D$155:$E$160,2, FALSE),$I$125)</f>
        <v>6.0323328000000009E-5</v>
      </c>
      <c r="J170" s="16"/>
      <c r="N170" s="111"/>
      <c r="O170" s="111" t="str">
        <f>INDEX(X_Table_Swine_Stage2MMS_From_Drylot,4,1)</f>
        <v>Deep litter</v>
      </c>
      <c r="P170" s="15" cm="1">
        <f t="array" aca="1" ref="P170" ca="1">MMS_Swine_Methane_Equations.VEERG_4_5_1_1__6_Stage2MethaneProduction($O$104,$I$122,F136,VLOOKUP($O170,$N$155:$O$160,2, FALSE),$I$125)</f>
        <v>4.9496064000000004E-5</v>
      </c>
      <c r="Q170" s="15" cm="1">
        <f t="array" aca="1" ref="Q170" ca="1">MMS_Swine_Methane_Equations.VEERG_4_5_1_1__6_Stage2MethaneProduction($P$104,$I$122,G136,VLOOKUP($O170,$N$155:$O$160,2, FALSE),$I$125)</f>
        <v>7.1150592000000014E-5</v>
      </c>
      <c r="R170" s="15" cm="1">
        <f t="array" aca="1" ref="R170" ca="1">MMS_Swine_Methane_Equations.VEERG_4_5_1_1__6_Stage2MethaneProduction($Q$104,$I$122,H136,VLOOKUP($O170,$N$155:$O$160,2, FALSE),$I$125)</f>
        <v>8.5071360000000011E-5</v>
      </c>
      <c r="S170" s="15" cm="1">
        <f t="array" aca="1" ref="S170" ca="1">MMS_Swine_Methane_Equations.VEERG_4_5_1_1__6_Stage2MethaneProduction($R$104,$I$122,I136,VLOOKUP($O170,$N$155:$O$160,2, FALSE),$I$125)</f>
        <v>6.0323328000000009E-5</v>
      </c>
      <c r="T170" s="16"/>
    </row>
    <row r="171" spans="4:20" ht="20.100000000000001" customHeight="1" x14ac:dyDescent="0.2">
      <c r="D171" s="111"/>
      <c r="E171" s="111" t="str">
        <f>INDEX(X_Table_Swine_Stage2MMS_From_Drylot,5,1)</f>
        <v>Pit storage</v>
      </c>
      <c r="F171" s="15" cm="1">
        <f t="array" aca="1" ref="F171" ca="1">MMS_Swine_Methane_Equations.VEERG_4_5_1_1__6_Stage2MethaneProduction($E$104,$I$122,F137,VLOOKUP($E171,$D$155:$E$160,2, FALSE),$I$125)</f>
        <v>3.7122047999999999E-5</v>
      </c>
      <c r="G171" s="15" cm="1">
        <f t="array" aca="1" ref="G171" ca="1">MMS_Swine_Methane_Equations.VEERG_4_5_1_1__6_Stage2MethaneProduction($F$104,$I$122,G137,VLOOKUP($E171,$D$155:$E$160,2, FALSE),$I$125)</f>
        <v>5.3362944000000004E-5</v>
      </c>
      <c r="H171" s="15" cm="1">
        <f t="array" aca="1" ref="H171" ca="1">MMS_Swine_Methane_Equations.VEERG_4_5_1_1__6_Stage2MethaneProduction($G$104,$I$122,H137,VLOOKUP($E171,$D$155:$E$160,2, FALSE),$I$125)</f>
        <v>6.3803520000000008E-5</v>
      </c>
      <c r="I171" s="15" cm="1">
        <f t="array" aca="1" ref="I171" ca="1">MMS_Swine_Methane_Equations.VEERG_4_5_1_1__6_Stage2MethaneProduction($H$104,$I$122,I137,VLOOKUP($E171,$D$155:$E$160,2, FALSE),$I$125)</f>
        <v>4.5242496000000002E-5</v>
      </c>
      <c r="J171" s="16"/>
      <c r="N171" s="111"/>
      <c r="O171" s="111" t="str">
        <f>INDEX(X_Table_Swine_Stage2MMS_From_Drylot,5,1)</f>
        <v>Pit storage</v>
      </c>
      <c r="P171" s="15" cm="1">
        <f t="array" aca="1" ref="P171" ca="1">MMS_Swine_Methane_Equations.VEERG_4_5_1_1__6_Stage2MethaneProduction($O$104,$I$122,F137,VLOOKUP($O171,$N$155:$O$160,2, FALSE),$I$125)</f>
        <v>3.7122047999999999E-5</v>
      </c>
      <c r="Q171" s="15" cm="1">
        <f t="array" aca="1" ref="Q171" ca="1">MMS_Swine_Methane_Equations.VEERG_4_5_1_1__6_Stage2MethaneProduction($P$104,$I$122,G137,VLOOKUP($O171,$N$155:$O$160,2, FALSE),$I$125)</f>
        <v>5.3362944000000004E-5</v>
      </c>
      <c r="R171" s="15" cm="1">
        <f t="array" aca="1" ref="R171" ca="1">MMS_Swine_Methane_Equations.VEERG_4_5_1_1__6_Stage2MethaneProduction($Q$104,$I$122,H137,VLOOKUP($O171,$N$155:$O$160,2, FALSE),$I$125)</f>
        <v>6.3803520000000008E-5</v>
      </c>
      <c r="S171" s="15" cm="1">
        <f t="array" aca="1" ref="S171" ca="1">MMS_Swine_Methane_Equations.VEERG_4_5_1_1__6_Stage2MethaneProduction($R$104,$I$122,I137,VLOOKUP($O171,$N$155:$O$160,2, FALSE),$I$125)</f>
        <v>4.5242496000000002E-5</v>
      </c>
      <c r="T171" s="16"/>
    </row>
    <row r="172" spans="4:20" ht="20.100000000000001" customHeight="1" x14ac:dyDescent="0.2">
      <c r="D172" s="111" t="str">
        <f>INDEX(X_Table_Swine_Stage1MMS_DigesterCoveredLagoons,2,1)</f>
        <v>Digester / covered lagoons</v>
      </c>
      <c r="E172" s="111" t="str">
        <f>INDEX(X_Table_Swine_Stage2MMS_From_DigesterCoveredLagoons,2,1)</f>
        <v>Anaerobic lagoon</v>
      </c>
      <c r="F172" s="15" cm="1">
        <f t="array" aca="1" ref="F172" ca="1">MMS_Swine_Methane_Equations.VEERG_4_5_1_1__6_Stage2MethaneProduction($E$105,$I$122,F138,VLOOKUP($E172,$D$155:$E$160,2, FALSE),$I$125)</f>
        <v>2.3510630400000004E-4</v>
      </c>
      <c r="G172" s="15" cm="1">
        <f t="array" aca="1" ref="G172" ca="1">MMS_Swine_Methane_Equations.VEERG_4_5_1_1__6_Stage2MethaneProduction($F$105,$I$122,G138,VLOOKUP($E172,$D$155:$E$160,2, FALSE),$I$125)</f>
        <v>3.3796531200000008E-4</v>
      </c>
      <c r="H172" s="15" cm="1">
        <f t="array" aca="1" ref="H172" ca="1">MMS_Swine_Methane_Equations.VEERG_4_5_1_1__6_Stage2MethaneProduction($G$105,$I$122,H138,VLOOKUP($E172,$D$155:$E$160,2, FALSE),$I$125)</f>
        <v>4.0408896000000005E-4</v>
      </c>
      <c r="I172" s="15" cm="1">
        <f t="array" aca="1" ref="I172" ca="1">MMS_Swine_Methane_Equations.VEERG_4_5_1_1__6_Stage2MethaneProduction($H$105,$I$122,I138,VLOOKUP($E172,$D$155:$E$160,2, FALSE),$I$125)</f>
        <v>2.86535808E-4</v>
      </c>
      <c r="J172" s="16"/>
      <c r="N172" s="111" t="str">
        <f>INDEX(X_Table_Swine_Stage1MMS_DigesterCoveredLagoons,2,1)</f>
        <v>Digester / covered lagoons</v>
      </c>
      <c r="O172" s="111" t="str">
        <f>INDEX(X_Table_Swine_Stage2MMS_From_DigesterCoveredLagoons,2,1)</f>
        <v>Anaerobic lagoon</v>
      </c>
      <c r="P172" s="15" cm="1">
        <f t="array" aca="1" ref="P172" ca="1">MMS_Swine_Methane_Equations.VEERG_4_5_1_1__6_Stage2MethaneProduction($O$105,$I$122,F138,VLOOKUP($O172,$N$155:$O$160,2, FALSE),$I$125)</f>
        <v>2.38199808E-4</v>
      </c>
      <c r="Q172" s="15" cm="1">
        <f t="array" aca="1" ref="Q172" ca="1">MMS_Swine_Methane_Equations.VEERG_4_5_1_1__6_Stage2MethaneProduction($P$105,$I$122,G138,VLOOKUP($O172,$N$155:$O$160,2, FALSE),$I$125)</f>
        <v>3.4241222400000008E-4</v>
      </c>
      <c r="R172" s="15" cm="1">
        <f t="array" aca="1" ref="R172" ca="1">MMS_Swine_Methane_Equations.VEERG_4_5_1_1__6_Stage2MethaneProduction($Q$105,$I$122,H138,VLOOKUP($O172,$N$155:$O$160,2, FALSE),$I$125)</f>
        <v>4.0940592000000001E-4</v>
      </c>
      <c r="S172" s="15" cm="1">
        <f t="array" aca="1" ref="S172" ca="1">MMS_Swine_Methane_Equations.VEERG_4_5_1_1__6_Stage2MethaneProduction($R$105,$I$122,I138,VLOOKUP($O172,$N$155:$O$160,2, FALSE),$I$125)</f>
        <v>2.9030601600000004E-4</v>
      </c>
      <c r="T172" s="16"/>
    </row>
    <row r="173" spans="4:20" ht="20.100000000000001" customHeight="1" x14ac:dyDescent="0.2">
      <c r="D173" s="111"/>
      <c r="E173" s="111" t="str">
        <f>INDEX(X_Table_Swine_Stage2MMS_From_DigesterCoveredLagoons,3,1)</f>
        <v>Deep litter</v>
      </c>
      <c r="F173" s="15" cm="1">
        <f t="array" aca="1" ref="F173" ca="1">MMS_Swine_Methane_Equations.VEERG_4_5_1_1__6_Stage2MethaneProduction($E$105,$I$122,F139,VLOOKUP($E173,$D$155:$E$160,2, FALSE),$I$125)</f>
        <v>1.2374016000000001E-5</v>
      </c>
      <c r="G173" s="15" cm="1">
        <f t="array" aca="1" ref="G173" ca="1">MMS_Swine_Methane_Equations.VEERG_4_5_1_1__6_Stage2MethaneProduction($F$105,$I$122,G139,VLOOKUP($E173,$D$155:$E$160,2, FALSE),$I$125)</f>
        <v>1.7787648000000004E-5</v>
      </c>
      <c r="H173" s="15" cm="1">
        <f t="array" aca="1" ref="H173" ca="1">MMS_Swine_Methane_Equations.VEERG_4_5_1_1__6_Stage2MethaneProduction($G$105,$I$122,H139,VLOOKUP($E173,$D$155:$E$160,2, FALSE),$I$125)</f>
        <v>2.1267840000000003E-5</v>
      </c>
      <c r="I173" s="15" cm="1">
        <f t="array" aca="1" ref="I173" ca="1">MMS_Swine_Methane_Equations.VEERG_4_5_1_1__6_Stage2MethaneProduction($H$105,$I$122,I139,VLOOKUP($E173,$D$155:$E$160,2, FALSE),$I$125)</f>
        <v>1.5080832000000002E-5</v>
      </c>
      <c r="J173" s="16"/>
      <c r="N173" s="111"/>
      <c r="O173" s="111" t="str">
        <f>INDEX(X_Table_Swine_Stage2MMS_From_DigesterCoveredLagoons,3,1)</f>
        <v>Deep litter</v>
      </c>
      <c r="P173" s="15" cm="1">
        <f t="array" aca="1" ref="P173" ca="1">MMS_Swine_Methane_Equations.VEERG_4_5_1_1__6_Stage2MethaneProduction($O$105,$I$122,F139,VLOOKUP($O173,$N$155:$O$160,2, FALSE),$I$125)</f>
        <v>1.2374016000000001E-5</v>
      </c>
      <c r="Q173" s="15" cm="1">
        <f t="array" aca="1" ref="Q173" ca="1">MMS_Swine_Methane_Equations.VEERG_4_5_1_1__6_Stage2MethaneProduction($P$105,$I$122,G139,VLOOKUP($O173,$N$155:$O$160,2, FALSE),$I$125)</f>
        <v>1.7787648000000004E-5</v>
      </c>
      <c r="R173" s="15" cm="1">
        <f t="array" aca="1" ref="R173" ca="1">MMS_Swine_Methane_Equations.VEERG_4_5_1_1__6_Stage2MethaneProduction($Q$105,$I$122,H139,VLOOKUP($O173,$N$155:$O$160,2, FALSE),$I$125)</f>
        <v>2.1267840000000003E-5</v>
      </c>
      <c r="S173" s="15" cm="1">
        <f t="array" aca="1" ref="S173" ca="1">MMS_Swine_Methane_Equations.VEERG_4_5_1_1__6_Stage2MethaneProduction($R$105,$I$122,I139,VLOOKUP($O173,$N$155:$O$160,2, FALSE),$I$125)</f>
        <v>1.5080832000000002E-5</v>
      </c>
      <c r="T173" s="16"/>
    </row>
    <row r="174" spans="4:20" ht="20.100000000000001" customHeight="1" x14ac:dyDescent="0.2">
      <c r="D174" s="111"/>
      <c r="E174" s="111" t="str">
        <f>INDEX(X_Table_Swine_Stage2MMS_From_DigesterCoveredLagoons,4,1)</f>
        <v>Pit storage</v>
      </c>
      <c r="F174" s="15" cm="1">
        <f t="array" aca="1" ref="F174" ca="1">MMS_Swine_Methane_Equations.VEERG_4_5_1_1__6_Stage2MethaneProduction($E$105,$I$122,F140,VLOOKUP($E174,$D$155:$E$160,2, FALSE),$I$125)</f>
        <v>9.2805119999999998E-6</v>
      </c>
      <c r="G174" s="15" cm="1">
        <f t="array" aca="1" ref="G174" ca="1">MMS_Swine_Methane_Equations.VEERG_4_5_1_1__6_Stage2MethaneProduction($F$105,$I$122,G140,VLOOKUP($E174,$D$155:$E$160,2, FALSE),$I$125)</f>
        <v>1.3340736000000001E-5</v>
      </c>
      <c r="H174" s="15" cm="1">
        <f t="array" aca="1" ref="H174" ca="1">MMS_Swine_Methane_Equations.VEERG_4_5_1_1__6_Stage2MethaneProduction($G$105,$I$122,H140,VLOOKUP($E174,$D$155:$E$160,2, FALSE),$I$125)</f>
        <v>1.5950880000000002E-5</v>
      </c>
      <c r="I174" s="15" cm="1">
        <f t="array" aca="1" ref="I174" ca="1">MMS_Swine_Methane_Equations.VEERG_4_5_1_1__6_Stage2MethaneProduction($H$105,$I$122,I140,VLOOKUP($E174,$D$155:$E$160,2, FALSE),$I$125)</f>
        <v>1.1310624E-5</v>
      </c>
      <c r="J174" s="16"/>
      <c r="N174" s="111"/>
      <c r="O174" s="111" t="str">
        <f>INDEX(X_Table_Swine_Stage2MMS_From_DigesterCoveredLagoons,4,1)</f>
        <v>Pit storage</v>
      </c>
      <c r="P174" s="15" cm="1">
        <f t="array" aca="1" ref="P174" ca="1">MMS_Swine_Methane_Equations.VEERG_4_5_1_1__6_Stage2MethaneProduction($O$105,$I$122,F140,VLOOKUP($O174,$N$155:$O$160,2, FALSE),$I$125)</f>
        <v>9.2805119999999998E-6</v>
      </c>
      <c r="Q174" s="15" cm="1">
        <f t="array" aca="1" ref="Q174" ca="1">MMS_Swine_Methane_Equations.VEERG_4_5_1_1__6_Stage2MethaneProduction($P$105,$I$122,G140,VLOOKUP($O174,$N$155:$O$160,2, FALSE),$I$125)</f>
        <v>1.3340736000000001E-5</v>
      </c>
      <c r="R174" s="15" cm="1">
        <f t="array" aca="1" ref="R174" ca="1">MMS_Swine_Methane_Equations.VEERG_4_5_1_1__6_Stage2MethaneProduction($Q$105,$I$122,H140,VLOOKUP($O174,$N$155:$O$160,2, FALSE),$I$125)</f>
        <v>1.5950880000000002E-5</v>
      </c>
      <c r="S174" s="15" cm="1">
        <f t="array" aca="1" ref="S174" ca="1">MMS_Swine_Methane_Equations.VEERG_4_5_1_1__6_Stage2MethaneProduction($R$105,$I$122,I140,VLOOKUP($O174,$N$155:$O$160,2, FALSE),$I$125)</f>
        <v>1.1310624E-5</v>
      </c>
      <c r="T174" s="16"/>
    </row>
    <row r="175" spans="4:20" ht="20.100000000000001" customHeight="1" x14ac:dyDescent="0.2">
      <c r="D175" s="111" t="str">
        <f>INDEX(X_Table_Swine_Stage1MMS_DeepLitter,2,1)</f>
        <v>Deep litter</v>
      </c>
      <c r="E175" s="111" t="str">
        <f>INDEX(X_Table_Swine_Stage2MMS_From_DeepLitter,2,1)</f>
        <v>Anaerobic lagoon</v>
      </c>
      <c r="F175" s="15" cm="1">
        <f t="array" aca="1" ref="F175" ca="1">MMS_Swine_Methane_Equations.VEERG_4_5_1_1__6_Stage2MethaneProduction($E$106,$I$122,F141,VLOOKUP($E175,$D$155:$E$160,2, FALSE),$I$125)</f>
        <v>8.9340395520000001E-4</v>
      </c>
      <c r="G175" s="15" cm="1">
        <f t="array" aca="1" ref="G175" ca="1">MMS_Swine_Methane_Equations.VEERG_4_5_1_1__6_Stage2MethaneProduction($F$106,$I$122,G141,VLOOKUP($E175,$D$155:$E$160,2, FALSE),$I$125)</f>
        <v>1.2842681856000001E-3</v>
      </c>
      <c r="H175" s="15" cm="1">
        <f t="array" aca="1" ref="H175" ca="1">MMS_Swine_Methane_Equations.VEERG_4_5_1_1__6_Stage2MethaneProduction($G$106,$I$122,H141,VLOOKUP($E175,$D$155:$E$160,2, FALSE),$I$125)</f>
        <v>1.5355380480000004E-3</v>
      </c>
      <c r="I175" s="15" cm="1">
        <f t="array" aca="1" ref="I175" ca="1">MMS_Swine_Methane_Equations.VEERG_4_5_1_1__6_Stage2MethaneProduction($H$106,$I$122,I141,VLOOKUP($E175,$D$155:$E$160,2, FALSE),$I$125)</f>
        <v>1.0888360704000002E-3</v>
      </c>
      <c r="J175" s="16"/>
      <c r="N175" s="111" t="str">
        <f>INDEX(X_Table_Swine_Stage1MMS_DeepLitter,2,1)</f>
        <v>Deep litter</v>
      </c>
      <c r="O175" s="111" t="str">
        <f>INDEX(X_Table_Swine_Stage2MMS_From_DeepLitter,2,1)</f>
        <v>Anaerobic lagoon</v>
      </c>
      <c r="P175" s="15" cm="1">
        <f t="array" aca="1" ref="P175" ca="1">MMS_Swine_Methane_Equations.VEERG_4_5_1_1__6_Stage2MethaneProduction($O$106,$I$122,F141,VLOOKUP($O175,$N$155:$O$160,2, FALSE),$I$125)</f>
        <v>9.0515927040000002E-4</v>
      </c>
      <c r="Q175" s="15" cm="1">
        <f t="array" aca="1" ref="Q175" ca="1">MMS_Swine_Methane_Equations.VEERG_4_5_1_1__6_Stage2MethaneProduction($P$106,$I$122,G141,VLOOKUP($O175,$N$155:$O$160,2, FALSE),$I$125)</f>
        <v>1.3011664512E-3</v>
      </c>
      <c r="R175" s="15" cm="1">
        <f t="array" aca="1" ref="R175" ca="1">MMS_Swine_Methane_Equations.VEERG_4_5_1_1__6_Stage2MethaneProduction($Q$106,$I$122,H141,VLOOKUP($O175,$N$155:$O$160,2, FALSE),$I$125)</f>
        <v>1.5557424960000003E-3</v>
      </c>
      <c r="S175" s="15" cm="1">
        <f t="array" aca="1" ref="S175" ca="1">MMS_Swine_Methane_Equations.VEERG_4_5_1_1__6_Stage2MethaneProduction($R$106,$I$122,I141,VLOOKUP($O175,$N$155:$O$160,2, FALSE),$I$125)</f>
        <v>1.1031628608000001E-3</v>
      </c>
      <c r="T175" s="16"/>
    </row>
    <row r="176" spans="4:20" ht="20.100000000000001" customHeight="1" x14ac:dyDescent="0.2">
      <c r="D176" s="111"/>
      <c r="E176" s="111" t="str">
        <f>INDEX(X_Table_Swine_Stage2MMS_From_DeepLitter,3,1)</f>
        <v>Digester / covered lagoons</v>
      </c>
      <c r="F176" s="15" cm="1">
        <f t="array" aca="1" ref="F176" ca="1">MMS_Swine_Methane_Equations.VEERG_4_5_1_1__6_Stage2MethaneProduction($E$106,$I$122,F142,VLOOKUP($E176,$D$155:$E$160,2, FALSE),$I$125)</f>
        <v>1.1755315200000002E-4</v>
      </c>
      <c r="G176" s="15" cm="1">
        <f t="array" aca="1" ref="G176" ca="1">MMS_Swine_Methane_Equations.VEERG_4_5_1_1__6_Stage2MethaneProduction($F$106,$I$122,G142,VLOOKUP($E176,$D$155:$E$160,2, FALSE),$I$125)</f>
        <v>1.6898265599999998E-4</v>
      </c>
      <c r="H176" s="15" cm="1">
        <f t="array" aca="1" ref="H176" ca="1">MMS_Swine_Methane_Equations.VEERG_4_5_1_1__6_Stage2MethaneProduction($G$106,$I$122,H142,VLOOKUP($E176,$D$155:$E$160,2, FALSE),$I$125)</f>
        <v>2.0204448000000003E-4</v>
      </c>
      <c r="I176" s="15" cm="1">
        <f t="array" aca="1" ref="I176" ca="1">MMS_Swine_Methane_Equations.VEERG_4_5_1_1__6_Stage2MethaneProduction($H$106,$I$122,I142,VLOOKUP($E176,$D$155:$E$160,2, FALSE),$I$125)</f>
        <v>1.43267904E-4</v>
      </c>
      <c r="J176" s="16"/>
      <c r="N176" s="111"/>
      <c r="O176" s="111" t="str">
        <f>INDEX(X_Table_Swine_Stage2MMS_From_DeepLitter,3,1)</f>
        <v>Digester / covered lagoons</v>
      </c>
      <c r="P176" s="15" cm="1">
        <f t="array" aca="1" ref="P176" ca="1">MMS_Swine_Methane_Equations.VEERG_4_5_1_1__6_Stage2MethaneProduction($O$106,$I$122,F142,VLOOKUP($O176,$N$155:$O$160,2, FALSE),$I$125)</f>
        <v>1.1755315200000002E-4</v>
      </c>
      <c r="Q176" s="15" cm="1">
        <f t="array" aca="1" ref="Q176" ca="1">MMS_Swine_Methane_Equations.VEERG_4_5_1_1__6_Stage2MethaneProduction($P$106,$I$122,G142,VLOOKUP($O176,$N$155:$O$160,2, FALSE),$I$125)</f>
        <v>1.6898265599999998E-4</v>
      </c>
      <c r="R176" s="15" cm="1">
        <f t="array" aca="1" ref="R176" ca="1">MMS_Swine_Methane_Equations.VEERG_4_5_1_1__6_Stage2MethaneProduction($Q$106,$I$122,H142,VLOOKUP($O176,$N$155:$O$160,2, FALSE),$I$125)</f>
        <v>2.0204448000000003E-4</v>
      </c>
      <c r="S176" s="15" cm="1">
        <f t="array" aca="1" ref="S176" ca="1">MMS_Swine_Methane_Equations.VEERG_4_5_1_1__6_Stage2MethaneProduction($R$106,$I$122,I142,VLOOKUP($O176,$N$155:$O$160,2, FALSE),$I$125)</f>
        <v>1.43267904E-4</v>
      </c>
      <c r="T176" s="16"/>
    </row>
    <row r="177" spans="1:21" ht="20.100000000000001" customHeight="1" x14ac:dyDescent="0.2">
      <c r="D177" s="111"/>
      <c r="E177" s="111" t="str">
        <f>INDEX(X_Table_Swine_Stage2MMS_From_DeepLitter,4,1)</f>
        <v>Pit storage</v>
      </c>
      <c r="F177" s="15" cm="1">
        <f t="array" aca="1" ref="F177" ca="1">MMS_Swine_Methane_Equations.VEERG_4_5_1_1__6_Stage2MethaneProduction($E$106,$I$122,F143,VLOOKUP($E177,$D$155:$E$160,2, FALSE),$I$125)</f>
        <v>3.5265945600000003E-5</v>
      </c>
      <c r="G177" s="15" cm="1">
        <f t="array" aca="1" ref="G177" ca="1">MMS_Swine_Methane_Equations.VEERG_4_5_1_1__6_Stage2MethaneProduction($F$106,$I$122,G143,VLOOKUP($E177,$D$155:$E$160,2, FALSE),$I$125)</f>
        <v>5.0694796799999996E-5</v>
      </c>
      <c r="H177" s="15" cm="1">
        <f t="array" aca="1" ref="H177" ca="1">MMS_Swine_Methane_Equations.VEERG_4_5_1_1__6_Stage2MethaneProduction($G$106,$I$122,H143,VLOOKUP($E177,$D$155:$E$160,2, FALSE),$I$125)</f>
        <v>6.0613344000000005E-5</v>
      </c>
      <c r="I177" s="15" cm="1">
        <f t="array" aca="1" ref="I177" ca="1">MMS_Swine_Methane_Equations.VEERG_4_5_1_1__6_Stage2MethaneProduction($H$106,$I$122,I143,VLOOKUP($E177,$D$155:$E$160,2, FALSE),$I$125)</f>
        <v>4.2980371200000003E-5</v>
      </c>
      <c r="J177" s="16"/>
      <c r="N177" s="111"/>
      <c r="O177" s="111" t="str">
        <f>INDEX(X_Table_Swine_Stage2MMS_From_DeepLitter,4,1)</f>
        <v>Pit storage</v>
      </c>
      <c r="P177" s="15" cm="1">
        <f t="array" aca="1" ref="P177" ca="1">MMS_Swine_Methane_Equations.VEERG_4_5_1_1__6_Stage2MethaneProduction($O$106,$I$122,F143,VLOOKUP($O177,$N$155:$O$160,2, FALSE),$I$125)</f>
        <v>3.5265945600000003E-5</v>
      </c>
      <c r="Q177" s="15" cm="1">
        <f t="array" aca="1" ref="Q177" ca="1">MMS_Swine_Methane_Equations.VEERG_4_5_1_1__6_Stage2MethaneProduction($P$106,$I$122,G143,VLOOKUP($O177,$N$155:$O$160,2, FALSE),$I$125)</f>
        <v>5.0694796799999996E-5</v>
      </c>
      <c r="R177" s="15" cm="1">
        <f t="array" aca="1" ref="R177" ca="1">MMS_Swine_Methane_Equations.VEERG_4_5_1_1__6_Stage2MethaneProduction($Q$106,$I$122,H143,VLOOKUP($O177,$N$155:$O$160,2, FALSE),$I$125)</f>
        <v>6.0613344000000005E-5</v>
      </c>
      <c r="S177" s="15" cm="1">
        <f t="array" aca="1" ref="S177" ca="1">MMS_Swine_Methane_Equations.VEERG_4_5_1_1__6_Stage2MethaneProduction($R$106,$I$122,I143,VLOOKUP($O177,$N$155:$O$160,2, FALSE),$I$125)</f>
        <v>4.2980371200000003E-5</v>
      </c>
      <c r="T177" s="16"/>
    </row>
    <row r="178" spans="1:21" ht="20.100000000000001" customHeight="1" x14ac:dyDescent="0.2">
      <c r="D178" s="111" t="str">
        <f>INDEX(X_Table_Swine_Stage1MMS_PitStorage,2,1)</f>
        <v>Pit storage</v>
      </c>
      <c r="E178" s="111" t="str">
        <f>INDEX(X_Table_Swine_Stage2MMS_From_PitStorage,2,1)</f>
        <v>Anaerobic lagoon</v>
      </c>
      <c r="F178" s="15" cm="1">
        <f t="array" aca="1" ref="F178" ca="1">MMS_Swine_Methane_Equations.VEERG_4_5_1_1__6_Stage2MethaneProduction($E$107,$I$122,F144,VLOOKUP($E178,$D$155:$E$160,2, FALSE),$I$125)</f>
        <v>9.4042521600000016E-4</v>
      </c>
      <c r="G178" s="15" cm="1">
        <f t="array" aca="1" ref="G178" ca="1">MMS_Swine_Methane_Equations.VEERG_4_5_1_1__6_Stage2MethaneProduction($F$107,$I$122,G144,VLOOKUP($E178,$D$155:$E$160,2, FALSE),$I$125)</f>
        <v>1.3518612480000003E-3</v>
      </c>
      <c r="H178" s="15" cm="1">
        <f t="array" aca="1" ref="H178" ca="1">MMS_Swine_Methane_Equations.VEERG_4_5_1_1__6_Stage2MethaneProduction($G$107,$I$122,H144,VLOOKUP($E178,$D$155:$E$160,2, FALSE),$I$125)</f>
        <v>1.6163558400000002E-3</v>
      </c>
      <c r="I178" s="15" cm="1">
        <f t="array" aca="1" ref="I178" ca="1">MMS_Swine_Methane_Equations.VEERG_4_5_1_1__6_Stage2MethaneProduction($H$107,$I$122,I144,VLOOKUP($E178,$D$155:$E$160,2, FALSE),$I$125)</f>
        <v>1.146143232E-3</v>
      </c>
      <c r="J178" s="16"/>
      <c r="N178" s="111" t="str">
        <f>INDEX(X_Table_Swine_Stage1MMS_PitStorage,2,1)</f>
        <v>Pit storage</v>
      </c>
      <c r="O178" s="111" t="str">
        <f>INDEX(X_Table_Swine_Stage2MMS_From_PitStorage,2,1)</f>
        <v>Anaerobic lagoon</v>
      </c>
      <c r="P178" s="15" cm="1">
        <f t="array" aca="1" ref="P178" ca="1">MMS_Swine_Methane_Equations.VEERG_4_5_1_1__6_Stage2MethaneProduction($O$107,$I$122,F144,VLOOKUP($O178,$N$155:$O$160,2, FALSE),$I$125)</f>
        <v>9.5279923199999999E-4</v>
      </c>
      <c r="Q178" s="15" cm="1">
        <f t="array" aca="1" ref="Q178" ca="1">MMS_Swine_Methane_Equations.VEERG_4_5_1_1__6_Stage2MethaneProduction($P$107,$I$122,G144,VLOOKUP($O178,$N$155:$O$160,2, FALSE),$I$125)</f>
        <v>1.3696488960000003E-3</v>
      </c>
      <c r="R178" s="15" cm="1">
        <f t="array" aca="1" ref="R178" ca="1">MMS_Swine_Methane_Equations.VEERG_4_5_1_1__6_Stage2MethaneProduction($Q$107,$I$122,H144,VLOOKUP($O178,$N$155:$O$160,2, FALSE),$I$125)</f>
        <v>1.63762368E-3</v>
      </c>
      <c r="S178" s="15" cm="1">
        <f t="array" aca="1" ref="S178" ca="1">MMS_Swine_Methane_Equations.VEERG_4_5_1_1__6_Stage2MethaneProduction($R$107,$I$122,I144,VLOOKUP($O178,$N$155:$O$160,2, FALSE),$I$125)</f>
        <v>1.1612240640000002E-3</v>
      </c>
      <c r="T178" s="16"/>
    </row>
    <row r="179" spans="1:21" ht="20.100000000000001" customHeight="1" x14ac:dyDescent="0.2">
      <c r="D179" s="111"/>
      <c r="E179" s="111" t="str">
        <f>INDEX(X_Table_Swine_Stage2MMS_From_PitStorage,3,1)</f>
        <v>Digester / covered lagoons</v>
      </c>
      <c r="F179" s="15" cm="1">
        <f t="array" aca="1" ref="F179" ca="1">MMS_Swine_Methane_Equations.VEERG_4_5_1_1__6_Stage2MethaneProduction($E$107,$I$122,F145,VLOOKUP($E179,$D$155:$E$160,2, FALSE),$I$125)</f>
        <v>1.2374016000000002E-4</v>
      </c>
      <c r="G179" s="15" cm="1">
        <f t="array" aca="1" ref="G179" ca="1">MMS_Swine_Methane_Equations.VEERG_4_5_1_1__6_Stage2MethaneProduction($F$107,$I$122,G145,VLOOKUP($E179,$D$155:$E$160,2, FALSE),$I$125)</f>
        <v>1.7787648000000002E-4</v>
      </c>
      <c r="H179" s="15" cm="1">
        <f t="array" aca="1" ref="H179" ca="1">MMS_Swine_Methane_Equations.VEERG_4_5_1_1__6_Stage2MethaneProduction($G$107,$I$122,H145,VLOOKUP($E179,$D$155:$E$160,2, FALSE),$I$125)</f>
        <v>2.1267840000000003E-4</v>
      </c>
      <c r="I179" s="15" cm="1">
        <f t="array" aca="1" ref="I179" ca="1">MMS_Swine_Methane_Equations.VEERG_4_5_1_1__6_Stage2MethaneProduction($H$107,$I$122,I145,VLOOKUP($E179,$D$155:$E$160,2, FALSE),$I$125)</f>
        <v>1.5080832000000002E-4</v>
      </c>
      <c r="J179" s="16"/>
      <c r="N179" s="111"/>
      <c r="O179" s="111" t="str">
        <f>INDEX(X_Table_Swine_Stage2MMS_From_PitStorage,3,1)</f>
        <v>Digester / covered lagoons</v>
      </c>
      <c r="P179" s="15" cm="1">
        <f t="array" aca="1" ref="P179" ca="1">MMS_Swine_Methane_Equations.VEERG_4_5_1_1__6_Stage2MethaneProduction($O$107,$I$122,F145,VLOOKUP($O179,$N$155:$O$160,2, FALSE),$I$125)</f>
        <v>1.2374016000000002E-4</v>
      </c>
      <c r="Q179" s="15" cm="1">
        <f t="array" aca="1" ref="Q179" ca="1">MMS_Swine_Methane_Equations.VEERG_4_5_1_1__6_Stage2MethaneProduction($P$107,$I$122,G145,VLOOKUP($O179,$N$155:$O$160,2, FALSE),$I$125)</f>
        <v>1.7787648000000002E-4</v>
      </c>
      <c r="R179" s="15" cm="1">
        <f t="array" aca="1" ref="R179" ca="1">MMS_Swine_Methane_Equations.VEERG_4_5_1_1__6_Stage2MethaneProduction($Q$107,$I$122,H145,VLOOKUP($O179,$N$155:$O$160,2, FALSE),$I$125)</f>
        <v>2.1267840000000003E-4</v>
      </c>
      <c r="S179" s="15" cm="1">
        <f t="array" aca="1" ref="S179" ca="1">MMS_Swine_Methane_Equations.VEERG_4_5_1_1__6_Stage2MethaneProduction($R$107,$I$122,I145,VLOOKUP($O179,$N$155:$O$160,2, FALSE),$I$125)</f>
        <v>1.5080832000000002E-4</v>
      </c>
      <c r="T179" s="16"/>
    </row>
    <row r="180" spans="1:21" ht="20.100000000000001" customHeight="1" x14ac:dyDescent="0.2">
      <c r="D180" s="111"/>
      <c r="E180" s="111" t="str">
        <f>INDEX(X_Table_Swine_Stage2MMS_From_PitStorage,4,1)</f>
        <v>Deep litter</v>
      </c>
      <c r="F180" s="15" cm="1">
        <f t="array" aca="1" ref="F180" ca="1">MMS_Swine_Methane_Equations.VEERG_4_5_1_1__6_Stage2MethaneProduction($E$107,$I$122,F146,VLOOKUP($E180,$D$155:$E$160,2, FALSE),$I$125)</f>
        <v>4.9496064000000004E-5</v>
      </c>
      <c r="G180" s="15" cm="1">
        <f t="array" aca="1" ref="G180" ca="1">MMS_Swine_Methane_Equations.VEERG_4_5_1_1__6_Stage2MethaneProduction($F$107,$I$122,G146,VLOOKUP($E180,$D$155:$E$160,2, FALSE),$I$125)</f>
        <v>7.1150592000000014E-5</v>
      </c>
      <c r="H180" s="15" cm="1">
        <f t="array" aca="1" ref="H180" ca="1">MMS_Swine_Methane_Equations.VEERG_4_5_1_1__6_Stage2MethaneProduction($G$107,$I$122,H146,VLOOKUP($E180,$D$155:$E$160,2, FALSE),$I$125)</f>
        <v>8.5071360000000011E-5</v>
      </c>
      <c r="I180" s="15" cm="1">
        <f t="array" aca="1" ref="I180" ca="1">MMS_Swine_Methane_Equations.VEERG_4_5_1_1__6_Stage2MethaneProduction($H$107,$I$122,I146,VLOOKUP($E180,$D$155:$E$160,2, FALSE),$I$125)</f>
        <v>6.0323328000000009E-5</v>
      </c>
      <c r="J180" s="16"/>
      <c r="N180" s="111"/>
      <c r="O180" s="111" t="str">
        <f>INDEX(X_Table_Swine_Stage2MMS_From_PitStorage,4,1)</f>
        <v>Deep litter</v>
      </c>
      <c r="P180" s="15" cm="1">
        <f t="array" aca="1" ref="P180" ca="1">MMS_Swine_Methane_Equations.VEERG_4_5_1_1__6_Stage2MethaneProduction($O$107,$I$122,F146,VLOOKUP($O180,$N$155:$O$160,2, FALSE),$I$125)</f>
        <v>4.9496064000000004E-5</v>
      </c>
      <c r="Q180" s="15" cm="1">
        <f t="array" aca="1" ref="Q180" ca="1">MMS_Swine_Methane_Equations.VEERG_4_5_1_1__6_Stage2MethaneProduction($P$107,$I$122,G146,VLOOKUP($O180,$N$155:$O$160,2, FALSE),$I$125)</f>
        <v>7.1150592000000014E-5</v>
      </c>
      <c r="R180" s="15" cm="1">
        <f t="array" aca="1" ref="R180" ca="1">MMS_Swine_Methane_Equations.VEERG_4_5_1_1__6_Stage2MethaneProduction($Q$107,$I$122,H146,VLOOKUP($O180,$N$155:$O$160,2, FALSE),$I$125)</f>
        <v>8.5071360000000011E-5</v>
      </c>
      <c r="S180" s="15" cm="1">
        <f t="array" aca="1" ref="S180" ca="1">MMS_Swine_Methane_Equations.VEERG_4_5_1_1__6_Stage2MethaneProduction($R$107,$I$122,I146,VLOOKUP($O180,$N$155:$O$160,2, FALSE),$I$125)</f>
        <v>6.0323328000000009E-5</v>
      </c>
      <c r="T180" s="16"/>
    </row>
    <row r="181" spans="1:21" ht="20.100000000000001" customHeight="1" x14ac:dyDescent="0.2">
      <c r="D181" s="111" t="s">
        <v>75</v>
      </c>
      <c r="E181" s="111" t="str">
        <f>INDEX(X_Table_Swine_Stage2MMS_From_SolidStorage,2,1)</f>
        <v>Anaerobic lagoon</v>
      </c>
      <c r="F181" s="15" cm="1">
        <f t="array" aca="1" ref="F181" ca="1">MMS_Swine_Methane_Equations.VEERG_4_5_1_1__6_Stage2MethaneProduction($E$108,$I$122,F147,VLOOKUP($E181,$D$155:$E$160,2, FALSE),$I$125)</f>
        <v>3.134750720000001E-3</v>
      </c>
      <c r="G181" s="15" cm="1">
        <f t="array" aca="1" ref="G181" ca="1">MMS_Swine_Methane_Equations.VEERG_4_5_1_1__6_Stage2MethaneProduction($F$108,$I$122,G147,VLOOKUP($E181,$D$155:$E$160,2, FALSE),$I$125)</f>
        <v>3.6049633280000022E-3</v>
      </c>
      <c r="H181" s="15" cm="1">
        <f t="array" aca="1" ref="H181" ca="1">MMS_Swine_Methane_Equations.VEERG_4_5_1_1__6_Stage2MethaneProduction($G$108,$I$122,H147,VLOOKUP($E181,$D$155:$E$160,2, FALSE),$I$125)</f>
        <v>4.310282240000002E-3</v>
      </c>
      <c r="I181" s="15" cm="1">
        <f t="array" aca="1" ref="I181" ca="1">MMS_Swine_Methane_Equations.VEERG_4_5_1_1__6_Stage2MethaneProduction($H$108,$I$122,I147,VLOOKUP($E181,$D$155:$E$160,2, FALSE),$I$125)</f>
        <v>3.0563819520000013E-3</v>
      </c>
      <c r="J181" s="16"/>
      <c r="N181" s="111" t="s">
        <v>75</v>
      </c>
      <c r="O181" s="111" t="str">
        <f>INDEX(X_Table_Swine_Stage2MMS_From_SolidStorage,2,1)</f>
        <v>Anaerobic lagoon</v>
      </c>
      <c r="P181" s="15" cm="1">
        <f t="array" aca="1" ref="P181" ca="1">MMS_Swine_Methane_Equations.VEERG_4_5_1_1__6_Stage2MethaneProduction($O$108,$I$122,F147,VLOOKUP($O181,$N$155:$O$160,2, FALSE),$I$125)</f>
        <v>3.1759974400000011E-3</v>
      </c>
      <c r="Q181" s="15" cm="1">
        <f t="array" aca="1" ref="Q181" ca="1">MMS_Swine_Methane_Equations.VEERG_4_5_1_1__6_Stage2MethaneProduction($P$108,$I$122,G147,VLOOKUP($O181,$N$155:$O$160,2, FALSE),$I$125)</f>
        <v>3.6523970560000023E-3</v>
      </c>
      <c r="R181" s="15" cm="1">
        <f t="array" aca="1" ref="R181" ca="1">MMS_Swine_Methane_Equations.VEERG_4_5_1_1__6_Stage2MethaneProduction($Q$108,$I$122,H147,VLOOKUP($O181,$N$155:$O$160,2, FALSE),$I$125)</f>
        <v>4.366996480000003E-3</v>
      </c>
      <c r="S181" s="15" cm="1">
        <f t="array" aca="1" ref="S181" ca="1">MMS_Swine_Methane_Equations.VEERG_4_5_1_1__6_Stage2MethaneProduction($R$108,$I$122,I147,VLOOKUP($O181,$N$155:$O$160,2, FALSE),$I$125)</f>
        <v>3.0965975040000014E-3</v>
      </c>
      <c r="T181" s="16"/>
    </row>
    <row r="182" spans="1:21" ht="20.100000000000001" customHeight="1" x14ac:dyDescent="0.2">
      <c r="D182" s="111"/>
      <c r="E182" s="111" t="str">
        <f>INDEX(X_Table_Swine_Stage2MMS_From_SolidStorage,3,1)</f>
        <v>Digester / covered lagoons</v>
      </c>
      <c r="F182" s="15" cm="1">
        <f t="array" aca="1" ref="F182" ca="1">MMS_Swine_Methane_Equations.VEERG_4_5_1_1__6_Stage2MethaneProduction($E$108,$I$122,F148,VLOOKUP($E182,$D$155:$E$160,2, FALSE),$I$125)</f>
        <v>4.124672000000002E-4</v>
      </c>
      <c r="G182" s="15" cm="1">
        <f t="array" aca="1" ref="G182" ca="1">MMS_Swine_Methane_Equations.VEERG_4_5_1_1__6_Stage2MethaneProduction($F$108,$I$122,G148,VLOOKUP($E182,$D$155:$E$160,2, FALSE),$I$125)</f>
        <v>4.7433728000000037E-4</v>
      </c>
      <c r="H182" s="15" cm="1">
        <f t="array" aca="1" ref="H182" ca="1">MMS_Swine_Methane_Equations.VEERG_4_5_1_1__6_Stage2MethaneProduction($G$108,$I$122,H148,VLOOKUP($E182,$D$155:$E$160,2, FALSE),$I$125)</f>
        <v>5.6714240000000032E-4</v>
      </c>
      <c r="I182" s="15" cm="1">
        <f t="array" aca="1" ref="I182" ca="1">MMS_Swine_Methane_Equations.VEERG_4_5_1_1__6_Stage2MethaneProduction($H$108,$I$122,I148,VLOOKUP($E182,$D$155:$E$160,2, FALSE),$I$125)</f>
        <v>4.0215552000000021E-4</v>
      </c>
      <c r="J182" s="16"/>
      <c r="N182" s="111"/>
      <c r="O182" s="111" t="str">
        <f>INDEX(X_Table_Swine_Stage2MMS_From_SolidStorage,3,1)</f>
        <v>Digester / covered lagoons</v>
      </c>
      <c r="P182" s="15" cm="1">
        <f t="array" aca="1" ref="P182" ca="1">MMS_Swine_Methane_Equations.VEERG_4_5_1_1__6_Stage2MethaneProduction($O$108,$I$122,F148,VLOOKUP($O182,$N$155:$O$160,2, FALSE),$I$125)</f>
        <v>4.124672000000002E-4</v>
      </c>
      <c r="Q182" s="15" cm="1">
        <f t="array" aca="1" ref="Q182" ca="1">MMS_Swine_Methane_Equations.VEERG_4_5_1_1__6_Stage2MethaneProduction($P$108,$I$122,G148,VLOOKUP($O182,$N$155:$O$160,2, FALSE),$I$125)</f>
        <v>4.7433728000000037E-4</v>
      </c>
      <c r="R182" s="15" cm="1">
        <f t="array" aca="1" ref="R182" ca="1">MMS_Swine_Methane_Equations.VEERG_4_5_1_1__6_Stage2MethaneProduction($Q$108,$I$122,H148,VLOOKUP($O182,$N$155:$O$160,2, FALSE),$I$125)</f>
        <v>5.6714240000000032E-4</v>
      </c>
      <c r="S182" s="15" cm="1">
        <f t="array" aca="1" ref="S182" ca="1">MMS_Swine_Methane_Equations.VEERG_4_5_1_1__6_Stage2MethaneProduction($R$108,$I$122,I148,VLOOKUP($O182,$N$155:$O$160,2, FALSE),$I$125)</f>
        <v>4.0215552000000021E-4</v>
      </c>
      <c r="T182" s="16"/>
    </row>
    <row r="183" spans="1:21" ht="20.100000000000001" customHeight="1" x14ac:dyDescent="0.2">
      <c r="D183" s="111"/>
      <c r="E183" s="111" t="str">
        <f>INDEX(X_Table_Swine_Stage2MMS_From_SolidStorage,4,1)</f>
        <v>Deep litter</v>
      </c>
      <c r="F183" s="15" cm="1">
        <f t="array" aca="1" ref="F183" ca="1">MMS_Swine_Methane_Equations.VEERG_4_5_1_1__6_Stage2MethaneProduction($E$108,$I$122,F149,VLOOKUP($E183,$D$155:$E$160,2, FALSE),$I$125)</f>
        <v>1.6498688000000006E-4</v>
      </c>
      <c r="G183" s="15" cm="1">
        <f t="array" aca="1" ref="G183" ca="1">MMS_Swine_Methane_Equations.VEERG_4_5_1_1__6_Stage2MethaneProduction($F$108,$I$122,G149,VLOOKUP($E183,$D$155:$E$160,2, FALSE),$I$125)</f>
        <v>1.8973491200000015E-4</v>
      </c>
      <c r="H183" s="15" cm="1">
        <f t="array" aca="1" ref="H183" ca="1">MMS_Swine_Methane_Equations.VEERG_4_5_1_1__6_Stage2MethaneProduction($G$108,$I$122,H149,VLOOKUP($E183,$D$155:$E$160,2, FALSE),$I$125)</f>
        <v>2.2685696000000015E-4</v>
      </c>
      <c r="I183" s="15" cm="1">
        <f t="array" aca="1" ref="I183" ca="1">MMS_Swine_Methane_Equations.VEERG_4_5_1_1__6_Stage2MethaneProduction($H$108,$I$122,I149,VLOOKUP($E183,$D$155:$E$160,2, FALSE),$I$125)</f>
        <v>1.6086220800000007E-4</v>
      </c>
      <c r="J183" s="16"/>
      <c r="N183" s="111"/>
      <c r="O183" s="111" t="str">
        <f>INDEX(X_Table_Swine_Stage2MMS_From_SolidStorage,4,1)</f>
        <v>Deep litter</v>
      </c>
      <c r="P183" s="15" cm="1">
        <f t="array" aca="1" ref="P183" ca="1">MMS_Swine_Methane_Equations.VEERG_4_5_1_1__6_Stage2MethaneProduction($O$108,$I$122,F149,VLOOKUP($O183,$N$155:$O$160,2, FALSE),$I$125)</f>
        <v>1.6498688000000006E-4</v>
      </c>
      <c r="Q183" s="15" cm="1">
        <f t="array" aca="1" ref="Q183" ca="1">MMS_Swine_Methane_Equations.VEERG_4_5_1_1__6_Stage2MethaneProduction($P$108,$I$122,G149,VLOOKUP($O183,$N$155:$O$160,2, FALSE),$I$125)</f>
        <v>1.8973491200000015E-4</v>
      </c>
      <c r="R183" s="15" cm="1">
        <f t="array" aca="1" ref="R183" ca="1">MMS_Swine_Methane_Equations.VEERG_4_5_1_1__6_Stage2MethaneProduction($Q$108,$I$122,H149,VLOOKUP($O183,$N$155:$O$160,2, FALSE),$I$125)</f>
        <v>2.2685696000000015E-4</v>
      </c>
      <c r="S183" s="15" cm="1">
        <f t="array" aca="1" ref="S183" ca="1">MMS_Swine_Methane_Equations.VEERG_4_5_1_1__6_Stage2MethaneProduction($R$108,$I$122,I149,VLOOKUP($O183,$N$155:$O$160,2, FALSE),$I$125)</f>
        <v>1.6086220800000007E-4</v>
      </c>
      <c r="T183" s="16"/>
    </row>
    <row r="184" spans="1:21" ht="20.100000000000001" customHeight="1" x14ac:dyDescent="0.2">
      <c r="D184" s="111"/>
      <c r="E184" s="111" t="str">
        <f>INDEX(X_Table_Swine_Stage2MMS_From_SolidStorage,5,1)</f>
        <v>Pit storage</v>
      </c>
      <c r="F184" s="15" cm="1">
        <f t="array" aca="1" ref="F184" ca="1">MMS_Swine_Methane_Equations.VEERG_4_5_1_1__6_Stage2MethaneProduction($E$108,$I$122,F150,VLOOKUP($E184,$D$155:$E$160,2, FALSE),$I$125)</f>
        <v>6.1870080000000021E-5</v>
      </c>
      <c r="G184" s="15" cm="1">
        <f t="array" aca="1" ref="G184" ca="1">MMS_Swine_Methane_Equations.VEERG_4_5_1_1__6_Stage2MethaneProduction($F$108,$I$122,G150,VLOOKUP($E184,$D$155:$E$160,2, FALSE),$I$125)</f>
        <v>7.1150592000000042E-5</v>
      </c>
      <c r="H184" s="15" cm="1">
        <f t="array" aca="1" ref="H184" ca="1">MMS_Swine_Methane_Equations.VEERG_4_5_1_1__6_Stage2MethaneProduction($G$108,$I$122,H150,VLOOKUP($E184,$D$155:$E$160,2, FALSE),$I$125)</f>
        <v>8.5071360000000051E-5</v>
      </c>
      <c r="I184" s="15" cm="1">
        <f t="array" aca="1" ref="I184" ca="1">MMS_Swine_Methane_Equations.VEERG_4_5_1_1__6_Stage2MethaneProduction($H$108,$I$122,I150,VLOOKUP($E184,$D$155:$E$160,2, FALSE),$I$125)</f>
        <v>6.0323328000000023E-5</v>
      </c>
      <c r="J184" s="16"/>
      <c r="N184" s="111"/>
      <c r="O184" s="111" t="str">
        <f>INDEX(X_Table_Swine_Stage2MMS_From_SolidStorage,5,1)</f>
        <v>Pit storage</v>
      </c>
      <c r="P184" s="15" cm="1">
        <f t="array" aca="1" ref="P184" ca="1">MMS_Swine_Methane_Equations.VEERG_4_5_1_1__6_Stage2MethaneProduction($O$108,$I$122,F150,VLOOKUP($O184,$N$155:$O$160,2, FALSE),$I$125)</f>
        <v>6.1870080000000021E-5</v>
      </c>
      <c r="Q184" s="15" cm="1">
        <f t="array" aca="1" ref="Q184" ca="1">MMS_Swine_Methane_Equations.VEERG_4_5_1_1__6_Stage2MethaneProduction($P$108,$I$122,G150,VLOOKUP($O184,$N$155:$O$160,2, FALSE),$I$125)</f>
        <v>7.1150592000000042E-5</v>
      </c>
      <c r="R184" s="15" cm="1">
        <f t="array" aca="1" ref="R184" ca="1">MMS_Swine_Methane_Equations.VEERG_4_5_1_1__6_Stage2MethaneProduction($Q$108,$I$122,H150,VLOOKUP($O184,$N$155:$O$160,2, FALSE),$I$125)</f>
        <v>8.5071360000000051E-5</v>
      </c>
      <c r="S184" s="15" cm="1">
        <f t="array" aca="1" ref="S184" ca="1">MMS_Swine_Methane_Equations.VEERG_4_5_1_1__6_Stage2MethaneProduction($R$108,$I$122,I150,VLOOKUP($O184,$N$155:$O$160,2, FALSE),$I$125)</f>
        <v>6.0323328000000023E-5</v>
      </c>
      <c r="T184" s="16"/>
    </row>
    <row r="187" spans="1:21" ht="20.100000000000001" customHeight="1" x14ac:dyDescent="0.2">
      <c r="A187" s="131" t="str">
        <f>HYPERLINK("#A1", "▲ Back to top")</f>
        <v>▲ Back to top</v>
      </c>
      <c r="C187" s="82"/>
      <c r="D187" s="82"/>
      <c r="E187" s="82"/>
      <c r="F187" s="82"/>
      <c r="G187" s="82"/>
      <c r="H187" s="82"/>
      <c r="I187" s="82"/>
      <c r="J187" s="82"/>
      <c r="K187" s="82"/>
      <c r="M187" s="82"/>
      <c r="N187" s="82"/>
      <c r="O187" s="82"/>
      <c r="P187" s="82"/>
      <c r="Q187" s="82"/>
      <c r="R187" s="82"/>
      <c r="S187" s="82"/>
      <c r="T187" s="82"/>
      <c r="U187" s="82"/>
    </row>
    <row r="188" spans="1:21" ht="20.100000000000001" customHeight="1" x14ac:dyDescent="0.2">
      <c r="D188" s="2" t="str" cm="1">
        <f t="array" ref="D188">MMS_Swine_Methane_Equations.VEERG_4_5_1_1__3_Stage1MethaneProduction_Title()</f>
        <v>Production of methane in treatment stage 1 MMS</v>
      </c>
    </row>
    <row r="189" spans="1:21" ht="20.100000000000001" customHeight="1" x14ac:dyDescent="0.2">
      <c r="D189" s="17" t="str" cm="1">
        <f t="array" ref="D189">MMS_Swine_Methane_Equations.VEERG_4_5_1_1__3_Stage1MethaneProduction_Source()</f>
        <v>VEERG 2026: 4.5.1.1, Equation (3)</v>
      </c>
    </row>
    <row r="190" spans="1:21" ht="20.100000000000001" customHeight="1" x14ac:dyDescent="0.2">
      <c r="D190" s="110" t="s">
        <v>321</v>
      </c>
      <c r="E190" s="110" t="str" cm="1">
        <f t="array" aca="1" ref="E190" ca="1">Common_InputFunctions.Utility_DisplayFunctionName(E206)</f>
        <v>=MMS_Swine_Methane_Equations.VEERG_4_5_1_1__3_Stage1MethaneProduction</v>
      </c>
    </row>
    <row r="192" spans="1:21" ht="20.100000000000001" customHeight="1" x14ac:dyDescent="0.2">
      <c r="D192" s="2"/>
    </row>
    <row r="194" spans="4:19" ht="20.100000000000001" customHeight="1" x14ac:dyDescent="0.2">
      <c r="D194" s="75" t="s">
        <v>322</v>
      </c>
      <c r="E194" s="1" t="str" cm="1">
        <f t="array" ref="E194">MMS_Swine_Methane_Equations.VEERG_4_5_1_1__3_Stage1MethaneProduction_Variable()</f>
        <v>MijmT1</v>
      </c>
    </row>
    <row r="195" spans="4:19" ht="20.100000000000001" customHeight="1" x14ac:dyDescent="0.2">
      <c r="D195" s="75" t="s">
        <v>118</v>
      </c>
      <c r="E195" s="9" t="str" cm="1">
        <f t="array" ref="E195">MMS_Swine_Methane_Equations.VEERG_4_5_1_1__3_Stage1MethaneProduction_Unit()</f>
        <v>kg CH4/head/day</v>
      </c>
    </row>
    <row r="197" spans="4:19" ht="20.100000000000001" customHeight="1" x14ac:dyDescent="0.2">
      <c r="D197" s="127" t="str" cm="1">
        <f t="array" ref="D197:E201">Common_InputFunctions.Utility_DisplayArguments_1_2(MMS_Swine_Methane_Equations.VEERG_4_5_1_1__3_Stage1MethaneProduction_Arguments())</f>
        <v>VSj</v>
      </c>
      <c r="E197" s="128" t="str">
        <v>volatile solid production from swine in each class</v>
      </c>
      <c r="F197" s="129"/>
      <c r="G197" s="127" t="str" cm="1">
        <f t="array" ref="G197:H201">Common_InputFunctions.Utility_DisplayArguments_3_4(MMS_Swine_Methane_Equations.VEERG_4_5_1_1__3_Stage1MethaneProduction_Arguments())</f>
        <v>kg/head/day</v>
      </c>
      <c r="H197" s="123" t="str">
        <v>Input</v>
      </c>
      <c r="I197" s="115" t="str" cm="1">
        <f t="array" aca="1" ref="I197" ca="1">HYPERLINK(Common_InputFunctions.Utility_SourceHyperlink($D$85), $D$85)</f>
        <v>M1_Table_VS_j</v>
      </c>
      <c r="J197" s="115"/>
    </row>
    <row r="198" spans="4:19" ht="20.100000000000001" customHeight="1" x14ac:dyDescent="0.2">
      <c r="D198" s="127" t="str">
        <v>FVSjmT1</v>
      </c>
      <c r="E198" s="128" t="str">
        <v>fraction of volatile solids in each primary system</v>
      </c>
      <c r="F198" s="129"/>
      <c r="G198" s="127" t="str">
        <v>fraction</v>
      </c>
      <c r="H198" s="125" t="str">
        <v>Calculated from 4.5.1.1 (4)(5)</v>
      </c>
      <c r="I198" s="115" t="str" cm="1">
        <f t="array" aca="1" ref="I198" ca="1">HYPERLINK(Common_InputFunctions.Utility_SourceHyperlink($D$34), $D$34)</f>
        <v>M1_Table_FVS_j_m_T-1</v>
      </c>
      <c r="J198" s="115" t="str" cm="1">
        <f t="array" aca="1" ref="J198" ca="1">HYPERLINK(Common_InputFunctions.Utility_SourceHyperlink($D$65), $D$65)</f>
        <v>M1_Table_FVS_j_m-4_T-1</v>
      </c>
    </row>
    <row r="199" spans="4:19" ht="20.100000000000001" customHeight="1" x14ac:dyDescent="0.2">
      <c r="D199" s="127" t="str">
        <v>MCFim</v>
      </c>
      <c r="E199" s="128" t="str">
        <v>methane conversion factor for temperate zone and system</v>
      </c>
      <c r="F199" s="129"/>
      <c r="G199" s="127" t="str">
        <v>fraction</v>
      </c>
      <c r="H199" s="125" t="str">
        <v>Constant</v>
      </c>
      <c r="I199" s="115" t="str" cm="1">
        <f t="array" aca="1" ref="I199" ca="1">HYPERLINK(Common_InputFunctions.Utility_SourceHyperlink($D$152), $D$152)</f>
        <v>M1_Table_MCF_i_m</v>
      </c>
      <c r="J199" s="115"/>
    </row>
    <row r="200" spans="4:19" ht="20.100000000000001" customHeight="1" x14ac:dyDescent="0.2">
      <c r="D200" s="127" t="str">
        <v>BO</v>
      </c>
      <c r="E200" s="128" t="str">
        <v>emissions potential</v>
      </c>
      <c r="F200" s="129"/>
      <c r="G200" s="127" t="str">
        <v>m3 CH4/kg VS</v>
      </c>
      <c r="H200" s="125" t="str">
        <v>Constant</v>
      </c>
      <c r="I200" s="127">
        <f>SourceData_Swine_MethaneVolatileSolidsEmissionsPotential_Data</f>
        <v>0.19</v>
      </c>
      <c r="J200" s="124"/>
    </row>
    <row r="201" spans="4:19" ht="20.100000000000001" customHeight="1" x14ac:dyDescent="0.2">
      <c r="D201" s="127" t="str">
        <v>rho</v>
      </c>
      <c r="E201" s="128" t="str">
        <v>density of methane</v>
      </c>
      <c r="F201" s="129"/>
      <c r="G201" s="127" t="str">
        <v>kg/m3</v>
      </c>
      <c r="H201" s="125" t="str">
        <v>Constant</v>
      </c>
      <c r="I201" s="127">
        <f>Common_SourceData_DensityOfMethane_Data</f>
        <v>0.6784</v>
      </c>
      <c r="J201" s="124"/>
    </row>
    <row r="203" spans="4:19" ht="20.100000000000001" customHeight="1" x14ac:dyDescent="0.2">
      <c r="D203" s="117" t="s">
        <v>365</v>
      </c>
      <c r="N203" s="117" t="s">
        <v>366</v>
      </c>
    </row>
    <row r="204" spans="4:19" ht="20.100000000000001" customHeight="1" x14ac:dyDescent="0.2">
      <c r="D204" s="118" t="s">
        <v>367</v>
      </c>
      <c r="N204" s="118" t="s">
        <v>368</v>
      </c>
    </row>
    <row r="205" spans="4:19" ht="20.100000000000001" customHeight="1" x14ac:dyDescent="0.2">
      <c r="D205" s="119" t="s">
        <v>325</v>
      </c>
      <c r="E205" s="119" t="s">
        <v>290</v>
      </c>
      <c r="F205" s="119" t="s">
        <v>291</v>
      </c>
      <c r="G205" s="119" t="s">
        <v>265</v>
      </c>
      <c r="H205" s="119" t="s">
        <v>292</v>
      </c>
      <c r="N205" s="119" t="s">
        <v>325</v>
      </c>
      <c r="O205" s="119" t="s">
        <v>290</v>
      </c>
      <c r="P205" s="119" t="s">
        <v>291</v>
      </c>
      <c r="Q205" s="119" t="s">
        <v>265</v>
      </c>
      <c r="R205" s="119" t="s">
        <v>292</v>
      </c>
    </row>
    <row r="206" spans="4:19" ht="20.100000000000001" customHeight="1" x14ac:dyDescent="0.2">
      <c r="D206" s="111" t="str">
        <f>INDEX(X_Table_Swine_Stage1MMS_AnaerobicLagoon,2,1)</f>
        <v>Anaerobic lagoon</v>
      </c>
      <c r="E206" s="15" cm="1">
        <f t="array" aca="1" ref="E206" ca="1">MMS_Swine_Methane_Equations.VEERG_4_5_1_1__3_Stage1MethaneProduction(D$88,E37,VLOOKUP($D206, $D$155:$E$160, 2, FALSE),$I$200,$I$201)</f>
        <v>4.7021260799999997E-3</v>
      </c>
      <c r="F206" s="15" cm="1">
        <f t="array" aca="1" ref="F206" ca="1">MMS_Swine_Methane_Equations.VEERG_4_5_1_1__3_Stage1MethaneProduction(E$88,F37,VLOOKUP($D206, $D$155:$E$160, 2, FALSE),$I$200,$I$201)</f>
        <v>5.4074449920000012E-3</v>
      </c>
      <c r="G206" s="15" cm="1">
        <f t="array" aca="1" ref="G206" ca="1">MMS_Swine_Methane_Equations.VEERG_4_5_1_1__3_Stage1MethaneProduction(F$88,G37,VLOOKUP($D206, $D$155:$E$160, 2, FALSE),$I$200,$I$201)</f>
        <v>6.4654233600000008E-3</v>
      </c>
      <c r="H206" s="15" cm="1">
        <f t="array" aca="1" ref="H206" ca="1">MMS_Swine_Methane_Equations.VEERG_4_5_1_1__3_Stage1MethaneProduction(G$88,H37,VLOOKUP($D206, $D$155:$E$160, 2, FALSE),$I$200,$I$201)</f>
        <v>4.5845729280000001E-3</v>
      </c>
      <c r="I206" s="16" t="str">
        <f>$E$195</f>
        <v>kg CH4/head/day</v>
      </c>
      <c r="N206" s="111" t="str">
        <f>INDEX(X_Table_Swine_Stage1MMS_AnaerobicLagoon,2,1)</f>
        <v>Anaerobic lagoon</v>
      </c>
      <c r="O206" s="15" cm="1">
        <f t="array" aca="1" ref="O206" ca="1">MMS_Swine_Methane_Equations.VEERG_4_5_1_1__3_Stage1MethaneProduction(N$88,O37,VLOOKUP($N206, $N$155:$O$160, 2, FALSE),$I$200,$I$201)</f>
        <v>4.7639961599999997E-3</v>
      </c>
      <c r="P206" s="15" cm="1">
        <f t="array" aca="1" ref="P206" ca="1">MMS_Swine_Methane_Equations.VEERG_4_5_1_1__3_Stage1MethaneProduction(O$88,P37,VLOOKUP($N206, $N$155:$O$160, 2, FALSE),$I$200,$I$201)</f>
        <v>5.4785955839999996E-3</v>
      </c>
      <c r="Q206" s="15" cm="1">
        <f t="array" aca="1" ref="Q206" ca="1">MMS_Swine_Methane_Equations.VEERG_4_5_1_1__3_Stage1MethaneProduction(P$88,Q37,VLOOKUP($N206, $N$155:$O$160, 2, FALSE),$I$200,$I$201)</f>
        <v>6.5504947200000002E-3</v>
      </c>
      <c r="R206" s="15" cm="1">
        <f t="array" aca="1" ref="R206" ca="1">MMS_Swine_Methane_Equations.VEERG_4_5_1_1__3_Stage1MethaneProduction(Q$88,R37,VLOOKUP($N206, $N$155:$O$160, 2, FALSE),$I$200,$I$201)</f>
        <v>4.6448962559999998E-3</v>
      </c>
      <c r="S206" s="16" t="str">
        <f t="shared" ref="S206" si="2">$E$195</f>
        <v>kg CH4/head/day</v>
      </c>
    </row>
    <row r="207" spans="4:19" ht="20.100000000000001" customHeight="1" x14ac:dyDescent="0.2">
      <c r="D207" s="111" t="str">
        <f>INDEX(X_Table_Swine_Stage1MMS_Drylot,2,1)</f>
        <v>Drylot (feed pad)</v>
      </c>
      <c r="E207" s="15" cm="1">
        <f t="array" aca="1" ref="E207" ca="1">MMS_Swine_Methane_Equations.VEERG_4_5_1_1__3_Stage1MethaneProduction(D$88,E38,VLOOKUP($D207, $D$155:$E$160, 2, FALSE),$I$200,$I$201)</f>
        <v>6.1870080000000008E-5</v>
      </c>
      <c r="F207" s="15" cm="1">
        <f t="array" aca="1" ref="F207" ca="1">MMS_Swine_Methane_Equations.VEERG_4_5_1_1__3_Stage1MethaneProduction(E$88,F38,VLOOKUP($D207, $D$155:$E$160, 2, FALSE),$I$200,$I$201)</f>
        <v>7.1150592000000001E-5</v>
      </c>
      <c r="G207" s="15" cm="1">
        <f t="array" aca="1" ref="G207" ca="1">MMS_Swine_Methane_Equations.VEERG_4_5_1_1__3_Stage1MethaneProduction(F$88,G38,VLOOKUP($D207, $D$155:$E$160, 2, FALSE),$I$200,$I$201)</f>
        <v>8.5071360000000011E-5</v>
      </c>
      <c r="H207" s="15" cm="1">
        <f t="array" aca="1" ref="H207" ca="1">MMS_Swine_Methane_Equations.VEERG_4_5_1_1__3_Stage1MethaneProduction(G$88,H38,VLOOKUP($D207, $D$155:$E$160, 2, FALSE),$I$200,$I$201)</f>
        <v>6.0323328000000009E-5</v>
      </c>
      <c r="I207" s="16"/>
      <c r="N207" s="111" t="str">
        <f>INDEX(X_Table_Swine_Stage1MMS_Drylot,2,1)</f>
        <v>Drylot (feed pad)</v>
      </c>
      <c r="O207" s="15" cm="1">
        <f t="array" aca="1" ref="O207" ca="1">MMS_Swine_Methane_Equations.VEERG_4_5_1_1__3_Stage1MethaneProduction(N$88,O38,VLOOKUP($N207, $N$155:$O$160, 2, FALSE),$I$200,$I$201)</f>
        <v>6.1870080000000008E-5</v>
      </c>
      <c r="P207" s="15" cm="1">
        <f t="array" aca="1" ref="P207" ca="1">MMS_Swine_Methane_Equations.VEERG_4_5_1_1__3_Stage1MethaneProduction(O$88,P38,VLOOKUP($N207, $N$155:$O$160, 2, FALSE),$I$200,$I$201)</f>
        <v>7.1150592000000001E-5</v>
      </c>
      <c r="Q207" s="15" cm="1">
        <f t="array" aca="1" ref="Q207" ca="1">MMS_Swine_Methane_Equations.VEERG_4_5_1_1__3_Stage1MethaneProduction(P$88,Q38,VLOOKUP($N207, $N$155:$O$160, 2, FALSE),$I$200,$I$201)</f>
        <v>8.5071360000000011E-5</v>
      </c>
      <c r="R207" s="15" cm="1">
        <f t="array" aca="1" ref="R207" ca="1">MMS_Swine_Methane_Equations.VEERG_4_5_1_1__3_Stage1MethaneProduction(Q$88,R38,VLOOKUP($N207, $N$155:$O$160, 2, FALSE),$I$200,$I$201)</f>
        <v>6.0323328000000009E-5</v>
      </c>
      <c r="S207" s="16"/>
    </row>
    <row r="208" spans="4:19" ht="20.100000000000001" customHeight="1" x14ac:dyDescent="0.2">
      <c r="D208" s="111" t="str">
        <f>INDEX(X_Table_Swine_Stage1MMS_DigesterCoveredLagoons,2,1)</f>
        <v>Digester / covered lagoons</v>
      </c>
      <c r="E208" s="15" cm="1">
        <f t="array" aca="1" ref="E208" ca="1">MMS_Swine_Methane_Equations.VEERG_4_5_1_1__3_Stage1MethaneProduction(D$88,E39,VLOOKUP($D208, $D$155:$E$160, 2, FALSE),$I$200,$I$201)</f>
        <v>6.1870080000000008E-4</v>
      </c>
      <c r="F208" s="15" cm="1">
        <f t="array" aca="1" ref="F208" ca="1">MMS_Swine_Methane_Equations.VEERG_4_5_1_1__3_Stage1MethaneProduction(E$88,F39,VLOOKUP($D208, $D$155:$E$160, 2, FALSE),$I$200,$I$201)</f>
        <v>7.1150592000000009E-4</v>
      </c>
      <c r="G208" s="15" cm="1">
        <f t="array" aca="1" ref="G208" ca="1">MMS_Swine_Methane_Equations.VEERG_4_5_1_1__3_Stage1MethaneProduction(F$88,G39,VLOOKUP($D208, $D$155:$E$160, 2, FALSE),$I$200,$I$201)</f>
        <v>8.5071360000000011E-4</v>
      </c>
      <c r="H208" s="15" cm="1">
        <f t="array" aca="1" ref="H208" ca="1">MMS_Swine_Methane_Equations.VEERG_4_5_1_1__3_Stage1MethaneProduction(G$88,H39,VLOOKUP($D208, $D$155:$E$160, 2, FALSE),$I$200,$I$201)</f>
        <v>6.0323328000000008E-4</v>
      </c>
      <c r="I208" s="16"/>
      <c r="N208" s="111" t="str">
        <f>INDEX(X_Table_Swine_Stage1MMS_DigesterCoveredLagoons,2,1)</f>
        <v>Digester / covered lagoons</v>
      </c>
      <c r="O208" s="15" cm="1">
        <f t="array" aca="1" ref="O208" ca="1">MMS_Swine_Methane_Equations.VEERG_4_5_1_1__3_Stage1MethaneProduction(N$88,O39,VLOOKUP($N208, $N$155:$O$160, 2, FALSE),$I$200,$I$201)</f>
        <v>6.1870080000000008E-4</v>
      </c>
      <c r="P208" s="15" cm="1">
        <f t="array" aca="1" ref="P208" ca="1">MMS_Swine_Methane_Equations.VEERG_4_5_1_1__3_Stage1MethaneProduction(O$88,P39,VLOOKUP($N208, $N$155:$O$160, 2, FALSE),$I$200,$I$201)</f>
        <v>7.1150592000000009E-4</v>
      </c>
      <c r="Q208" s="15" cm="1">
        <f t="array" aca="1" ref="Q208" ca="1">MMS_Swine_Methane_Equations.VEERG_4_5_1_1__3_Stage1MethaneProduction(P$88,Q39,VLOOKUP($N208, $N$155:$O$160, 2, FALSE),$I$200,$I$201)</f>
        <v>8.5071360000000011E-4</v>
      </c>
      <c r="R208" s="15" cm="1">
        <f t="array" aca="1" ref="R208" ca="1">MMS_Swine_Methane_Equations.VEERG_4_5_1_1__3_Stage1MethaneProduction(Q$88,R39,VLOOKUP($N208, $N$155:$O$160, 2, FALSE),$I$200,$I$201)</f>
        <v>6.0323328000000008E-4</v>
      </c>
      <c r="S208" s="16"/>
    </row>
    <row r="209" spans="1:21" ht="20.100000000000001" customHeight="1" x14ac:dyDescent="0.2">
      <c r="D209" s="111" t="str">
        <f>INDEX(X_Table_Swine_Stage1MMS_DeepLitter,2,1)</f>
        <v>Deep litter</v>
      </c>
      <c r="E209" s="15" cm="1">
        <f t="array" aca="1" ref="E209" ca="1">MMS_Swine_Methane_Equations.VEERG_4_5_1_1__3_Stage1MethaneProduction(D$88,E40,VLOOKUP($D209, $D$155:$E$160, 2, FALSE),$I$200,$I$201)</f>
        <v>2.4748032000000003E-4</v>
      </c>
      <c r="F209" s="15" cm="1">
        <f t="array" aca="1" ref="F209" ca="1">MMS_Swine_Methane_Equations.VEERG_4_5_1_1__3_Stage1MethaneProduction(E$88,F40,VLOOKUP($D209, $D$155:$E$160, 2, FALSE),$I$200,$I$201)</f>
        <v>2.84602368E-4</v>
      </c>
      <c r="G209" s="15" cm="1">
        <f t="array" aca="1" ref="G209" ca="1">MMS_Swine_Methane_Equations.VEERG_4_5_1_1__3_Stage1MethaneProduction(F$88,G40,VLOOKUP($D209, $D$155:$E$160, 2, FALSE),$I$200,$I$201)</f>
        <v>3.4028544000000004E-4</v>
      </c>
      <c r="H209" s="15" cm="1">
        <f t="array" aca="1" ref="H209" ca="1">MMS_Swine_Methane_Equations.VEERG_4_5_1_1__3_Stage1MethaneProduction(G$88,H40,VLOOKUP($D209, $D$155:$E$160, 2, FALSE),$I$200,$I$201)</f>
        <v>2.4129331200000004E-4</v>
      </c>
      <c r="I209" s="16"/>
      <c r="N209" s="111" t="str">
        <f>INDEX(X_Table_Swine_Stage1MMS_DeepLitter,2,1)</f>
        <v>Deep litter</v>
      </c>
      <c r="O209" s="15" cm="1">
        <f t="array" aca="1" ref="O209" ca="1">MMS_Swine_Methane_Equations.VEERG_4_5_1_1__3_Stage1MethaneProduction(N$88,O40,VLOOKUP($N209, $N$155:$O$160, 2, FALSE),$I$200,$I$201)</f>
        <v>2.4748032000000003E-4</v>
      </c>
      <c r="P209" s="15" cm="1">
        <f t="array" aca="1" ref="P209" ca="1">MMS_Swine_Methane_Equations.VEERG_4_5_1_1__3_Stage1MethaneProduction(O$88,P40,VLOOKUP($N209, $N$155:$O$160, 2, FALSE),$I$200,$I$201)</f>
        <v>2.84602368E-4</v>
      </c>
      <c r="Q209" s="15" cm="1">
        <f t="array" aca="1" ref="Q209" ca="1">MMS_Swine_Methane_Equations.VEERG_4_5_1_1__3_Stage1MethaneProduction(P$88,Q40,VLOOKUP($N209, $N$155:$O$160, 2, FALSE),$I$200,$I$201)</f>
        <v>3.4028544000000004E-4</v>
      </c>
      <c r="R209" s="15" cm="1">
        <f t="array" aca="1" ref="R209" ca="1">MMS_Swine_Methane_Equations.VEERG_4_5_1_1__3_Stage1MethaneProduction(Q$88,R40,VLOOKUP($N209, $N$155:$O$160, 2, FALSE),$I$200,$I$201)</f>
        <v>2.4129331200000004E-4</v>
      </c>
      <c r="S209" s="16"/>
    </row>
    <row r="210" spans="1:21" ht="20.100000000000001" customHeight="1" x14ac:dyDescent="0.2">
      <c r="D210" s="111" t="str">
        <f>INDEX(X_Table_Swine_Stage1MMS_PitStorage,2,1)</f>
        <v>Pit storage</v>
      </c>
      <c r="E210" s="15" cm="1">
        <f t="array" aca="1" ref="E210" ca="1">MMS_Swine_Methane_Equations.VEERG_4_5_1_1__3_Stage1MethaneProduction(D$88,E41,VLOOKUP($D210, $D$155:$E$160, 2, FALSE),$I$200,$I$201)</f>
        <v>1.8561024E-4</v>
      </c>
      <c r="F210" s="15" cm="1">
        <f t="array" aca="1" ref="F210" ca="1">MMS_Swine_Methane_Equations.VEERG_4_5_1_1__3_Stage1MethaneProduction(E$88,F41,VLOOKUP($D210, $D$155:$E$160, 2, FALSE),$I$200,$I$201)</f>
        <v>2.1345177599999999E-4</v>
      </c>
      <c r="G210" s="15" cm="1">
        <f t="array" aca="1" ref="G210" ca="1">MMS_Swine_Methane_Equations.VEERG_4_5_1_1__3_Stage1MethaneProduction(F$88,G41,VLOOKUP($D210, $D$155:$E$160, 2, FALSE),$I$200,$I$201)</f>
        <v>2.5521407999999998E-4</v>
      </c>
      <c r="H210" s="15" cm="1">
        <f t="array" aca="1" ref="H210" ca="1">MMS_Swine_Methane_Equations.VEERG_4_5_1_1__3_Stage1MethaneProduction(G$88,H41,VLOOKUP($D210, $D$155:$E$160, 2, FALSE),$I$200,$I$201)</f>
        <v>1.8096998400000001E-4</v>
      </c>
      <c r="I210" s="16"/>
      <c r="N210" s="111" t="str">
        <f>INDEX(X_Table_Swine_Stage1MMS_PitStorage,2,1)</f>
        <v>Pit storage</v>
      </c>
      <c r="O210" s="15" cm="1">
        <f t="array" aca="1" ref="O210" ca="1">MMS_Swine_Methane_Equations.VEERG_4_5_1_1__3_Stage1MethaneProduction(N$88,O41,VLOOKUP($N210, $N$155:$O$160, 2, FALSE),$I$200,$I$201)</f>
        <v>1.8561024E-4</v>
      </c>
      <c r="P210" s="15" cm="1">
        <f t="array" aca="1" ref="P210" ca="1">MMS_Swine_Methane_Equations.VEERG_4_5_1_1__3_Stage1MethaneProduction(O$88,P41,VLOOKUP($N210, $N$155:$O$160, 2, FALSE),$I$200,$I$201)</f>
        <v>2.1345177599999999E-4</v>
      </c>
      <c r="Q210" s="15" cm="1">
        <f t="array" aca="1" ref="Q210" ca="1">MMS_Swine_Methane_Equations.VEERG_4_5_1_1__3_Stage1MethaneProduction(P$88,Q41,VLOOKUP($N210, $N$155:$O$160, 2, FALSE),$I$200,$I$201)</f>
        <v>2.5521407999999998E-4</v>
      </c>
      <c r="R210" s="15" cm="1">
        <f t="array" aca="1" ref="R210" ca="1">MMS_Swine_Methane_Equations.VEERG_4_5_1_1__3_Stage1MethaneProduction(Q$88,R41,VLOOKUP($N210, $N$155:$O$160, 2, FALSE),$I$200,$I$201)</f>
        <v>1.8096998400000001E-4</v>
      </c>
      <c r="S210" s="16"/>
    </row>
    <row r="211" spans="1:21" ht="20.100000000000001" customHeight="1" x14ac:dyDescent="0.2">
      <c r="D211" s="111" t="s">
        <v>75</v>
      </c>
      <c r="E211" s="15" cm="1">
        <f t="array" aca="1" ref="E211" ca="1">MMS_Swine_Methane_Equations.VEERG_4_5_1_1__3_Stage1MethaneProduction(D$88,E68,VLOOKUP($D211, $D$155:$E$160, 2, FALSE),$I$200,$I$201)</f>
        <v>4.124672000000002E-4</v>
      </c>
      <c r="F211" s="15" cm="1">
        <f t="array" aca="1" ref="F211" ca="1">MMS_Swine_Methane_Equations.VEERG_4_5_1_1__3_Stage1MethaneProduction(E$88,F68,VLOOKUP($D211, $D$155:$E$160, 2, FALSE),$I$200,$I$201)</f>
        <v>4.7433728000000026E-4</v>
      </c>
      <c r="G211" s="15" cm="1">
        <f t="array" aca="1" ref="G211" ca="1">MMS_Swine_Methane_Equations.VEERG_4_5_1_1__3_Stage1MethaneProduction(F$88,G68,VLOOKUP($D211, $D$155:$E$160, 2, FALSE),$I$200,$I$201)</f>
        <v>5.6714240000000022E-4</v>
      </c>
      <c r="H211" s="15" cm="1">
        <f t="array" aca="1" ref="H211" ca="1">MMS_Swine_Methane_Equations.VEERG_4_5_1_1__3_Stage1MethaneProduction(G$88,H68,VLOOKUP($D211, $D$155:$E$160, 2, FALSE),$I$200,$I$201)</f>
        <v>4.0215552000000016E-4</v>
      </c>
      <c r="I211" s="16"/>
      <c r="N211" s="111" t="s">
        <v>75</v>
      </c>
      <c r="O211" s="15" cm="1">
        <f t="array" aca="1" ref="O211" ca="1">MMS_Swine_Methane_Equations.VEERG_4_5_1_1__3_Stage1MethaneProduction(N$88,O68,VLOOKUP($N211, $N$155:$O$160, 2, FALSE),$I$200,$I$201)</f>
        <v>4.124672000000002E-4</v>
      </c>
      <c r="P211" s="15" cm="1">
        <f t="array" aca="1" ref="P211" ca="1">MMS_Swine_Methane_Equations.VEERG_4_5_1_1__3_Stage1MethaneProduction(O$88,P68,VLOOKUP($N211, $N$155:$O$160, 2, FALSE),$I$200,$I$201)</f>
        <v>4.7433728000000026E-4</v>
      </c>
      <c r="Q211" s="15" cm="1">
        <f t="array" aca="1" ref="Q211" ca="1">MMS_Swine_Methane_Equations.VEERG_4_5_1_1__3_Stage1MethaneProduction(P$88,Q68,VLOOKUP($N211, $N$155:$O$160, 2, FALSE),$I$200,$I$201)</f>
        <v>5.6714240000000022E-4</v>
      </c>
      <c r="R211" s="15" cm="1">
        <f t="array" aca="1" ref="R211" ca="1">MMS_Swine_Methane_Equations.VEERG_4_5_1_1__3_Stage1MethaneProduction(Q$88,R68,VLOOKUP($N211, $N$155:$O$160, 2, FALSE),$I$200,$I$201)</f>
        <v>4.0215552000000016E-4</v>
      </c>
      <c r="S211" s="16"/>
    </row>
    <row r="214" spans="1:21" ht="20.100000000000001" customHeight="1" x14ac:dyDescent="0.2">
      <c r="C214" s="82"/>
      <c r="D214" s="82"/>
      <c r="E214" s="82"/>
      <c r="F214" s="82"/>
      <c r="G214" s="82"/>
      <c r="H214" s="82"/>
      <c r="I214" s="82"/>
      <c r="J214" s="82"/>
      <c r="K214" s="82"/>
      <c r="M214" s="82"/>
      <c r="N214" s="82"/>
      <c r="O214" s="82"/>
      <c r="P214" s="82"/>
      <c r="Q214" s="82"/>
      <c r="R214" s="82"/>
      <c r="S214" s="82"/>
      <c r="T214" s="82"/>
      <c r="U214" s="82"/>
    </row>
    <row r="215" spans="1:21" ht="20.100000000000001" customHeight="1" x14ac:dyDescent="0.2">
      <c r="D215" s="2" t="str" cm="1">
        <f t="array" ref="D215">MMS_Swine_Methane_Equations.VEERG_4_5_1_1__2_MethaneProductionPerClass_Title()</f>
        <v>Methane production from the manure of each class of swine</v>
      </c>
    </row>
    <row r="216" spans="1:21" ht="20.100000000000001" customHeight="1" x14ac:dyDescent="0.2">
      <c r="D216" s="17" t="str" cm="1">
        <f t="array" ref="D216">MMS_Swine_Methane_Equations.VEERG_4_5_1_1__2_MethaneProductionPerClass_Source()</f>
        <v>VEERG 2026: 4.5.1.1, Equation (2)</v>
      </c>
    </row>
    <row r="217" spans="1:21" ht="20.100000000000001" customHeight="1" x14ac:dyDescent="0.2">
      <c r="A217" s="131" t="str">
        <f>HYPERLINK("#A1", "▲ Back to top")</f>
        <v>▲ Back to top</v>
      </c>
      <c r="D217" s="25" t="str" cm="1">
        <f t="array" ref="D217">MMS_Swine_Methane_Equations.VEERG_4_5_1_1__2_MethaneProductionPerClass_Variation()</f>
        <v>VARIATION ON SOURCE: Split variable Mjm into MjmT1 and MjmT2 for stage 1 and 2 MMS.</v>
      </c>
    </row>
    <row r="218" spans="1:21" ht="20.100000000000001" customHeight="1" x14ac:dyDescent="0.2">
      <c r="D218" s="110" t="s">
        <v>321</v>
      </c>
      <c r="E218" s="110" t="str" cm="1">
        <f t="array" aca="1" ref="E218" ca="1">Common_InputFunctions.Utility_DisplayFunctionName(D229)</f>
        <v>=MMS_Swine_Methane_Equations.VEERG_4_5_1_1__2_MethaneProductionPerClassVariation</v>
      </c>
    </row>
    <row r="220" spans="1:21" ht="20.100000000000001" customHeight="1" x14ac:dyDescent="0.2">
      <c r="E220" s="110"/>
    </row>
    <row r="221" spans="1:21" ht="20.100000000000001" customHeight="1" x14ac:dyDescent="0.2">
      <c r="D221" s="75" t="s">
        <v>322</v>
      </c>
      <c r="E221" s="1" t="str" cm="1">
        <f t="array" ref="E221">MMS_Swine_Methane_Equations.VEERG_4_5_1_1__2_MethaneProductionPerClass_Variable()</f>
        <v>Mmj</v>
      </c>
    </row>
    <row r="222" spans="1:21" ht="20.100000000000001" customHeight="1" x14ac:dyDescent="0.2">
      <c r="D222" s="75" t="s">
        <v>118</v>
      </c>
      <c r="E222" s="9" t="str" cm="1">
        <f t="array" ref="E222">MMS_Swine_Methane_Equations.VEERG_4_5_1_1__2_MethaneProductionPerClass_Unit()</f>
        <v>kg CH4/head/day</v>
      </c>
    </row>
    <row r="224" spans="1:21" ht="20.100000000000001" customHeight="1" x14ac:dyDescent="0.2">
      <c r="D224" s="111" t="str" cm="1">
        <f t="array" ref="D224:E224">_xlfn.CHOOSECOLS(MMS_Swine_Methane_Equations.VEERG_4_5_1_1__2_MethaneProductionPerClass_Arguments(), 1, 2)</f>
        <v>MjmT</v>
      </c>
      <c r="E224" s="112" t="str">
        <v>methane production from manure per class, MMS, and treatment stage</v>
      </c>
      <c r="F224" s="113"/>
      <c r="G224" s="111" t="str" cm="1">
        <f t="array" ref="G224:H224">_xlfn.CHOOSECOLS(MMS_Swine_Methane_Equations.VEERG_4_5_1_1__2_MethaneProductionPerClass_Arguments(), 3,4)</f>
        <v>kg CH4/head/day</v>
      </c>
      <c r="H224" s="125" t="str">
        <v>Calculated from 4.5.1.1 (3) and (6)</v>
      </c>
      <c r="I224" s="115" t="str" cm="1">
        <f t="array" aca="1" ref="I224" ca="1">HYPERLINK(Common_InputFunctions.Utility_SourceHyperlink(D203), D203)</f>
        <v>M1_Table_M_i_j_m_T-1</v>
      </c>
      <c r="J224" s="115" t="str" cm="1">
        <f t="array" aca="1" ref="J224" ca="1">HYPERLINK(Common_InputFunctions.Utility_SourceHyperlink(D162), D162)</f>
        <v>M1_Table_M_i_j_m_T-2</v>
      </c>
    </row>
    <row r="226" spans="3:21" ht="20.100000000000001" customHeight="1" x14ac:dyDescent="0.2">
      <c r="D226" s="117" t="s">
        <v>369</v>
      </c>
      <c r="N226" s="117" t="s">
        <v>370</v>
      </c>
    </row>
    <row r="227" spans="3:21" ht="20.100000000000001" customHeight="1" x14ac:dyDescent="0.2">
      <c r="D227" s="118" t="s">
        <v>371</v>
      </c>
      <c r="N227" s="118" t="s">
        <v>372</v>
      </c>
    </row>
    <row r="228" spans="3:21" ht="20.100000000000001" customHeight="1" x14ac:dyDescent="0.2">
      <c r="D228" s="119" t="s">
        <v>290</v>
      </c>
      <c r="E228" s="119" t="s">
        <v>291</v>
      </c>
      <c r="F228" s="119" t="s">
        <v>265</v>
      </c>
      <c r="G228" s="119" t="s">
        <v>292</v>
      </c>
      <c r="N228" s="119" t="s">
        <v>290</v>
      </c>
      <c r="O228" s="119" t="s">
        <v>291</v>
      </c>
      <c r="P228" s="119" t="s">
        <v>265</v>
      </c>
      <c r="Q228" s="119" t="s">
        <v>292</v>
      </c>
    </row>
    <row r="229" spans="3:21" ht="20.100000000000001" customHeight="1" x14ac:dyDescent="0.2">
      <c r="D229" s="15" cm="1">
        <f t="array" aca="1" ref="D229" ca="1">MMS_Swine_Methane_Equations.VEERG_4_5_1_1__2_MethaneProductionPerClassVariation(E206:E211,F165:F184)</f>
        <v>1.3780116684800005E-2</v>
      </c>
      <c r="E229" s="15" cm="1">
        <f t="array" aca="1" ref="E229" ca="1">MMS_Swine_Methane_Equations.VEERG_4_5_1_1__2_MethaneProductionPerClassVariation(F206:F211,G165:G184)</f>
        <v>1.6933247974400007E-2</v>
      </c>
      <c r="F229" s="15" cm="1">
        <f t="array" aca="1" ref="F229" ca="1">MMS_Swine_Methane_Equations.VEERG_4_5_1_1__2_MethaneProductionPerClassVariation(G206:G211,H165:H184)</f>
        <v>2.0246274752000006E-2</v>
      </c>
      <c r="G229" s="15" cm="1">
        <f t="array" aca="1" ref="G229" ca="1">MMS_Swine_Methane_Equations.VEERG_4_5_1_1__2_MethaneProductionPerClassVariation(H206:H211,I165:I184)</f>
        <v>1.4356449369600002E-2</v>
      </c>
      <c r="H229" s="16" t="str">
        <f>$E$222</f>
        <v>kg CH4/head/day</v>
      </c>
      <c r="N229" s="15" cm="1">
        <f t="array" aca="1" ref="N229" ca="1">MMS_Swine_Methane_Equations.VEERG_4_5_1_1__2_MethaneProductionPerClassVariation(O206:O211,P165:P184)</f>
        <v>1.3922830336000004E-2</v>
      </c>
      <c r="O229" s="15" cm="1">
        <f t="array" aca="1" ref="O229" ca="1">MMS_Swine_Methane_Equations.VEERG_4_5_1_1__2_MethaneProductionPerClassVariation(P206:P211,Q165:Q184)</f>
        <v>1.7108752768000005E-2</v>
      </c>
      <c r="P229" s="15" cm="1">
        <f t="array" aca="1" ref="P229" ca="1">MMS_Swine_Methane_Equations.VEERG_4_5_1_1__2_MethaneProductionPerClassVariation(Q206:Q211,R165:R184)</f>
        <v>2.0456117440000005E-2</v>
      </c>
      <c r="Q229" s="15" cm="1">
        <f t="array" aca="1" ref="Q229" ca="1">MMS_Swine_Methane_Equations.VEERG_4_5_1_1__2_MethaneProductionPerClassVariation(R206:R211,S165:S184)</f>
        <v>1.4505246912000001E-2</v>
      </c>
      <c r="R229" s="16" t="str">
        <f>$E$222</f>
        <v>kg CH4/head/day</v>
      </c>
    </row>
    <row r="232" spans="3:21" ht="20.100000000000001" customHeight="1" x14ac:dyDescent="0.2">
      <c r="C232" s="82"/>
      <c r="D232" s="82"/>
      <c r="E232" s="82"/>
      <c r="F232" s="82"/>
      <c r="G232" s="82"/>
      <c r="H232" s="82"/>
      <c r="I232" s="82"/>
      <c r="J232" s="82"/>
      <c r="K232" s="82"/>
      <c r="M232" s="82"/>
      <c r="N232" s="82"/>
      <c r="O232" s="82"/>
      <c r="P232" s="82"/>
      <c r="Q232" s="82"/>
      <c r="R232" s="82"/>
      <c r="S232" s="82"/>
      <c r="T232" s="82"/>
      <c r="U232" s="82"/>
    </row>
    <row r="233" spans="3:21" ht="20.100000000000001" customHeight="1" x14ac:dyDescent="0.2">
      <c r="D233" s="2" t="str" cm="1">
        <f t="array" ref="D233">MMS_Swine_Methane_Equations.VEERG_4_5_1_1__1_TotalAnnualMethaneEmissions_Title()</f>
        <v>Total annual methane emissions from manure management</v>
      </c>
    </row>
    <row r="234" spans="3:21" ht="20.100000000000001" customHeight="1" x14ac:dyDescent="0.2">
      <c r="D234" s="17" t="str" cm="1">
        <f t="array" ref="D234">MMS_Swine_Methane_Equations.VEERG_4_5_1_1__1_TotalAnnualMethaneEmissions_Source()</f>
        <v>VEERG 2026: 4.5.1.1, Equation (1)</v>
      </c>
    </row>
    <row r="235" spans="3:21" ht="20.100000000000001" customHeight="1" x14ac:dyDescent="0.2">
      <c r="D235" s="110" t="s">
        <v>321</v>
      </c>
      <c r="E235" s="110" t="str" cm="1">
        <f t="array" aca="1" ref="E235" ca="1">Common_InputFunctions.Utility_DisplayFunctionName(D259)</f>
        <v>=MMS_Swine_Methane_Equations.VEERG_4_5_1_1__1_TotalAnnualMethaneEmissions</v>
      </c>
    </row>
    <row r="237" spans="3:21" ht="20.100000000000001" customHeight="1" x14ac:dyDescent="0.2">
      <c r="D237" s="2"/>
    </row>
    <row r="239" spans="3:21" ht="20.100000000000001" customHeight="1" x14ac:dyDescent="0.2">
      <c r="D239" s="75" t="s">
        <v>322</v>
      </c>
      <c r="E239" s="1" t="str" cm="1">
        <f t="array" ref="E239">MMS_Swine_Methane_Equations.VEERG_4_5_1_1__1_TotalAnnualMethaneEmissions_Variable()</f>
        <v>ECH4</v>
      </c>
    </row>
    <row r="240" spans="3:21" ht="20.100000000000001" customHeight="1" x14ac:dyDescent="0.2">
      <c r="D240" s="75" t="s">
        <v>118</v>
      </c>
      <c r="E240" s="9" t="str" cm="1">
        <f t="array" ref="E240">MMS_Swine_Methane_Equations.VEERG_4_5_1_1__1_TotalAnnualMethaneEmissions_Unit()</f>
        <v>t CH4</v>
      </c>
    </row>
    <row r="242" spans="1:14" ht="20.100000000000001" customHeight="1" x14ac:dyDescent="0.2">
      <c r="D242" s="111" t="str" cm="1">
        <f t="array" ref="D242:E244">_xlfn.CHOOSECOLS(MMS_Swine_Methane_Equations.VEERG_4_5_1_1__1_TotalAnnualMethaneEmissions_Arguments(), 1, 2)</f>
        <v>Dj</v>
      </c>
      <c r="E242" s="112" t="str">
        <v>length of stay of each class of swine</v>
      </c>
      <c r="F242" s="124"/>
      <c r="G242" s="111" t="str" cm="1">
        <f t="array" ref="G242:H244">_xlfn.CHOOSECOLS(MMS_Swine_Methane_Equations.VEERG_4_5_1_1__1_TotalAnnualMethaneEmissions_Arguments(), 3,4)</f>
        <v>days</v>
      </c>
      <c r="H242" s="123" t="str">
        <v>Input</v>
      </c>
      <c r="I242" s="115" t="str" cm="1">
        <f t="array" aca="1" ref="I242" ca="1">HYPERLINK(Common_InputFunctions.Utility_SourceHyperlink(D246), D246)</f>
        <v>Table_D_j</v>
      </c>
    </row>
    <row r="243" spans="1:14" ht="20.100000000000001" customHeight="1" x14ac:dyDescent="0.2">
      <c r="D243" s="111" t="str">
        <v>Mmj</v>
      </c>
      <c r="E243" s="112" t="str">
        <v>methane production from manure in each swine class</v>
      </c>
      <c r="F243" s="124"/>
      <c r="G243" s="111" t="str">
        <v>kg CH4/head/day</v>
      </c>
      <c r="H243" s="125" t="str">
        <v>Calculated from 4.5.1.1 (2)</v>
      </c>
      <c r="I243" s="115" t="str" cm="1">
        <f t="array" aca="1" ref="I243" ca="1">HYPERLINK(Common_InputFunctions.Utility_SourceHyperlink(D226), D226)</f>
        <v>M1_Table_M_m_j</v>
      </c>
    </row>
    <row r="244" spans="1:14" ht="20.100000000000001" customHeight="1" x14ac:dyDescent="0.2">
      <c r="D244" s="111" t="str">
        <v>Nj</v>
      </c>
      <c r="E244" s="112" t="str">
        <v>numbers of swine in each class</v>
      </c>
      <c r="F244" s="124"/>
      <c r="G244" s="111" t="str">
        <v>head</v>
      </c>
      <c r="H244" s="123" t="str">
        <v>Input</v>
      </c>
      <c r="I244" s="115" t="str" cm="1">
        <f t="array" aca="1" ref="I244" ca="1">HYPERLINK(Common_InputFunctions.Utility_SourceHyperlink(D226), D226)</f>
        <v>M1_Table_M_m_j</v>
      </c>
    </row>
    <row r="246" spans="1:14" ht="20.100000000000001" customHeight="1" x14ac:dyDescent="0.2">
      <c r="D246" s="117" t="s">
        <v>373</v>
      </c>
    </row>
    <row r="247" spans="1:14" ht="20.100000000000001" customHeight="1" x14ac:dyDescent="0.2">
      <c r="A247" s="131" t="str">
        <f>HYPERLINK("#A1", "▲ Back to top")</f>
        <v>▲ Back to top</v>
      </c>
      <c r="D247" s="118" t="s">
        <v>374</v>
      </c>
    </row>
    <row r="248" spans="1:14" ht="20.100000000000001" customHeight="1" x14ac:dyDescent="0.2">
      <c r="D248" s="78" t="s">
        <v>290</v>
      </c>
      <c r="E248" s="78" t="s">
        <v>291</v>
      </c>
      <c r="F248" s="78" t="s">
        <v>265</v>
      </c>
      <c r="G248" s="78" t="s">
        <v>292</v>
      </c>
    </row>
    <row r="249" spans="1:14" ht="20.100000000000001" customHeight="1" x14ac:dyDescent="0.2">
      <c r="D249" s="15" cm="1">
        <f t="array" aca="1" ref="D249:G249" ca="1">OFFSET(X_Table_Swine_HerdMovement,1,1,1,4)</f>
        <v>365</v>
      </c>
      <c r="E249" s="132">
        <f ca="1"/>
        <v>365</v>
      </c>
      <c r="F249" s="132">
        <f ca="1"/>
        <v>365</v>
      </c>
      <c r="G249" s="132">
        <f ca="1"/>
        <v>365</v>
      </c>
      <c r="H249" s="16" t="str">
        <f>G242</f>
        <v>days</v>
      </c>
    </row>
    <row r="251" spans="1:14" ht="20.100000000000001" customHeight="1" x14ac:dyDescent="0.2">
      <c r="D251" s="117" t="s">
        <v>375</v>
      </c>
    </row>
    <row r="252" spans="1:14" ht="20.100000000000001" customHeight="1" x14ac:dyDescent="0.2">
      <c r="D252" s="118" t="s">
        <v>376</v>
      </c>
    </row>
    <row r="253" spans="1:14" ht="20.100000000000001" customHeight="1" x14ac:dyDescent="0.2">
      <c r="D253" s="78" t="s">
        <v>290</v>
      </c>
      <c r="E253" s="78" t="s">
        <v>291</v>
      </c>
      <c r="F253" s="78" t="s">
        <v>265</v>
      </c>
      <c r="G253" s="78" t="s">
        <v>292</v>
      </c>
    </row>
    <row r="254" spans="1:14" ht="20.100000000000001" customHeight="1" x14ac:dyDescent="0.2">
      <c r="D254" s="15" cm="1">
        <f t="array" aca="1" ref="D254:G254" ca="1">OFFSET(X_Table_Swine_HerdMovement,2,1,1,4)</f>
        <v>100</v>
      </c>
      <c r="E254" s="132">
        <f ca="1"/>
        <v>100</v>
      </c>
      <c r="F254" s="132">
        <f ca="1"/>
        <v>100</v>
      </c>
      <c r="G254" s="132">
        <f ca="1"/>
        <v>100</v>
      </c>
      <c r="H254" s="16" t="str">
        <f>G244</f>
        <v>head</v>
      </c>
    </row>
    <row r="256" spans="1:14" ht="20.100000000000001" customHeight="1" x14ac:dyDescent="0.2">
      <c r="D256" s="117" t="s">
        <v>377</v>
      </c>
      <c r="N256" s="117" t="s">
        <v>378</v>
      </c>
    </row>
    <row r="257" spans="4:18" ht="20.100000000000001" customHeight="1" x14ac:dyDescent="0.2">
      <c r="D257" s="118" t="s">
        <v>379</v>
      </c>
      <c r="N257" s="118" t="s">
        <v>380</v>
      </c>
    </row>
    <row r="258" spans="4:18" ht="20.100000000000001" customHeight="1" x14ac:dyDescent="0.2">
      <c r="D258" s="119" t="s">
        <v>290</v>
      </c>
      <c r="E258" s="119" t="s">
        <v>291</v>
      </c>
      <c r="F258" s="119" t="s">
        <v>265</v>
      </c>
      <c r="G258" s="119" t="s">
        <v>292</v>
      </c>
      <c r="N258" s="119" t="s">
        <v>290</v>
      </c>
      <c r="O258" s="119" t="s">
        <v>291</v>
      </c>
      <c r="P258" s="119" t="s">
        <v>265</v>
      </c>
      <c r="Q258" s="119" t="s">
        <v>292</v>
      </c>
    </row>
    <row r="259" spans="4:18" ht="20.100000000000001" customHeight="1" x14ac:dyDescent="0.2">
      <c r="D259" s="15" cm="1">
        <f t="array" aca="1" ref="D259" ca="1">MMS_Swine_Methane_Equations.VEERG_4_5_1_1__1_TotalAnnualMethaneEmissions(D249,D$229,D254)</f>
        <v>0.50297425899520021</v>
      </c>
      <c r="E259" s="15" cm="1">
        <f t="array" aca="1" ref="E259" ca="1">MMS_Swine_Methane_Equations.VEERG_4_5_1_1__1_TotalAnnualMethaneEmissions(E249,E$229,E254)</f>
        <v>0.61806355106560018</v>
      </c>
      <c r="F259" s="15" cm="1">
        <f t="array" aca="1" ref="F259" ca="1">MMS_Swine_Methane_Equations.VEERG_4_5_1_1__1_TotalAnnualMethaneEmissions(F249,F$229,F254)</f>
        <v>0.73898902844800007</v>
      </c>
      <c r="G259" s="15" cm="1">
        <f t="array" aca="1" ref="G259" ca="1">MMS_Swine_Methane_Equations.VEERG_4_5_1_1__1_TotalAnnualMethaneEmissions(G249,G$229,G254)</f>
        <v>0.52401040199040005</v>
      </c>
      <c r="H259" s="16" t="str">
        <f>$E$240</f>
        <v>t CH4</v>
      </c>
      <c r="N259" s="15" cm="1">
        <f t="array" aca="1" ref="N259" ca="1">MMS_Swine_Methane_Equations.VEERG_4_5_1_1__1_TotalAnnualMethaneEmissions(D249,N$229,D254)</f>
        <v>0.50818330726400018</v>
      </c>
      <c r="O259" s="15" cm="1">
        <f t="array" aca="1" ref="O259" ca="1">MMS_Swine_Methane_Equations.VEERG_4_5_1_1__1_TotalAnnualMethaneEmissions(E249,O$229,E254)</f>
        <v>0.62446947603200009</v>
      </c>
      <c r="P259" s="15" cm="1">
        <f t="array" aca="1" ref="P259" ca="1">MMS_Swine_Methane_Equations.VEERG_4_5_1_1__1_TotalAnnualMethaneEmissions(F249,P$229,F254)</f>
        <v>0.74664828656000026</v>
      </c>
      <c r="Q259" s="15" cm="1">
        <f t="array" aca="1" ref="Q259" ca="1">MMS_Swine_Methane_Equations.VEERG_4_5_1_1__1_TotalAnnualMethaneEmissions(G249,Q$229,G254)</f>
        <v>0.52944151228800007</v>
      </c>
      <c r="R259" s="16" t="str">
        <f>$E$240</f>
        <v>t CH4</v>
      </c>
    </row>
    <row r="261" spans="4:18" ht="20.100000000000001" customHeight="1" x14ac:dyDescent="0.2">
      <c r="D261" s="84" t="s">
        <v>381</v>
      </c>
      <c r="E261" s="85">
        <f ca="1">SUM(D259:G259)</f>
        <v>2.3840372404992007</v>
      </c>
      <c r="F261" s="94" t="str">
        <f>$E$240</f>
        <v>t CH4</v>
      </c>
      <c r="N261" s="84" t="s">
        <v>381</v>
      </c>
      <c r="O261" s="85">
        <f ca="1">SUM(N259:Q259)</f>
        <v>2.4087425821440007</v>
      </c>
      <c r="P261" s="94" t="str">
        <f>$E$240</f>
        <v>t CH4</v>
      </c>
    </row>
    <row r="263" spans="4:18" ht="20.100000000000001" customHeight="1" x14ac:dyDescent="0.2">
      <c r="D263" s="111" t="str" cm="1">
        <f t="array" ref="D263:E264">Common_Equations.Common_ConvertCH4ToCO2e_Arguments()</f>
        <v>ECH4</v>
      </c>
      <c r="E263" s="112" t="str">
        <v>Methane emissions (t CH4)</v>
      </c>
      <c r="F263" s="133"/>
      <c r="G263" s="15">
        <f ca="1">VEERG_4_5_1_1__1_TotalAnnualMethaneEmissions_Result_Method1</f>
        <v>2.3840372404992007</v>
      </c>
      <c r="N263" s="111" t="str" cm="1">
        <f t="array" ref="N263:O264">Common_Equations.Common_ConvertCH4ToCO2e_Arguments()</f>
        <v>ECH4</v>
      </c>
      <c r="O263" s="112" t="str">
        <v>Methane emissions (t CH4)</v>
      </c>
      <c r="P263" s="133"/>
      <c r="Q263" s="15">
        <f ca="1">VEERG_4_5_1_1__1_TotalAnnualMethaneEmissions_Result_Method2</f>
        <v>2.4087425821440007</v>
      </c>
    </row>
    <row r="264" spans="4:18" ht="20.100000000000001" customHeight="1" x14ac:dyDescent="0.2">
      <c r="D264" s="111" t="str">
        <v>GWPCH4</v>
      </c>
      <c r="E264" s="112" t="str">
        <v>Global warming potential for methane (t CO2-e / t CH4)</v>
      </c>
      <c r="F264" s="133"/>
      <c r="G264" s="15">
        <f>Common_InputFunctions.Utility_LookupValueInTableNumber("CH4",Table_GWPData[Gas],Table_GWPData[CO2-e factor])</f>
        <v>28</v>
      </c>
      <c r="N264" s="111" t="str">
        <v>GWPCH4</v>
      </c>
      <c r="O264" s="112" t="str">
        <v>Global warming potential for methane (t CO2-e / t CH4)</v>
      </c>
      <c r="P264" s="133"/>
      <c r="Q264" s="15">
        <f>Common_InputFunctions.Utility_LookupValueInTableNumber("CH4",Table_GWPData[Gas],Table_GWPData[CO2-e factor])</f>
        <v>28</v>
      </c>
    </row>
    <row r="266" spans="4:18" ht="20.100000000000001" customHeight="1" x14ac:dyDescent="0.2">
      <c r="D266" s="82" t="s">
        <v>382</v>
      </c>
      <c r="E266" s="82" cm="1">
        <f t="array" aca="1" ref="E266" ca="1">Common_Equations.Common_ConvertCH4ToCO2e(G263,G264)</f>
        <v>66.753042733977622</v>
      </c>
      <c r="F266" s="88" t="str" cm="1">
        <f t="array" ref="F266">Common_Equations.Common_ConvertN2OToCO2e_Unit()</f>
        <v>t CO2e</v>
      </c>
      <c r="N266" s="82" t="s">
        <v>382</v>
      </c>
      <c r="O266" s="82" cm="1">
        <f t="array" aca="1" ref="O266" ca="1">Common_Equations.Common_ConvertCH4ToCO2e(Q263,Q264)</f>
        <v>67.44479230003202</v>
      </c>
      <c r="P266" s="88" t="str" cm="1">
        <f t="array" ref="P266">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O161:T161 E119:J119 I200 E252 P133:T134 E214 H121:J124 F138:I140 F120:J120 F121:F124 Q155:T156 R121:S124 P121:P124" xr:uid="{9BB749FF-1D13-41C3-B471-30770270B94A}"/>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7413F-CA84-467D-84EC-205F3EA14D8A}">
  <sheetPr>
    <tabColor rgb="FF008000"/>
  </sheetPr>
  <dimension ref="A1:U302"/>
  <sheetViews>
    <sheetView showGridLines="0" zoomScaleNormal="100" workbookViewId="0">
      <pane xSplit="1" topLeftCell="B1" activePane="topRight" state="frozenSplit"/>
      <selection pane="topRight" activeCell="A97" sqref="A97"/>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271</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MMS_Swine_N2ODirect_Equations.VEERG_4_5_1_3__5_AnnualNitrogenExcretion_Title()</f>
        <v>Annual nitrogen excretion from each swine group</v>
      </c>
    </row>
    <row r="6" spans="1:21" ht="20.100000000000001" customHeight="1" x14ac:dyDescent="0.2">
      <c r="D6" s="17" t="str" cm="1">
        <f t="array" ref="D6">MMS_Swine_N2ODirect_Equations.VEERG_4_5_1_3__5_AnnualNitrogenExcretion_Source()</f>
        <v>VEERG 2026: 4.5.1.3, Equation (5)</v>
      </c>
    </row>
    <row r="7" spans="1:21" ht="20.100000000000001" customHeight="1" x14ac:dyDescent="0.2">
      <c r="D7" s="110" t="s">
        <v>321</v>
      </c>
      <c r="E7" s="110" t="str" cm="1">
        <f t="array" aca="1" ref="E7" ca="1">Common_InputFunctions.Utility_DisplayFunctionName($E$35)</f>
        <v>=MMS_Swine_N2ODirect_Equations.VEERG_4_5_1_3__5_AnnualNitrogenExcretion</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MMS_Swine_N2ODirect_Equations.VEERG_4_5_1_3__5_AnnualNitrogenExcretion_Variable()</f>
        <v>AE_j</v>
      </c>
    </row>
    <row r="11" spans="1:21" ht="20.100000000000001" customHeight="1" x14ac:dyDescent="0.2">
      <c r="A11" s="5" t="str">
        <f>HYPERLINK("#'Input - Swine'!A1", "Swine")</f>
        <v>Swine</v>
      </c>
      <c r="D11" s="75" t="s">
        <v>118</v>
      </c>
      <c r="E11" s="9" t="str" cm="1">
        <f t="array" ref="E11">MMS_Swine_N2ODirect_Equations.VEERG_4_5_1_3__5_AnnualNitrogenExcretion_Unit()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tr" cm="1">
        <f t="array" ref="D13:E15">Common_InputFunctions.Utility_DisplayArguments_1_2(MMS_Swine_N2ODirect_Equations.VEERG_4_5_1_3__5_AnnualNitrogenExcretion_Arguments())</f>
        <v>N_j</v>
      </c>
      <c r="E13" s="128" t="str">
        <v>number of swine in each group</v>
      </c>
      <c r="F13" s="129"/>
      <c r="G13" s="127" t="str" cm="1">
        <f t="array" ref="G13:H15">Common_InputFunctions.Utility_DisplayArguments_3_4(MMS_Swine_N2ODirect_Equations.VEERG_4_5_1_3__5_AnnualNitrogenExcretion_Arguments())</f>
        <v>head</v>
      </c>
      <c r="H13" s="123" t="str">
        <v>Input</v>
      </c>
      <c r="I13" s="115" t="str" cm="1">
        <f t="array" aca="1" ref="I13" ca="1">HYPERLINK(Common_InputFunctions.Utility_SourceHyperlink(D17), D17)</f>
        <v>Table_N_j</v>
      </c>
    </row>
    <row r="14" spans="1:21" ht="20.100000000000001" customHeight="1" x14ac:dyDescent="0.2">
      <c r="A14" s="5" t="str">
        <f>HYPERLINK("#'Input - Fuel'!A1", "Fuel")</f>
        <v>Fuel</v>
      </c>
      <c r="D14" s="127" t="str">
        <v>NW_j</v>
      </c>
      <c r="E14" s="127" t="str">
        <v>nitrogen produced in swine manure and waste feed in each class</v>
      </c>
      <c r="F14" s="127"/>
      <c r="G14" s="127" t="str">
        <v>kg N/head/day</v>
      </c>
      <c r="H14" s="123" t="str">
        <v>Input</v>
      </c>
      <c r="I14" s="115" t="str" cm="1">
        <f t="array" aca="1" ref="I14" ca="1">HYPERLINK(Common_InputFunctions.Utility_SourceHyperlink(D22), D22)</f>
        <v>M1_Table_NW_j</v>
      </c>
    </row>
    <row r="15" spans="1:21" ht="20.100000000000001" customHeight="1" x14ac:dyDescent="0.2">
      <c r="A15" s="5" t="str">
        <f>HYPERLINK("#'Input - Electricity'!A1", "Electricity")</f>
        <v>Electricity</v>
      </c>
      <c r="D15" s="127" t="str">
        <v>D_j</v>
      </c>
      <c r="E15" s="128" t="str">
        <v>duration of stay of swine group</v>
      </c>
      <c r="F15" s="129"/>
      <c r="G15" s="127" t="str">
        <v>days</v>
      </c>
      <c r="H15" s="123" t="str">
        <v>Input</v>
      </c>
      <c r="I15" s="115" t="str" cm="1">
        <f t="array" aca="1" ref="I15" ca="1">HYPERLINK(Common_InputFunctions.Utility_SourceHyperlink(D27), D27)</f>
        <v>Table_D_j</v>
      </c>
    </row>
    <row r="16" spans="1:21"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17" t="s">
        <v>375</v>
      </c>
    </row>
    <row r="18" spans="1:18" ht="20.100000000000001" customHeight="1" x14ac:dyDescent="0.2">
      <c r="A18" s="5" t="str">
        <f>HYPERLINK("#'Input - Freight'!A1", "Freight")</f>
        <v>Freight</v>
      </c>
      <c r="D18" s="118" t="s">
        <v>376</v>
      </c>
    </row>
    <row r="19" spans="1:18" ht="20.100000000000001" customHeight="1" x14ac:dyDescent="0.2">
      <c r="A19" s="5" t="str">
        <f>HYPERLINK("#'Input - Solid waste'!A1", "Solid waste")</f>
        <v>Solid waste</v>
      </c>
      <c r="D19" s="78" t="s">
        <v>290</v>
      </c>
      <c r="E19" s="78" t="s">
        <v>291</v>
      </c>
      <c r="F19" s="78" t="s">
        <v>265</v>
      </c>
      <c r="G19" s="78" t="s">
        <v>292</v>
      </c>
    </row>
    <row r="20" spans="1:18" ht="20.100000000000001" customHeight="1" x14ac:dyDescent="0.2">
      <c r="A20" s="5" t="str">
        <f>HYPERLINK("#'Input - Manure sent off-site'!A1", "Manure sent off-site")</f>
        <v>Manure sent off-site</v>
      </c>
      <c r="D20" s="15" cm="1">
        <f t="array" aca="1" ref="D20:G20" ca="1">OFFSET(X_Table_Swine_HerdMovement,2,1,1,4)</f>
        <v>100</v>
      </c>
      <c r="E20" s="132">
        <f ca="1"/>
        <v>100</v>
      </c>
      <c r="F20" s="132">
        <f ca="1"/>
        <v>100</v>
      </c>
      <c r="G20" s="132">
        <f ca="1"/>
        <v>100</v>
      </c>
      <c r="H20" s="16" t="str">
        <f>G13</f>
        <v>head</v>
      </c>
    </row>
    <row r="21" spans="1:18" ht="20.100000000000001" customHeight="1" x14ac:dyDescent="0.2">
      <c r="A21" s="5" t="str">
        <f>HYPERLINK("#'Input - Data quality'!A1", "Data quality")</f>
        <v>Data quality</v>
      </c>
    </row>
    <row r="22" spans="1:18" ht="20.100000000000001" customHeight="1" x14ac:dyDescent="0.2">
      <c r="A22" s="5" t="str">
        <f>HYPERLINK("#'Input - Fert Prod System'!A1", "Fert Prod System")</f>
        <v>Fert Prod System</v>
      </c>
      <c r="D22" s="117" t="s">
        <v>383</v>
      </c>
      <c r="N22" s="117" t="s">
        <v>384</v>
      </c>
    </row>
    <row r="23" spans="1:18" ht="20.100000000000001" customHeight="1" x14ac:dyDescent="0.2">
      <c r="A23" s="5" t="str">
        <f>HYPERLINK("#'Input - Fertiliser'!A1", "Fertiliser")</f>
        <v>Fertiliser</v>
      </c>
      <c r="D23" s="118" t="s">
        <v>385</v>
      </c>
      <c r="N23" s="118" t="s">
        <v>386</v>
      </c>
    </row>
    <row r="24" spans="1:18" ht="20.100000000000001" customHeight="1" x14ac:dyDescent="0.2">
      <c r="D24" s="78" t="s">
        <v>290</v>
      </c>
      <c r="E24" s="78" t="s">
        <v>291</v>
      </c>
      <c r="F24" s="78" t="s">
        <v>265</v>
      </c>
      <c r="G24" s="78" t="s">
        <v>292</v>
      </c>
      <c r="N24" s="78" t="s">
        <v>290</v>
      </c>
      <c r="O24" s="78" t="s">
        <v>291</v>
      </c>
      <c r="P24" s="78" t="s">
        <v>265</v>
      </c>
      <c r="Q24" s="78" t="s">
        <v>292</v>
      </c>
    </row>
    <row r="25" spans="1:18" ht="20.100000000000001" customHeight="1" x14ac:dyDescent="0.2">
      <c r="D25" s="15" cm="1">
        <f t="array" aca="1" ref="D25:G25" ca="1">OFFSET(X_Table_Swine_ManureProduction_Method1,2,1,1,4)</f>
        <v>4.5999999999999999E-2</v>
      </c>
      <c r="E25" s="15">
        <f ca="1"/>
        <v>4.9000000000000002E-2</v>
      </c>
      <c r="F25" s="15">
        <f ca="1"/>
        <v>4.5999999999999999E-2</v>
      </c>
      <c r="G25" s="15">
        <f ca="1"/>
        <v>3.1199999999999999E-2</v>
      </c>
      <c r="H25" s="16" t="str">
        <f>G14</f>
        <v>kg N/head/day</v>
      </c>
      <c r="N25" s="15" cm="1">
        <f t="array" aca="1" ref="N25:Q25" ca="1">OFFSET(X_Table_Swine_ManureProduction_Method2,2,1,1,4)</f>
        <v>4.5999999999999999E-2</v>
      </c>
      <c r="O25" s="15">
        <f ca="1"/>
        <v>4.9000000000000002E-2</v>
      </c>
      <c r="P25" s="15">
        <f ca="1"/>
        <v>4.5999999999999999E-2</v>
      </c>
      <c r="Q25" s="15">
        <f ca="1"/>
        <v>3.1199999999999999E-2</v>
      </c>
      <c r="R25" s="16" t="str">
        <f>G14</f>
        <v>kg N/head/day</v>
      </c>
    </row>
    <row r="26" spans="1:18" ht="20.100000000000001" customHeight="1" x14ac:dyDescent="0.2">
      <c r="A26" s="6" t="s">
        <v>2</v>
      </c>
    </row>
    <row r="27" spans="1:18" ht="20.100000000000001" customHeight="1" x14ac:dyDescent="0.2">
      <c r="A27" s="5" t="str">
        <f>HYPERLINK("#'3.5.1.1-2 Enteric Methane'!A1", "3.5.1.1-2 Enteric Methane")</f>
        <v>3.5.1.1-2 Enteric Methane</v>
      </c>
      <c r="D27" s="117" t="s">
        <v>373</v>
      </c>
    </row>
    <row r="28" spans="1:18" ht="20.100000000000001" customHeight="1" x14ac:dyDescent="0.2">
      <c r="A28" s="5" t="str">
        <f>HYPERLINK("#'4.5.1.1-2 Methane'!A1", "4.5.1.1-2 Manure Methane")</f>
        <v>4.5.1.1-2 Manure Methane</v>
      </c>
      <c r="D28" s="118" t="s">
        <v>387</v>
      </c>
    </row>
    <row r="29" spans="1:18" ht="20.100000000000001" customHeight="1" x14ac:dyDescent="0.2">
      <c r="A29" s="116" t="str">
        <f>HYPERLINK("#'4.5.1.3-4 Direct N2O'!A1", "4.5.1.3-4 Manure Direct N2O")</f>
        <v>4.5.1.3-4 Manure Direct N2O</v>
      </c>
      <c r="D29" s="78" t="s">
        <v>290</v>
      </c>
      <c r="E29" s="78" t="s">
        <v>291</v>
      </c>
      <c r="F29" s="78" t="s">
        <v>265</v>
      </c>
      <c r="G29" s="78" t="s">
        <v>292</v>
      </c>
    </row>
    <row r="30" spans="1:18" ht="20.100000000000001" customHeight="1" x14ac:dyDescent="0.2">
      <c r="A30" s="5" t="str">
        <f>HYPERLINK("#'4.5.1.5-6 Atmos Dep'!A1", "4.5.1.5-6 Manure Atmos Dep")</f>
        <v>4.5.1.5-6 Manure Atmos Dep</v>
      </c>
      <c r="D30" s="15" cm="1">
        <f t="array" aca="1" ref="D30:G30" ca="1">OFFSET(X_Table_Swine_HerdMovement,1,1,1,4)</f>
        <v>365</v>
      </c>
      <c r="E30" s="132">
        <f ca="1"/>
        <v>365</v>
      </c>
      <c r="F30" s="132">
        <f ca="1"/>
        <v>365</v>
      </c>
      <c r="G30" s="132">
        <f ca="1"/>
        <v>365</v>
      </c>
      <c r="H30" s="16" t="str">
        <f>G15</f>
        <v>days</v>
      </c>
    </row>
    <row r="31" spans="1:18" ht="20.100000000000001" customHeight="1" x14ac:dyDescent="0.2">
      <c r="A31" s="5" t="str">
        <f>HYPERLINK("#'4.5.1.7-8 Leaching and runoff'!A1", "4.5.1.7-8 Manure Leaching and runoff")</f>
        <v>4.5.1.7-8 Manure Leaching and runoff</v>
      </c>
    </row>
    <row r="32" spans="1:18" ht="20.100000000000001" customHeight="1" x14ac:dyDescent="0.2">
      <c r="A32" s="5" t="str">
        <f>HYPERLINK("#'4.5.1.9 Manure applied to soils'!A1", "4.5.1.9 Manure applied to soils")</f>
        <v>4.5.1.9 Manure applied to soils</v>
      </c>
      <c r="D32" s="117" t="s">
        <v>388</v>
      </c>
      <c r="N32" s="117" t="s">
        <v>389</v>
      </c>
    </row>
    <row r="33" spans="1:18" ht="20.100000000000001" customHeight="1" x14ac:dyDescent="0.2">
      <c r="A33" s="5" t="str">
        <f>HYPERLINK("#'8.1.1.1-2 Transport fuel'!A1", "8.1.1.1-2 Transport fuel")</f>
        <v>8.1.1.1-2 Transport fuel</v>
      </c>
      <c r="D33" s="118" t="s">
        <v>390</v>
      </c>
      <c r="N33" s="118" t="s">
        <v>391</v>
      </c>
    </row>
    <row r="34" spans="1:18" ht="20.100000000000001" customHeight="1" x14ac:dyDescent="0.2">
      <c r="A34" s="5" t="str">
        <f>HYPERLINK("#'8.2.1.1-2 Stationary fuel'!A1", "8.2.1.1-2 Stationary fuel")</f>
        <v>8.2.1.1-2 Stationary fuel</v>
      </c>
      <c r="D34" s="119" t="s">
        <v>290</v>
      </c>
      <c r="E34" s="119" t="s">
        <v>291</v>
      </c>
      <c r="F34" s="119" t="s">
        <v>265</v>
      </c>
      <c r="G34" s="119" t="s">
        <v>292</v>
      </c>
      <c r="N34" s="119" t="s">
        <v>290</v>
      </c>
      <c r="O34" s="119" t="s">
        <v>291</v>
      </c>
      <c r="P34" s="119" t="s">
        <v>265</v>
      </c>
      <c r="Q34" s="119" t="s">
        <v>292</v>
      </c>
    </row>
    <row r="35" spans="1:18" ht="20.100000000000001" customHeight="1" x14ac:dyDescent="0.2">
      <c r="A35" s="5" t="str">
        <f>HYPERLINK("#'10.1.1-2 Solid waste treatment'!A1", "10.1.1.1-2 Solid waste")</f>
        <v>10.1.1.1-2 Solid waste</v>
      </c>
      <c r="D35" s="132" cm="1">
        <f t="array" aca="1" ref="D35" ca="1">MMS_Swine_N2ODirect_Equations.VEERG_4_5_1_3__5_AnnualNitrogenExcretion(D20,D25,D30)</f>
        <v>1678.9999999999998</v>
      </c>
      <c r="E35" s="132" cm="1">
        <f t="array" aca="1" ref="E35" ca="1">MMS_Swine_N2ODirect_Equations.VEERG_4_5_1_3__5_AnnualNitrogenExcretion(E20,E25,E30)</f>
        <v>1788.5000000000002</v>
      </c>
      <c r="F35" s="132" cm="1">
        <f t="array" aca="1" ref="F35" ca="1">MMS_Swine_N2ODirect_Equations.VEERG_4_5_1_3__5_AnnualNitrogenExcretion(F20,F25,F30)</f>
        <v>1678.9999999999998</v>
      </c>
      <c r="G35" s="132" cm="1">
        <f t="array" aca="1" ref="G35" ca="1">MMS_Swine_N2ODirect_Equations.VEERG_4_5_1_3__5_AnnualNitrogenExcretion(G20,G25,G30)</f>
        <v>1138.8</v>
      </c>
      <c r="H35" s="16" t="str">
        <f>$E$11</f>
        <v>kg N</v>
      </c>
      <c r="N35" s="132" cm="1">
        <f t="array" aca="1" ref="N35" ca="1">MMS_Swine_N2ODirect_Equations.VEERG_4_5_1_3__5_AnnualNitrogenExcretion(D20,N25,D30)</f>
        <v>1678.9999999999998</v>
      </c>
      <c r="O35" s="132" cm="1">
        <f t="array" aca="1" ref="O35" ca="1">MMS_Swine_N2ODirect_Equations.VEERG_4_5_1_3__5_AnnualNitrogenExcretion(E20,O25,E30)</f>
        <v>1788.5000000000002</v>
      </c>
      <c r="P35" s="132" cm="1">
        <f t="array" aca="1" ref="P35" ca="1">MMS_Swine_N2ODirect_Equations.VEERG_4_5_1_3__5_AnnualNitrogenExcretion(F20,P25,F30)</f>
        <v>1678.9999999999998</v>
      </c>
      <c r="Q35" s="132" cm="1">
        <f t="array" aca="1" ref="Q35" ca="1">MMS_Swine_N2ODirect_Equations.VEERG_4_5_1_3__5_AnnualNitrogenExcretion(G20,Q25,G30)</f>
        <v>1138.8</v>
      </c>
      <c r="R35" s="16" t="str">
        <f>$E$11</f>
        <v>kg N</v>
      </c>
    </row>
    <row r="36" spans="1:18" ht="20.100000000000001" customHeight="1" x14ac:dyDescent="0.2">
      <c r="A36" s="5" t="str">
        <f>HYPERLINK("#'14.1.1-2 Purchased electricity'!A1", "14.1.1-2 Purchased electricity")</f>
        <v>14.1.1-2 Purchased electricity</v>
      </c>
    </row>
    <row r="37" spans="1:18" ht="20.100000000000001" customHeight="1" x14ac:dyDescent="0.2">
      <c r="A37" s="5" t="str">
        <f>HYPERLINK("#'15 Scope 3'!A1", "15 Scope 3")</f>
        <v>15 Scope 3</v>
      </c>
    </row>
    <row r="38" spans="1:18" ht="20.100000000000001" customHeight="1" x14ac:dyDescent="0.2">
      <c r="A38" s="5" t="str">
        <f>HYPERLINK("#'Calcs - Manure sent off-site'!A1", "Calcs - Manure sent off-site")</f>
        <v>Calcs - Manure sent off-site</v>
      </c>
      <c r="C38" s="82"/>
      <c r="D38" s="82"/>
      <c r="E38" s="82"/>
      <c r="F38" s="82"/>
      <c r="G38" s="82"/>
      <c r="H38" s="82"/>
      <c r="I38" s="82"/>
      <c r="J38" s="82"/>
    </row>
    <row r="39" spans="1:18" ht="20.100000000000001" customHeight="1" x14ac:dyDescent="0.2">
      <c r="A39" s="5" t="str">
        <f>HYPERLINK("#'5.1.1.1-2 Inorganic fert N2O'!A1", "5.1.1.1-2 Inorganic fert N2O")</f>
        <v>5.1.1.1-2 Inorganic fert N2O</v>
      </c>
      <c r="D39" s="2" t="str" cm="1">
        <f t="array" ref="D39">MMS_Swine_N2ODirect_Equations.VEERG_4_5_1_3__3_FractionOfNitrogenInPrimaryMMS_Title()</f>
        <v>Fraction of nitrogen in each primary MMS (excluding solid storage)</v>
      </c>
    </row>
    <row r="40" spans="1:18" ht="20.100000000000001" customHeight="1" x14ac:dyDescent="0.2">
      <c r="A40" s="5" t="str">
        <f>HYPERLINK("#'5.1.1.3-4 Inorganic fert CO2'!A1", "5.1.1.3-4 Inorganic fert CO2")</f>
        <v>5.1.1.3-4 Inorganic fert CO2</v>
      </c>
      <c r="D40" s="17" t="str" cm="1">
        <f t="array" ref="D40">MMS_Swine_N2ODirect_Equations.VEERG_4_5_1_3__3_FractionOfNitrogenInPrimaryMMS_Source()</f>
        <v>VEERG 2026: 4.5.1.3, Equation (3)</v>
      </c>
    </row>
    <row r="41" spans="1:18" ht="20.100000000000001" customHeight="1" x14ac:dyDescent="0.2">
      <c r="A41" s="5" t="str">
        <f>HYPERLINK("#'5.2.1.1-2 Organic Fert N2O'!A1", "5.2.1.1-2 Organic Fert N2O")</f>
        <v>5.2.1.1-2 Organic Fert N2O</v>
      </c>
      <c r="D41" s="110" t="s">
        <v>321</v>
      </c>
      <c r="E41" s="110" t="str" cm="1">
        <f t="array" aca="1" ref="E41" ca="1">Common_InputFunctions.Utility_DisplayFunctionName($E$71)</f>
        <v>=MMS_Swine_N2ODirect_Equations.VEERG_4_5_1_3__3_FractionOfNitrogenInPrimaryMMS</v>
      </c>
    </row>
    <row r="42" spans="1:18" ht="20.100000000000001" customHeight="1" x14ac:dyDescent="0.2">
      <c r="A42" s="5" t="str">
        <f>HYPERLINK("#'5.3.1.1-2 Lime CO2'!A1", "5.3.1.1-2 Lime CO2")</f>
        <v>5.3.1.1-2 Lime CO2</v>
      </c>
    </row>
    <row r="43" spans="1:18" ht="20.100000000000001" customHeight="1" x14ac:dyDescent="0.2">
      <c r="A43" s="5" t="str">
        <f>HYPERLINK("#'5.4.1.1-4 Atmos deposition'!A1", "5.4.1.1-4 Atmos deposition")</f>
        <v>5.4.1.1-4 Atmos deposition</v>
      </c>
    </row>
    <row r="44" spans="1:18" ht="20.100000000000001" customHeight="1" x14ac:dyDescent="0.2">
      <c r="A44" s="5" t="str">
        <f>HYPERLINK("#'5.5.1.1-2 Leaching and runoff'!A1", "5.5.1.1-2 Leaching and runoff")</f>
        <v>5.5.1.1-2 Leaching and runoff</v>
      </c>
      <c r="D44" s="75" t="s">
        <v>322</v>
      </c>
      <c r="E44" s="1" t="str" cm="1">
        <f t="array" ref="E44">MMS_Swine_N2ODirect_Equations.VEERG_4_5_1_3__3_FractionOfNitrogenInPrimaryMMS_Variable()</f>
        <v>FN_jmT1</v>
      </c>
    </row>
    <row r="45" spans="1:18" ht="20.100000000000001" customHeight="1" x14ac:dyDescent="0.2">
      <c r="D45" s="75" t="s">
        <v>118</v>
      </c>
      <c r="E45" s="1" t="str" cm="1">
        <f t="array" ref="E45">MMS_Swine_N2ODirect_Equations.VEERG_4_5_1_3__3_FractionOfNitrogenInPrimaryMMS_Unit()</f>
        <v>fraction</v>
      </c>
    </row>
    <row r="47" spans="1:18" ht="20.100000000000001" customHeight="1" x14ac:dyDescent="0.2">
      <c r="A47" s="79" t="s">
        <v>1</v>
      </c>
      <c r="D47" s="111" t="str" cm="1">
        <f t="array" ref="D47:E48">Common_InputFunctions.Utility_DisplayArguments_1_2(MMS_Swine_N2ODirect_Equations.VEERG_4_5_1_3__3_FractionOfNitrogenInPrimaryMMS_Arguments())</f>
        <v>MMS_jmT1</v>
      </c>
      <c r="E47" s="112" t="str">
        <v>fraction of manure in primary MMS</v>
      </c>
      <c r="F47" s="124"/>
      <c r="G47" s="127" t="str" cm="1">
        <f t="array" ref="G47:H48">Common_InputFunctions.Utility_DisplayArguments_3_4(MMS_Swine_N2ODirect_Equations.VEERG_4_5_1_3__3_FractionOfNitrogenInPrimaryMMS_Arguments())</f>
        <v>fraction</v>
      </c>
      <c r="H47" s="123" t="str">
        <v>Input</v>
      </c>
      <c r="I47" s="115" t="str" cm="1">
        <f t="array" aca="1" ref="I47" ca="1">HYPERLINK(Common_InputFunctions.Utility_SourceHyperlink(D50), D50)</f>
        <v>Table_MMS_j_m-1-7-9-8_T-1</v>
      </c>
    </row>
    <row r="48" spans="1:18" ht="20.100000000000001" customHeight="1" x14ac:dyDescent="0.2">
      <c r="A48" s="5" t="str">
        <f>HYPERLINK("#'Constants - Swine'!A1", "Constants - Swine")</f>
        <v>Constants - Swine</v>
      </c>
      <c r="D48" s="111" t="str">
        <v>SN_m</v>
      </c>
      <c r="E48" s="112" t="str">
        <v>fraction of nitrogen separated to solid storage for each MMS</v>
      </c>
      <c r="F48" s="124"/>
      <c r="G48" s="127" t="str">
        <v>fraction</v>
      </c>
      <c r="H48" s="123" t="str">
        <v>Input</v>
      </c>
      <c r="I48" s="115" t="str" cm="1">
        <f t="array" aca="1" ref="I48" ca="1">HYPERLINK(Common_InputFunctions.Utility_SourceHyperlink(D59), D59)</f>
        <v>M1_Table_SN_m-1-7-9</v>
      </c>
    </row>
    <row r="49" spans="1:19" ht="20.100000000000001" customHeight="1" x14ac:dyDescent="0.2">
      <c r="A49" s="5" t="str">
        <f>HYPERLINK("#'Constants - Common livestock'!A1", "Constants - Common Livestock")</f>
        <v>Constants - Common Livestock</v>
      </c>
    </row>
    <row r="50" spans="1:19" ht="20.100000000000001" customHeight="1" x14ac:dyDescent="0.2">
      <c r="A50" s="5" t="str">
        <f>HYPERLINK("#'Constants - Electricity'!A1", "Constants - Electricity")</f>
        <v>Constants - Electricity</v>
      </c>
      <c r="D50" s="117" t="s">
        <v>392</v>
      </c>
    </row>
    <row r="51" spans="1:19" ht="20.100000000000001" customHeight="1" x14ac:dyDescent="0.2">
      <c r="A51" s="5" t="str">
        <f>HYPERLINK("#'Constants - Fertiliser'!A1", "Constants - Fertiliser")</f>
        <v>Constants - Fertiliser</v>
      </c>
      <c r="D51" s="118" t="s">
        <v>393</v>
      </c>
    </row>
    <row r="52" spans="1:19" ht="20.100000000000001" customHeight="1" x14ac:dyDescent="0.2">
      <c r="A52" s="5" t="str">
        <f>HYPERLINK("#'Constants - Fuel'!A1", "Constants - Fuel")</f>
        <v>Constants - Fuel</v>
      </c>
      <c r="D52" s="78" t="s">
        <v>325</v>
      </c>
      <c r="E52" s="78" t="s">
        <v>290</v>
      </c>
      <c r="F52" s="78" t="s">
        <v>291</v>
      </c>
      <c r="G52" s="78" t="s">
        <v>265</v>
      </c>
      <c r="H52" s="78" t="s">
        <v>292</v>
      </c>
    </row>
    <row r="53" spans="1:19" ht="20.100000000000001" customHeight="1" x14ac:dyDescent="0.2">
      <c r="A53" s="5" t="str">
        <f>HYPERLINK("#'Constants - Scope 3'!A1", "Constants - Scope 3")</f>
        <v>Constants - Scope 3</v>
      </c>
      <c r="D53" s="111" t="str">
        <f>INDEX(X_Table_Swine_Stage1MMS_AnaerobicLagoon,2,1)</f>
        <v>Anaerobic lagoon</v>
      </c>
      <c r="E53" s="15" cm="1">
        <f t="array" aca="1" ref="E53:H53" ca="1">OFFSET(X_Table_Swine_Stage1MMS_AnaerobicLagoon,1,1,1,4)</f>
        <v>0.15</v>
      </c>
      <c r="F53" s="15">
        <f ca="1"/>
        <v>0.15</v>
      </c>
      <c r="G53" s="15">
        <f ca="1"/>
        <v>0.15</v>
      </c>
      <c r="H53" s="15">
        <f ca="1"/>
        <v>0.15</v>
      </c>
      <c r="I53" s="16" t="str">
        <f>G47</f>
        <v>fraction</v>
      </c>
    </row>
    <row r="54" spans="1:19" ht="20.100000000000001" customHeight="1" x14ac:dyDescent="0.2">
      <c r="A54" s="5" t="str">
        <f>HYPERLINK("#'Constants - Solid Waste'!A1", "Constants - Solid Waste")</f>
        <v>Constants - Solid Waste</v>
      </c>
      <c r="D54" s="111" t="str">
        <f>INDEX(X_Table_Swine_Stage1MMS_Drylot,2,1)</f>
        <v>Drylot (feed pad)</v>
      </c>
      <c r="E54" s="15" cm="1">
        <f t="array" aca="1" ref="E54:H54" ca="1">OFFSET(X_Table_Swine_Stage1MMS_Drylot,1,1,1,4)</f>
        <v>0.15</v>
      </c>
      <c r="F54" s="15">
        <f ca="1"/>
        <v>0.15</v>
      </c>
      <c r="G54" s="15">
        <f ca="1"/>
        <v>0.15</v>
      </c>
      <c r="H54" s="15">
        <f ca="1"/>
        <v>0.15</v>
      </c>
      <c r="I54" s="16"/>
    </row>
    <row r="55" spans="1:19" ht="20.100000000000001" customHeight="1" x14ac:dyDescent="0.2">
      <c r="A55" s="5" t="str">
        <f>HYPERLINK("#'Constants - Common'!A1", "Constants - Common")</f>
        <v>Constants - Common</v>
      </c>
      <c r="D55" s="111" t="str">
        <f>INDEX(X_Table_Swine_Stage1MMS_DigesterCoveredLagoons,2,1)</f>
        <v>Digester / covered lagoons</v>
      </c>
      <c r="E55" s="15" cm="1">
        <f t="array" aca="1" ref="E55:H55" ca="1">OFFSET(X_Table_Swine_Stage1MMS_DigesterCoveredLagoons,1,1,1,4)</f>
        <v>0.15</v>
      </c>
      <c r="F55" s="15">
        <f ca="1"/>
        <v>0.15</v>
      </c>
      <c r="G55" s="15">
        <f ca="1"/>
        <v>0.15</v>
      </c>
      <c r="H55" s="15">
        <f ca="1"/>
        <v>0.15</v>
      </c>
      <c r="I55" s="16"/>
    </row>
    <row r="56" spans="1:19" ht="20.100000000000001" customHeight="1" x14ac:dyDescent="0.2">
      <c r="A56" s="5" t="str">
        <f>HYPERLINK("#'Acknowledgements'!A1", "Acknowledgements")</f>
        <v>Acknowledgements</v>
      </c>
      <c r="D56" s="111" t="str">
        <f>INDEX(X_Table_Swine_Stage1MMS_DeepLitter,2,1)</f>
        <v>Deep litter</v>
      </c>
      <c r="E56" s="15" cm="1">
        <f t="array" aca="1" ref="E56:H56" ca="1">OFFSET(X_Table_Swine_Stage1MMS_DeepLitter,1,1,1,4)</f>
        <v>0.15</v>
      </c>
      <c r="F56" s="15">
        <f ca="1"/>
        <v>0.15</v>
      </c>
      <c r="G56" s="15">
        <f ca="1"/>
        <v>0.15</v>
      </c>
      <c r="H56" s="15">
        <f ca="1"/>
        <v>0.15</v>
      </c>
      <c r="I56" s="16"/>
    </row>
    <row r="57" spans="1:19" ht="20.100000000000001" customHeight="1" x14ac:dyDescent="0.2">
      <c r="D57" s="111" t="str">
        <f>INDEX(X_Table_Swine_Stage1MMS_PitStorage,2,1)</f>
        <v>Pit storage</v>
      </c>
      <c r="E57" s="15" cm="1">
        <f t="array" aca="1" ref="E57:H57" ca="1">OFFSET(X_Table_Swine_Stage1MMS_PitStorage,1,1,1,4)</f>
        <v>0.15</v>
      </c>
      <c r="F57" s="15">
        <f ca="1"/>
        <v>0.15</v>
      </c>
      <c r="G57" s="15">
        <f ca="1"/>
        <v>0.15</v>
      </c>
      <c r="H57" s="15">
        <f ca="1"/>
        <v>0.15</v>
      </c>
      <c r="I57" s="16"/>
    </row>
    <row r="59" spans="1:19" ht="20.100000000000001" customHeight="1" x14ac:dyDescent="0.2">
      <c r="D59" s="117" t="s">
        <v>394</v>
      </c>
      <c r="N59" s="117" t="s">
        <v>395</v>
      </c>
    </row>
    <row r="60" spans="1:19" ht="20.100000000000001" customHeight="1" x14ac:dyDescent="0.2">
      <c r="D60" s="118" t="s">
        <v>396</v>
      </c>
      <c r="N60" s="118" t="s">
        <v>397</v>
      </c>
    </row>
    <row r="61" spans="1:19" ht="20.100000000000001" customHeight="1" x14ac:dyDescent="0.2">
      <c r="D61" s="78" t="s">
        <v>325</v>
      </c>
      <c r="E61" s="78" t="s">
        <v>290</v>
      </c>
      <c r="F61" s="78" t="s">
        <v>291</v>
      </c>
      <c r="G61" s="78" t="s">
        <v>265</v>
      </c>
      <c r="H61" s="78" t="s">
        <v>292</v>
      </c>
      <c r="N61" s="78" t="s">
        <v>325</v>
      </c>
      <c r="O61" s="78" t="s">
        <v>290</v>
      </c>
      <c r="P61" s="78" t="s">
        <v>291</v>
      </c>
      <c r="Q61" s="78" t="s">
        <v>265</v>
      </c>
      <c r="R61" s="78" t="s">
        <v>292</v>
      </c>
    </row>
    <row r="62" spans="1:19" ht="20.100000000000001" customHeight="1" x14ac:dyDescent="0.2">
      <c r="D62" s="111" t="str">
        <f>INDEX(X_Table_Swine_Stage1MMS_AnaerobicLagoon,2,1)</f>
        <v>Anaerobic lagoon</v>
      </c>
      <c r="E62" s="15">
        <f>X_Cell_Swine_Stage1MMS_AnaerobicLagoon_AmountSeparated_Method1</f>
        <v>0.2</v>
      </c>
      <c r="F62" s="15">
        <f>X_Cell_Swine_Stage1MMS_AnaerobicLagoon_AmountSeparated_Method1</f>
        <v>0.2</v>
      </c>
      <c r="G62" s="15">
        <f>X_Cell_Swine_Stage1MMS_AnaerobicLagoon_AmountSeparated_Method1</f>
        <v>0.2</v>
      </c>
      <c r="H62" s="15">
        <f>X_Cell_Swine_Stage1MMS_AnaerobicLagoon_AmountSeparated_Method1</f>
        <v>0.2</v>
      </c>
      <c r="I62" s="16" t="str">
        <f>G48</f>
        <v>fraction</v>
      </c>
      <c r="N62" s="111" t="str">
        <f>INDEX(X_Table_Swine_Stage1MMS_AnaerobicLagoon,2,1)</f>
        <v>Anaerobic lagoon</v>
      </c>
      <c r="O62" s="15">
        <f>X_Cell_Swine_Stage1MMS_AnaerobicLagoon_AmountSeparated_Method2</f>
        <v>0.2</v>
      </c>
      <c r="P62" s="15">
        <f>X_Cell_Swine_Stage1MMS_AnaerobicLagoon_AmountSeparated_Method2</f>
        <v>0.2</v>
      </c>
      <c r="Q62" s="15">
        <f>X_Cell_Swine_Stage1MMS_AnaerobicLagoon_AmountSeparated_Method2</f>
        <v>0.2</v>
      </c>
      <c r="R62" s="15">
        <f>X_Cell_Swine_Stage1MMS_AnaerobicLagoon_AmountSeparated_Method2</f>
        <v>0.2</v>
      </c>
      <c r="S62" s="16" t="str">
        <f>G48</f>
        <v>fraction</v>
      </c>
    </row>
    <row r="63" spans="1:19" ht="20.100000000000001" customHeight="1" x14ac:dyDescent="0.2">
      <c r="D63" s="111" t="str">
        <f>INDEX(X_Table_Swine_Stage1MMS_Drylot,2,1)</f>
        <v>Drylot (feed pad)</v>
      </c>
      <c r="E63" s="15">
        <f>X_Cell_Swine_Stage1MMS_Drylot_AmountSeparated_Method1</f>
        <v>0.2</v>
      </c>
      <c r="F63" s="15">
        <f>X_Cell_Swine_Stage1MMS_Drylot_AmountSeparated_Method1</f>
        <v>0.2</v>
      </c>
      <c r="G63" s="15">
        <f>X_Cell_Swine_Stage1MMS_Drylot_AmountSeparated_Method1</f>
        <v>0.2</v>
      </c>
      <c r="H63" s="15">
        <f>X_Cell_Swine_Stage1MMS_Drylot_AmountSeparated_Method1</f>
        <v>0.2</v>
      </c>
      <c r="I63" s="16"/>
      <c r="N63" s="111" t="str">
        <f>INDEX(X_Table_Swine_Stage1MMS_Drylot,2,1)</f>
        <v>Drylot (feed pad)</v>
      </c>
      <c r="O63" s="15">
        <f>X_Cell_Swine_Stage1MMS_Drylot_AmountSeparated_Method2</f>
        <v>0.2</v>
      </c>
      <c r="P63" s="15">
        <f>X_Cell_Swine_Stage1MMS_Drylot_AmountSeparated_Method2</f>
        <v>0.2</v>
      </c>
      <c r="Q63" s="15">
        <f>X_Cell_Swine_Stage1MMS_Drylot_AmountSeparated_Method2</f>
        <v>0.2</v>
      </c>
      <c r="R63" s="15">
        <f>X_Cell_Swine_Stage1MMS_Drylot_AmountSeparated_Method2</f>
        <v>0.2</v>
      </c>
      <c r="S63" s="16"/>
    </row>
    <row r="64" spans="1:19" ht="20.100000000000001" customHeight="1" x14ac:dyDescent="0.2">
      <c r="D64" s="111" t="str">
        <f>INDEX(X_Table_Swine_Stage1MMS_DigesterCoveredLagoons,2,1)</f>
        <v>Digester / covered lagoons</v>
      </c>
      <c r="E64" s="15">
        <f>X_Cell_Swine_Stage1MMS_DigesterCoveredLagoons_AmountSeparated_Method1</f>
        <v>0.2</v>
      </c>
      <c r="F64" s="15">
        <f>X_Cell_Swine_Stage1MMS_DigesterCoveredLagoons_AmountSeparated_Method1</f>
        <v>0.2</v>
      </c>
      <c r="G64" s="15">
        <f>X_Cell_Swine_Stage1MMS_DigesterCoveredLagoons_AmountSeparated_Method1</f>
        <v>0.2</v>
      </c>
      <c r="H64" s="15">
        <f>X_Cell_Swine_Stage1MMS_DigesterCoveredLagoons_AmountSeparated_Method1</f>
        <v>0.2</v>
      </c>
      <c r="I64" s="16"/>
      <c r="N64" s="111" t="str">
        <f>INDEX(X_Table_Swine_Stage1MMS_DigesterCoveredLagoons,2,1)</f>
        <v>Digester / covered lagoons</v>
      </c>
      <c r="O64" s="15">
        <f>X_Cell_Swine_Stage1MMS_DigesterCoveredLagoons_AmountSeparated_Method2</f>
        <v>0.2</v>
      </c>
      <c r="P64" s="15">
        <f>X_Cell_Swine_Stage1MMS_DigesterCoveredLagoons_AmountSeparated_Method2</f>
        <v>0.2</v>
      </c>
      <c r="Q64" s="15">
        <f>X_Cell_Swine_Stage1MMS_DigesterCoveredLagoons_AmountSeparated_Method2</f>
        <v>0.2</v>
      </c>
      <c r="R64" s="15">
        <f>X_Cell_Swine_Stage1MMS_DigesterCoveredLagoons_AmountSeparated_Method2</f>
        <v>0.2</v>
      </c>
      <c r="S64" s="16"/>
    </row>
    <row r="65" spans="1:21" ht="20.100000000000001" customHeight="1" x14ac:dyDescent="0.2">
      <c r="D65" s="111" t="str">
        <f>INDEX(X_Table_Swine_Stage1MMS_DeepLitter,2,1)</f>
        <v>Deep litter</v>
      </c>
      <c r="E65" s="15">
        <f>X_Cell_Swine_Stage1MMS_DeepLitter_AmountSeparated_Method1</f>
        <v>0.2</v>
      </c>
      <c r="F65" s="15">
        <f>X_Cell_Swine_Stage1MMS_DeepLitter_AmountSeparated_Method1</f>
        <v>0.2</v>
      </c>
      <c r="G65" s="15">
        <f>X_Cell_Swine_Stage1MMS_DeepLitter_AmountSeparated_Method1</f>
        <v>0.2</v>
      </c>
      <c r="H65" s="15">
        <f>X_Cell_Swine_Stage1MMS_DeepLitter_AmountSeparated_Method1</f>
        <v>0.2</v>
      </c>
      <c r="I65" s="16"/>
      <c r="N65" s="111" t="str">
        <f>INDEX(X_Table_Swine_Stage1MMS_DeepLitter,2,1)</f>
        <v>Deep litter</v>
      </c>
      <c r="O65" s="15">
        <f>X_Cell_Swine_Stage1MMS_DeepLitter_AmountSeparated_Method2</f>
        <v>0.2</v>
      </c>
      <c r="P65" s="15">
        <f>X_Cell_Swine_Stage1MMS_DeepLitter_AmountSeparated_Method2</f>
        <v>0.2</v>
      </c>
      <c r="Q65" s="15">
        <f>X_Cell_Swine_Stage1MMS_DeepLitter_AmountSeparated_Method2</f>
        <v>0.2</v>
      </c>
      <c r="R65" s="15">
        <f>X_Cell_Swine_Stage1MMS_DeepLitter_AmountSeparated_Method2</f>
        <v>0.2</v>
      </c>
      <c r="S65" s="16"/>
    </row>
    <row r="66" spans="1:21" ht="20.100000000000001" customHeight="1" x14ac:dyDescent="0.2">
      <c r="D66" s="111" t="str">
        <f>INDEX(X_Table_Swine_Stage1MMS_PitStorage,2,1)</f>
        <v>Pit storage</v>
      </c>
      <c r="E66" s="15">
        <f>X_Cell_Swine_Stage1MMS_PitStorage_AmountSeparated_Method1</f>
        <v>0.2</v>
      </c>
      <c r="F66" s="15">
        <f>X_Cell_Swine_Stage1MMS_PitStorage_AmountSeparated_Method1</f>
        <v>0.2</v>
      </c>
      <c r="G66" s="15">
        <f>X_Cell_Swine_Stage1MMS_PitStorage_AmountSeparated_Method1</f>
        <v>0.2</v>
      </c>
      <c r="H66" s="15">
        <f>X_Cell_Swine_Stage1MMS_PitStorage_AmountSeparated_Method1</f>
        <v>0.2</v>
      </c>
      <c r="I66" s="16"/>
      <c r="N66" s="111" t="str">
        <f>INDEX(X_Table_Swine_Stage1MMS_PitStorage,2,1)</f>
        <v>Pit storage</v>
      </c>
      <c r="O66" s="15">
        <f>X_Cell_Swine_Stage1MMS_PitStorage_AmountSeparated_Method2</f>
        <v>0.2</v>
      </c>
      <c r="P66" s="15">
        <f>X_Cell_Swine_Stage1MMS_PitStorage_AmountSeparated_Method2</f>
        <v>0.2</v>
      </c>
      <c r="Q66" s="15">
        <f>X_Cell_Swine_Stage1MMS_PitStorage_AmountSeparated_Method2</f>
        <v>0.2</v>
      </c>
      <c r="R66" s="15">
        <f>X_Cell_Swine_Stage1MMS_PitStorage_AmountSeparated_Method2</f>
        <v>0.2</v>
      </c>
      <c r="S66" s="16"/>
    </row>
    <row r="67" spans="1:21" ht="20.100000000000001" customHeight="1" x14ac:dyDescent="0.2">
      <c r="A67" s="131" t="str">
        <f>HYPERLINK("#A1", "▲ Back to top")</f>
        <v>▲ Back to top</v>
      </c>
    </row>
    <row r="68" spans="1:21" ht="20.100000000000001" customHeight="1" x14ac:dyDescent="0.2">
      <c r="D68" s="117" t="s">
        <v>398</v>
      </c>
      <c r="N68" s="117" t="s">
        <v>399</v>
      </c>
    </row>
    <row r="69" spans="1:21" ht="20.100000000000001" customHeight="1" x14ac:dyDescent="0.2">
      <c r="D69" s="118" t="s">
        <v>400</v>
      </c>
      <c r="N69" s="118" t="s">
        <v>401</v>
      </c>
    </row>
    <row r="70" spans="1:21" ht="20.100000000000001" customHeight="1" x14ac:dyDescent="0.2">
      <c r="D70" s="119" t="s">
        <v>325</v>
      </c>
      <c r="E70" s="119" t="s">
        <v>290</v>
      </c>
      <c r="F70" s="119" t="s">
        <v>291</v>
      </c>
      <c r="G70" s="119" t="s">
        <v>265</v>
      </c>
      <c r="H70" s="119" t="s">
        <v>292</v>
      </c>
      <c r="N70" s="119" t="s">
        <v>325</v>
      </c>
      <c r="O70" s="119" t="s">
        <v>290</v>
      </c>
      <c r="P70" s="119" t="s">
        <v>291</v>
      </c>
      <c r="Q70" s="119" t="s">
        <v>265</v>
      </c>
      <c r="R70" s="119" t="s">
        <v>292</v>
      </c>
    </row>
    <row r="71" spans="1:21" ht="20.100000000000001" customHeight="1" x14ac:dyDescent="0.2">
      <c r="D71" s="111" t="str">
        <f>INDEX(X_Table_Swine_Stage1MMS_AnaerobicLagoon,2,1)</f>
        <v>Anaerobic lagoon</v>
      </c>
      <c r="E71" s="15" cm="1">
        <f t="array" aca="1" ref="E71" ca="1">MMS_Swine_N2ODirect_Equations.VEERG_4_5_1_3__3_FractionOfNitrogenInPrimaryMMS(E53,E62)</f>
        <v>0.12</v>
      </c>
      <c r="F71" s="15" cm="1">
        <f t="array" aca="1" ref="F71" ca="1">MMS_Swine_N2ODirect_Equations.VEERG_4_5_1_3__3_FractionOfNitrogenInPrimaryMMS(F53,F62)</f>
        <v>0.12</v>
      </c>
      <c r="G71" s="15" cm="1">
        <f t="array" aca="1" ref="G71" ca="1">MMS_Swine_N2ODirect_Equations.VEERG_4_5_1_3__3_FractionOfNitrogenInPrimaryMMS(G53,G62)</f>
        <v>0.12</v>
      </c>
      <c r="H71" s="15" cm="1">
        <f t="array" aca="1" ref="H71" ca="1">MMS_Swine_N2ODirect_Equations.VEERG_4_5_1_3__3_FractionOfNitrogenInPrimaryMMS(H53,H62)</f>
        <v>0.12</v>
      </c>
      <c r="I71" s="16" t="str">
        <f>$E$45</f>
        <v>fraction</v>
      </c>
      <c r="N71" s="111" t="str">
        <f>INDEX(X_Table_Swine_Stage1MMS_AnaerobicLagoon,2,1)</f>
        <v>Anaerobic lagoon</v>
      </c>
      <c r="O71" s="15" cm="1">
        <f t="array" aca="1" ref="O71" ca="1">MMS_Swine_N2ODirect_Equations.VEERG_4_5_1_3__3_FractionOfNitrogenInPrimaryMMS(E53,O62)</f>
        <v>0.12</v>
      </c>
      <c r="P71" s="15" cm="1">
        <f t="array" aca="1" ref="P71" ca="1">MMS_Swine_N2ODirect_Equations.VEERG_4_5_1_3__3_FractionOfNitrogenInPrimaryMMS(F53,P62)</f>
        <v>0.12</v>
      </c>
      <c r="Q71" s="15" cm="1">
        <f t="array" aca="1" ref="Q71" ca="1">MMS_Swine_N2ODirect_Equations.VEERG_4_5_1_3__3_FractionOfNitrogenInPrimaryMMS(G53,Q62)</f>
        <v>0.12</v>
      </c>
      <c r="R71" s="15" cm="1">
        <f t="array" aca="1" ref="R71" ca="1">MMS_Swine_N2ODirect_Equations.VEERG_4_5_1_3__3_FractionOfNitrogenInPrimaryMMS(H53,R62)</f>
        <v>0.12</v>
      </c>
      <c r="S71" s="16" t="str">
        <f>$E$45</f>
        <v>fraction</v>
      </c>
    </row>
    <row r="72" spans="1:21" ht="20.100000000000001" customHeight="1" x14ac:dyDescent="0.2">
      <c r="D72" s="111" t="str">
        <f>INDEX(X_Table_Swine_Stage1MMS_Drylot,2,1)</f>
        <v>Drylot (feed pad)</v>
      </c>
      <c r="E72" s="15" cm="1">
        <f t="array" aca="1" ref="E72" ca="1">MMS_Swine_N2ODirect_Equations.VEERG_4_5_1_3__3_FractionOfNitrogenInPrimaryMMS(E54,E63)</f>
        <v>0.12</v>
      </c>
      <c r="F72" s="15" cm="1">
        <f t="array" aca="1" ref="F72" ca="1">MMS_Swine_N2ODirect_Equations.VEERG_4_5_1_3__3_FractionOfNitrogenInPrimaryMMS(F54,F63)</f>
        <v>0.12</v>
      </c>
      <c r="G72" s="15" cm="1">
        <f t="array" aca="1" ref="G72" ca="1">MMS_Swine_N2ODirect_Equations.VEERG_4_5_1_3__3_FractionOfNitrogenInPrimaryMMS(G54,G63)</f>
        <v>0.12</v>
      </c>
      <c r="H72" s="15" cm="1">
        <f t="array" aca="1" ref="H72" ca="1">MMS_Swine_N2ODirect_Equations.VEERG_4_5_1_3__3_FractionOfNitrogenInPrimaryMMS(H54,H63)</f>
        <v>0.12</v>
      </c>
      <c r="I72" s="16"/>
      <c r="N72" s="111" t="str">
        <f>INDEX(X_Table_Swine_Stage1MMS_Drylot,2,1)</f>
        <v>Drylot (feed pad)</v>
      </c>
      <c r="O72" s="15" cm="1">
        <f t="array" aca="1" ref="O72" ca="1">MMS_Swine_N2ODirect_Equations.VEERG_4_5_1_3__3_FractionOfNitrogenInPrimaryMMS(E54,O63)</f>
        <v>0.12</v>
      </c>
      <c r="P72" s="15" cm="1">
        <f t="array" aca="1" ref="P72" ca="1">MMS_Swine_N2ODirect_Equations.VEERG_4_5_1_3__3_FractionOfNitrogenInPrimaryMMS(F54,P63)</f>
        <v>0.12</v>
      </c>
      <c r="Q72" s="15" cm="1">
        <f t="array" aca="1" ref="Q72" ca="1">MMS_Swine_N2ODirect_Equations.VEERG_4_5_1_3__3_FractionOfNitrogenInPrimaryMMS(G54,Q63)</f>
        <v>0.12</v>
      </c>
      <c r="R72" s="15" cm="1">
        <f t="array" aca="1" ref="R72" ca="1">MMS_Swine_N2ODirect_Equations.VEERG_4_5_1_3__3_FractionOfNitrogenInPrimaryMMS(H54,R63)</f>
        <v>0.12</v>
      </c>
      <c r="S72" s="16"/>
    </row>
    <row r="73" spans="1:21" ht="20.100000000000001" customHeight="1" x14ac:dyDescent="0.2">
      <c r="D73" s="111" t="str">
        <f>INDEX(X_Table_Swine_Stage1MMS_DigesterCoveredLagoons,2,1)</f>
        <v>Digester / covered lagoons</v>
      </c>
      <c r="E73" s="15" cm="1">
        <f t="array" aca="1" ref="E73" ca="1">MMS_Swine_N2ODirect_Equations.VEERG_4_5_1_3__3_FractionOfNitrogenInPrimaryMMS(E55,E64)</f>
        <v>0.12</v>
      </c>
      <c r="F73" s="15" cm="1">
        <f t="array" aca="1" ref="F73" ca="1">MMS_Swine_N2ODirect_Equations.VEERG_4_5_1_3__3_FractionOfNitrogenInPrimaryMMS(F55,F64)</f>
        <v>0.12</v>
      </c>
      <c r="G73" s="15" cm="1">
        <f t="array" aca="1" ref="G73" ca="1">MMS_Swine_N2ODirect_Equations.VEERG_4_5_1_3__3_FractionOfNitrogenInPrimaryMMS(G55,G64)</f>
        <v>0.12</v>
      </c>
      <c r="H73" s="15" cm="1">
        <f t="array" aca="1" ref="H73" ca="1">MMS_Swine_N2ODirect_Equations.VEERG_4_5_1_3__3_FractionOfNitrogenInPrimaryMMS(H55,H64)</f>
        <v>0.12</v>
      </c>
      <c r="I73" s="16"/>
      <c r="N73" s="111" t="str">
        <f>INDEX(X_Table_Swine_Stage1MMS_DigesterCoveredLagoons,2,1)</f>
        <v>Digester / covered lagoons</v>
      </c>
      <c r="O73" s="15" cm="1">
        <f t="array" aca="1" ref="O73" ca="1">MMS_Swine_N2ODirect_Equations.VEERG_4_5_1_3__3_FractionOfNitrogenInPrimaryMMS(E55,O64)</f>
        <v>0.12</v>
      </c>
      <c r="P73" s="15" cm="1">
        <f t="array" aca="1" ref="P73" ca="1">MMS_Swine_N2ODirect_Equations.VEERG_4_5_1_3__3_FractionOfNitrogenInPrimaryMMS(F55,P64)</f>
        <v>0.12</v>
      </c>
      <c r="Q73" s="15" cm="1">
        <f t="array" aca="1" ref="Q73" ca="1">MMS_Swine_N2ODirect_Equations.VEERG_4_5_1_3__3_FractionOfNitrogenInPrimaryMMS(G55,Q64)</f>
        <v>0.12</v>
      </c>
      <c r="R73" s="15" cm="1">
        <f t="array" aca="1" ref="R73" ca="1">MMS_Swine_N2ODirect_Equations.VEERG_4_5_1_3__3_FractionOfNitrogenInPrimaryMMS(H55,R64)</f>
        <v>0.12</v>
      </c>
      <c r="S73" s="16"/>
    </row>
    <row r="74" spans="1:21" ht="20.100000000000001" customHeight="1" x14ac:dyDescent="0.2">
      <c r="D74" s="111" t="str">
        <f>INDEX(X_Table_Swine_Stage1MMS_DeepLitter,2,1)</f>
        <v>Deep litter</v>
      </c>
      <c r="E74" s="15" cm="1">
        <f t="array" aca="1" ref="E74" ca="1">MMS_Swine_N2ODirect_Equations.VEERG_4_5_1_3__3_FractionOfNitrogenInPrimaryMMS(E56,E65)</f>
        <v>0.12</v>
      </c>
      <c r="F74" s="15" cm="1">
        <f t="array" aca="1" ref="F74" ca="1">MMS_Swine_N2ODirect_Equations.VEERG_4_5_1_3__3_FractionOfNitrogenInPrimaryMMS(F56,F65)</f>
        <v>0.12</v>
      </c>
      <c r="G74" s="15" cm="1">
        <f t="array" aca="1" ref="G74" ca="1">MMS_Swine_N2ODirect_Equations.VEERG_4_5_1_3__3_FractionOfNitrogenInPrimaryMMS(G56,G65)</f>
        <v>0.12</v>
      </c>
      <c r="H74" s="15" cm="1">
        <f t="array" aca="1" ref="H74" ca="1">MMS_Swine_N2ODirect_Equations.VEERG_4_5_1_3__3_FractionOfNitrogenInPrimaryMMS(H56,H65)</f>
        <v>0.12</v>
      </c>
      <c r="I74" s="16"/>
      <c r="N74" s="111" t="str">
        <f>INDEX(X_Table_Swine_Stage1MMS_DeepLitter,2,1)</f>
        <v>Deep litter</v>
      </c>
      <c r="O74" s="15" cm="1">
        <f t="array" aca="1" ref="O74" ca="1">MMS_Swine_N2ODirect_Equations.VEERG_4_5_1_3__3_FractionOfNitrogenInPrimaryMMS(E56,O65)</f>
        <v>0.12</v>
      </c>
      <c r="P74" s="15" cm="1">
        <f t="array" aca="1" ref="P74" ca="1">MMS_Swine_N2ODirect_Equations.VEERG_4_5_1_3__3_FractionOfNitrogenInPrimaryMMS(F56,P65)</f>
        <v>0.12</v>
      </c>
      <c r="Q74" s="15" cm="1">
        <f t="array" aca="1" ref="Q74" ca="1">MMS_Swine_N2ODirect_Equations.VEERG_4_5_1_3__3_FractionOfNitrogenInPrimaryMMS(G56,Q65)</f>
        <v>0.12</v>
      </c>
      <c r="R74" s="15" cm="1">
        <f t="array" aca="1" ref="R74" ca="1">MMS_Swine_N2ODirect_Equations.VEERG_4_5_1_3__3_FractionOfNitrogenInPrimaryMMS(H56,R65)</f>
        <v>0.12</v>
      </c>
      <c r="S74" s="16"/>
    </row>
    <row r="75" spans="1:21" ht="20.100000000000001" customHeight="1" x14ac:dyDescent="0.2">
      <c r="D75" s="111" t="str">
        <f>INDEX(X_Table_Swine_Stage1MMS_PitStorage,2,1)</f>
        <v>Pit storage</v>
      </c>
      <c r="E75" s="15" cm="1">
        <f t="array" aca="1" ref="E75" ca="1">MMS_Swine_N2ODirect_Equations.VEERG_4_5_1_3__3_FractionOfNitrogenInPrimaryMMS(E57,E66)</f>
        <v>0.12</v>
      </c>
      <c r="F75" s="15" cm="1">
        <f t="array" aca="1" ref="F75" ca="1">MMS_Swine_N2ODirect_Equations.VEERG_4_5_1_3__3_FractionOfNitrogenInPrimaryMMS(F57,F66)</f>
        <v>0.12</v>
      </c>
      <c r="G75" s="15" cm="1">
        <f t="array" aca="1" ref="G75" ca="1">MMS_Swine_N2ODirect_Equations.VEERG_4_5_1_3__3_FractionOfNitrogenInPrimaryMMS(G57,G66)</f>
        <v>0.12</v>
      </c>
      <c r="H75" s="15" cm="1">
        <f t="array" aca="1" ref="H75" ca="1">MMS_Swine_N2ODirect_Equations.VEERG_4_5_1_3__3_FractionOfNitrogenInPrimaryMMS(H57,H66)</f>
        <v>0.12</v>
      </c>
      <c r="I75" s="16"/>
      <c r="N75" s="111" t="str">
        <f>INDEX(X_Table_Swine_Stage1MMS_PitStorage,2,1)</f>
        <v>Pit storage</v>
      </c>
      <c r="O75" s="15" cm="1">
        <f t="array" aca="1" ref="O75" ca="1">MMS_Swine_N2ODirect_Equations.VEERG_4_5_1_3__3_FractionOfNitrogenInPrimaryMMS(E57,O66)</f>
        <v>0.12</v>
      </c>
      <c r="P75" s="15" cm="1">
        <f t="array" aca="1" ref="P75" ca="1">MMS_Swine_N2ODirect_Equations.VEERG_4_5_1_3__3_FractionOfNitrogenInPrimaryMMS(F57,P66)</f>
        <v>0.12</v>
      </c>
      <c r="Q75" s="15" cm="1">
        <f t="array" aca="1" ref="Q75" ca="1">MMS_Swine_N2ODirect_Equations.VEERG_4_5_1_3__3_FractionOfNitrogenInPrimaryMMS(G57,Q66)</f>
        <v>0.12</v>
      </c>
      <c r="R75" s="15" cm="1">
        <f t="array" aca="1" ref="R75" ca="1">MMS_Swine_N2ODirect_Equations.VEERG_4_5_1_3__3_FractionOfNitrogenInPrimaryMMS(H57,R66)</f>
        <v>0.12</v>
      </c>
      <c r="S75" s="16"/>
    </row>
    <row r="78" spans="1:21" ht="20.100000000000001" customHeight="1" x14ac:dyDescent="0.2">
      <c r="C78" s="82"/>
      <c r="D78" s="82"/>
      <c r="E78" s="82"/>
      <c r="F78" s="82"/>
      <c r="G78" s="82"/>
      <c r="H78" s="82"/>
      <c r="I78" s="82"/>
      <c r="J78" s="82"/>
      <c r="K78" s="82"/>
      <c r="M78" s="82"/>
      <c r="N78" s="82"/>
      <c r="O78" s="82"/>
      <c r="P78" s="82"/>
      <c r="Q78" s="82"/>
      <c r="R78" s="82"/>
      <c r="S78" s="82"/>
      <c r="T78" s="82"/>
      <c r="U78" s="82"/>
    </row>
    <row r="79" spans="1:21" ht="20.100000000000001" customHeight="1" x14ac:dyDescent="0.2">
      <c r="D79" s="2" t="str" cm="1">
        <f t="array" ref="D79">MMS_Swine_N2ODirect_Equations.VEERG_4_5_1_3__4_FractionOfNitrogenInSolidStorage_Title()</f>
        <v>Fraction of nitrogen in solid storage</v>
      </c>
    </row>
    <row r="80" spans="1:21" ht="20.100000000000001" customHeight="1" x14ac:dyDescent="0.2">
      <c r="D80" s="17" t="str" cm="1">
        <f t="array" ref="D80">MMS_Swine_N2ODirect_Equations.VEERG_4_5_1_3__4_FractionOfNitrogenInSolidStorage_Source()</f>
        <v>VEERG 2026: 4.5.1.3, Equation (4)</v>
      </c>
    </row>
    <row r="81" spans="4:9" ht="20.100000000000001" customHeight="1" x14ac:dyDescent="0.2">
      <c r="D81" s="2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
      <c r="D82" s="110" t="s">
        <v>321</v>
      </c>
      <c r="E82" s="110" t="str" cm="1">
        <f t="array" aca="1" ref="E82" ca="1">Common_InputFunctions.Utility_DisplayFunctionName($E$100)</f>
        <v>=MMS_Swine_N2ODirect_Equations.VEERG_4_5_1_3__4_FractionOfNitrogenInSolidStorageVariation</v>
      </c>
    </row>
    <row r="83" spans="4:9" ht="20.100000000000001" customHeight="1" x14ac:dyDescent="0.2">
      <c r="D83" s="25"/>
    </row>
    <row r="85" spans="4:9" ht="20.100000000000001" customHeight="1" x14ac:dyDescent="0.2">
      <c r="D85" s="75" t="s">
        <v>322</v>
      </c>
      <c r="E85" s="1" t="str" cm="1">
        <f t="array" ref="E85">MMS_Swine_N2ODirect_Equations.VEERG_4_5_1_3__4_FractionOfNitrogenInSolidStorage_Variable()</f>
        <v>FN_jm4T1</v>
      </c>
    </row>
    <row r="86" spans="4:9" ht="20.100000000000001" customHeight="1" x14ac:dyDescent="0.2">
      <c r="D86" s="75" t="s">
        <v>118</v>
      </c>
      <c r="E86" s="9" t="str" cm="1">
        <f t="array" ref="E86">MMS_Swine_N2ODirect_Equations.VEERG_4_5_1_3__4_FractionOfNitrogenInSolidStorage_Unit()</f>
        <v>fraction</v>
      </c>
    </row>
    <row r="88" spans="4:9" ht="20.100000000000001" customHeight="1" x14ac:dyDescent="0.2">
      <c r="D88" s="127" t="str" cm="1">
        <f t="array" ref="D88:E90">Common_InputFunctions.Utility_DisplayArguments_1_2(MMS_Swine_N2ODirect_Equations.VEERG_4_5_1_3__4_FractionOfNitrogenInSolidStorage_Arguments())</f>
        <v>MMS_jm4T1</v>
      </c>
      <c r="E88" s="127" t="str">
        <v>fraction of manure in solid storage MMS</v>
      </c>
      <c r="F88" s="127"/>
      <c r="G88" s="127" t="str" cm="1">
        <f t="array" ref="G88:H90">Common_InputFunctions.Utility_DisplayArguments_3_4(MMS_Swine_N2ODirect_Equations.VEERG_4_5_1_3__4_FractionOfNitrogenInSolidStorage_Arguments())</f>
        <v>fraction</v>
      </c>
      <c r="H88" s="123" t="str">
        <v>Input</v>
      </c>
      <c r="I88" s="115" t="str" cm="1">
        <f t="array" aca="1" ref="I88" ca="1">HYPERLINK(Common_InputFunctions.Utility_SourceHyperlink($D$92), $D$92)</f>
        <v>Table_MMS_j_m-4_T-1</v>
      </c>
    </row>
    <row r="89" spans="4:9" ht="20.100000000000001" customHeight="1" x14ac:dyDescent="0.2">
      <c r="D89" s="127" t="str">
        <v>MMS_jm179T1</v>
      </c>
      <c r="E89" s="127" t="str">
        <v>fraction of manure in primary liquid systems (m=1,7,9)</v>
      </c>
      <c r="F89" s="127"/>
      <c r="G89" s="127" t="str">
        <v>fraction</v>
      </c>
      <c r="H89" s="123" t="str">
        <v>Input</v>
      </c>
      <c r="I89" s="115" t="str" cm="1">
        <f t="array" aca="1" ref="I89" ca="1">HYPERLINK(Common_InputFunctions.Utility_SourceHyperlink($D$50), $D$50)</f>
        <v>Table_MMS_j_m-1-7-9-8_T-1</v>
      </c>
    </row>
    <row r="90" spans="4:9" ht="20.100000000000001" customHeight="1" x14ac:dyDescent="0.2">
      <c r="D90" s="127" t="str">
        <v>SN_m</v>
      </c>
      <c r="E90" s="127" t="str">
        <v>fraction of nitrogen separated to solid storage for each MMS</v>
      </c>
      <c r="F90" s="127"/>
      <c r="G90" s="127" t="str">
        <v>fraction</v>
      </c>
      <c r="H90" s="123" t="str">
        <v>Input</v>
      </c>
      <c r="I90" s="115" t="str" cm="1">
        <f t="array" aca="1" ref="I90" ca="1">HYPERLINK(Common_InputFunctions.Utility_SourceHyperlink($D$59), $D$59)</f>
        <v>M1_Table_SN_m-1-7-9</v>
      </c>
    </row>
    <row r="92" spans="4:9" ht="20.100000000000001" customHeight="1" x14ac:dyDescent="0.2">
      <c r="D92" s="117" t="s">
        <v>334</v>
      </c>
    </row>
    <row r="93" spans="4:9" ht="20.100000000000001" customHeight="1" x14ac:dyDescent="0.2">
      <c r="D93" s="118" t="s">
        <v>335</v>
      </c>
    </row>
    <row r="94" spans="4:9" ht="20.100000000000001" customHeight="1" x14ac:dyDescent="0.2">
      <c r="D94" s="78" t="s">
        <v>325</v>
      </c>
      <c r="E94" s="78" t="s">
        <v>290</v>
      </c>
      <c r="F94" s="78" t="s">
        <v>291</v>
      </c>
      <c r="G94" s="78" t="s">
        <v>265</v>
      </c>
      <c r="H94" s="78" t="s">
        <v>292</v>
      </c>
    </row>
    <row r="95" spans="4:9" ht="20.100000000000001" customHeight="1" x14ac:dyDescent="0.2">
      <c r="D95" s="111" t="str">
        <f>INDEX(X_Table_Swine_Stage1MMS_SolidStorage,2,1)</f>
        <v>Solid storage (before solid separation)</v>
      </c>
      <c r="E95" s="15" cm="1">
        <f t="array" aca="1" ref="E95:H95" ca="1">OFFSET(X_Table_Swine_Stage1MMS_SolidStorage,1,1,1,4)</f>
        <v>0.25</v>
      </c>
      <c r="F95" s="15">
        <f ca="1"/>
        <v>0.25</v>
      </c>
      <c r="G95" s="15">
        <f ca="1"/>
        <v>0.25</v>
      </c>
      <c r="H95" s="15">
        <f ca="1"/>
        <v>0.25</v>
      </c>
      <c r="I95" s="16" t="s">
        <v>402</v>
      </c>
    </row>
    <row r="97" spans="1:21" ht="20.100000000000001" customHeight="1" x14ac:dyDescent="0.2">
      <c r="A97" s="131" t="str">
        <f>HYPERLINK("#A1", "▲ Back to top")</f>
        <v>▲ Back to top</v>
      </c>
      <c r="D97" s="117" t="s">
        <v>336</v>
      </c>
      <c r="N97" s="117" t="s">
        <v>337</v>
      </c>
    </row>
    <row r="98" spans="1:21" ht="20.100000000000001" customHeight="1" x14ac:dyDescent="0.2">
      <c r="D98" s="118" t="s">
        <v>338</v>
      </c>
      <c r="N98" s="118" t="s">
        <v>339</v>
      </c>
    </row>
    <row r="99" spans="1:21" ht="20.100000000000001" customHeight="1" x14ac:dyDescent="0.2">
      <c r="D99" s="119" t="s">
        <v>325</v>
      </c>
      <c r="E99" s="119" t="s">
        <v>290</v>
      </c>
      <c r="F99" s="119" t="s">
        <v>291</v>
      </c>
      <c r="G99" s="119" t="s">
        <v>265</v>
      </c>
      <c r="H99" s="119" t="s">
        <v>292</v>
      </c>
      <c r="N99" s="119" t="s">
        <v>325</v>
      </c>
      <c r="O99" s="119" t="s">
        <v>290</v>
      </c>
      <c r="P99" s="119" t="s">
        <v>291</v>
      </c>
      <c r="Q99" s="119" t="s">
        <v>265</v>
      </c>
      <c r="R99" s="119" t="s">
        <v>292</v>
      </c>
    </row>
    <row r="100" spans="1:21" ht="20.100000000000001" customHeight="1" x14ac:dyDescent="0.2">
      <c r="D100" s="111" t="s">
        <v>75</v>
      </c>
      <c r="E100" s="15" cm="1">
        <f t="array" aca="1" ref="E100" ca="1">MMS_Swine_N2ODirect_Equations.VEERG_4_5_1_3__4_FractionOfNitrogenInSolidStorageVariation(E95,E53,E54,E55,E56,E57,E62,E63,E64,E65,E66)</f>
        <v>0.40000000000000013</v>
      </c>
      <c r="F100" s="15" cm="1">
        <f t="array" aca="1" ref="F100" ca="1">MMS_Swine_N2ODirect_Equations.VEERG_4_5_1_3__4_FractionOfNitrogenInSolidStorageVariation(F95,F53,F54,F55,F56,F57,F62,F63,F64,F65,F66)</f>
        <v>0.40000000000000013</v>
      </c>
      <c r="G100" s="15" cm="1">
        <f t="array" aca="1" ref="G100" ca="1">MMS_Swine_N2ODirect_Equations.VEERG_4_5_1_3__4_FractionOfNitrogenInSolidStorageVariation(G95,G53,G54,G55,G56,G57,G62,G63,G64,G65,G66)</f>
        <v>0.40000000000000013</v>
      </c>
      <c r="H100" s="15" cm="1">
        <f t="array" aca="1" ref="H100" ca="1">MMS_Swine_N2ODirect_Equations.VEERG_4_5_1_3__4_FractionOfNitrogenInSolidStorageVariation(H95,H53,H54,H55,H56,H57,H62,H63,H64,H65,H66)</f>
        <v>0.40000000000000013</v>
      </c>
      <c r="I100" s="16" t="str">
        <f>$E$86</f>
        <v>fraction</v>
      </c>
      <c r="N100" s="111" t="s">
        <v>75</v>
      </c>
      <c r="O100" s="15" cm="1">
        <f t="array" aca="1" ref="O100" ca="1">MMS_Swine_N2ODirect_Equations.VEERG_4_5_1_3__4_FractionOfNitrogenInSolidStorageVariation(E95,E53,E54,E55,E56,E57,O62,O63,O64,O65,O66)</f>
        <v>0.40000000000000013</v>
      </c>
      <c r="P100" s="15" cm="1">
        <f t="array" aca="1" ref="P100" ca="1">MMS_Swine_N2ODirect_Equations.VEERG_4_5_1_3__4_FractionOfNitrogenInSolidStorageVariation(F95,F53,F54,F55,F56,F57,P62,P63,P64,P65,P66)</f>
        <v>0.40000000000000013</v>
      </c>
      <c r="Q100" s="15" cm="1">
        <f t="array" aca="1" ref="Q100" ca="1">MMS_Swine_N2ODirect_Equations.VEERG_4_5_1_3__4_FractionOfNitrogenInSolidStorageVariation(G95,G53,G54,G55,G56,G57,Q62,Q63,Q64,Q65,Q66)</f>
        <v>0.40000000000000013</v>
      </c>
      <c r="R100" s="15" cm="1">
        <f t="array" aca="1" ref="R100" ca="1">MMS_Swine_N2ODirect_Equations.VEERG_4_5_1_3__4_FractionOfNitrogenInSolidStorageVariation(H95,H53,H54,H55,H56,H57,R62,R63,R64,R65,R66)</f>
        <v>0.40000000000000013</v>
      </c>
      <c r="S100" s="16" t="str">
        <f>$E$86</f>
        <v>fraction</v>
      </c>
    </row>
    <row r="103" spans="1:21" ht="20.100000000000001" customHeight="1" x14ac:dyDescent="0.2">
      <c r="C103" s="82"/>
      <c r="D103" s="82"/>
      <c r="E103" s="82"/>
      <c r="F103" s="82"/>
      <c r="G103" s="82"/>
      <c r="H103" s="82"/>
      <c r="I103" s="82"/>
      <c r="J103" s="82"/>
      <c r="K103" s="82"/>
      <c r="M103" s="82"/>
      <c r="N103" s="82"/>
      <c r="O103" s="82"/>
      <c r="P103" s="82"/>
      <c r="Q103" s="82"/>
      <c r="R103" s="82"/>
      <c r="S103" s="82"/>
      <c r="T103" s="82"/>
      <c r="U103" s="82"/>
    </row>
    <row r="104" spans="1:21" ht="20.100000000000001" customHeight="1" x14ac:dyDescent="0.2">
      <c r="D104" s="2" t="str" cm="1">
        <f t="array" ref="D104">MMS_Swine_N2ODirect_Equations.VEERG_4_5_1_3__2_Stage1NitrogenInMMS_Title()</f>
        <v>Nitrogen in treatment stage 1 MMS</v>
      </c>
    </row>
    <row r="105" spans="1:21" ht="20.100000000000001" customHeight="1" x14ac:dyDescent="0.2">
      <c r="D105" s="17" t="str" cm="1">
        <f t="array" ref="D105">MMS_Swine_N2ODirect_Equations.VEERG_4_5_1_3__2_Stage1NitrogenInMMS_Source()</f>
        <v>VEERG 2026: 4.5.1.3, Equation (2)</v>
      </c>
    </row>
    <row r="106" spans="1:21" ht="20.100000000000001" customHeight="1" x14ac:dyDescent="0.2">
      <c r="D106" s="110" t="s">
        <v>321</v>
      </c>
      <c r="E106" s="110" t="str" cm="1">
        <f t="array" aca="1" ref="E106" ca="1">Common_InputFunctions.Utility_DisplayFunctionName(E118)</f>
        <v>=MMS_Swine_N2ODirect_Equations.VEERG_4_5_1_3__2_Stage1NitrogenInMMS</v>
      </c>
    </row>
    <row r="109" spans="1:21" ht="20.100000000000001" customHeight="1" x14ac:dyDescent="0.2">
      <c r="D109" s="75" t="s">
        <v>322</v>
      </c>
      <c r="E109" s="1" t="str" cm="1">
        <f t="array" ref="E109">MMS_Swine_N2ODirect_Equations.VEERG_4_5_1_3__2_Stage1NitrogenInMMS_Variable()</f>
        <v>MN_jmT1</v>
      </c>
    </row>
    <row r="110" spans="1:21" ht="20.100000000000001" customHeight="1" x14ac:dyDescent="0.2">
      <c r="D110" s="75" t="s">
        <v>118</v>
      </c>
      <c r="E110" s="9" t="str" cm="1">
        <f t="array" ref="E110">MMS_Swine_N2ODirect_Equations.VEERG_4_5_1_3__2_Stage1NitrogenInMMS_Unit()</f>
        <v>kg N</v>
      </c>
    </row>
    <row r="112" spans="1:21" ht="20.100000000000001" customHeight="1" x14ac:dyDescent="0.2">
      <c r="D112" s="111" t="str" cm="1">
        <f t="array" ref="D112:E113">Common_InputFunctions.Utility_DisplayArguments_1_2(MMS_Swine_N2ODirect_Equations.VEERG_4_5_1_3__2_Stage1NitrogenInMMS_Arguments())</f>
        <v>AE_j</v>
      </c>
      <c r="E112" s="112" t="str">
        <v>total nitrogen excreted by each swine class</v>
      </c>
      <c r="F112" s="124"/>
      <c r="G112" s="127" t="str" cm="1">
        <f t="array" ref="G112:H113">Common_InputFunctions.Utility_DisplayArguments_3_4(MMS_Swine_N2ODirect_Equations.VEERG_4_5_1_3__2_Stage1NitrogenInMMS_Arguments())</f>
        <v>kg N</v>
      </c>
      <c r="H112" s="125" t="str">
        <v>Calculated from 4.5.1.3 (5)</v>
      </c>
      <c r="I112" s="115" t="str" cm="1">
        <f t="array" aca="1" ref="I112" ca="1">HYPERLINK(Common_InputFunctions.Utility_SourceHyperlink(D32), D32)</f>
        <v>M1_Table_AE_j</v>
      </c>
      <c r="J112" s="115"/>
    </row>
    <row r="113" spans="1:21" ht="20.100000000000001" customHeight="1" x14ac:dyDescent="0.2">
      <c r="D113" s="111" t="str">
        <v>FN_jmT1</v>
      </c>
      <c r="E113" s="112" t="str">
        <v>fraction of nitrogen in each primary MMS system</v>
      </c>
      <c r="F113" s="124"/>
      <c r="G113" s="127" t="str">
        <v>fraction</v>
      </c>
      <c r="H113" s="125" t="str">
        <v>Calculated from 4.5.1.3 (3)(4)</v>
      </c>
      <c r="I113" s="115" t="str" cm="1">
        <f t="array" aca="1" ref="I113" ca="1">HYPERLINK(Common_InputFunctions.Utility_SourceHyperlink(D68), D68)</f>
        <v>M1_Table_FN_j_m_T-1</v>
      </c>
      <c r="J113" s="115" t="str" cm="1">
        <f t="array" aca="1" ref="J113" ca="1">HYPERLINK(Common_InputFunctions.Utility_SourceHyperlink(D97), D97)</f>
        <v>M1_Table_FVS_j_m-4_T-1</v>
      </c>
    </row>
    <row r="115" spans="1:21" ht="20.100000000000001" customHeight="1" x14ac:dyDescent="0.2">
      <c r="D115" s="117" t="s">
        <v>403</v>
      </c>
      <c r="N115" s="117" t="s">
        <v>404</v>
      </c>
    </row>
    <row r="116" spans="1:21" ht="20.100000000000001" customHeight="1" x14ac:dyDescent="0.2">
      <c r="D116" s="118" t="s">
        <v>405</v>
      </c>
      <c r="N116" s="118" t="s">
        <v>406</v>
      </c>
    </row>
    <row r="117" spans="1:21" ht="20.100000000000001" customHeight="1" x14ac:dyDescent="0.2">
      <c r="D117" s="119" t="s">
        <v>325</v>
      </c>
      <c r="E117" s="119" t="s">
        <v>290</v>
      </c>
      <c r="F117" s="119" t="s">
        <v>291</v>
      </c>
      <c r="G117" s="119" t="s">
        <v>265</v>
      </c>
      <c r="H117" s="119" t="s">
        <v>292</v>
      </c>
      <c r="N117" s="119" t="s">
        <v>325</v>
      </c>
      <c r="O117" s="119" t="s">
        <v>290</v>
      </c>
      <c r="P117" s="119" t="s">
        <v>291</v>
      </c>
      <c r="Q117" s="119" t="s">
        <v>265</v>
      </c>
      <c r="R117" s="119" t="s">
        <v>292</v>
      </c>
    </row>
    <row r="118" spans="1:21" ht="20.100000000000001" customHeight="1" x14ac:dyDescent="0.2">
      <c r="D118" s="111" t="str">
        <f>INDEX(X_Table_Swine_Stage1MMS_AnaerobicLagoon,2,1)</f>
        <v>Anaerobic lagoon</v>
      </c>
      <c r="E118" s="15" cm="1">
        <f t="array" aca="1" ref="E118" ca="1">MMS_Swine_N2ODirect_Equations.VEERG_4_5_1_3__2_Stage1NitrogenInMMS(D$35,E71)</f>
        <v>201.47999999999996</v>
      </c>
      <c r="F118" s="15" cm="1">
        <f t="array" aca="1" ref="F118" ca="1">MMS_Swine_N2ODirect_Equations.VEERG_4_5_1_3__2_Stage1NitrogenInMMS(E$35,F71)</f>
        <v>214.62000000000003</v>
      </c>
      <c r="G118" s="15" cm="1">
        <f t="array" aca="1" ref="G118" ca="1">MMS_Swine_N2ODirect_Equations.VEERG_4_5_1_3__2_Stage1NitrogenInMMS(F$35,G71)</f>
        <v>201.47999999999996</v>
      </c>
      <c r="H118" s="15" cm="1">
        <f t="array" aca="1" ref="H118" ca="1">MMS_Swine_N2ODirect_Equations.VEERG_4_5_1_3__2_Stage1NitrogenInMMS(G$35,H71)</f>
        <v>136.65599999999998</v>
      </c>
      <c r="I118" s="16" t="str">
        <f t="shared" ref="I118" si="0">$E$110</f>
        <v>kg N</v>
      </c>
      <c r="N118" s="111" t="str">
        <f>INDEX(X_Table_Swine_Stage1MMS_AnaerobicLagoon,2,1)</f>
        <v>Anaerobic lagoon</v>
      </c>
      <c r="O118" s="15" cm="1">
        <f t="array" aca="1" ref="O118" ca="1">MMS_Swine_N2ODirect_Equations.VEERG_4_5_1_3__2_Stage1NitrogenInMMS(N$35,O71)</f>
        <v>201.47999999999996</v>
      </c>
      <c r="P118" s="15" cm="1">
        <f t="array" aca="1" ref="P118" ca="1">MMS_Swine_N2ODirect_Equations.VEERG_4_5_1_3__2_Stage1NitrogenInMMS(O$35,P71)</f>
        <v>214.62000000000003</v>
      </c>
      <c r="Q118" s="15" cm="1">
        <f t="array" aca="1" ref="Q118" ca="1">MMS_Swine_N2ODirect_Equations.VEERG_4_5_1_3__2_Stage1NitrogenInMMS(P$35,Q71)</f>
        <v>201.47999999999996</v>
      </c>
      <c r="R118" s="15" cm="1">
        <f t="array" aca="1" ref="R118" ca="1">MMS_Swine_N2ODirect_Equations.VEERG_4_5_1_3__2_Stage1NitrogenInMMS(Q$35,R71)</f>
        <v>136.65599999999998</v>
      </c>
      <c r="S118" s="16" t="str">
        <f t="shared" ref="S118" si="1">$E$110</f>
        <v>kg N</v>
      </c>
    </row>
    <row r="119" spans="1:21" ht="20.100000000000001" customHeight="1" x14ac:dyDescent="0.2">
      <c r="D119" s="111" t="str">
        <f>INDEX(X_Table_Swine_Stage1MMS_Drylot,2,1)</f>
        <v>Drylot (feed pad)</v>
      </c>
      <c r="E119" s="15" cm="1">
        <f t="array" aca="1" ref="E119" ca="1">MMS_Swine_N2ODirect_Equations.VEERG_4_5_1_3__2_Stage1NitrogenInMMS(D$35,E72)</f>
        <v>201.47999999999996</v>
      </c>
      <c r="F119" s="15" cm="1">
        <f t="array" aca="1" ref="F119" ca="1">MMS_Swine_N2ODirect_Equations.VEERG_4_5_1_3__2_Stage1NitrogenInMMS(E$35,F72)</f>
        <v>214.62000000000003</v>
      </c>
      <c r="G119" s="15" cm="1">
        <f t="array" aca="1" ref="G119" ca="1">MMS_Swine_N2ODirect_Equations.VEERG_4_5_1_3__2_Stage1NitrogenInMMS(F$35,G72)</f>
        <v>201.47999999999996</v>
      </c>
      <c r="H119" s="15" cm="1">
        <f t="array" aca="1" ref="H119" ca="1">MMS_Swine_N2ODirect_Equations.VEERG_4_5_1_3__2_Stage1NitrogenInMMS(G$35,H72)</f>
        <v>136.65599999999998</v>
      </c>
      <c r="I119" s="16"/>
      <c r="N119" s="111" t="str">
        <f>INDEX(X_Table_Swine_Stage1MMS_Drylot,2,1)</f>
        <v>Drylot (feed pad)</v>
      </c>
      <c r="O119" s="15" cm="1">
        <f t="array" aca="1" ref="O119" ca="1">MMS_Swine_N2ODirect_Equations.VEERG_4_5_1_3__2_Stage1NitrogenInMMS(N$35,O72)</f>
        <v>201.47999999999996</v>
      </c>
      <c r="P119" s="15" cm="1">
        <f t="array" aca="1" ref="P119" ca="1">MMS_Swine_N2ODirect_Equations.VEERG_4_5_1_3__2_Stage1NitrogenInMMS(O$35,P72)</f>
        <v>214.62000000000003</v>
      </c>
      <c r="Q119" s="15" cm="1">
        <f t="array" aca="1" ref="Q119" ca="1">MMS_Swine_N2ODirect_Equations.VEERG_4_5_1_3__2_Stage1NitrogenInMMS(P$35,Q72)</f>
        <v>201.47999999999996</v>
      </c>
      <c r="R119" s="15" cm="1">
        <f t="array" aca="1" ref="R119" ca="1">MMS_Swine_N2ODirect_Equations.VEERG_4_5_1_3__2_Stage1NitrogenInMMS(Q$35,R72)</f>
        <v>136.65599999999998</v>
      </c>
      <c r="S119" s="16"/>
    </row>
    <row r="120" spans="1:21" ht="20.100000000000001" customHeight="1" x14ac:dyDescent="0.2">
      <c r="D120" s="111" t="str">
        <f>INDEX(X_Table_Swine_Stage1MMS_DigesterCoveredLagoons,2,1)</f>
        <v>Digester / covered lagoons</v>
      </c>
      <c r="E120" s="15" cm="1">
        <f t="array" aca="1" ref="E120" ca="1">MMS_Swine_N2ODirect_Equations.VEERG_4_5_1_3__2_Stage1NitrogenInMMS(D$35,E73)</f>
        <v>201.47999999999996</v>
      </c>
      <c r="F120" s="15" cm="1">
        <f t="array" aca="1" ref="F120" ca="1">MMS_Swine_N2ODirect_Equations.VEERG_4_5_1_3__2_Stage1NitrogenInMMS(E$35,F73)</f>
        <v>214.62000000000003</v>
      </c>
      <c r="G120" s="15" cm="1">
        <f t="array" aca="1" ref="G120" ca="1">MMS_Swine_N2ODirect_Equations.VEERG_4_5_1_3__2_Stage1NitrogenInMMS(F$35,G73)</f>
        <v>201.47999999999996</v>
      </c>
      <c r="H120" s="15" cm="1">
        <f t="array" aca="1" ref="H120" ca="1">MMS_Swine_N2ODirect_Equations.VEERG_4_5_1_3__2_Stage1NitrogenInMMS(G$35,H73)</f>
        <v>136.65599999999998</v>
      </c>
      <c r="I120" s="16"/>
      <c r="N120" s="111" t="str">
        <f>INDEX(X_Table_Swine_Stage1MMS_DigesterCoveredLagoons,2,1)</f>
        <v>Digester / covered lagoons</v>
      </c>
      <c r="O120" s="15" cm="1">
        <f t="array" aca="1" ref="O120" ca="1">MMS_Swine_N2ODirect_Equations.VEERG_4_5_1_3__2_Stage1NitrogenInMMS(N$35,O73)</f>
        <v>201.47999999999996</v>
      </c>
      <c r="P120" s="15" cm="1">
        <f t="array" aca="1" ref="P120" ca="1">MMS_Swine_N2ODirect_Equations.VEERG_4_5_1_3__2_Stage1NitrogenInMMS(O$35,P73)</f>
        <v>214.62000000000003</v>
      </c>
      <c r="Q120" s="15" cm="1">
        <f t="array" aca="1" ref="Q120" ca="1">MMS_Swine_N2ODirect_Equations.VEERG_4_5_1_3__2_Stage1NitrogenInMMS(P$35,Q73)</f>
        <v>201.47999999999996</v>
      </c>
      <c r="R120" s="15" cm="1">
        <f t="array" aca="1" ref="R120" ca="1">MMS_Swine_N2ODirect_Equations.VEERG_4_5_1_3__2_Stage1NitrogenInMMS(Q$35,R73)</f>
        <v>136.65599999999998</v>
      </c>
      <c r="S120" s="16"/>
    </row>
    <row r="121" spans="1:21" ht="20.100000000000001" customHeight="1" x14ac:dyDescent="0.2">
      <c r="D121" s="111" t="str">
        <f>INDEX(X_Table_Swine_Stage1MMS_DeepLitter,2,1)</f>
        <v>Deep litter</v>
      </c>
      <c r="E121" s="15" cm="1">
        <f t="array" aca="1" ref="E121" ca="1">MMS_Swine_N2ODirect_Equations.VEERG_4_5_1_3__2_Stage1NitrogenInMMS(D$35,E74)</f>
        <v>201.47999999999996</v>
      </c>
      <c r="F121" s="15" cm="1">
        <f t="array" aca="1" ref="F121" ca="1">MMS_Swine_N2ODirect_Equations.VEERG_4_5_1_3__2_Stage1NitrogenInMMS(E$35,F74)</f>
        <v>214.62000000000003</v>
      </c>
      <c r="G121" s="15" cm="1">
        <f t="array" aca="1" ref="G121" ca="1">MMS_Swine_N2ODirect_Equations.VEERG_4_5_1_3__2_Stage1NitrogenInMMS(F$35,G74)</f>
        <v>201.47999999999996</v>
      </c>
      <c r="H121" s="15" cm="1">
        <f t="array" aca="1" ref="H121" ca="1">MMS_Swine_N2ODirect_Equations.VEERG_4_5_1_3__2_Stage1NitrogenInMMS(G$35,H74)</f>
        <v>136.65599999999998</v>
      </c>
      <c r="I121" s="16"/>
      <c r="N121" s="111" t="str">
        <f>INDEX(X_Table_Swine_Stage1MMS_DeepLitter,2,1)</f>
        <v>Deep litter</v>
      </c>
      <c r="O121" s="15" cm="1">
        <f t="array" aca="1" ref="O121" ca="1">MMS_Swine_N2ODirect_Equations.VEERG_4_5_1_3__2_Stage1NitrogenInMMS(N$35,O74)</f>
        <v>201.47999999999996</v>
      </c>
      <c r="P121" s="15" cm="1">
        <f t="array" aca="1" ref="P121" ca="1">MMS_Swine_N2ODirect_Equations.VEERG_4_5_1_3__2_Stage1NitrogenInMMS(O$35,P74)</f>
        <v>214.62000000000003</v>
      </c>
      <c r="Q121" s="15" cm="1">
        <f t="array" aca="1" ref="Q121" ca="1">MMS_Swine_N2ODirect_Equations.VEERG_4_5_1_3__2_Stage1NitrogenInMMS(P$35,Q74)</f>
        <v>201.47999999999996</v>
      </c>
      <c r="R121" s="15" cm="1">
        <f t="array" aca="1" ref="R121" ca="1">MMS_Swine_N2ODirect_Equations.VEERG_4_5_1_3__2_Stage1NitrogenInMMS(Q$35,R74)</f>
        <v>136.65599999999998</v>
      </c>
      <c r="S121" s="16"/>
    </row>
    <row r="122" spans="1:21" ht="20.100000000000001" customHeight="1" x14ac:dyDescent="0.2">
      <c r="D122" s="111" t="str">
        <f>INDEX(X_Table_Swine_Stage1MMS_PitStorage,2,1)</f>
        <v>Pit storage</v>
      </c>
      <c r="E122" s="15" cm="1">
        <f t="array" aca="1" ref="E122" ca="1">MMS_Swine_N2ODirect_Equations.VEERG_4_5_1_3__2_Stage1NitrogenInMMS(D$35,E75)</f>
        <v>201.47999999999996</v>
      </c>
      <c r="F122" s="15" cm="1">
        <f t="array" aca="1" ref="F122" ca="1">MMS_Swine_N2ODirect_Equations.VEERG_4_5_1_3__2_Stage1NitrogenInMMS(E$35,F75)</f>
        <v>214.62000000000003</v>
      </c>
      <c r="G122" s="15" cm="1">
        <f t="array" aca="1" ref="G122" ca="1">MMS_Swine_N2ODirect_Equations.VEERG_4_5_1_3__2_Stage1NitrogenInMMS(F$35,G75)</f>
        <v>201.47999999999996</v>
      </c>
      <c r="H122" s="15" cm="1">
        <f t="array" aca="1" ref="H122" ca="1">MMS_Swine_N2ODirect_Equations.VEERG_4_5_1_3__2_Stage1NitrogenInMMS(G$35,H75)</f>
        <v>136.65599999999998</v>
      </c>
      <c r="I122" s="16"/>
      <c r="N122" s="111" t="str">
        <f>INDEX(X_Table_Swine_Stage1MMS_PitStorage,2,1)</f>
        <v>Pit storage</v>
      </c>
      <c r="O122" s="15" cm="1">
        <f t="array" aca="1" ref="O122" ca="1">MMS_Swine_N2ODirect_Equations.VEERG_4_5_1_3__2_Stage1NitrogenInMMS(N$35,O75)</f>
        <v>201.47999999999996</v>
      </c>
      <c r="P122" s="15" cm="1">
        <f t="array" aca="1" ref="P122" ca="1">MMS_Swine_N2ODirect_Equations.VEERG_4_5_1_3__2_Stage1NitrogenInMMS(O$35,P75)</f>
        <v>214.62000000000003</v>
      </c>
      <c r="Q122" s="15" cm="1">
        <f t="array" aca="1" ref="Q122" ca="1">MMS_Swine_N2ODirect_Equations.VEERG_4_5_1_3__2_Stage1NitrogenInMMS(P$35,Q75)</f>
        <v>201.47999999999996</v>
      </c>
      <c r="R122" s="15" cm="1">
        <f t="array" aca="1" ref="R122" ca="1">MMS_Swine_N2ODirect_Equations.VEERG_4_5_1_3__2_Stage1NitrogenInMMS(Q$35,R75)</f>
        <v>136.65599999999998</v>
      </c>
      <c r="S122" s="16"/>
    </row>
    <row r="123" spans="1:21" ht="20.100000000000001" customHeight="1" x14ac:dyDescent="0.2">
      <c r="D123" s="111" t="s">
        <v>75</v>
      </c>
      <c r="E123" s="15" cm="1">
        <f t="array" aca="1" ref="E123" ca="1">MMS_Swine_N2ODirect_Equations.VEERG_4_5_1_3__2_Stage1NitrogenInMMS(D$35,E100)</f>
        <v>671.60000000000014</v>
      </c>
      <c r="F123" s="15" cm="1">
        <f t="array" aca="1" ref="F123" ca="1">MMS_Swine_N2ODirect_Equations.VEERG_4_5_1_3__2_Stage1NitrogenInMMS(E$35,F100)</f>
        <v>715.40000000000032</v>
      </c>
      <c r="G123" s="15" cm="1">
        <f t="array" aca="1" ref="G123" ca="1">MMS_Swine_N2ODirect_Equations.VEERG_4_5_1_3__2_Stage1NitrogenInMMS(F$35,G100)</f>
        <v>671.60000000000014</v>
      </c>
      <c r="H123" s="15" cm="1">
        <f t="array" aca="1" ref="H123" ca="1">MMS_Swine_N2ODirect_Equations.VEERG_4_5_1_3__2_Stage1NitrogenInMMS(G$35,H100)</f>
        <v>455.52000000000015</v>
      </c>
      <c r="I123" s="16"/>
      <c r="N123" s="111" t="s">
        <v>75</v>
      </c>
      <c r="O123" s="15" cm="1">
        <f t="array" aca="1" ref="O123" ca="1">MMS_Swine_N2ODirect_Equations.VEERG_4_5_1_3__2_Stage1NitrogenInMMS(N$35,O100)</f>
        <v>671.60000000000014</v>
      </c>
      <c r="P123" s="15" cm="1">
        <f t="array" aca="1" ref="P123" ca="1">MMS_Swine_N2ODirect_Equations.VEERG_4_5_1_3__2_Stage1NitrogenInMMS(O$35,P100)</f>
        <v>715.40000000000032</v>
      </c>
      <c r="Q123" s="15" cm="1">
        <f t="array" aca="1" ref="Q123" ca="1">MMS_Swine_N2ODirect_Equations.VEERG_4_5_1_3__2_Stage1NitrogenInMMS(P$35,Q100)</f>
        <v>671.60000000000014</v>
      </c>
      <c r="R123" s="15" cm="1">
        <f t="array" aca="1" ref="R123" ca="1">MMS_Swine_N2ODirect_Equations.VEERG_4_5_1_3__2_Stage1NitrogenInMMS(Q$35,R100)</f>
        <v>455.52000000000015</v>
      </c>
      <c r="S123" s="16"/>
    </row>
    <row r="126" spans="1:21" ht="20.100000000000001" customHeight="1" x14ac:dyDescent="0.2">
      <c r="C126" s="82"/>
      <c r="D126" s="82"/>
      <c r="E126" s="82"/>
      <c r="F126" s="82"/>
      <c r="G126" s="82"/>
      <c r="H126" s="82"/>
      <c r="I126" s="82"/>
      <c r="J126" s="82"/>
      <c r="K126" s="82"/>
      <c r="M126" s="82"/>
      <c r="N126" s="82"/>
      <c r="O126" s="82"/>
      <c r="P126" s="82"/>
      <c r="Q126" s="82"/>
      <c r="R126" s="82"/>
      <c r="S126" s="82"/>
      <c r="T126" s="82"/>
      <c r="U126" s="82"/>
    </row>
    <row r="127" spans="1:21" ht="20.100000000000001" customHeight="1" x14ac:dyDescent="0.2">
      <c r="A127" s="131" t="str">
        <f>HYPERLINK("#A1", "▲ Back to top")</f>
        <v>▲ Back to top</v>
      </c>
      <c r="D127" s="2" t="str" cm="1">
        <f t="array" ref="D127">MMS_Swine_N2ODirect_Equations.VEERG_4_5_1_3__7_NitrogenTransferredToStage2MMS_Title()</f>
        <v>Nitrogen transferred to treatment stage 2 MMS</v>
      </c>
    </row>
    <row r="128" spans="1:21" ht="20.100000000000001" customHeight="1" x14ac:dyDescent="0.2">
      <c r="D128" s="17" t="str" cm="1">
        <f t="array" ref="D128">MMS_Swine_N2ODirect_Equations.VEERG_4_5_1_3__7_NitrogenTransferredToStage2MMS_Source()</f>
        <v>VEERG 2026: 4.5.1.3, Equation (7)</v>
      </c>
    </row>
    <row r="129" spans="4:9" ht="20.100000000000001" customHeight="1" x14ac:dyDescent="0.2">
      <c r="D129" s="110" t="s">
        <v>321</v>
      </c>
      <c r="E129" s="110" t="str" cm="1">
        <f t="array" aca="1" ref="E129" ca="1">Common_InputFunctions.Utility_DisplayFunctionName(E164)</f>
        <v>=MMS_Swine_N2ODirect_Equations.VEERG_4_5_1_3__7_NitrogenTransferredToStage2MMS</v>
      </c>
    </row>
    <row r="132" spans="4:9" ht="20.100000000000001" customHeight="1" x14ac:dyDescent="0.2">
      <c r="D132" s="75" t="s">
        <v>322</v>
      </c>
      <c r="E132" s="1" t="str" cm="1">
        <f t="array" ref="E132">MMS_Swine_N2ODirect_Equations.VEERG_4_5_1_3__7_NitrogenTransferredToStage2MMS_Variable()</f>
        <v>NT_jmT2</v>
      </c>
    </row>
    <row r="133" spans="4:9" ht="20.100000000000001" customHeight="1" x14ac:dyDescent="0.2">
      <c r="D133" s="75" t="s">
        <v>118</v>
      </c>
      <c r="E133" s="9" t="str" cm="1">
        <f t="array" ref="E133">MMS_Swine_N2ODirect_Equations.VEERG_4_5_1_3__7_NitrogenTransferredToStage2MMS_Unit()</f>
        <v>kg N</v>
      </c>
    </row>
    <row r="135" spans="4:9" ht="20.100000000000001" customHeight="1" x14ac:dyDescent="0.2">
      <c r="D135" s="111" t="str" cm="1">
        <f t="array" ref="D135:E137">Common_InputFunctions.Utility_DisplayArguments_1_2(MMS_Swine_N2ODirect_Equations.VEERG_4_5_1_3__7_NitrogenTransferredToStage2MMS_Arguments())</f>
        <v>MN_jmT1</v>
      </c>
      <c r="E135" s="111" t="str">
        <v>nitrogen per swine class in treatment stage 1 MMS</v>
      </c>
      <c r="F135" s="111"/>
      <c r="G135" s="127" t="str" cm="1">
        <f t="array" ref="G135:H137">Common_InputFunctions.Utility_DisplayArguments_3_4(MMS_Swine_N2ODirect_Equations.VEERG_4_5_1_3__7_NitrogenTransferredToStage2MMS_Arguments())</f>
        <v>kg N</v>
      </c>
      <c r="H135" s="125" t="str">
        <v>Calculated from 4.5.1.3 (2)(6)</v>
      </c>
      <c r="I135" s="115" t="str" cm="1">
        <f t="array" aca="1" ref="I135" ca="1">HYPERLINK(Common_InputFunctions.Utility_SourceHyperlink(D115), D115)</f>
        <v>M1_Table_MN_j_m_T-1</v>
      </c>
    </row>
    <row r="136" spans="4:9" ht="20.100000000000001" customHeight="1" x14ac:dyDescent="0.2">
      <c r="D136" s="111" t="str">
        <v>FracGASMmT1</v>
      </c>
      <c r="E136" s="111" t="str">
        <v>fraction of N volatilised from MMS treatment at stage 1</v>
      </c>
      <c r="F136" s="111"/>
      <c r="G136" s="127" t="str">
        <v>fraction</v>
      </c>
      <c r="H136" s="125" t="str">
        <v>Lookup</v>
      </c>
      <c r="I136" s="115" t="str" cm="1">
        <f t="array" aca="1" ref="I136" ca="1">HYPERLINK(Common_InputFunctions.Utility_SourceHyperlink(D139), D139)</f>
        <v>Table_FracGASM_m_t-1</v>
      </c>
    </row>
    <row r="137" spans="4:9" ht="20.100000000000001" customHeight="1" x14ac:dyDescent="0.2">
      <c r="D137" s="111" t="str">
        <v>EF_mT1</v>
      </c>
      <c r="E137" s="111" t="str">
        <v>nitrous oxide emission factor for MMS treatment at stage 1</v>
      </c>
      <c r="F137" s="111"/>
      <c r="G137" s="127" t="str">
        <v>kg N2O-N/kg N</v>
      </c>
      <c r="H137" s="125" t="str">
        <v>Lookup</v>
      </c>
      <c r="I137" s="115" t="str" cm="1">
        <f t="array" aca="1" ref="I137" ca="1">HYPERLINK(Common_InputFunctions.Utility_SourceHyperlink(D150), D150)</f>
        <v>Table_EF_m_t-1</v>
      </c>
    </row>
    <row r="139" spans="4:9" ht="20.100000000000001" customHeight="1" x14ac:dyDescent="0.2">
      <c r="D139" s="117" t="s">
        <v>407</v>
      </c>
    </row>
    <row r="140" spans="4:9" ht="20.100000000000001" customHeight="1" x14ac:dyDescent="0.2">
      <c r="D140" s="118" t="s">
        <v>408</v>
      </c>
    </row>
    <row r="141" spans="4:9" ht="20.100000000000001" customHeight="1" x14ac:dyDescent="0.2">
      <c r="D141" s="119" t="s">
        <v>359</v>
      </c>
      <c r="E141" s="119" t="s">
        <v>409</v>
      </c>
    </row>
    <row r="142" spans="4:9" ht="20.100000000000001" customHeight="1" x14ac:dyDescent="0.2">
      <c r="D142" s="111" t="str">
        <f>INDEX(X_Table_Swine_Stage1MMS_AnaerobicLagoon,2,1)</f>
        <v>Anaerobic lagoon</v>
      </c>
      <c r="E142" s="15" cm="1">
        <f t="array" ref="E142">Common_InputFunctions.Utility_LookupValueInTableNumber(D142, Table_SourceData_Swine_FracGASM[NIR reference],Table_SourceData_Swine_FracGASM[FracGASMmT])</f>
        <v>0.55000000000000004</v>
      </c>
      <c r="F142" s="16" t="str">
        <f>G136</f>
        <v>fraction</v>
      </c>
    </row>
    <row r="143" spans="4:9" ht="20.100000000000001" customHeight="1" x14ac:dyDescent="0.2">
      <c r="D143" s="111" t="str">
        <f>INDEX(X_Table_Swine_Stage1MMS_Drylot,2,1)</f>
        <v>Drylot (feed pad)</v>
      </c>
      <c r="E143" s="15" cm="1">
        <f t="array" ref="E143">Common_InputFunctions.Utility_LookupValueInTableNumber(D143, Table_SourceData_Swine_FracGASM[NIR reference],Table_SourceData_Swine_FracGASM[FracGASMmT])</f>
        <v>0.3</v>
      </c>
    </row>
    <row r="144" spans="4:9" ht="20.100000000000001" customHeight="1" x14ac:dyDescent="0.2">
      <c r="D144" s="111" t="str">
        <f>INDEX(X_Table_Swine_Stage1MMS_DigesterCoveredLagoons,2,1)</f>
        <v>Digester / covered lagoons</v>
      </c>
      <c r="E144" s="15" cm="1">
        <f t="array" ref="E144">Common_InputFunctions.Utility_LookupValueInTableNumber(D144, Table_SourceData_Swine_FracGASM[NIR reference],Table_SourceData_Swine_FracGASM[FracGASMmT])</f>
        <v>0</v>
      </c>
    </row>
    <row r="145" spans="1:6" ht="20.100000000000001" customHeight="1" x14ac:dyDescent="0.2">
      <c r="D145" s="111" t="str">
        <f>INDEX(X_Table_Swine_Stage1MMS_DeepLitter,2,1)</f>
        <v>Deep litter</v>
      </c>
      <c r="E145" s="15" cm="1">
        <f t="array" ref="E145">Common_InputFunctions.Utility_LookupValueInTableNumber(D145, Table_SourceData_Swine_FracGASM[NIR reference],Table_SourceData_Swine_FracGASM[FracGASMmT])</f>
        <v>0.125</v>
      </c>
    </row>
    <row r="146" spans="1:6" ht="20.100000000000001" customHeight="1" x14ac:dyDescent="0.2">
      <c r="D146" s="111" t="str">
        <f>INDEX(X_Table_Swine_Stage1MMS_PitStorage,2,1)</f>
        <v>Pit storage</v>
      </c>
      <c r="E146" s="15" cm="1">
        <f t="array" ref="E146">Common_InputFunctions.Utility_LookupValueInTableNumber(D146, Table_SourceData_Swine_FracGASM[NIR reference],Table_SourceData_Swine_FracGASM[FracGASMmT])</f>
        <v>0.25</v>
      </c>
    </row>
    <row r="147" spans="1:6" ht="20.100000000000001" customHeight="1" x14ac:dyDescent="0.2">
      <c r="D147" s="111" t="s">
        <v>75</v>
      </c>
      <c r="E147" s="15" cm="1">
        <f t="array" ref="E147">Common_InputFunctions.Utility_LookupValueInTableNumber(D147, Table_SourceData_Swine_FracGASM[NIR reference],Table_SourceData_Swine_FracGASM[FracGASMmT])</f>
        <v>0.2</v>
      </c>
    </row>
    <row r="148" spans="1:6" ht="20.100000000000001" customHeight="1" x14ac:dyDescent="0.2">
      <c r="D148" s="111" t="str">
        <f>'Constants - Swine'!$D$47</f>
        <v>Direct application</v>
      </c>
      <c r="E148" s="15" cm="1">
        <f t="array" ref="E148">Common_InputFunctions.Utility_LookupValueInTableNumber(D148, Table_SourceData_Swine_FracGASM[NIR reference],Table_SourceData_Swine_FracGASM[FracGASMmT])</f>
        <v>0</v>
      </c>
    </row>
    <row r="150" spans="1:6" ht="20.100000000000001" customHeight="1" x14ac:dyDescent="0.2">
      <c r="D150" s="117" t="s">
        <v>410</v>
      </c>
    </row>
    <row r="151" spans="1:6" ht="20.100000000000001" customHeight="1" x14ac:dyDescent="0.2">
      <c r="D151" s="118" t="s">
        <v>411</v>
      </c>
    </row>
    <row r="152" spans="1:6" ht="20.100000000000001" customHeight="1" x14ac:dyDescent="0.2">
      <c r="D152" s="119" t="s">
        <v>359</v>
      </c>
      <c r="E152" s="119" t="s">
        <v>412</v>
      </c>
    </row>
    <row r="153" spans="1:6" ht="20.100000000000001" customHeight="1" x14ac:dyDescent="0.2">
      <c r="D153" s="111" t="str">
        <f>INDEX(X_Table_Swine_Stage1MMS_AnaerobicLagoon,2,1)</f>
        <v>Anaerobic lagoon</v>
      </c>
      <c r="E153" s="15" cm="1">
        <f t="array" ref="E153">Common_InputFunctions.Utility_LookupValueInTableNumber(D153, Table_SourceData_Swine_FracGASM28[NIR reference],Table_SourceData_Swine_FracGASM28[EFmT])</f>
        <v>0</v>
      </c>
      <c r="F153" s="16" t="str">
        <f>G137</f>
        <v>kg N2O-N/kg N</v>
      </c>
    </row>
    <row r="154" spans="1:6" ht="20.100000000000001" customHeight="1" x14ac:dyDescent="0.2">
      <c r="D154" s="111" t="str">
        <f>INDEX(X_Table_Swine_Stage1MMS_Drylot,2,1)</f>
        <v>Drylot (feed pad)</v>
      </c>
      <c r="E154" s="15" cm="1">
        <f t="array" ref="E154">Common_InputFunctions.Utility_LookupValueInTableNumber(D154, Table_SourceData_Swine_FracGASM28[NIR reference],Table_SourceData_Swine_FracGASM28[EFmT])</f>
        <v>0.02</v>
      </c>
    </row>
    <row r="155" spans="1:6" ht="20.100000000000001" customHeight="1" x14ac:dyDescent="0.2">
      <c r="D155" s="111" t="str">
        <f>INDEX(X_Table_Swine_Stage1MMS_DigesterCoveredLagoons,2,1)</f>
        <v>Digester / covered lagoons</v>
      </c>
      <c r="E155" s="15" cm="1">
        <f t="array" ref="E155">Common_InputFunctions.Utility_LookupValueInTableNumber(D155, Table_SourceData_Swine_FracGASM28[NIR reference],Table_SourceData_Swine_FracGASM28[EFmT])</f>
        <v>0</v>
      </c>
    </row>
    <row r="156" spans="1:6" ht="20.100000000000001" customHeight="1" x14ac:dyDescent="0.2">
      <c r="D156" s="111" t="str">
        <f>INDEX(X_Table_Swine_Stage1MMS_DeepLitter,2,1)</f>
        <v>Deep litter</v>
      </c>
      <c r="E156" s="15" cm="1">
        <f t="array" ref="E156">Common_InputFunctions.Utility_LookupValueInTableNumber(D156, Table_SourceData_Swine_FracGASM28[NIR reference],Table_SourceData_Swine_FracGASM28[EFmT])</f>
        <v>0.01</v>
      </c>
    </row>
    <row r="157" spans="1:6" ht="20.100000000000001" customHeight="1" x14ac:dyDescent="0.2">
      <c r="A157" s="131" t="str">
        <f>HYPERLINK("#A1", "▲ Back to top")</f>
        <v>▲ Back to top</v>
      </c>
      <c r="D157" s="111" t="str">
        <f>INDEX(X_Table_Swine_Stage1MMS_PitStorage,2,1)</f>
        <v>Pit storage</v>
      </c>
      <c r="E157" s="15" cm="1">
        <f t="array" ref="E157">Common_InputFunctions.Utility_LookupValueInTableNumber(D157, Table_SourceData_Swine_FracGASM28[NIR reference],Table_SourceData_Swine_FracGASM28[EFmT])</f>
        <v>2E-3</v>
      </c>
    </row>
    <row r="158" spans="1:6" ht="20.100000000000001" customHeight="1" x14ac:dyDescent="0.2">
      <c r="D158" s="111" t="s">
        <v>75</v>
      </c>
      <c r="E158" s="15" cm="1">
        <f t="array" ref="E158">Common_InputFunctions.Utility_LookupValueInTableNumber(D158, Table_SourceData_Swine_FracGASM28[NIR reference],Table_SourceData_Swine_FracGASM28[EFmT])</f>
        <v>5.0000000000000001E-3</v>
      </c>
    </row>
    <row r="159" spans="1:6" ht="20.100000000000001" customHeight="1" x14ac:dyDescent="0.2">
      <c r="D159" s="111" t="str">
        <f>'Constants - Swine'!$D$47</f>
        <v>Direct application</v>
      </c>
      <c r="E159" s="15" cm="1">
        <f t="array" ref="E159">Common_InputFunctions.Utility_LookupValueInTableNumber(D159, Table_SourceData_Swine_FracGASM28[NIR reference],Table_SourceData_Swine_FracGASM28[EFmT])</f>
        <v>0</v>
      </c>
    </row>
    <row r="161" spans="3:21" ht="20.100000000000001" customHeight="1" x14ac:dyDescent="0.2">
      <c r="D161" s="117" t="s">
        <v>413</v>
      </c>
      <c r="N161" s="117" t="s">
        <v>414</v>
      </c>
    </row>
    <row r="162" spans="3:21" ht="20.100000000000001" customHeight="1" x14ac:dyDescent="0.2">
      <c r="D162" s="118" t="s">
        <v>415</v>
      </c>
      <c r="N162" s="118" t="s">
        <v>416</v>
      </c>
    </row>
    <row r="163" spans="3:21" ht="20.100000000000001" customHeight="1" x14ac:dyDescent="0.2">
      <c r="D163" s="119" t="s">
        <v>325</v>
      </c>
      <c r="E163" s="119" t="s">
        <v>290</v>
      </c>
      <c r="F163" s="119" t="s">
        <v>291</v>
      </c>
      <c r="G163" s="119" t="s">
        <v>265</v>
      </c>
      <c r="H163" s="119" t="s">
        <v>292</v>
      </c>
      <c r="N163" s="119" t="s">
        <v>325</v>
      </c>
      <c r="O163" s="119" t="s">
        <v>290</v>
      </c>
      <c r="P163" s="119" t="s">
        <v>291</v>
      </c>
      <c r="Q163" s="119" t="s">
        <v>265</v>
      </c>
      <c r="R163" s="119" t="s">
        <v>292</v>
      </c>
    </row>
    <row r="164" spans="3:21" ht="20.100000000000001" customHeight="1" x14ac:dyDescent="0.2">
      <c r="D164" s="111" t="str">
        <f>INDEX(X_Table_Swine_Stage1MMS_AnaerobicLagoon,2,1)</f>
        <v>Anaerobic lagoon</v>
      </c>
      <c r="E164" s="15" cm="1">
        <f t="array" aca="1" ref="E164" ca="1">MMS_Swine_N2ODirect_Equations.VEERG_4_5_1_3__7_NitrogenTransferredToStage2MMS(E118,$E142,$E153)</f>
        <v>90.665999999999968</v>
      </c>
      <c r="F164" s="15" cm="1">
        <f t="array" aca="1" ref="F164" ca="1">MMS_Swine_N2ODirect_Equations.VEERG_4_5_1_3__7_NitrogenTransferredToStage2MMS(F118,$E142,$E153)</f>
        <v>96.579000000000008</v>
      </c>
      <c r="G164" s="15" cm="1">
        <f t="array" aca="1" ref="G164" ca="1">MMS_Swine_N2ODirect_Equations.VEERG_4_5_1_3__7_NitrogenTransferredToStage2MMS(G118,$E142,$E153)</f>
        <v>90.665999999999968</v>
      </c>
      <c r="H164" s="15" cm="1">
        <f t="array" aca="1" ref="H164" ca="1">MMS_Swine_N2ODirect_Equations.VEERG_4_5_1_3__7_NitrogenTransferredToStage2MMS(H118,$E142,$E153)</f>
        <v>61.495199999999983</v>
      </c>
      <c r="I164" s="16" t="str">
        <f>$E$133</f>
        <v>kg N</v>
      </c>
      <c r="N164" s="111" t="str">
        <f>INDEX(X_Table_Swine_Stage1MMS_AnaerobicLagoon,2,1)</f>
        <v>Anaerobic lagoon</v>
      </c>
      <c r="O164" s="15" cm="1">
        <f t="array" aca="1" ref="O164" ca="1">MMS_Swine_N2ODirect_Equations.VEERG_4_5_1_3__7_NitrogenTransferredToStage2MMS(O118,$E142,$E153)</f>
        <v>90.665999999999968</v>
      </c>
      <c r="P164" s="15" cm="1">
        <f t="array" aca="1" ref="P164" ca="1">MMS_Swine_N2ODirect_Equations.VEERG_4_5_1_3__7_NitrogenTransferredToStage2MMS(P118,$E142,$E153)</f>
        <v>96.579000000000008</v>
      </c>
      <c r="Q164" s="15" cm="1">
        <f t="array" aca="1" ref="Q164" ca="1">MMS_Swine_N2ODirect_Equations.VEERG_4_5_1_3__7_NitrogenTransferredToStage2MMS(Q118,$E142,$E153)</f>
        <v>90.665999999999968</v>
      </c>
      <c r="R164" s="15" cm="1">
        <f t="array" aca="1" ref="R164" ca="1">MMS_Swine_N2ODirect_Equations.VEERG_4_5_1_3__7_NitrogenTransferredToStage2MMS(R118,$E142,$E153)</f>
        <v>61.495199999999983</v>
      </c>
      <c r="S164" s="16" t="str">
        <f>$E$133</f>
        <v>kg N</v>
      </c>
    </row>
    <row r="165" spans="3:21" ht="20.100000000000001" customHeight="1" x14ac:dyDescent="0.2">
      <c r="D165" s="111" t="str">
        <f>INDEX(X_Table_Swine_Stage1MMS_Drylot,2,1)</f>
        <v>Drylot (feed pad)</v>
      </c>
      <c r="E165" s="15" cm="1">
        <f t="array" aca="1" ref="E165" ca="1">MMS_Swine_N2ODirect_Equations.VEERG_4_5_1_3__7_NitrogenTransferredToStage2MMS(E119,$E143,$E154)</f>
        <v>137.00639999999996</v>
      </c>
      <c r="F165" s="15" cm="1">
        <f t="array" aca="1" ref="F165" ca="1">MMS_Swine_N2ODirect_Equations.VEERG_4_5_1_3__7_NitrogenTransferredToStage2MMS(F119,$E143,$E154)</f>
        <v>145.94160000000002</v>
      </c>
      <c r="G165" s="15" cm="1">
        <f t="array" aca="1" ref="G165" ca="1">MMS_Swine_N2ODirect_Equations.VEERG_4_5_1_3__7_NitrogenTransferredToStage2MMS(G119,$E143,$E154)</f>
        <v>137.00639999999996</v>
      </c>
      <c r="H165" s="15" cm="1">
        <f t="array" aca="1" ref="H165" ca="1">MMS_Swine_N2ODirect_Equations.VEERG_4_5_1_3__7_NitrogenTransferredToStage2MMS(H119,$E143,$E154)</f>
        <v>92.92607999999997</v>
      </c>
      <c r="I165" s="16"/>
      <c r="N165" s="111" t="str">
        <f>INDEX(X_Table_Swine_Stage1MMS_Drylot,2,1)</f>
        <v>Drylot (feed pad)</v>
      </c>
      <c r="O165" s="15" cm="1">
        <f t="array" aca="1" ref="O165" ca="1">MMS_Swine_N2ODirect_Equations.VEERG_4_5_1_3__7_NitrogenTransferredToStage2MMS(O119,$E143,$E154)</f>
        <v>137.00639999999996</v>
      </c>
      <c r="P165" s="15" cm="1">
        <f t="array" aca="1" ref="P165" ca="1">MMS_Swine_N2ODirect_Equations.VEERG_4_5_1_3__7_NitrogenTransferredToStage2MMS(P119,$E143,$E154)</f>
        <v>145.94160000000002</v>
      </c>
      <c r="Q165" s="15" cm="1">
        <f t="array" aca="1" ref="Q165" ca="1">MMS_Swine_N2ODirect_Equations.VEERG_4_5_1_3__7_NitrogenTransferredToStage2MMS(Q119,$E143,$E154)</f>
        <v>137.00639999999996</v>
      </c>
      <c r="R165" s="15" cm="1">
        <f t="array" aca="1" ref="R165" ca="1">MMS_Swine_N2ODirect_Equations.VEERG_4_5_1_3__7_NitrogenTransferredToStage2MMS(R119,$E143,$E154)</f>
        <v>92.92607999999997</v>
      </c>
      <c r="S165" s="16"/>
    </row>
    <row r="166" spans="3:21" ht="20.100000000000001" customHeight="1" x14ac:dyDescent="0.2">
      <c r="D166" s="111" t="str">
        <f>INDEX(X_Table_Swine_Stage1MMS_DigesterCoveredLagoons,2,1)</f>
        <v>Digester / covered lagoons</v>
      </c>
      <c r="E166" s="15" cm="1">
        <f t="array" aca="1" ref="E166" ca="1">MMS_Swine_N2ODirect_Equations.VEERG_4_5_1_3__7_NitrogenTransferredToStage2MMS(E120,$E144,$E155)</f>
        <v>201.47999999999996</v>
      </c>
      <c r="F166" s="15" cm="1">
        <f t="array" aca="1" ref="F166" ca="1">MMS_Swine_N2ODirect_Equations.VEERG_4_5_1_3__7_NitrogenTransferredToStage2MMS(F120,$E144,$E155)</f>
        <v>214.62000000000003</v>
      </c>
      <c r="G166" s="15" cm="1">
        <f t="array" aca="1" ref="G166" ca="1">MMS_Swine_N2ODirect_Equations.VEERG_4_5_1_3__7_NitrogenTransferredToStage2MMS(G120,$E144,$E155)</f>
        <v>201.47999999999996</v>
      </c>
      <c r="H166" s="15" cm="1">
        <f t="array" aca="1" ref="H166" ca="1">MMS_Swine_N2ODirect_Equations.VEERG_4_5_1_3__7_NitrogenTransferredToStage2MMS(H120,$E144,$E155)</f>
        <v>136.65599999999998</v>
      </c>
      <c r="I166" s="16"/>
      <c r="N166" s="111" t="str">
        <f>INDEX(X_Table_Swine_Stage1MMS_DigesterCoveredLagoons,2,1)</f>
        <v>Digester / covered lagoons</v>
      </c>
      <c r="O166" s="15" cm="1">
        <f t="array" aca="1" ref="O166" ca="1">MMS_Swine_N2ODirect_Equations.VEERG_4_5_1_3__7_NitrogenTransferredToStage2MMS(O120,$E144,$E155)</f>
        <v>201.47999999999996</v>
      </c>
      <c r="P166" s="15" cm="1">
        <f t="array" aca="1" ref="P166" ca="1">MMS_Swine_N2ODirect_Equations.VEERG_4_5_1_3__7_NitrogenTransferredToStage2MMS(P120,$E144,$E155)</f>
        <v>214.62000000000003</v>
      </c>
      <c r="Q166" s="15" cm="1">
        <f t="array" aca="1" ref="Q166" ca="1">MMS_Swine_N2ODirect_Equations.VEERG_4_5_1_3__7_NitrogenTransferredToStage2MMS(Q120,$E144,$E155)</f>
        <v>201.47999999999996</v>
      </c>
      <c r="R166" s="15" cm="1">
        <f t="array" aca="1" ref="R166" ca="1">MMS_Swine_N2ODirect_Equations.VEERG_4_5_1_3__7_NitrogenTransferredToStage2MMS(R120,$E144,$E155)</f>
        <v>136.65599999999998</v>
      </c>
      <c r="S166" s="16"/>
    </row>
    <row r="167" spans="3:21" ht="20.100000000000001" customHeight="1" x14ac:dyDescent="0.2">
      <c r="D167" s="111" t="str">
        <f>INDEX(X_Table_Swine_Stage1MMS_DeepLitter,2,1)</f>
        <v>Deep litter</v>
      </c>
      <c r="E167" s="15" cm="1">
        <f t="array" aca="1" ref="E167" ca="1">MMS_Swine_N2ODirect_Equations.VEERG_4_5_1_3__7_NitrogenTransferredToStage2MMS(E121,$E145,$E156)</f>
        <v>174.28019999999995</v>
      </c>
      <c r="F167" s="15" cm="1">
        <f t="array" aca="1" ref="F167" ca="1">MMS_Swine_N2ODirect_Equations.VEERG_4_5_1_3__7_NitrogenTransferredToStage2MMS(F121,$E145,$E156)</f>
        <v>185.64630000000002</v>
      </c>
      <c r="G167" s="15" cm="1">
        <f t="array" aca="1" ref="G167" ca="1">MMS_Swine_N2ODirect_Equations.VEERG_4_5_1_3__7_NitrogenTransferredToStage2MMS(G121,$E145,$E156)</f>
        <v>174.28019999999995</v>
      </c>
      <c r="H167" s="15" cm="1">
        <f t="array" aca="1" ref="H167" ca="1">MMS_Swine_N2ODirect_Equations.VEERG_4_5_1_3__7_NitrogenTransferredToStage2MMS(H121,$E145,$E156)</f>
        <v>118.20743999999998</v>
      </c>
      <c r="I167" s="16"/>
      <c r="N167" s="111" t="str">
        <f>INDEX(X_Table_Swine_Stage1MMS_DeepLitter,2,1)</f>
        <v>Deep litter</v>
      </c>
      <c r="O167" s="15" cm="1">
        <f t="array" aca="1" ref="O167" ca="1">MMS_Swine_N2ODirect_Equations.VEERG_4_5_1_3__7_NitrogenTransferredToStage2MMS(O121,$E145,$E156)</f>
        <v>174.28019999999995</v>
      </c>
      <c r="P167" s="15" cm="1">
        <f t="array" aca="1" ref="P167" ca="1">MMS_Swine_N2ODirect_Equations.VEERG_4_5_1_3__7_NitrogenTransferredToStage2MMS(P121,$E145,$E156)</f>
        <v>185.64630000000002</v>
      </c>
      <c r="Q167" s="15" cm="1">
        <f t="array" aca="1" ref="Q167" ca="1">MMS_Swine_N2ODirect_Equations.VEERG_4_5_1_3__7_NitrogenTransferredToStage2MMS(Q121,$E145,$E156)</f>
        <v>174.28019999999995</v>
      </c>
      <c r="R167" s="15" cm="1">
        <f t="array" aca="1" ref="R167" ca="1">MMS_Swine_N2ODirect_Equations.VEERG_4_5_1_3__7_NitrogenTransferredToStage2MMS(R121,$E145,$E156)</f>
        <v>118.20743999999998</v>
      </c>
      <c r="S167" s="16"/>
    </row>
    <row r="168" spans="3:21" ht="20.100000000000001" customHeight="1" x14ac:dyDescent="0.2">
      <c r="D168" s="111" t="str">
        <f>INDEX(X_Table_Swine_Stage1MMS_PitStorage,2,1)</f>
        <v>Pit storage</v>
      </c>
      <c r="E168" s="15" cm="1">
        <f t="array" aca="1" ref="E168" ca="1">MMS_Swine_N2ODirect_Equations.VEERG_4_5_1_3__7_NitrogenTransferredToStage2MMS(E122,$E146,$E157)</f>
        <v>150.70703999999998</v>
      </c>
      <c r="F168" s="15" cm="1">
        <f t="array" aca="1" ref="F168" ca="1">MMS_Swine_N2ODirect_Equations.VEERG_4_5_1_3__7_NitrogenTransferredToStage2MMS(F122,$E146,$E157)</f>
        <v>160.53576000000001</v>
      </c>
      <c r="G168" s="15" cm="1">
        <f t="array" aca="1" ref="G168" ca="1">MMS_Swine_N2ODirect_Equations.VEERG_4_5_1_3__7_NitrogenTransferredToStage2MMS(G122,$E146,$E157)</f>
        <v>150.70703999999998</v>
      </c>
      <c r="H168" s="15" cm="1">
        <f t="array" aca="1" ref="H168" ca="1">MMS_Swine_N2ODirect_Equations.VEERG_4_5_1_3__7_NitrogenTransferredToStage2MMS(H122,$E146,$E157)</f>
        <v>102.21868799999999</v>
      </c>
      <c r="I168" s="16"/>
      <c r="N168" s="111" t="str">
        <f>INDEX(X_Table_Swine_Stage1MMS_PitStorage,2,1)</f>
        <v>Pit storage</v>
      </c>
      <c r="O168" s="15" cm="1">
        <f t="array" aca="1" ref="O168" ca="1">MMS_Swine_N2ODirect_Equations.VEERG_4_5_1_3__7_NitrogenTransferredToStage2MMS(O122,$E146,$E157)</f>
        <v>150.70703999999998</v>
      </c>
      <c r="P168" s="15" cm="1">
        <f t="array" aca="1" ref="P168" ca="1">MMS_Swine_N2ODirect_Equations.VEERG_4_5_1_3__7_NitrogenTransferredToStage2MMS(P122,$E146,$E157)</f>
        <v>160.53576000000001</v>
      </c>
      <c r="Q168" s="15" cm="1">
        <f t="array" aca="1" ref="Q168" ca="1">MMS_Swine_N2ODirect_Equations.VEERG_4_5_1_3__7_NitrogenTransferredToStage2MMS(Q122,$E146,$E157)</f>
        <v>150.70703999999998</v>
      </c>
      <c r="R168" s="15" cm="1">
        <f t="array" aca="1" ref="R168" ca="1">MMS_Swine_N2ODirect_Equations.VEERG_4_5_1_3__7_NitrogenTransferredToStage2MMS(R122,$E146,$E157)</f>
        <v>102.21868799999999</v>
      </c>
      <c r="S168" s="16"/>
    </row>
    <row r="169" spans="3:21" ht="20.100000000000001" customHeight="1" x14ac:dyDescent="0.2">
      <c r="D169" s="111" t="s">
        <v>75</v>
      </c>
      <c r="E169" s="15" cm="1">
        <f t="array" aca="1" ref="E169" ca="1">MMS_Swine_N2ODirect_Equations.VEERG_4_5_1_3__7_NitrogenTransferredToStage2MMS(E123,$E147,$E158)</f>
        <v>533.92200000000014</v>
      </c>
      <c r="F169" s="15" cm="1">
        <f t="array" aca="1" ref="F169" ca="1">MMS_Swine_N2ODirect_Equations.VEERG_4_5_1_3__7_NitrogenTransferredToStage2MMS(F123,$E147,$E158)</f>
        <v>568.74300000000028</v>
      </c>
      <c r="G169" s="15" cm="1">
        <f t="array" aca="1" ref="G169" ca="1">MMS_Swine_N2ODirect_Equations.VEERG_4_5_1_3__7_NitrogenTransferredToStage2MMS(G123,$E147,$E158)</f>
        <v>533.92200000000014</v>
      </c>
      <c r="H169" s="15" cm="1">
        <f t="array" aca="1" ref="H169" ca="1">MMS_Swine_N2ODirect_Equations.VEERG_4_5_1_3__7_NitrogenTransferredToStage2MMS(H123,$E147,$E158)</f>
        <v>362.13840000000016</v>
      </c>
      <c r="I169" s="16"/>
      <c r="N169" s="111" t="s">
        <v>75</v>
      </c>
      <c r="O169" s="15" cm="1">
        <f t="array" aca="1" ref="O169" ca="1">MMS_Swine_N2ODirect_Equations.VEERG_4_5_1_3__7_NitrogenTransferredToStage2MMS(O123,$E147,$E158)</f>
        <v>533.92200000000014</v>
      </c>
      <c r="P169" s="15" cm="1">
        <f t="array" aca="1" ref="P169" ca="1">MMS_Swine_N2ODirect_Equations.VEERG_4_5_1_3__7_NitrogenTransferredToStage2MMS(P123,$E147,$E158)</f>
        <v>568.74300000000028</v>
      </c>
      <c r="Q169" s="15" cm="1">
        <f t="array" aca="1" ref="Q169" ca="1">MMS_Swine_N2ODirect_Equations.VEERG_4_5_1_3__7_NitrogenTransferredToStage2MMS(Q123,$E147,$E158)</f>
        <v>533.92200000000014</v>
      </c>
      <c r="R169" s="15" cm="1">
        <f t="array" aca="1" ref="R169" ca="1">MMS_Swine_N2ODirect_Equations.VEERG_4_5_1_3__7_NitrogenTransferredToStage2MMS(R123,$E147,$E158)</f>
        <v>362.13840000000016</v>
      </c>
      <c r="S169" s="16"/>
    </row>
    <row r="172" spans="3:21" ht="20.100000000000001" customHeight="1" x14ac:dyDescent="0.2">
      <c r="C172" s="82"/>
      <c r="D172" s="82"/>
      <c r="E172" s="82"/>
      <c r="F172" s="82"/>
      <c r="G172" s="82"/>
      <c r="H172" s="82"/>
      <c r="I172" s="82"/>
      <c r="J172" s="82"/>
      <c r="K172" s="82"/>
      <c r="M172" s="82"/>
      <c r="N172" s="82"/>
      <c r="O172" s="82"/>
      <c r="P172" s="82"/>
      <c r="Q172" s="82"/>
      <c r="R172" s="82"/>
      <c r="S172" s="82"/>
      <c r="T172" s="82"/>
      <c r="U172" s="82"/>
    </row>
    <row r="173" spans="3:21" ht="20.100000000000001" customHeight="1" x14ac:dyDescent="0.2">
      <c r="D173" s="2" t="str" cm="1">
        <f t="array" ref="D173">MMS_Swine_N2ODirect_Equations.VEERG_4_5_1_3__6_Stage2NitrogenInMMS_Title()</f>
        <v>Nitrogen in treatment stage 2 MMS</v>
      </c>
    </row>
    <row r="174" spans="3:21" ht="20.100000000000001" customHeight="1" x14ac:dyDescent="0.2">
      <c r="D174" s="17" t="str" cm="1">
        <f t="array" ref="D174">MMS_Swine_N2ODirect_Equations.VEERG_4_5_1_3__6_Stage2NitrogenInMMS_Source()</f>
        <v>VEERG 2026: 4.5.1.3, Equation (6)</v>
      </c>
    </row>
    <row r="175" spans="3:21" ht="20.100000000000001" customHeight="1" x14ac:dyDescent="0.2">
      <c r="D175" s="110" t="s">
        <v>321</v>
      </c>
      <c r="E175" s="110" t="str" cm="1">
        <f t="array" aca="1" ref="E175" ca="1">Common_InputFunctions.Utility_DisplayFunctionName(F217)</f>
        <v>=MMS_Swine_N2ODirect_Equations.VEERG_4_5_1_3__6_Stage2NitrogenInMMS</v>
      </c>
    </row>
    <row r="178" spans="1:10" ht="20.100000000000001" customHeight="1" x14ac:dyDescent="0.2">
      <c r="D178" s="75" t="s">
        <v>322</v>
      </c>
      <c r="E178" s="1" t="str" cm="1">
        <f t="array" ref="E178">MMS_Swine_N2ODirect_Equations.VEERG_4_5_1_3__6_Stage2NitrogenInMMS_Variable()</f>
        <v>MN_jmT2</v>
      </c>
    </row>
    <row r="179" spans="1:10" ht="20.100000000000001" customHeight="1" x14ac:dyDescent="0.2">
      <c r="D179" s="75" t="s">
        <v>118</v>
      </c>
      <c r="E179" s="9" t="str" cm="1">
        <f t="array" ref="E179">MMS_Swine_N2ODirect_Equations.VEERG_4_5_1_3__6_Stage2NitrogenInMMS_Unit()</f>
        <v>kg N</v>
      </c>
    </row>
    <row r="181" spans="1:10" ht="20.100000000000001" customHeight="1" x14ac:dyDescent="0.2">
      <c r="D181" s="120" t="str" cm="1">
        <f t="array" ref="D181:E182">Common_InputFunctions.Utility_DisplayArguments_1_2(MMS_Swine_N2ODirect_Equations.VEERG_4_5_1_3__6_Stage2NitrogenInMMS_Arguments())</f>
        <v>NT_jmT2</v>
      </c>
      <c r="E181" s="121" t="str">
        <v>nitrogen transferred to secondary treatment MMS</v>
      </c>
      <c r="F181" s="122"/>
      <c r="G181" s="127" t="str" cm="1">
        <f t="array" ref="G181:H182">Common_InputFunctions.Utility_DisplayArguments_3_4(MMS_Swine_N2ODirect_Equations.VEERG_4_5_1_3__6_Stage2NitrogenInMMS_Arguments())</f>
        <v>kg N</v>
      </c>
      <c r="H181" s="125" t="str">
        <v>Calculated from 4.5.1.3 (7)</v>
      </c>
      <c r="I181" s="115" t="str" cm="1">
        <f t="array" aca="1" ref="I181" ca="1">HYPERLINK(Common_InputFunctions.Utility_SourceHyperlink(D161), D161)</f>
        <v>M1_Table_NT_j_m_T-2</v>
      </c>
    </row>
    <row r="182" spans="1:10" ht="20.100000000000001" customHeight="1" x14ac:dyDescent="0.2">
      <c r="D182" s="120" t="str">
        <v>MMS_jmT2</v>
      </c>
      <c r="E182" s="121" t="str">
        <v>fraction of manure in each secondary system</v>
      </c>
      <c r="F182" s="122"/>
      <c r="G182" s="127" t="str">
        <v>fraction</v>
      </c>
      <c r="H182" s="123" t="str">
        <v>Input</v>
      </c>
      <c r="I182" s="115" t="str" cm="1">
        <f t="array" aca="1" ref="I182" ca="1">HYPERLINK(Common_InputFunctions.Utility_SourceHyperlink(D184), D184)</f>
        <v>Table_MMS_j_m_T-2</v>
      </c>
    </row>
    <row r="184" spans="1:10" ht="20.100000000000001" customHeight="1" x14ac:dyDescent="0.2">
      <c r="D184" s="117" t="s">
        <v>352</v>
      </c>
    </row>
    <row r="185" spans="1:10" ht="20.100000000000001" customHeight="1" x14ac:dyDescent="0.2">
      <c r="D185" s="118" t="s">
        <v>353</v>
      </c>
    </row>
    <row r="186" spans="1:10" ht="20.100000000000001" customHeight="1" x14ac:dyDescent="0.2">
      <c r="D186" s="78" t="s">
        <v>325</v>
      </c>
      <c r="E186" s="78" t="s">
        <v>354</v>
      </c>
      <c r="F186" s="78" t="s">
        <v>290</v>
      </c>
      <c r="G186" s="78" t="s">
        <v>291</v>
      </c>
      <c r="H186" s="78" t="s">
        <v>265</v>
      </c>
      <c r="I186" s="78" t="s">
        <v>292</v>
      </c>
    </row>
    <row r="187" spans="1:10" ht="20.100000000000001" customHeight="1" x14ac:dyDescent="0.2">
      <c r="A187" s="131" t="str">
        <f>HYPERLINK("#A1", "▲ Back to top")</f>
        <v>▲ Back to top</v>
      </c>
      <c r="D187" s="111" t="str">
        <f>INDEX(X_Table_Swine_Stage1MMS_AnaerobicLagoon,2,1)</f>
        <v>Anaerobic lagoon</v>
      </c>
      <c r="E187" s="120" t="str" cm="1">
        <f t="array" aca="1" ref="E187:I190" ca="1">OFFSET(X_Table_Swine_Stage2MMS_From_AnaerobicLagoon,1,0,4,5)</f>
        <v>Digester / covered lagoons</v>
      </c>
      <c r="F187" s="15">
        <f ca="1"/>
        <v>0.2</v>
      </c>
      <c r="G187" s="15">
        <f ca="1"/>
        <v>0.25</v>
      </c>
      <c r="H187" s="15">
        <f ca="1"/>
        <v>0.25</v>
      </c>
      <c r="I187" s="15">
        <f ca="1"/>
        <v>0.25</v>
      </c>
      <c r="J187" s="16" t="str">
        <f>G182</f>
        <v>fraction</v>
      </c>
    </row>
    <row r="188" spans="1:10" ht="20.100000000000001" customHeight="1" x14ac:dyDescent="0.2">
      <c r="D188" s="111"/>
      <c r="E188" s="120" t="str">
        <f ca="1"/>
        <v>Deep litter</v>
      </c>
      <c r="F188" s="15">
        <f ca="1"/>
        <v>0.2</v>
      </c>
      <c r="G188" s="15">
        <f ca="1"/>
        <v>0.25</v>
      </c>
      <c r="H188" s="15">
        <f ca="1"/>
        <v>0.25</v>
      </c>
      <c r="I188" s="15">
        <f ca="1"/>
        <v>0.25</v>
      </c>
      <c r="J188" s="16"/>
    </row>
    <row r="189" spans="1:10" ht="20.100000000000001" customHeight="1" x14ac:dyDescent="0.2">
      <c r="D189" s="111"/>
      <c r="E189" s="120" t="str">
        <f ca="1"/>
        <v>Pit storage</v>
      </c>
      <c r="F189" s="15">
        <f ca="1"/>
        <v>0.2</v>
      </c>
      <c r="G189" s="15">
        <f ca="1"/>
        <v>0.25</v>
      </c>
      <c r="H189" s="15">
        <f ca="1"/>
        <v>0.25</v>
      </c>
      <c r="I189" s="15">
        <f ca="1"/>
        <v>0.25</v>
      </c>
      <c r="J189" s="16"/>
    </row>
    <row r="190" spans="1:10" ht="20.100000000000001" customHeight="1" x14ac:dyDescent="0.2">
      <c r="D190" s="111"/>
      <c r="E190" s="111" t="str">
        <f ca="1"/>
        <v>Direct application</v>
      </c>
      <c r="F190" s="15">
        <f ca="1"/>
        <v>0.39999999999999991</v>
      </c>
      <c r="G190" s="15">
        <f ca="1"/>
        <v>0.25</v>
      </c>
      <c r="H190" s="15">
        <f ca="1"/>
        <v>0.25</v>
      </c>
      <c r="I190" s="15">
        <f ca="1"/>
        <v>0.25</v>
      </c>
      <c r="J190" s="16"/>
    </row>
    <row r="191" spans="1:10" ht="20.100000000000001" customHeight="1" x14ac:dyDescent="0.2">
      <c r="D191" s="111" t="str">
        <f>INDEX(X_Table_Swine_Stage1MMS_Drylot,2,1)</f>
        <v>Drylot (feed pad)</v>
      </c>
      <c r="E191" s="120" t="str" cm="1">
        <f t="array" aca="1" ref="E191:I195" ca="1">OFFSET(X_Table_Swine_Stage2MMS_From_Drylot,1,0,5,5)</f>
        <v>Anaerobic lagoon</v>
      </c>
      <c r="F191" s="15">
        <f ca="1"/>
        <v>0.2</v>
      </c>
      <c r="G191" s="15">
        <f ca="1"/>
        <v>0.25</v>
      </c>
      <c r="H191" s="15">
        <f ca="1"/>
        <v>0.25</v>
      </c>
      <c r="I191" s="15">
        <f ca="1"/>
        <v>0.25</v>
      </c>
      <c r="J191" s="16"/>
    </row>
    <row r="192" spans="1:10" ht="20.100000000000001" customHeight="1" x14ac:dyDescent="0.2">
      <c r="D192" s="111"/>
      <c r="E192" s="120" t="str">
        <f ca="1"/>
        <v>Digester / covered lagoons</v>
      </c>
      <c r="F192" s="15">
        <f ca="1"/>
        <v>0.2</v>
      </c>
      <c r="G192" s="15">
        <f ca="1"/>
        <v>0.25</v>
      </c>
      <c r="H192" s="15">
        <f ca="1"/>
        <v>0.25</v>
      </c>
      <c r="I192" s="15">
        <f ca="1"/>
        <v>0.25</v>
      </c>
      <c r="J192" s="16"/>
    </row>
    <row r="193" spans="4:10" ht="20.100000000000001" customHeight="1" x14ac:dyDescent="0.2">
      <c r="D193" s="111"/>
      <c r="E193" s="120" t="str">
        <f ca="1"/>
        <v>Deep litter</v>
      </c>
      <c r="F193" s="15">
        <f ca="1"/>
        <v>0.2</v>
      </c>
      <c r="G193" s="15">
        <f ca="1"/>
        <v>0.25</v>
      </c>
      <c r="H193" s="15">
        <f ca="1"/>
        <v>0.25</v>
      </c>
      <c r="I193" s="15">
        <f ca="1"/>
        <v>0.25</v>
      </c>
      <c r="J193" s="16"/>
    </row>
    <row r="194" spans="4:10" ht="20.100000000000001" customHeight="1" x14ac:dyDescent="0.2">
      <c r="D194" s="111"/>
      <c r="E194" s="120" t="str">
        <f ca="1"/>
        <v>Pit storage</v>
      </c>
      <c r="F194" s="15">
        <f ca="1"/>
        <v>0.2</v>
      </c>
      <c r="G194" s="15">
        <f ca="1"/>
        <v>0.25</v>
      </c>
      <c r="H194" s="15">
        <f ca="1"/>
        <v>0.25</v>
      </c>
      <c r="I194" s="15">
        <f ca="1"/>
        <v>0.25</v>
      </c>
      <c r="J194" s="16"/>
    </row>
    <row r="195" spans="4:10" ht="20.100000000000001" customHeight="1" x14ac:dyDescent="0.2">
      <c r="D195" s="111"/>
      <c r="E195" s="111" t="str">
        <f ca="1"/>
        <v>Direct application</v>
      </c>
      <c r="F195" s="15">
        <f ca="1"/>
        <v>0.19999999999999996</v>
      </c>
      <c r="G195" s="15">
        <f ca="1"/>
        <v>0</v>
      </c>
      <c r="H195" s="15">
        <f ca="1"/>
        <v>0</v>
      </c>
      <c r="I195" s="15">
        <f ca="1"/>
        <v>0</v>
      </c>
      <c r="J195" s="16"/>
    </row>
    <row r="196" spans="4:10" ht="20.100000000000001" customHeight="1" x14ac:dyDescent="0.2">
      <c r="D196" s="111" t="str">
        <f>INDEX(X_Table_Swine_Stage1MMS_DigesterCoveredLagoons,2,1)</f>
        <v>Digester / covered lagoons</v>
      </c>
      <c r="E196" s="120" t="str" cm="1">
        <f t="array" aca="1" ref="E196:I199" ca="1">OFFSET(X_Table_Swine_Stage2MMS_From_DigesterCoveredLagoons,1,0,4,5)</f>
        <v>Anaerobic lagoon</v>
      </c>
      <c r="F196" s="15">
        <f ca="1"/>
        <v>0.2</v>
      </c>
      <c r="G196" s="15">
        <f ca="1"/>
        <v>0.25</v>
      </c>
      <c r="H196" s="15">
        <f ca="1"/>
        <v>0.25</v>
      </c>
      <c r="I196" s="15">
        <f ca="1"/>
        <v>0.25</v>
      </c>
      <c r="J196" s="16"/>
    </row>
    <row r="197" spans="4:10" ht="20.100000000000001" customHeight="1" x14ac:dyDescent="0.2">
      <c r="D197" s="111"/>
      <c r="E197" s="120" t="str">
        <f ca="1"/>
        <v>Deep litter</v>
      </c>
      <c r="F197" s="15">
        <f ca="1"/>
        <v>0.2</v>
      </c>
      <c r="G197" s="15">
        <f ca="1"/>
        <v>0.25</v>
      </c>
      <c r="H197" s="15">
        <f ca="1"/>
        <v>0.25</v>
      </c>
      <c r="I197" s="15">
        <f ca="1"/>
        <v>0.25</v>
      </c>
      <c r="J197" s="16"/>
    </row>
    <row r="198" spans="4:10" ht="20.100000000000001" customHeight="1" x14ac:dyDescent="0.2">
      <c r="D198" s="111"/>
      <c r="E198" s="120" t="str">
        <f ca="1"/>
        <v>Pit storage</v>
      </c>
      <c r="F198" s="15">
        <f ca="1"/>
        <v>0.2</v>
      </c>
      <c r="G198" s="15">
        <f ca="1"/>
        <v>0.25</v>
      </c>
      <c r="H198" s="15">
        <f ca="1"/>
        <v>0.25</v>
      </c>
      <c r="I198" s="15">
        <f ca="1"/>
        <v>0.25</v>
      </c>
      <c r="J198" s="16"/>
    </row>
    <row r="199" spans="4:10" ht="20.100000000000001" customHeight="1" x14ac:dyDescent="0.2">
      <c r="D199" s="111"/>
      <c r="E199" s="111" t="str">
        <f ca="1"/>
        <v>Direct application</v>
      </c>
      <c r="F199" s="15">
        <f ca="1"/>
        <v>0.39999999999999991</v>
      </c>
      <c r="G199" s="15">
        <f ca="1"/>
        <v>0.25</v>
      </c>
      <c r="H199" s="15">
        <f ca="1"/>
        <v>0.25</v>
      </c>
      <c r="I199" s="15">
        <f ca="1"/>
        <v>0.25</v>
      </c>
      <c r="J199" s="16"/>
    </row>
    <row r="200" spans="4:10" ht="20.100000000000001" customHeight="1" x14ac:dyDescent="0.2">
      <c r="D200" s="111" t="str">
        <f>INDEX(X_Table_Swine_Stage1MMS_DeepLitter,2,1)</f>
        <v>Deep litter</v>
      </c>
      <c r="E200" s="120" t="str" cm="1">
        <f t="array" aca="1" ref="E200:I203" ca="1">OFFSET(X_Table_Swine_Stage2MMS_From_DeepLitter,1,0,4,5)</f>
        <v>Anaerobic lagoon</v>
      </c>
      <c r="F200" s="15">
        <f ca="1"/>
        <v>0.2</v>
      </c>
      <c r="G200" s="15">
        <f ca="1"/>
        <v>0.25</v>
      </c>
      <c r="H200" s="15">
        <f ca="1"/>
        <v>0.25</v>
      </c>
      <c r="I200" s="15">
        <f ca="1"/>
        <v>0.25</v>
      </c>
      <c r="J200" s="16"/>
    </row>
    <row r="201" spans="4:10" ht="20.100000000000001" customHeight="1" x14ac:dyDescent="0.2">
      <c r="D201" s="111"/>
      <c r="E201" s="120" t="str">
        <f ca="1"/>
        <v>Digester / covered lagoons</v>
      </c>
      <c r="F201" s="15">
        <f ca="1"/>
        <v>0.2</v>
      </c>
      <c r="G201" s="15">
        <f ca="1"/>
        <v>0.25</v>
      </c>
      <c r="H201" s="15">
        <f ca="1"/>
        <v>0.25</v>
      </c>
      <c r="I201" s="15">
        <f ca="1"/>
        <v>0.25</v>
      </c>
      <c r="J201" s="16"/>
    </row>
    <row r="202" spans="4:10" ht="20.100000000000001" customHeight="1" x14ac:dyDescent="0.2">
      <c r="D202" s="111"/>
      <c r="E202" s="120" t="str">
        <f ca="1"/>
        <v>Pit storage</v>
      </c>
      <c r="F202" s="15">
        <f ca="1"/>
        <v>0.2</v>
      </c>
      <c r="G202" s="15">
        <f ca="1"/>
        <v>0.25</v>
      </c>
      <c r="H202" s="15">
        <f ca="1"/>
        <v>0.25</v>
      </c>
      <c r="I202" s="15">
        <f ca="1"/>
        <v>0.25</v>
      </c>
      <c r="J202" s="16"/>
    </row>
    <row r="203" spans="4:10" ht="20.100000000000001" customHeight="1" x14ac:dyDescent="0.2">
      <c r="D203" s="111"/>
      <c r="E203" s="111" t="str">
        <f ca="1"/>
        <v>Direct application</v>
      </c>
      <c r="F203" s="15">
        <f ca="1"/>
        <v>0.39999999999999991</v>
      </c>
      <c r="G203" s="15">
        <f ca="1"/>
        <v>0.25</v>
      </c>
      <c r="H203" s="15">
        <f ca="1"/>
        <v>0.25</v>
      </c>
      <c r="I203" s="15">
        <f ca="1"/>
        <v>0.25</v>
      </c>
      <c r="J203" s="16"/>
    </row>
    <row r="204" spans="4:10" ht="20.100000000000001" customHeight="1" x14ac:dyDescent="0.2">
      <c r="D204" s="111" t="str">
        <f>INDEX(X_Table_Swine_Stage1MMS_PitStorage,2,1)</f>
        <v>Pit storage</v>
      </c>
      <c r="E204" s="120" t="str" cm="1">
        <f t="array" aca="1" ref="E204:I207" ca="1">OFFSET(X_Table_Swine_Stage2MMS_From_PitStorage,1,0,4,5)</f>
        <v>Anaerobic lagoon</v>
      </c>
      <c r="F204" s="15">
        <f ca="1"/>
        <v>0.2</v>
      </c>
      <c r="G204" s="15">
        <f ca="1"/>
        <v>0.25</v>
      </c>
      <c r="H204" s="15">
        <f ca="1"/>
        <v>0.25</v>
      </c>
      <c r="I204" s="15">
        <f ca="1"/>
        <v>0.25</v>
      </c>
      <c r="J204" s="16"/>
    </row>
    <row r="205" spans="4:10" ht="20.100000000000001" customHeight="1" x14ac:dyDescent="0.2">
      <c r="D205" s="111"/>
      <c r="E205" s="120" t="str">
        <f ca="1"/>
        <v>Digester / covered lagoons</v>
      </c>
      <c r="F205" s="15">
        <f ca="1"/>
        <v>0.2</v>
      </c>
      <c r="G205" s="15">
        <f ca="1"/>
        <v>0.25</v>
      </c>
      <c r="H205" s="15">
        <f ca="1"/>
        <v>0.25</v>
      </c>
      <c r="I205" s="15">
        <f ca="1"/>
        <v>0.25</v>
      </c>
      <c r="J205" s="16"/>
    </row>
    <row r="206" spans="4:10" ht="20.100000000000001" customHeight="1" x14ac:dyDescent="0.2">
      <c r="D206" s="111"/>
      <c r="E206" s="120" t="str">
        <f ca="1"/>
        <v>Deep litter</v>
      </c>
      <c r="F206" s="15">
        <f ca="1"/>
        <v>0.2</v>
      </c>
      <c r="G206" s="15">
        <f ca="1"/>
        <v>0.25</v>
      </c>
      <c r="H206" s="15">
        <f ca="1"/>
        <v>0.25</v>
      </c>
      <c r="I206" s="15">
        <f ca="1"/>
        <v>0.25</v>
      </c>
      <c r="J206" s="16"/>
    </row>
    <row r="207" spans="4:10" ht="20.100000000000001" customHeight="1" x14ac:dyDescent="0.2">
      <c r="D207" s="111"/>
      <c r="E207" s="111" t="str">
        <f ca="1"/>
        <v>Direct application</v>
      </c>
      <c r="F207" s="15">
        <f ca="1"/>
        <v>0.39999999999999991</v>
      </c>
      <c r="G207" s="15">
        <f ca="1"/>
        <v>0.25</v>
      </c>
      <c r="H207" s="15">
        <f ca="1"/>
        <v>0.25</v>
      </c>
      <c r="I207" s="15">
        <f ca="1"/>
        <v>0.25</v>
      </c>
      <c r="J207" s="16"/>
    </row>
    <row r="208" spans="4:10" ht="20.100000000000001" customHeight="1" x14ac:dyDescent="0.2">
      <c r="D208" s="111" t="s">
        <v>75</v>
      </c>
      <c r="E208" s="120" t="str" cm="1">
        <f t="array" aca="1" ref="E208:I212" ca="1">OFFSET(X_Table_Swine_Stage2MMS_From_SolidStorage,1,0,5,5)</f>
        <v>Anaerobic lagoon</v>
      </c>
      <c r="F208" s="15">
        <f ca="1"/>
        <v>0.2</v>
      </c>
      <c r="G208" s="15">
        <f ca="1"/>
        <v>0.2</v>
      </c>
      <c r="H208" s="15">
        <f ca="1"/>
        <v>0.2</v>
      </c>
      <c r="I208" s="15">
        <f ca="1"/>
        <v>0.2</v>
      </c>
      <c r="J208" s="16"/>
    </row>
    <row r="209" spans="1:20" ht="20.100000000000001" customHeight="1" x14ac:dyDescent="0.2">
      <c r="D209" s="111"/>
      <c r="E209" s="120" t="str">
        <f ca="1"/>
        <v>Digester / covered lagoons</v>
      </c>
      <c r="F209" s="15">
        <f ca="1"/>
        <v>0.2</v>
      </c>
      <c r="G209" s="15">
        <f ca="1"/>
        <v>0.2</v>
      </c>
      <c r="H209" s="15">
        <f ca="1"/>
        <v>0.2</v>
      </c>
      <c r="I209" s="15">
        <f ca="1"/>
        <v>0.2</v>
      </c>
      <c r="J209" s="16"/>
    </row>
    <row r="210" spans="1:20" ht="20.100000000000001" customHeight="1" x14ac:dyDescent="0.2">
      <c r="D210" s="111"/>
      <c r="E210" s="120" t="str">
        <f ca="1"/>
        <v>Deep litter</v>
      </c>
      <c r="F210" s="15">
        <f ca="1"/>
        <v>0.2</v>
      </c>
      <c r="G210" s="15">
        <f ca="1"/>
        <v>0.2</v>
      </c>
      <c r="H210" s="15">
        <f ca="1"/>
        <v>0.2</v>
      </c>
      <c r="I210" s="15">
        <f ca="1"/>
        <v>0.2</v>
      </c>
      <c r="J210" s="16"/>
    </row>
    <row r="211" spans="1:20" ht="20.100000000000001" customHeight="1" x14ac:dyDescent="0.2">
      <c r="D211" s="111"/>
      <c r="E211" s="120" t="str">
        <f ca="1"/>
        <v>Pit storage</v>
      </c>
      <c r="F211" s="15">
        <f ca="1"/>
        <v>0.1</v>
      </c>
      <c r="G211" s="15">
        <f ca="1"/>
        <v>0.1</v>
      </c>
      <c r="H211" s="15">
        <f ca="1"/>
        <v>0.1</v>
      </c>
      <c r="I211" s="15">
        <f ca="1"/>
        <v>0.1</v>
      </c>
      <c r="J211" s="16"/>
    </row>
    <row r="212" spans="1:20" ht="20.100000000000001" customHeight="1" x14ac:dyDescent="0.2">
      <c r="D212" s="111"/>
      <c r="E212" s="111" t="str">
        <f ca="1"/>
        <v>Direct application</v>
      </c>
      <c r="F212" s="15">
        <f ca="1"/>
        <v>0.29999999999999993</v>
      </c>
      <c r="G212" s="15">
        <f ca="1"/>
        <v>0.29999999999999993</v>
      </c>
      <c r="H212" s="15">
        <f ca="1"/>
        <v>0.29999999999999993</v>
      </c>
      <c r="I212" s="15">
        <f ca="1"/>
        <v>0.29999999999999993</v>
      </c>
      <c r="J212" s="16"/>
    </row>
    <row r="214" spans="1:20" ht="20.100000000000001" customHeight="1" x14ac:dyDescent="0.2">
      <c r="D214" s="117" t="s">
        <v>417</v>
      </c>
      <c r="N214" s="117" t="s">
        <v>418</v>
      </c>
    </row>
    <row r="215" spans="1:20" ht="20.100000000000001" customHeight="1" x14ac:dyDescent="0.2">
      <c r="D215" s="118" t="s">
        <v>419</v>
      </c>
      <c r="N215" s="118" t="s">
        <v>420</v>
      </c>
    </row>
    <row r="216" spans="1:20" ht="20.100000000000001" customHeight="1" x14ac:dyDescent="0.2">
      <c r="D216" s="119" t="s">
        <v>325</v>
      </c>
      <c r="E216" s="119" t="s">
        <v>354</v>
      </c>
      <c r="F216" s="119" t="s">
        <v>290</v>
      </c>
      <c r="G216" s="119" t="s">
        <v>291</v>
      </c>
      <c r="H216" s="119" t="s">
        <v>265</v>
      </c>
      <c r="I216" s="119" t="s">
        <v>292</v>
      </c>
      <c r="N216" s="119" t="s">
        <v>325</v>
      </c>
      <c r="O216" s="119" t="s">
        <v>354</v>
      </c>
      <c r="P216" s="119" t="s">
        <v>290</v>
      </c>
      <c r="Q216" s="119" t="s">
        <v>291</v>
      </c>
      <c r="R216" s="119" t="s">
        <v>265</v>
      </c>
      <c r="S216" s="119" t="s">
        <v>292</v>
      </c>
    </row>
    <row r="217" spans="1:20" ht="20.100000000000001" customHeight="1" x14ac:dyDescent="0.2">
      <c r="A217" s="131" t="str">
        <f>HYPERLINK("#A1", "▲ Back to top")</f>
        <v>▲ Back to top</v>
      </c>
      <c r="D217" s="111" t="str">
        <f>INDEX(X_Table_Swine_Stage1MMS_AnaerobicLagoon,2,1)</f>
        <v>Anaerobic lagoon</v>
      </c>
      <c r="E217" s="111" t="str">
        <f>INDEX(X_Table_Swine_Stage2MMS_From_AnaerobicLagoon,2,1)</f>
        <v>Digester / covered lagoons</v>
      </c>
      <c r="F217" s="15" cm="1">
        <f t="array" aca="1" ref="F217" ca="1">MMS_Swine_N2ODirect_Equations.VEERG_4_5_1_3__6_Stage2NitrogenInMMS(E$164,F187)</f>
        <v>18.133199999999995</v>
      </c>
      <c r="G217" s="15" cm="1">
        <f t="array" aca="1" ref="G217" ca="1">MMS_Swine_N2ODirect_Equations.VEERG_4_5_1_3__6_Stage2NitrogenInMMS(F$164,G187)</f>
        <v>24.144750000000002</v>
      </c>
      <c r="H217" s="15" cm="1">
        <f t="array" aca="1" ref="H217" ca="1">MMS_Swine_N2ODirect_Equations.VEERG_4_5_1_3__6_Stage2NitrogenInMMS(G$164,H187)</f>
        <v>22.666499999999992</v>
      </c>
      <c r="I217" s="15" cm="1">
        <f t="array" aca="1" ref="I217" ca="1">MMS_Swine_N2ODirect_Equations.VEERG_4_5_1_3__6_Stage2NitrogenInMMS(H$164,I187)</f>
        <v>15.373799999999996</v>
      </c>
      <c r="J217" s="16" t="str">
        <f>$E$179</f>
        <v>kg N</v>
      </c>
      <c r="N217" s="111" t="str">
        <f>INDEX(X_Table_Swine_Stage1MMS_AnaerobicLagoon,2,1)</f>
        <v>Anaerobic lagoon</v>
      </c>
      <c r="O217" s="111" t="str">
        <f>INDEX(X_Table_Swine_Stage2MMS_From_AnaerobicLagoon,2,1)</f>
        <v>Digester / covered lagoons</v>
      </c>
      <c r="P217" s="15" cm="1">
        <f t="array" aca="1" ref="P217" ca="1">MMS_Swine_N2ODirect_Equations.VEERG_4_5_1_3__6_Stage2NitrogenInMMS(O$164,F187)</f>
        <v>18.133199999999995</v>
      </c>
      <c r="Q217" s="15" cm="1">
        <f t="array" aca="1" ref="Q217" ca="1">MMS_Swine_N2ODirect_Equations.VEERG_4_5_1_3__6_Stage2NitrogenInMMS(P$164,G187)</f>
        <v>24.144750000000002</v>
      </c>
      <c r="R217" s="15" cm="1">
        <f t="array" aca="1" ref="R217" ca="1">MMS_Swine_N2ODirect_Equations.VEERG_4_5_1_3__6_Stage2NitrogenInMMS(Q$164,H187)</f>
        <v>22.666499999999992</v>
      </c>
      <c r="S217" s="15" cm="1">
        <f t="array" aca="1" ref="S217" ca="1">MMS_Swine_N2ODirect_Equations.VEERG_4_5_1_3__6_Stage2NitrogenInMMS(R$164,I187)</f>
        <v>15.373799999999996</v>
      </c>
      <c r="T217" s="16" t="str">
        <f>$E$179</f>
        <v>kg N</v>
      </c>
    </row>
    <row r="218" spans="1:20" ht="20.100000000000001" customHeight="1" x14ac:dyDescent="0.2">
      <c r="D218" s="111"/>
      <c r="E218" s="111" t="str">
        <f>INDEX(X_Table_Swine_Stage2MMS_From_AnaerobicLagoon,3,1)</f>
        <v>Deep litter</v>
      </c>
      <c r="F218" s="15" cm="1">
        <f t="array" aca="1" ref="F218" ca="1">MMS_Swine_N2ODirect_Equations.VEERG_4_5_1_3__6_Stage2NitrogenInMMS(E$164,F188)</f>
        <v>18.133199999999995</v>
      </c>
      <c r="G218" s="15" cm="1">
        <f t="array" aca="1" ref="G218" ca="1">MMS_Swine_N2ODirect_Equations.VEERG_4_5_1_3__6_Stage2NitrogenInMMS(F$164,G188)</f>
        <v>24.144750000000002</v>
      </c>
      <c r="H218" s="15" cm="1">
        <f t="array" aca="1" ref="H218" ca="1">MMS_Swine_N2ODirect_Equations.VEERG_4_5_1_3__6_Stage2NitrogenInMMS(G$164,H188)</f>
        <v>22.666499999999992</v>
      </c>
      <c r="I218" s="15" cm="1">
        <f t="array" aca="1" ref="I218" ca="1">MMS_Swine_N2ODirect_Equations.VEERG_4_5_1_3__6_Stage2NitrogenInMMS(H$164,I188)</f>
        <v>15.373799999999996</v>
      </c>
      <c r="J218" s="16"/>
      <c r="N218" s="111"/>
      <c r="O218" s="111" t="str">
        <f>INDEX(X_Table_Swine_Stage2MMS_From_AnaerobicLagoon,3,1)</f>
        <v>Deep litter</v>
      </c>
      <c r="P218" s="15" cm="1">
        <f t="array" aca="1" ref="P218" ca="1">MMS_Swine_N2ODirect_Equations.VEERG_4_5_1_3__6_Stage2NitrogenInMMS(O$164,F188)</f>
        <v>18.133199999999995</v>
      </c>
      <c r="Q218" s="15" cm="1">
        <f t="array" aca="1" ref="Q218" ca="1">MMS_Swine_N2ODirect_Equations.VEERG_4_5_1_3__6_Stage2NitrogenInMMS(P$164,G188)</f>
        <v>24.144750000000002</v>
      </c>
      <c r="R218" s="15" cm="1">
        <f t="array" aca="1" ref="R218" ca="1">MMS_Swine_N2ODirect_Equations.VEERG_4_5_1_3__6_Stage2NitrogenInMMS(Q$164,H188)</f>
        <v>22.666499999999992</v>
      </c>
      <c r="S218" s="15" cm="1">
        <f t="array" aca="1" ref="S218" ca="1">MMS_Swine_N2ODirect_Equations.VEERG_4_5_1_3__6_Stage2NitrogenInMMS(R$164,I188)</f>
        <v>15.373799999999996</v>
      </c>
      <c r="T218" s="16"/>
    </row>
    <row r="219" spans="1:20" ht="20.100000000000001" customHeight="1" x14ac:dyDescent="0.2">
      <c r="D219" s="111"/>
      <c r="E219" s="111" t="str">
        <f>INDEX(X_Table_Swine_Stage2MMS_From_AnaerobicLagoon,4,1)</f>
        <v>Pit storage</v>
      </c>
      <c r="F219" s="15" cm="1">
        <f t="array" aca="1" ref="F219" ca="1">MMS_Swine_N2ODirect_Equations.VEERG_4_5_1_3__6_Stage2NitrogenInMMS(E$164,F189)</f>
        <v>18.133199999999995</v>
      </c>
      <c r="G219" s="15" cm="1">
        <f t="array" aca="1" ref="G219" ca="1">MMS_Swine_N2ODirect_Equations.VEERG_4_5_1_3__6_Stage2NitrogenInMMS(F$164,G189)</f>
        <v>24.144750000000002</v>
      </c>
      <c r="H219" s="15" cm="1">
        <f t="array" aca="1" ref="H219" ca="1">MMS_Swine_N2ODirect_Equations.VEERG_4_5_1_3__6_Stage2NitrogenInMMS(G$164,H189)</f>
        <v>22.666499999999992</v>
      </c>
      <c r="I219" s="15" cm="1">
        <f t="array" aca="1" ref="I219" ca="1">MMS_Swine_N2ODirect_Equations.VEERG_4_5_1_3__6_Stage2NitrogenInMMS(H$164,I189)</f>
        <v>15.373799999999996</v>
      </c>
      <c r="J219" s="16"/>
      <c r="N219" s="111"/>
      <c r="O219" s="111" t="str">
        <f>INDEX(X_Table_Swine_Stage2MMS_From_AnaerobicLagoon,4,1)</f>
        <v>Pit storage</v>
      </c>
      <c r="P219" s="15" cm="1">
        <f t="array" aca="1" ref="P219" ca="1">MMS_Swine_N2ODirect_Equations.VEERG_4_5_1_3__6_Stage2NitrogenInMMS(O$164,F189)</f>
        <v>18.133199999999995</v>
      </c>
      <c r="Q219" s="15" cm="1">
        <f t="array" aca="1" ref="Q219" ca="1">MMS_Swine_N2ODirect_Equations.VEERG_4_5_1_3__6_Stage2NitrogenInMMS(P$164,G189)</f>
        <v>24.144750000000002</v>
      </c>
      <c r="R219" s="15" cm="1">
        <f t="array" aca="1" ref="R219" ca="1">MMS_Swine_N2ODirect_Equations.VEERG_4_5_1_3__6_Stage2NitrogenInMMS(Q$164,H189)</f>
        <v>22.666499999999992</v>
      </c>
      <c r="S219" s="15" cm="1">
        <f t="array" aca="1" ref="S219" ca="1">MMS_Swine_N2ODirect_Equations.VEERG_4_5_1_3__6_Stage2NitrogenInMMS(R$164,I189)</f>
        <v>15.373799999999996</v>
      </c>
      <c r="T219" s="16"/>
    </row>
    <row r="220" spans="1:20" ht="20.100000000000001" customHeight="1" x14ac:dyDescent="0.2">
      <c r="D220" s="111"/>
      <c r="E220" s="111" t="str">
        <f>INDEX(X_Table_Swine_Stage2MMS_From_AnaerobicLagoon,5,1)</f>
        <v>Direct application</v>
      </c>
      <c r="F220" s="15" cm="1">
        <f t="array" aca="1" ref="F220" ca="1">MMS_Swine_N2ODirect_Equations.VEERG_4_5_1_3__6_Stage2NitrogenInMMS(E$164,F190)</f>
        <v>36.266399999999976</v>
      </c>
      <c r="G220" s="15" cm="1">
        <f t="array" aca="1" ref="G220" ca="1">MMS_Swine_N2ODirect_Equations.VEERG_4_5_1_3__6_Stage2NitrogenInMMS(F$164,G190)</f>
        <v>24.144750000000002</v>
      </c>
      <c r="H220" s="15" cm="1">
        <f t="array" aca="1" ref="H220" ca="1">MMS_Swine_N2ODirect_Equations.VEERG_4_5_1_3__6_Stage2NitrogenInMMS(G$164,H190)</f>
        <v>22.666499999999992</v>
      </c>
      <c r="I220" s="15" cm="1">
        <f t="array" aca="1" ref="I220" ca="1">MMS_Swine_N2ODirect_Equations.VEERG_4_5_1_3__6_Stage2NitrogenInMMS(H$164,I190)</f>
        <v>15.373799999999996</v>
      </c>
      <c r="J220" s="16"/>
      <c r="N220" s="111"/>
      <c r="O220" s="111" t="str">
        <f>INDEX(X_Table_Swine_Stage2MMS_From_AnaerobicLagoon,5,1)</f>
        <v>Direct application</v>
      </c>
      <c r="P220" s="15" cm="1">
        <f t="array" aca="1" ref="P220" ca="1">MMS_Swine_N2ODirect_Equations.VEERG_4_5_1_3__6_Stage2NitrogenInMMS(O$164,F190)</f>
        <v>36.266399999999976</v>
      </c>
      <c r="Q220" s="15" cm="1">
        <f t="array" aca="1" ref="Q220" ca="1">MMS_Swine_N2ODirect_Equations.VEERG_4_5_1_3__6_Stage2NitrogenInMMS(P$164,G190)</f>
        <v>24.144750000000002</v>
      </c>
      <c r="R220" s="15" cm="1">
        <f t="array" aca="1" ref="R220" ca="1">MMS_Swine_N2ODirect_Equations.VEERG_4_5_1_3__6_Stage2NitrogenInMMS(Q$164,H190)</f>
        <v>22.666499999999992</v>
      </c>
      <c r="S220" s="15" cm="1">
        <f t="array" aca="1" ref="S220" ca="1">MMS_Swine_N2ODirect_Equations.VEERG_4_5_1_3__6_Stage2NitrogenInMMS(R$164,I190)</f>
        <v>15.373799999999996</v>
      </c>
      <c r="T220" s="16"/>
    </row>
    <row r="221" spans="1:20" ht="20.100000000000001" customHeight="1" x14ac:dyDescent="0.2">
      <c r="D221" s="111" t="str">
        <f>INDEX(X_Table_Swine_Stage1MMS_Drylot,2,1)</f>
        <v>Drylot (feed pad)</v>
      </c>
      <c r="E221" s="111" t="str">
        <f>INDEX(X_Table_Swine_Stage2MMS_From_Drylot,2,1)</f>
        <v>Anaerobic lagoon</v>
      </c>
      <c r="F221" s="15" cm="1">
        <f t="array" aca="1" ref="F221" ca="1">MMS_Swine_N2ODirect_Equations.VEERG_4_5_1_3__6_Stage2NitrogenInMMS(E$165,F191)</f>
        <v>27.401279999999993</v>
      </c>
      <c r="G221" s="15" cm="1">
        <f t="array" aca="1" ref="G221" ca="1">MMS_Swine_N2ODirect_Equations.VEERG_4_5_1_3__6_Stage2NitrogenInMMS(F$165,G191)</f>
        <v>36.485400000000006</v>
      </c>
      <c r="H221" s="15" cm="1">
        <f t="array" aca="1" ref="H221" ca="1">MMS_Swine_N2ODirect_Equations.VEERG_4_5_1_3__6_Stage2NitrogenInMMS(G$165,H191)</f>
        <v>34.251599999999989</v>
      </c>
      <c r="I221" s="15" cm="1">
        <f t="array" aca="1" ref="I221" ca="1">MMS_Swine_N2ODirect_Equations.VEERG_4_5_1_3__6_Stage2NitrogenInMMS(H$165,I191)</f>
        <v>23.231519999999993</v>
      </c>
      <c r="J221" s="16"/>
      <c r="N221" s="111" t="str">
        <f>INDEX(X_Table_Swine_Stage1MMS_Drylot,2,1)</f>
        <v>Drylot (feed pad)</v>
      </c>
      <c r="O221" s="111" t="str">
        <f>INDEX(X_Table_Swine_Stage2MMS_From_Drylot,2,1)</f>
        <v>Anaerobic lagoon</v>
      </c>
      <c r="P221" s="15" cm="1">
        <f t="array" aca="1" ref="P221" ca="1">MMS_Swine_N2ODirect_Equations.VEERG_4_5_1_3__6_Stage2NitrogenInMMS(O$165,F191)</f>
        <v>27.401279999999993</v>
      </c>
      <c r="Q221" s="15" cm="1">
        <f t="array" aca="1" ref="Q221" ca="1">MMS_Swine_N2ODirect_Equations.VEERG_4_5_1_3__6_Stage2NitrogenInMMS(P$165,G191)</f>
        <v>36.485400000000006</v>
      </c>
      <c r="R221" s="15" cm="1">
        <f t="array" aca="1" ref="R221" ca="1">MMS_Swine_N2ODirect_Equations.VEERG_4_5_1_3__6_Stage2NitrogenInMMS(Q$165,H191)</f>
        <v>34.251599999999989</v>
      </c>
      <c r="S221" s="15" cm="1">
        <f t="array" aca="1" ref="S221" ca="1">MMS_Swine_N2ODirect_Equations.VEERG_4_5_1_3__6_Stage2NitrogenInMMS(R$165,I191)</f>
        <v>23.231519999999993</v>
      </c>
      <c r="T221" s="16"/>
    </row>
    <row r="222" spans="1:20" ht="20.100000000000001" customHeight="1" x14ac:dyDescent="0.2">
      <c r="D222" s="111"/>
      <c r="E222" s="111" t="str">
        <f>INDEX(X_Table_Swine_Stage2MMS_From_Drylot,3,1)</f>
        <v>Digester / covered lagoons</v>
      </c>
      <c r="F222" s="15" cm="1">
        <f t="array" aca="1" ref="F222" ca="1">MMS_Swine_N2ODirect_Equations.VEERG_4_5_1_3__6_Stage2NitrogenInMMS(E$165,F192)</f>
        <v>27.401279999999993</v>
      </c>
      <c r="G222" s="15" cm="1">
        <f t="array" aca="1" ref="G222" ca="1">MMS_Swine_N2ODirect_Equations.VEERG_4_5_1_3__6_Stage2NitrogenInMMS(F$165,G192)</f>
        <v>36.485400000000006</v>
      </c>
      <c r="H222" s="15" cm="1">
        <f t="array" aca="1" ref="H222" ca="1">MMS_Swine_N2ODirect_Equations.VEERG_4_5_1_3__6_Stage2NitrogenInMMS(G$165,H192)</f>
        <v>34.251599999999989</v>
      </c>
      <c r="I222" s="15" cm="1">
        <f t="array" aca="1" ref="I222" ca="1">MMS_Swine_N2ODirect_Equations.VEERG_4_5_1_3__6_Stage2NitrogenInMMS(H$165,I192)</f>
        <v>23.231519999999993</v>
      </c>
      <c r="J222" s="16"/>
      <c r="N222" s="111"/>
      <c r="O222" s="111" t="str">
        <f>INDEX(X_Table_Swine_Stage2MMS_From_Drylot,3,1)</f>
        <v>Digester / covered lagoons</v>
      </c>
      <c r="P222" s="15" cm="1">
        <f t="array" aca="1" ref="P222" ca="1">MMS_Swine_N2ODirect_Equations.VEERG_4_5_1_3__6_Stage2NitrogenInMMS(O$165,F192)</f>
        <v>27.401279999999993</v>
      </c>
      <c r="Q222" s="15" cm="1">
        <f t="array" aca="1" ref="Q222" ca="1">MMS_Swine_N2ODirect_Equations.VEERG_4_5_1_3__6_Stage2NitrogenInMMS(P$165,G192)</f>
        <v>36.485400000000006</v>
      </c>
      <c r="R222" s="15" cm="1">
        <f t="array" aca="1" ref="R222" ca="1">MMS_Swine_N2ODirect_Equations.VEERG_4_5_1_3__6_Stage2NitrogenInMMS(Q$165,H192)</f>
        <v>34.251599999999989</v>
      </c>
      <c r="S222" s="15" cm="1">
        <f t="array" aca="1" ref="S222" ca="1">MMS_Swine_N2ODirect_Equations.VEERG_4_5_1_3__6_Stage2NitrogenInMMS(R$165,I192)</f>
        <v>23.231519999999993</v>
      </c>
      <c r="T222" s="16"/>
    </row>
    <row r="223" spans="1:20" ht="20.100000000000001" customHeight="1" x14ac:dyDescent="0.2">
      <c r="D223" s="111"/>
      <c r="E223" s="111" t="str">
        <f>INDEX(X_Table_Swine_Stage2MMS_From_Drylot,4,1)</f>
        <v>Deep litter</v>
      </c>
      <c r="F223" s="15" cm="1">
        <f t="array" aca="1" ref="F223" ca="1">MMS_Swine_N2ODirect_Equations.VEERG_4_5_1_3__6_Stage2NitrogenInMMS(E$165,F193)</f>
        <v>27.401279999999993</v>
      </c>
      <c r="G223" s="15" cm="1">
        <f t="array" aca="1" ref="G223" ca="1">MMS_Swine_N2ODirect_Equations.VEERG_4_5_1_3__6_Stage2NitrogenInMMS(F$165,G193)</f>
        <v>36.485400000000006</v>
      </c>
      <c r="H223" s="15" cm="1">
        <f t="array" aca="1" ref="H223" ca="1">MMS_Swine_N2ODirect_Equations.VEERG_4_5_1_3__6_Stage2NitrogenInMMS(G$165,H193)</f>
        <v>34.251599999999989</v>
      </c>
      <c r="I223" s="15" cm="1">
        <f t="array" aca="1" ref="I223" ca="1">MMS_Swine_N2ODirect_Equations.VEERG_4_5_1_3__6_Stage2NitrogenInMMS(H$165,I193)</f>
        <v>23.231519999999993</v>
      </c>
      <c r="J223" s="16"/>
      <c r="N223" s="111"/>
      <c r="O223" s="111" t="str">
        <f>INDEX(X_Table_Swine_Stage2MMS_From_Drylot,4,1)</f>
        <v>Deep litter</v>
      </c>
      <c r="P223" s="15" cm="1">
        <f t="array" aca="1" ref="P223" ca="1">MMS_Swine_N2ODirect_Equations.VEERG_4_5_1_3__6_Stage2NitrogenInMMS(O$165,F193)</f>
        <v>27.401279999999993</v>
      </c>
      <c r="Q223" s="15" cm="1">
        <f t="array" aca="1" ref="Q223" ca="1">MMS_Swine_N2ODirect_Equations.VEERG_4_5_1_3__6_Stage2NitrogenInMMS(P$165,G193)</f>
        <v>36.485400000000006</v>
      </c>
      <c r="R223" s="15" cm="1">
        <f t="array" aca="1" ref="R223" ca="1">MMS_Swine_N2ODirect_Equations.VEERG_4_5_1_3__6_Stage2NitrogenInMMS(Q$165,H193)</f>
        <v>34.251599999999989</v>
      </c>
      <c r="S223" s="15" cm="1">
        <f t="array" aca="1" ref="S223" ca="1">MMS_Swine_N2ODirect_Equations.VEERG_4_5_1_3__6_Stage2NitrogenInMMS(R$165,I193)</f>
        <v>23.231519999999993</v>
      </c>
      <c r="T223" s="16"/>
    </row>
    <row r="224" spans="1:20" ht="20.100000000000001" customHeight="1" x14ac:dyDescent="0.2">
      <c r="D224" s="111"/>
      <c r="E224" s="111" t="str">
        <f>INDEX(X_Table_Swine_Stage2MMS_From_Drylot,5,1)</f>
        <v>Pit storage</v>
      </c>
      <c r="F224" s="15" cm="1">
        <f t="array" aca="1" ref="F224" ca="1">MMS_Swine_N2ODirect_Equations.VEERG_4_5_1_3__6_Stage2NitrogenInMMS(E$165,F194)</f>
        <v>27.401279999999993</v>
      </c>
      <c r="G224" s="15" cm="1">
        <f t="array" aca="1" ref="G224" ca="1">MMS_Swine_N2ODirect_Equations.VEERG_4_5_1_3__6_Stage2NitrogenInMMS(F$165,G194)</f>
        <v>36.485400000000006</v>
      </c>
      <c r="H224" s="15" cm="1">
        <f t="array" aca="1" ref="H224" ca="1">MMS_Swine_N2ODirect_Equations.VEERG_4_5_1_3__6_Stage2NitrogenInMMS(G$165,H194)</f>
        <v>34.251599999999989</v>
      </c>
      <c r="I224" s="15" cm="1">
        <f t="array" aca="1" ref="I224" ca="1">MMS_Swine_N2ODirect_Equations.VEERG_4_5_1_3__6_Stage2NitrogenInMMS(H$165,I194)</f>
        <v>23.231519999999993</v>
      </c>
      <c r="J224" s="16"/>
      <c r="N224" s="111"/>
      <c r="O224" s="111" t="str">
        <f>INDEX(X_Table_Swine_Stage2MMS_From_Drylot,5,1)</f>
        <v>Pit storage</v>
      </c>
      <c r="P224" s="15" cm="1">
        <f t="array" aca="1" ref="P224" ca="1">MMS_Swine_N2ODirect_Equations.VEERG_4_5_1_3__6_Stage2NitrogenInMMS(O$165,F194)</f>
        <v>27.401279999999993</v>
      </c>
      <c r="Q224" s="15" cm="1">
        <f t="array" aca="1" ref="Q224" ca="1">MMS_Swine_N2ODirect_Equations.VEERG_4_5_1_3__6_Stage2NitrogenInMMS(P$165,G194)</f>
        <v>36.485400000000006</v>
      </c>
      <c r="R224" s="15" cm="1">
        <f t="array" aca="1" ref="R224" ca="1">MMS_Swine_N2ODirect_Equations.VEERG_4_5_1_3__6_Stage2NitrogenInMMS(Q$165,H194)</f>
        <v>34.251599999999989</v>
      </c>
      <c r="S224" s="15" cm="1">
        <f t="array" aca="1" ref="S224" ca="1">MMS_Swine_N2ODirect_Equations.VEERG_4_5_1_3__6_Stage2NitrogenInMMS(R$165,I194)</f>
        <v>23.231519999999993</v>
      </c>
      <c r="T224" s="16"/>
    </row>
    <row r="225" spans="4:20" ht="20.100000000000001" customHeight="1" x14ac:dyDescent="0.2">
      <c r="D225" s="111"/>
      <c r="E225" s="111" t="str">
        <f>INDEX(X_Table_Swine_Stage2MMS_From_Drylot,6,1)</f>
        <v>Direct application</v>
      </c>
      <c r="F225" s="15" cm="1">
        <f t="array" aca="1" ref="F225" ca="1">MMS_Swine_N2ODirect_Equations.VEERG_4_5_1_3__6_Stage2NitrogenInMMS(E$165,F195)</f>
        <v>27.401279999999986</v>
      </c>
      <c r="G225" s="15" cm="1">
        <f t="array" aca="1" ref="G225" ca="1">MMS_Swine_N2ODirect_Equations.VEERG_4_5_1_3__6_Stage2NitrogenInMMS(F$165,G195)</f>
        <v>0</v>
      </c>
      <c r="H225" s="15" cm="1">
        <f t="array" aca="1" ref="H225" ca="1">MMS_Swine_N2ODirect_Equations.VEERG_4_5_1_3__6_Stage2NitrogenInMMS(G$165,H195)</f>
        <v>0</v>
      </c>
      <c r="I225" s="15" cm="1">
        <f t="array" aca="1" ref="I225" ca="1">MMS_Swine_N2ODirect_Equations.VEERG_4_5_1_3__6_Stage2NitrogenInMMS(H$165,I195)</f>
        <v>0</v>
      </c>
      <c r="J225" s="16"/>
      <c r="N225" s="111"/>
      <c r="O225" s="111" t="str">
        <f>INDEX(X_Table_Swine_Stage2MMS_From_Drylot,6,1)</f>
        <v>Direct application</v>
      </c>
      <c r="P225" s="15" cm="1">
        <f t="array" aca="1" ref="P225" ca="1">MMS_Swine_N2ODirect_Equations.VEERG_4_5_1_3__6_Stage2NitrogenInMMS(O$165,F195)</f>
        <v>27.401279999999986</v>
      </c>
      <c r="Q225" s="15" cm="1">
        <f t="array" aca="1" ref="Q225" ca="1">MMS_Swine_N2ODirect_Equations.VEERG_4_5_1_3__6_Stage2NitrogenInMMS(P$165,G195)</f>
        <v>0</v>
      </c>
      <c r="R225" s="15" cm="1">
        <f t="array" aca="1" ref="R225" ca="1">MMS_Swine_N2ODirect_Equations.VEERG_4_5_1_3__6_Stage2NitrogenInMMS(Q$165,H195)</f>
        <v>0</v>
      </c>
      <c r="S225" s="15" cm="1">
        <f t="array" aca="1" ref="S225" ca="1">MMS_Swine_N2ODirect_Equations.VEERG_4_5_1_3__6_Stage2NitrogenInMMS(R$165,I195)</f>
        <v>0</v>
      </c>
      <c r="T225" s="16"/>
    </row>
    <row r="226" spans="4:20" ht="20.100000000000001" customHeight="1" x14ac:dyDescent="0.2">
      <c r="D226" s="111" t="str">
        <f>INDEX(X_Table_Swine_Stage1MMS_DigesterCoveredLagoons,2,1)</f>
        <v>Digester / covered lagoons</v>
      </c>
      <c r="E226" s="111" t="str">
        <f>INDEX(X_Table_Swine_Stage2MMS_From_DigesterCoveredLagoons,2,1)</f>
        <v>Anaerobic lagoon</v>
      </c>
      <c r="F226" s="15" cm="1">
        <f t="array" aca="1" ref="F226" ca="1">MMS_Swine_N2ODirect_Equations.VEERG_4_5_1_3__6_Stage2NitrogenInMMS(E$166,F196)</f>
        <v>40.295999999999992</v>
      </c>
      <c r="G226" s="15" cm="1">
        <f t="array" aca="1" ref="G226" ca="1">MMS_Swine_N2ODirect_Equations.VEERG_4_5_1_3__6_Stage2NitrogenInMMS(F$166,G196)</f>
        <v>53.655000000000008</v>
      </c>
      <c r="H226" s="15" cm="1">
        <f t="array" aca="1" ref="H226" ca="1">MMS_Swine_N2ODirect_Equations.VEERG_4_5_1_3__6_Stage2NitrogenInMMS(G$166,H196)</f>
        <v>50.36999999999999</v>
      </c>
      <c r="I226" s="15" cm="1">
        <f t="array" aca="1" ref="I226" ca="1">MMS_Swine_N2ODirect_Equations.VEERG_4_5_1_3__6_Stage2NitrogenInMMS(H$166,I196)</f>
        <v>34.163999999999994</v>
      </c>
      <c r="J226" s="16"/>
      <c r="N226" s="111" t="str">
        <f>INDEX(X_Table_Swine_Stage1MMS_DigesterCoveredLagoons,2,1)</f>
        <v>Digester / covered lagoons</v>
      </c>
      <c r="O226" s="111" t="str">
        <f>INDEX(X_Table_Swine_Stage2MMS_From_DigesterCoveredLagoons,2,1)</f>
        <v>Anaerobic lagoon</v>
      </c>
      <c r="P226" s="15" cm="1">
        <f t="array" aca="1" ref="P226" ca="1">MMS_Swine_N2ODirect_Equations.VEERG_4_5_1_3__6_Stage2NitrogenInMMS(O$166,F196)</f>
        <v>40.295999999999992</v>
      </c>
      <c r="Q226" s="15" cm="1">
        <f t="array" aca="1" ref="Q226" ca="1">MMS_Swine_N2ODirect_Equations.VEERG_4_5_1_3__6_Stage2NitrogenInMMS(P$166,G196)</f>
        <v>53.655000000000008</v>
      </c>
      <c r="R226" s="15" cm="1">
        <f t="array" aca="1" ref="R226" ca="1">MMS_Swine_N2ODirect_Equations.VEERG_4_5_1_3__6_Stage2NitrogenInMMS(Q$166,H196)</f>
        <v>50.36999999999999</v>
      </c>
      <c r="S226" s="15" cm="1">
        <f t="array" aca="1" ref="S226" ca="1">MMS_Swine_N2ODirect_Equations.VEERG_4_5_1_3__6_Stage2NitrogenInMMS(R$166,I196)</f>
        <v>34.163999999999994</v>
      </c>
      <c r="T226" s="16"/>
    </row>
    <row r="227" spans="4:20" ht="20.100000000000001" customHeight="1" x14ac:dyDescent="0.2">
      <c r="D227" s="111"/>
      <c r="E227" s="111" t="str">
        <f>INDEX(X_Table_Swine_Stage2MMS_From_DigesterCoveredLagoons,3,1)</f>
        <v>Deep litter</v>
      </c>
      <c r="F227" s="15" cm="1">
        <f t="array" aca="1" ref="F227" ca="1">MMS_Swine_N2ODirect_Equations.VEERG_4_5_1_3__6_Stage2NitrogenInMMS(E$166,F197)</f>
        <v>40.295999999999992</v>
      </c>
      <c r="G227" s="15" cm="1">
        <f t="array" aca="1" ref="G227" ca="1">MMS_Swine_N2ODirect_Equations.VEERG_4_5_1_3__6_Stage2NitrogenInMMS(F$166,G197)</f>
        <v>53.655000000000008</v>
      </c>
      <c r="H227" s="15" cm="1">
        <f t="array" aca="1" ref="H227" ca="1">MMS_Swine_N2ODirect_Equations.VEERG_4_5_1_3__6_Stage2NitrogenInMMS(G$166,H197)</f>
        <v>50.36999999999999</v>
      </c>
      <c r="I227" s="15" cm="1">
        <f t="array" aca="1" ref="I227" ca="1">MMS_Swine_N2ODirect_Equations.VEERG_4_5_1_3__6_Stage2NitrogenInMMS(H$166,I197)</f>
        <v>34.163999999999994</v>
      </c>
      <c r="J227" s="16"/>
      <c r="N227" s="111"/>
      <c r="O227" s="111" t="str">
        <f>INDEX(X_Table_Swine_Stage2MMS_From_DigesterCoveredLagoons,3,1)</f>
        <v>Deep litter</v>
      </c>
      <c r="P227" s="15" cm="1">
        <f t="array" aca="1" ref="P227" ca="1">MMS_Swine_N2ODirect_Equations.VEERG_4_5_1_3__6_Stage2NitrogenInMMS(O$166,F197)</f>
        <v>40.295999999999992</v>
      </c>
      <c r="Q227" s="15" cm="1">
        <f t="array" aca="1" ref="Q227" ca="1">MMS_Swine_N2ODirect_Equations.VEERG_4_5_1_3__6_Stage2NitrogenInMMS(P$166,G197)</f>
        <v>53.655000000000008</v>
      </c>
      <c r="R227" s="15" cm="1">
        <f t="array" aca="1" ref="R227" ca="1">MMS_Swine_N2ODirect_Equations.VEERG_4_5_1_3__6_Stage2NitrogenInMMS(Q$166,H197)</f>
        <v>50.36999999999999</v>
      </c>
      <c r="S227" s="15" cm="1">
        <f t="array" aca="1" ref="S227" ca="1">MMS_Swine_N2ODirect_Equations.VEERG_4_5_1_3__6_Stage2NitrogenInMMS(R$166,I197)</f>
        <v>34.163999999999994</v>
      </c>
      <c r="T227" s="16"/>
    </row>
    <row r="228" spans="4:20" ht="20.100000000000001" customHeight="1" x14ac:dyDescent="0.2">
      <c r="D228" s="111"/>
      <c r="E228" s="111" t="str">
        <f>INDEX(X_Table_Swine_Stage2MMS_From_DigesterCoveredLagoons,4,1)</f>
        <v>Pit storage</v>
      </c>
      <c r="F228" s="15" cm="1">
        <f t="array" aca="1" ref="F228" ca="1">MMS_Swine_N2ODirect_Equations.VEERG_4_5_1_3__6_Stage2NitrogenInMMS(E$166,F198)</f>
        <v>40.295999999999992</v>
      </c>
      <c r="G228" s="15" cm="1">
        <f t="array" aca="1" ref="G228" ca="1">MMS_Swine_N2ODirect_Equations.VEERG_4_5_1_3__6_Stage2NitrogenInMMS(F$166,G198)</f>
        <v>53.655000000000008</v>
      </c>
      <c r="H228" s="15" cm="1">
        <f t="array" aca="1" ref="H228" ca="1">MMS_Swine_N2ODirect_Equations.VEERG_4_5_1_3__6_Stage2NitrogenInMMS(G$166,H198)</f>
        <v>50.36999999999999</v>
      </c>
      <c r="I228" s="15" cm="1">
        <f t="array" aca="1" ref="I228" ca="1">MMS_Swine_N2ODirect_Equations.VEERG_4_5_1_3__6_Stage2NitrogenInMMS(H$166,I198)</f>
        <v>34.163999999999994</v>
      </c>
      <c r="J228" s="16"/>
      <c r="N228" s="111"/>
      <c r="O228" s="111" t="str">
        <f>INDEX(X_Table_Swine_Stage2MMS_From_DigesterCoveredLagoons,4,1)</f>
        <v>Pit storage</v>
      </c>
      <c r="P228" s="15" cm="1">
        <f t="array" aca="1" ref="P228" ca="1">MMS_Swine_N2ODirect_Equations.VEERG_4_5_1_3__6_Stage2NitrogenInMMS(O$166,F198)</f>
        <v>40.295999999999992</v>
      </c>
      <c r="Q228" s="15" cm="1">
        <f t="array" aca="1" ref="Q228" ca="1">MMS_Swine_N2ODirect_Equations.VEERG_4_5_1_3__6_Stage2NitrogenInMMS(P$166,G198)</f>
        <v>53.655000000000008</v>
      </c>
      <c r="R228" s="15" cm="1">
        <f t="array" aca="1" ref="R228" ca="1">MMS_Swine_N2ODirect_Equations.VEERG_4_5_1_3__6_Stage2NitrogenInMMS(Q$166,H198)</f>
        <v>50.36999999999999</v>
      </c>
      <c r="S228" s="15" cm="1">
        <f t="array" aca="1" ref="S228" ca="1">MMS_Swine_N2ODirect_Equations.VEERG_4_5_1_3__6_Stage2NitrogenInMMS(R$166,I198)</f>
        <v>34.163999999999994</v>
      </c>
      <c r="T228" s="16"/>
    </row>
    <row r="229" spans="4:20" ht="20.100000000000001" customHeight="1" x14ac:dyDescent="0.2">
      <c r="D229" s="111"/>
      <c r="E229" s="111" t="str">
        <f>INDEX(X_Table_Swine_Stage2MMS_From_DigesterCoveredLagoons,5,1)</f>
        <v>Direct application</v>
      </c>
      <c r="F229" s="15" cm="1">
        <f t="array" aca="1" ref="F229" ca="1">MMS_Swine_N2ODirect_Equations.VEERG_4_5_1_3__6_Stage2NitrogenInMMS(E$166,F199)</f>
        <v>80.59199999999997</v>
      </c>
      <c r="G229" s="15" cm="1">
        <f t="array" aca="1" ref="G229" ca="1">MMS_Swine_N2ODirect_Equations.VEERG_4_5_1_3__6_Stage2NitrogenInMMS(F$166,G199)</f>
        <v>53.655000000000008</v>
      </c>
      <c r="H229" s="15" cm="1">
        <f t="array" aca="1" ref="H229" ca="1">MMS_Swine_N2ODirect_Equations.VEERG_4_5_1_3__6_Stage2NitrogenInMMS(G$166,H199)</f>
        <v>50.36999999999999</v>
      </c>
      <c r="I229" s="15" cm="1">
        <f t="array" aca="1" ref="I229" ca="1">MMS_Swine_N2ODirect_Equations.VEERG_4_5_1_3__6_Stage2NitrogenInMMS(H$166,I199)</f>
        <v>34.163999999999994</v>
      </c>
      <c r="J229" s="16"/>
      <c r="N229" s="111"/>
      <c r="O229" s="111" t="str">
        <f>INDEX(X_Table_Swine_Stage2MMS_From_DigesterCoveredLagoons,5,1)</f>
        <v>Direct application</v>
      </c>
      <c r="P229" s="15" cm="1">
        <f t="array" aca="1" ref="P229" ca="1">MMS_Swine_N2ODirect_Equations.VEERG_4_5_1_3__6_Stage2NitrogenInMMS(O$166,F199)</f>
        <v>80.59199999999997</v>
      </c>
      <c r="Q229" s="15" cm="1">
        <f t="array" aca="1" ref="Q229" ca="1">MMS_Swine_N2ODirect_Equations.VEERG_4_5_1_3__6_Stage2NitrogenInMMS(P$166,G199)</f>
        <v>53.655000000000008</v>
      </c>
      <c r="R229" s="15" cm="1">
        <f t="array" aca="1" ref="R229" ca="1">MMS_Swine_N2ODirect_Equations.VEERG_4_5_1_3__6_Stage2NitrogenInMMS(Q$166,H199)</f>
        <v>50.36999999999999</v>
      </c>
      <c r="S229" s="15" cm="1">
        <f t="array" aca="1" ref="S229" ca="1">MMS_Swine_N2ODirect_Equations.VEERG_4_5_1_3__6_Stage2NitrogenInMMS(R$166,I199)</f>
        <v>34.163999999999994</v>
      </c>
      <c r="T229" s="16"/>
    </row>
    <row r="230" spans="4:20" ht="20.100000000000001" customHeight="1" x14ac:dyDescent="0.2">
      <c r="D230" s="111" t="str">
        <f>INDEX(X_Table_Swine_Stage1MMS_DeepLitter,2,1)</f>
        <v>Deep litter</v>
      </c>
      <c r="E230" s="111" t="str">
        <f>INDEX(X_Table_Swine_Stage2MMS_From_DeepLitter,2,1)</f>
        <v>Anaerobic lagoon</v>
      </c>
      <c r="F230" s="15" cm="1">
        <f t="array" aca="1" ref="F230" ca="1">MMS_Swine_N2ODirect_Equations.VEERG_4_5_1_3__6_Stage2NitrogenInMMS(E$167,F200)</f>
        <v>34.856039999999993</v>
      </c>
      <c r="G230" s="15" cm="1">
        <f t="array" aca="1" ref="G230" ca="1">MMS_Swine_N2ODirect_Equations.VEERG_4_5_1_3__6_Stage2NitrogenInMMS(F$167,G200)</f>
        <v>46.411575000000006</v>
      </c>
      <c r="H230" s="15" cm="1">
        <f t="array" aca="1" ref="H230" ca="1">MMS_Swine_N2ODirect_Equations.VEERG_4_5_1_3__6_Stage2NitrogenInMMS(G$167,H200)</f>
        <v>43.570049999999988</v>
      </c>
      <c r="I230" s="15" cm="1">
        <f t="array" aca="1" ref="I230" ca="1">MMS_Swine_N2ODirect_Equations.VEERG_4_5_1_3__6_Stage2NitrogenInMMS(H$167,I200)</f>
        <v>29.551859999999994</v>
      </c>
      <c r="J230" s="16"/>
      <c r="N230" s="111" t="str">
        <f>INDEX(X_Table_Swine_Stage1MMS_DeepLitter,2,1)</f>
        <v>Deep litter</v>
      </c>
      <c r="O230" s="111" t="str">
        <f>INDEX(X_Table_Swine_Stage2MMS_From_DeepLitter,2,1)</f>
        <v>Anaerobic lagoon</v>
      </c>
      <c r="P230" s="15" cm="1">
        <f t="array" aca="1" ref="P230" ca="1">MMS_Swine_N2ODirect_Equations.VEERG_4_5_1_3__6_Stage2NitrogenInMMS(O$167,F200)</f>
        <v>34.856039999999993</v>
      </c>
      <c r="Q230" s="15" cm="1">
        <f t="array" aca="1" ref="Q230" ca="1">MMS_Swine_N2ODirect_Equations.VEERG_4_5_1_3__6_Stage2NitrogenInMMS(P$167,G200)</f>
        <v>46.411575000000006</v>
      </c>
      <c r="R230" s="15" cm="1">
        <f t="array" aca="1" ref="R230" ca="1">MMS_Swine_N2ODirect_Equations.VEERG_4_5_1_3__6_Stage2NitrogenInMMS(Q$167,H200)</f>
        <v>43.570049999999988</v>
      </c>
      <c r="S230" s="15" cm="1">
        <f t="array" aca="1" ref="S230" ca="1">MMS_Swine_N2ODirect_Equations.VEERG_4_5_1_3__6_Stage2NitrogenInMMS(R$167,I200)</f>
        <v>29.551859999999994</v>
      </c>
      <c r="T230" s="16"/>
    </row>
    <row r="231" spans="4:20" ht="20.100000000000001" customHeight="1" x14ac:dyDescent="0.2">
      <c r="D231" s="111"/>
      <c r="E231" s="111" t="str">
        <f>INDEX(X_Table_Swine_Stage2MMS_From_DeepLitter,3,1)</f>
        <v>Digester / covered lagoons</v>
      </c>
      <c r="F231" s="15" cm="1">
        <f t="array" aca="1" ref="F231" ca="1">MMS_Swine_N2ODirect_Equations.VEERG_4_5_1_3__6_Stage2NitrogenInMMS(E$167,F201)</f>
        <v>34.856039999999993</v>
      </c>
      <c r="G231" s="15" cm="1">
        <f t="array" aca="1" ref="G231" ca="1">MMS_Swine_N2ODirect_Equations.VEERG_4_5_1_3__6_Stage2NitrogenInMMS(F$167,G201)</f>
        <v>46.411575000000006</v>
      </c>
      <c r="H231" s="15" cm="1">
        <f t="array" aca="1" ref="H231" ca="1">MMS_Swine_N2ODirect_Equations.VEERG_4_5_1_3__6_Stage2NitrogenInMMS(G$167,H201)</f>
        <v>43.570049999999988</v>
      </c>
      <c r="I231" s="15" cm="1">
        <f t="array" aca="1" ref="I231" ca="1">MMS_Swine_N2ODirect_Equations.VEERG_4_5_1_3__6_Stage2NitrogenInMMS(H$167,I201)</f>
        <v>29.551859999999994</v>
      </c>
      <c r="J231" s="16"/>
      <c r="N231" s="111"/>
      <c r="O231" s="111" t="str">
        <f>INDEX(X_Table_Swine_Stage2MMS_From_DeepLitter,3,1)</f>
        <v>Digester / covered lagoons</v>
      </c>
      <c r="P231" s="15" cm="1">
        <f t="array" aca="1" ref="P231" ca="1">MMS_Swine_N2ODirect_Equations.VEERG_4_5_1_3__6_Stage2NitrogenInMMS(O$167,F201)</f>
        <v>34.856039999999993</v>
      </c>
      <c r="Q231" s="15" cm="1">
        <f t="array" aca="1" ref="Q231" ca="1">MMS_Swine_N2ODirect_Equations.VEERG_4_5_1_3__6_Stage2NitrogenInMMS(P$167,G201)</f>
        <v>46.411575000000006</v>
      </c>
      <c r="R231" s="15" cm="1">
        <f t="array" aca="1" ref="R231" ca="1">MMS_Swine_N2ODirect_Equations.VEERG_4_5_1_3__6_Stage2NitrogenInMMS(Q$167,H201)</f>
        <v>43.570049999999988</v>
      </c>
      <c r="S231" s="15" cm="1">
        <f t="array" aca="1" ref="S231" ca="1">MMS_Swine_N2ODirect_Equations.VEERG_4_5_1_3__6_Stage2NitrogenInMMS(R$167,I201)</f>
        <v>29.551859999999994</v>
      </c>
      <c r="T231" s="16"/>
    </row>
    <row r="232" spans="4:20" ht="20.100000000000001" customHeight="1" x14ac:dyDescent="0.2">
      <c r="D232" s="111"/>
      <c r="E232" s="111" t="str">
        <f>INDEX(X_Table_Swine_Stage2MMS_From_DeepLitter,4,1)</f>
        <v>Pit storage</v>
      </c>
      <c r="F232" s="15" cm="1">
        <f t="array" aca="1" ref="F232" ca="1">MMS_Swine_N2ODirect_Equations.VEERG_4_5_1_3__6_Stage2NitrogenInMMS(E$167,F202)</f>
        <v>34.856039999999993</v>
      </c>
      <c r="G232" s="15" cm="1">
        <f t="array" aca="1" ref="G232" ca="1">MMS_Swine_N2ODirect_Equations.VEERG_4_5_1_3__6_Stage2NitrogenInMMS(F$167,G202)</f>
        <v>46.411575000000006</v>
      </c>
      <c r="H232" s="15" cm="1">
        <f t="array" aca="1" ref="H232" ca="1">MMS_Swine_N2ODirect_Equations.VEERG_4_5_1_3__6_Stage2NitrogenInMMS(G$167,H202)</f>
        <v>43.570049999999988</v>
      </c>
      <c r="I232" s="15" cm="1">
        <f t="array" aca="1" ref="I232" ca="1">MMS_Swine_N2ODirect_Equations.VEERG_4_5_1_3__6_Stage2NitrogenInMMS(H$167,I202)</f>
        <v>29.551859999999994</v>
      </c>
      <c r="J232" s="16"/>
      <c r="N232" s="111"/>
      <c r="O232" s="111" t="str">
        <f>INDEX(X_Table_Swine_Stage2MMS_From_DeepLitter,4,1)</f>
        <v>Pit storage</v>
      </c>
      <c r="P232" s="15" cm="1">
        <f t="array" aca="1" ref="P232" ca="1">MMS_Swine_N2ODirect_Equations.VEERG_4_5_1_3__6_Stage2NitrogenInMMS(O$167,F202)</f>
        <v>34.856039999999993</v>
      </c>
      <c r="Q232" s="15" cm="1">
        <f t="array" aca="1" ref="Q232" ca="1">MMS_Swine_N2ODirect_Equations.VEERG_4_5_1_3__6_Stage2NitrogenInMMS(P$167,G202)</f>
        <v>46.411575000000006</v>
      </c>
      <c r="R232" s="15" cm="1">
        <f t="array" aca="1" ref="R232" ca="1">MMS_Swine_N2ODirect_Equations.VEERG_4_5_1_3__6_Stage2NitrogenInMMS(Q$167,H202)</f>
        <v>43.570049999999988</v>
      </c>
      <c r="S232" s="15" cm="1">
        <f t="array" aca="1" ref="S232" ca="1">MMS_Swine_N2ODirect_Equations.VEERG_4_5_1_3__6_Stage2NitrogenInMMS(R$167,I202)</f>
        <v>29.551859999999994</v>
      </c>
      <c r="T232" s="16"/>
    </row>
    <row r="233" spans="4:20" ht="20.100000000000001" customHeight="1" x14ac:dyDescent="0.2">
      <c r="D233" s="111"/>
      <c r="E233" s="111" t="str">
        <f>INDEX(X_Table_Swine_Stage2MMS_From_DeepLitter,5,1)</f>
        <v>Direct application</v>
      </c>
      <c r="F233" s="15" cm="1">
        <f t="array" aca="1" ref="F233" ca="1">MMS_Swine_N2ODirect_Equations.VEERG_4_5_1_3__6_Stage2NitrogenInMMS(E$167,F203)</f>
        <v>69.712079999999972</v>
      </c>
      <c r="G233" s="15" cm="1">
        <f t="array" aca="1" ref="G233" ca="1">MMS_Swine_N2ODirect_Equations.VEERG_4_5_1_3__6_Stage2NitrogenInMMS(F$167,G203)</f>
        <v>46.411575000000006</v>
      </c>
      <c r="H233" s="15" cm="1">
        <f t="array" aca="1" ref="H233" ca="1">MMS_Swine_N2ODirect_Equations.VEERG_4_5_1_3__6_Stage2NitrogenInMMS(G$167,H203)</f>
        <v>43.570049999999988</v>
      </c>
      <c r="I233" s="15" cm="1">
        <f t="array" aca="1" ref="I233" ca="1">MMS_Swine_N2ODirect_Equations.VEERG_4_5_1_3__6_Stage2NitrogenInMMS(H$167,I203)</f>
        <v>29.551859999999994</v>
      </c>
      <c r="J233" s="16"/>
      <c r="N233" s="111"/>
      <c r="O233" s="111" t="str">
        <f>INDEX(X_Table_Swine_Stage2MMS_From_DeepLitter,5,1)</f>
        <v>Direct application</v>
      </c>
      <c r="P233" s="15" cm="1">
        <f t="array" aca="1" ref="P233" ca="1">MMS_Swine_N2ODirect_Equations.VEERG_4_5_1_3__6_Stage2NitrogenInMMS(O$167,F203)</f>
        <v>69.712079999999972</v>
      </c>
      <c r="Q233" s="15" cm="1">
        <f t="array" aca="1" ref="Q233" ca="1">MMS_Swine_N2ODirect_Equations.VEERG_4_5_1_3__6_Stage2NitrogenInMMS(P$167,G203)</f>
        <v>46.411575000000006</v>
      </c>
      <c r="R233" s="15" cm="1">
        <f t="array" aca="1" ref="R233" ca="1">MMS_Swine_N2ODirect_Equations.VEERG_4_5_1_3__6_Stage2NitrogenInMMS(Q$167,H203)</f>
        <v>43.570049999999988</v>
      </c>
      <c r="S233" s="15" cm="1">
        <f t="array" aca="1" ref="S233" ca="1">MMS_Swine_N2ODirect_Equations.VEERG_4_5_1_3__6_Stage2NitrogenInMMS(R$167,I203)</f>
        <v>29.551859999999994</v>
      </c>
      <c r="T233" s="16"/>
    </row>
    <row r="234" spans="4:20" ht="20.100000000000001" customHeight="1" x14ac:dyDescent="0.2">
      <c r="D234" s="111" t="str">
        <f>INDEX(X_Table_Swine_Stage1MMS_PitStorage,2,1)</f>
        <v>Pit storage</v>
      </c>
      <c r="E234" s="111" t="str">
        <f>INDEX(X_Table_Swine_Stage2MMS_From_PitStorage,2,1)</f>
        <v>Anaerobic lagoon</v>
      </c>
      <c r="F234" s="15" cm="1">
        <f t="array" aca="1" ref="F234" ca="1">MMS_Swine_N2ODirect_Equations.VEERG_4_5_1_3__6_Stage2NitrogenInMMS(E$168,F204)</f>
        <v>30.141407999999998</v>
      </c>
      <c r="G234" s="15" cm="1">
        <f t="array" aca="1" ref="G234" ca="1">MMS_Swine_N2ODirect_Equations.VEERG_4_5_1_3__6_Stage2NitrogenInMMS(F$168,G204)</f>
        <v>40.133940000000003</v>
      </c>
      <c r="H234" s="15" cm="1">
        <f t="array" aca="1" ref="H234" ca="1">MMS_Swine_N2ODirect_Equations.VEERG_4_5_1_3__6_Stage2NitrogenInMMS(G$168,H204)</f>
        <v>37.676759999999994</v>
      </c>
      <c r="I234" s="15" cm="1">
        <f t="array" aca="1" ref="I234" ca="1">MMS_Swine_N2ODirect_Equations.VEERG_4_5_1_3__6_Stage2NitrogenInMMS(H$168,I204)</f>
        <v>25.554671999999997</v>
      </c>
      <c r="J234" s="16"/>
      <c r="N234" s="111" t="str">
        <f>INDEX(X_Table_Swine_Stage1MMS_PitStorage,2,1)</f>
        <v>Pit storage</v>
      </c>
      <c r="O234" s="111" t="str">
        <f>INDEX(X_Table_Swine_Stage2MMS_From_PitStorage,2,1)</f>
        <v>Anaerobic lagoon</v>
      </c>
      <c r="P234" s="15" cm="1">
        <f t="array" aca="1" ref="P234" ca="1">MMS_Swine_N2ODirect_Equations.VEERG_4_5_1_3__6_Stage2NitrogenInMMS(O$168,F204)</f>
        <v>30.141407999999998</v>
      </c>
      <c r="Q234" s="15" cm="1">
        <f t="array" aca="1" ref="Q234" ca="1">MMS_Swine_N2ODirect_Equations.VEERG_4_5_1_3__6_Stage2NitrogenInMMS(P$168,G204)</f>
        <v>40.133940000000003</v>
      </c>
      <c r="R234" s="15" cm="1">
        <f t="array" aca="1" ref="R234" ca="1">MMS_Swine_N2ODirect_Equations.VEERG_4_5_1_3__6_Stage2NitrogenInMMS(Q$168,H204)</f>
        <v>37.676759999999994</v>
      </c>
      <c r="S234" s="15" cm="1">
        <f t="array" aca="1" ref="S234" ca="1">MMS_Swine_N2ODirect_Equations.VEERG_4_5_1_3__6_Stage2NitrogenInMMS(R$168,I204)</f>
        <v>25.554671999999997</v>
      </c>
      <c r="T234" s="16"/>
    </row>
    <row r="235" spans="4:20" ht="20.100000000000001" customHeight="1" x14ac:dyDescent="0.2">
      <c r="D235" s="111"/>
      <c r="E235" s="111" t="str">
        <f>INDEX(X_Table_Swine_Stage2MMS_From_PitStorage,3,1)</f>
        <v>Digester / covered lagoons</v>
      </c>
      <c r="F235" s="15" cm="1">
        <f t="array" aca="1" ref="F235" ca="1">MMS_Swine_N2ODirect_Equations.VEERG_4_5_1_3__6_Stage2NitrogenInMMS(E$168,F205)</f>
        <v>30.141407999999998</v>
      </c>
      <c r="G235" s="15" cm="1">
        <f t="array" aca="1" ref="G235" ca="1">MMS_Swine_N2ODirect_Equations.VEERG_4_5_1_3__6_Stage2NitrogenInMMS(F$168,G205)</f>
        <v>40.133940000000003</v>
      </c>
      <c r="H235" s="15" cm="1">
        <f t="array" aca="1" ref="H235" ca="1">MMS_Swine_N2ODirect_Equations.VEERG_4_5_1_3__6_Stage2NitrogenInMMS(G$168,H205)</f>
        <v>37.676759999999994</v>
      </c>
      <c r="I235" s="15" cm="1">
        <f t="array" aca="1" ref="I235" ca="1">MMS_Swine_N2ODirect_Equations.VEERG_4_5_1_3__6_Stage2NitrogenInMMS(H$168,I205)</f>
        <v>25.554671999999997</v>
      </c>
      <c r="J235" s="16"/>
      <c r="N235" s="111"/>
      <c r="O235" s="111" t="str">
        <f>INDEX(X_Table_Swine_Stage2MMS_From_PitStorage,3,1)</f>
        <v>Digester / covered lagoons</v>
      </c>
      <c r="P235" s="15" cm="1">
        <f t="array" aca="1" ref="P235" ca="1">MMS_Swine_N2ODirect_Equations.VEERG_4_5_1_3__6_Stage2NitrogenInMMS(O$168,F205)</f>
        <v>30.141407999999998</v>
      </c>
      <c r="Q235" s="15" cm="1">
        <f t="array" aca="1" ref="Q235" ca="1">MMS_Swine_N2ODirect_Equations.VEERG_4_5_1_3__6_Stage2NitrogenInMMS(P$168,G205)</f>
        <v>40.133940000000003</v>
      </c>
      <c r="R235" s="15" cm="1">
        <f t="array" aca="1" ref="R235" ca="1">MMS_Swine_N2ODirect_Equations.VEERG_4_5_1_3__6_Stage2NitrogenInMMS(Q$168,H205)</f>
        <v>37.676759999999994</v>
      </c>
      <c r="S235" s="15" cm="1">
        <f t="array" aca="1" ref="S235" ca="1">MMS_Swine_N2ODirect_Equations.VEERG_4_5_1_3__6_Stage2NitrogenInMMS(R$168,I205)</f>
        <v>25.554671999999997</v>
      </c>
      <c r="T235" s="16"/>
    </row>
    <row r="236" spans="4:20" ht="20.100000000000001" customHeight="1" x14ac:dyDescent="0.2">
      <c r="D236" s="111"/>
      <c r="E236" s="111" t="str">
        <f>INDEX(X_Table_Swine_Stage2MMS_From_PitStorage,4,1)</f>
        <v>Deep litter</v>
      </c>
      <c r="F236" s="15" cm="1">
        <f t="array" aca="1" ref="F236" ca="1">MMS_Swine_N2ODirect_Equations.VEERG_4_5_1_3__6_Stage2NitrogenInMMS(E$168,F206)</f>
        <v>30.141407999999998</v>
      </c>
      <c r="G236" s="15" cm="1">
        <f t="array" aca="1" ref="G236" ca="1">MMS_Swine_N2ODirect_Equations.VEERG_4_5_1_3__6_Stage2NitrogenInMMS(F$168,G206)</f>
        <v>40.133940000000003</v>
      </c>
      <c r="H236" s="15" cm="1">
        <f t="array" aca="1" ref="H236" ca="1">MMS_Swine_N2ODirect_Equations.VEERG_4_5_1_3__6_Stage2NitrogenInMMS(G$168,H206)</f>
        <v>37.676759999999994</v>
      </c>
      <c r="I236" s="15" cm="1">
        <f t="array" aca="1" ref="I236" ca="1">MMS_Swine_N2ODirect_Equations.VEERG_4_5_1_3__6_Stage2NitrogenInMMS(H$168,I206)</f>
        <v>25.554671999999997</v>
      </c>
      <c r="J236" s="16"/>
      <c r="N236" s="111"/>
      <c r="O236" s="111" t="str">
        <f>INDEX(X_Table_Swine_Stage2MMS_From_PitStorage,4,1)</f>
        <v>Deep litter</v>
      </c>
      <c r="P236" s="15" cm="1">
        <f t="array" aca="1" ref="P236" ca="1">MMS_Swine_N2ODirect_Equations.VEERG_4_5_1_3__6_Stage2NitrogenInMMS(O$168,F206)</f>
        <v>30.141407999999998</v>
      </c>
      <c r="Q236" s="15" cm="1">
        <f t="array" aca="1" ref="Q236" ca="1">MMS_Swine_N2ODirect_Equations.VEERG_4_5_1_3__6_Stage2NitrogenInMMS(P$168,G206)</f>
        <v>40.133940000000003</v>
      </c>
      <c r="R236" s="15" cm="1">
        <f t="array" aca="1" ref="R236" ca="1">MMS_Swine_N2ODirect_Equations.VEERG_4_5_1_3__6_Stage2NitrogenInMMS(Q$168,H206)</f>
        <v>37.676759999999994</v>
      </c>
      <c r="S236" s="15" cm="1">
        <f t="array" aca="1" ref="S236" ca="1">MMS_Swine_N2ODirect_Equations.VEERG_4_5_1_3__6_Stage2NitrogenInMMS(R$168,I206)</f>
        <v>25.554671999999997</v>
      </c>
      <c r="T236" s="16"/>
    </row>
    <row r="237" spans="4:20" ht="20.100000000000001" customHeight="1" x14ac:dyDescent="0.2">
      <c r="D237" s="111"/>
      <c r="E237" s="111" t="str">
        <f>INDEX(X_Table_Swine_Stage2MMS_From_PitStorage,5,1)</f>
        <v>Direct application</v>
      </c>
      <c r="F237" s="15" cm="1">
        <f t="array" aca="1" ref="F237" ca="1">MMS_Swine_N2ODirect_Equations.VEERG_4_5_1_3__6_Stage2NitrogenInMMS(E$168,F207)</f>
        <v>60.282815999999976</v>
      </c>
      <c r="G237" s="15" cm="1">
        <f t="array" aca="1" ref="G237" ca="1">MMS_Swine_N2ODirect_Equations.VEERG_4_5_1_3__6_Stage2NitrogenInMMS(F$168,G207)</f>
        <v>40.133940000000003</v>
      </c>
      <c r="H237" s="15" cm="1">
        <f t="array" aca="1" ref="H237" ca="1">MMS_Swine_N2ODirect_Equations.VEERG_4_5_1_3__6_Stage2NitrogenInMMS(G$168,H207)</f>
        <v>37.676759999999994</v>
      </c>
      <c r="I237" s="15" cm="1">
        <f t="array" aca="1" ref="I237" ca="1">MMS_Swine_N2ODirect_Equations.VEERG_4_5_1_3__6_Stage2NitrogenInMMS(H$168,I207)</f>
        <v>25.554671999999997</v>
      </c>
      <c r="J237" s="16"/>
      <c r="N237" s="111"/>
      <c r="O237" s="111" t="str">
        <f>INDEX(X_Table_Swine_Stage2MMS_From_PitStorage,5,1)</f>
        <v>Direct application</v>
      </c>
      <c r="P237" s="15" cm="1">
        <f t="array" aca="1" ref="P237" ca="1">MMS_Swine_N2ODirect_Equations.VEERG_4_5_1_3__6_Stage2NitrogenInMMS(O$168,F207)</f>
        <v>60.282815999999976</v>
      </c>
      <c r="Q237" s="15" cm="1">
        <f t="array" aca="1" ref="Q237" ca="1">MMS_Swine_N2ODirect_Equations.VEERG_4_5_1_3__6_Stage2NitrogenInMMS(P$168,G207)</f>
        <v>40.133940000000003</v>
      </c>
      <c r="R237" s="15" cm="1">
        <f t="array" aca="1" ref="R237" ca="1">MMS_Swine_N2ODirect_Equations.VEERG_4_5_1_3__6_Stage2NitrogenInMMS(Q$168,H207)</f>
        <v>37.676759999999994</v>
      </c>
      <c r="S237" s="15" cm="1">
        <f t="array" aca="1" ref="S237" ca="1">MMS_Swine_N2ODirect_Equations.VEERG_4_5_1_3__6_Stage2NitrogenInMMS(R$168,I207)</f>
        <v>25.554671999999997</v>
      </c>
      <c r="T237" s="16"/>
    </row>
    <row r="238" spans="4:20" ht="20.100000000000001" customHeight="1" x14ac:dyDescent="0.2">
      <c r="D238" s="111" t="s">
        <v>75</v>
      </c>
      <c r="E238" s="111" t="str">
        <f>INDEX(X_Table_Swine_Stage2MMS_From_SolidStorage,2,1)</f>
        <v>Anaerobic lagoon</v>
      </c>
      <c r="F238" s="15" cm="1">
        <f t="array" aca="1" ref="F238" ca="1">MMS_Swine_N2ODirect_Equations.VEERG_4_5_1_3__6_Stage2NitrogenInMMS(E$169,F208)</f>
        <v>106.78440000000003</v>
      </c>
      <c r="G238" s="15" cm="1">
        <f t="array" aca="1" ref="G238" ca="1">MMS_Swine_N2ODirect_Equations.VEERG_4_5_1_3__6_Stage2NitrogenInMMS(F$169,G208)</f>
        <v>113.74860000000007</v>
      </c>
      <c r="H238" s="15" cm="1">
        <f t="array" aca="1" ref="H238" ca="1">MMS_Swine_N2ODirect_Equations.VEERG_4_5_1_3__6_Stage2NitrogenInMMS(G$169,H208)</f>
        <v>106.78440000000003</v>
      </c>
      <c r="I238" s="15" cm="1">
        <f t="array" aca="1" ref="I238" ca="1">MMS_Swine_N2ODirect_Equations.VEERG_4_5_1_3__6_Stage2NitrogenInMMS(H$169,I208)</f>
        <v>72.427680000000038</v>
      </c>
      <c r="J238" s="16"/>
      <c r="N238" s="111" t="s">
        <v>75</v>
      </c>
      <c r="O238" s="111" t="str">
        <f>INDEX(X_Table_Swine_Stage2MMS_From_SolidStorage,2,1)</f>
        <v>Anaerobic lagoon</v>
      </c>
      <c r="P238" s="15" cm="1">
        <f t="array" aca="1" ref="P238" ca="1">MMS_Swine_N2ODirect_Equations.VEERG_4_5_1_3__6_Stage2NitrogenInMMS(O$169,F208)</f>
        <v>106.78440000000003</v>
      </c>
      <c r="Q238" s="15" cm="1">
        <f t="array" aca="1" ref="Q238" ca="1">MMS_Swine_N2ODirect_Equations.VEERG_4_5_1_3__6_Stage2NitrogenInMMS(P$169,G208)</f>
        <v>113.74860000000007</v>
      </c>
      <c r="R238" s="15" cm="1">
        <f t="array" aca="1" ref="R238" ca="1">MMS_Swine_N2ODirect_Equations.VEERG_4_5_1_3__6_Stage2NitrogenInMMS(Q$169,H208)</f>
        <v>106.78440000000003</v>
      </c>
      <c r="S238" s="15" cm="1">
        <f t="array" aca="1" ref="S238" ca="1">MMS_Swine_N2ODirect_Equations.VEERG_4_5_1_3__6_Stage2NitrogenInMMS(R$169,I208)</f>
        <v>72.427680000000038</v>
      </c>
      <c r="T238" s="16"/>
    </row>
    <row r="239" spans="4:20" ht="20.100000000000001" customHeight="1" x14ac:dyDescent="0.2">
      <c r="D239" s="111"/>
      <c r="E239" s="111" t="str">
        <f>INDEX(X_Table_Swine_Stage2MMS_From_SolidStorage,3,1)</f>
        <v>Digester / covered lagoons</v>
      </c>
      <c r="F239" s="15" cm="1">
        <f t="array" aca="1" ref="F239" ca="1">MMS_Swine_N2ODirect_Equations.VEERG_4_5_1_3__6_Stage2NitrogenInMMS(E$169,F209)</f>
        <v>106.78440000000003</v>
      </c>
      <c r="G239" s="15" cm="1">
        <f t="array" aca="1" ref="G239" ca="1">MMS_Swine_N2ODirect_Equations.VEERG_4_5_1_3__6_Stage2NitrogenInMMS(F$169,G209)</f>
        <v>113.74860000000007</v>
      </c>
      <c r="H239" s="15" cm="1">
        <f t="array" aca="1" ref="H239" ca="1">MMS_Swine_N2ODirect_Equations.VEERG_4_5_1_3__6_Stage2NitrogenInMMS(G$169,H209)</f>
        <v>106.78440000000003</v>
      </c>
      <c r="I239" s="15" cm="1">
        <f t="array" aca="1" ref="I239" ca="1">MMS_Swine_N2ODirect_Equations.VEERG_4_5_1_3__6_Stage2NitrogenInMMS(H$169,I209)</f>
        <v>72.427680000000038</v>
      </c>
      <c r="J239" s="16"/>
      <c r="N239" s="111"/>
      <c r="O239" s="111" t="str">
        <f>INDEX(X_Table_Swine_Stage2MMS_From_SolidStorage,3,1)</f>
        <v>Digester / covered lagoons</v>
      </c>
      <c r="P239" s="15" cm="1">
        <f t="array" aca="1" ref="P239" ca="1">MMS_Swine_N2ODirect_Equations.VEERG_4_5_1_3__6_Stage2NitrogenInMMS(O$169,F209)</f>
        <v>106.78440000000003</v>
      </c>
      <c r="Q239" s="15" cm="1">
        <f t="array" aca="1" ref="Q239" ca="1">MMS_Swine_N2ODirect_Equations.VEERG_4_5_1_3__6_Stage2NitrogenInMMS(P$169,G209)</f>
        <v>113.74860000000007</v>
      </c>
      <c r="R239" s="15" cm="1">
        <f t="array" aca="1" ref="R239" ca="1">MMS_Swine_N2ODirect_Equations.VEERG_4_5_1_3__6_Stage2NitrogenInMMS(Q$169,H209)</f>
        <v>106.78440000000003</v>
      </c>
      <c r="S239" s="15" cm="1">
        <f t="array" aca="1" ref="S239" ca="1">MMS_Swine_N2ODirect_Equations.VEERG_4_5_1_3__6_Stage2NitrogenInMMS(R$169,I209)</f>
        <v>72.427680000000038</v>
      </c>
      <c r="T239" s="16"/>
    </row>
    <row r="240" spans="4:20" ht="20.100000000000001" customHeight="1" x14ac:dyDescent="0.2">
      <c r="D240" s="111"/>
      <c r="E240" s="111" t="str">
        <f>INDEX(X_Table_Swine_Stage2MMS_From_SolidStorage,4,1)</f>
        <v>Deep litter</v>
      </c>
      <c r="F240" s="15" cm="1">
        <f t="array" aca="1" ref="F240" ca="1">MMS_Swine_N2ODirect_Equations.VEERG_4_5_1_3__6_Stage2NitrogenInMMS(E$169,F210)</f>
        <v>106.78440000000003</v>
      </c>
      <c r="G240" s="15" cm="1">
        <f t="array" aca="1" ref="G240" ca="1">MMS_Swine_N2ODirect_Equations.VEERG_4_5_1_3__6_Stage2NitrogenInMMS(F$169,G210)</f>
        <v>113.74860000000007</v>
      </c>
      <c r="H240" s="15" cm="1">
        <f t="array" aca="1" ref="H240" ca="1">MMS_Swine_N2ODirect_Equations.VEERG_4_5_1_3__6_Stage2NitrogenInMMS(G$169,H210)</f>
        <v>106.78440000000003</v>
      </c>
      <c r="I240" s="15" cm="1">
        <f t="array" aca="1" ref="I240" ca="1">MMS_Swine_N2ODirect_Equations.VEERG_4_5_1_3__6_Stage2NitrogenInMMS(H$169,I210)</f>
        <v>72.427680000000038</v>
      </c>
      <c r="J240" s="16"/>
      <c r="N240" s="111"/>
      <c r="O240" s="111" t="str">
        <f>INDEX(X_Table_Swine_Stage2MMS_From_SolidStorage,4,1)</f>
        <v>Deep litter</v>
      </c>
      <c r="P240" s="15" cm="1">
        <f t="array" aca="1" ref="P240" ca="1">MMS_Swine_N2ODirect_Equations.VEERG_4_5_1_3__6_Stage2NitrogenInMMS(O$169,F210)</f>
        <v>106.78440000000003</v>
      </c>
      <c r="Q240" s="15" cm="1">
        <f t="array" aca="1" ref="Q240" ca="1">MMS_Swine_N2ODirect_Equations.VEERG_4_5_1_3__6_Stage2NitrogenInMMS(P$169,G210)</f>
        <v>113.74860000000007</v>
      </c>
      <c r="R240" s="15" cm="1">
        <f t="array" aca="1" ref="R240" ca="1">MMS_Swine_N2ODirect_Equations.VEERG_4_5_1_3__6_Stage2NitrogenInMMS(Q$169,H210)</f>
        <v>106.78440000000003</v>
      </c>
      <c r="S240" s="15" cm="1">
        <f t="array" aca="1" ref="S240" ca="1">MMS_Swine_N2ODirect_Equations.VEERG_4_5_1_3__6_Stage2NitrogenInMMS(R$169,I210)</f>
        <v>72.427680000000038</v>
      </c>
      <c r="T240" s="16"/>
    </row>
    <row r="241" spans="1:21" ht="20.100000000000001" customHeight="1" x14ac:dyDescent="0.2">
      <c r="D241" s="111"/>
      <c r="E241" s="111" t="str">
        <f>INDEX(X_Table_Swine_Stage2MMS_From_SolidStorage,5,1)</f>
        <v>Pit storage</v>
      </c>
      <c r="F241" s="15" cm="1">
        <f t="array" aca="1" ref="F241" ca="1">MMS_Swine_N2ODirect_Equations.VEERG_4_5_1_3__6_Stage2NitrogenInMMS(E$169,F211)</f>
        <v>53.392200000000017</v>
      </c>
      <c r="G241" s="15" cm="1">
        <f t="array" aca="1" ref="G241" ca="1">MMS_Swine_N2ODirect_Equations.VEERG_4_5_1_3__6_Stage2NitrogenInMMS(F$169,G211)</f>
        <v>56.874300000000034</v>
      </c>
      <c r="H241" s="15" cm="1">
        <f t="array" aca="1" ref="H241" ca="1">MMS_Swine_N2ODirect_Equations.VEERG_4_5_1_3__6_Stage2NitrogenInMMS(G$169,H211)</f>
        <v>53.392200000000017</v>
      </c>
      <c r="I241" s="15" cm="1">
        <f t="array" aca="1" ref="I241" ca="1">MMS_Swine_N2ODirect_Equations.VEERG_4_5_1_3__6_Stage2NitrogenInMMS(H$169,I211)</f>
        <v>36.213840000000019</v>
      </c>
      <c r="J241" s="16"/>
      <c r="N241" s="111"/>
      <c r="O241" s="111" t="str">
        <f>INDEX(X_Table_Swine_Stage2MMS_From_SolidStorage,5,1)</f>
        <v>Pit storage</v>
      </c>
      <c r="P241" s="15" cm="1">
        <f t="array" aca="1" ref="P241" ca="1">MMS_Swine_N2ODirect_Equations.VEERG_4_5_1_3__6_Stage2NitrogenInMMS(O$169,F211)</f>
        <v>53.392200000000017</v>
      </c>
      <c r="Q241" s="15" cm="1">
        <f t="array" aca="1" ref="Q241" ca="1">MMS_Swine_N2ODirect_Equations.VEERG_4_5_1_3__6_Stage2NitrogenInMMS(P$169,G211)</f>
        <v>56.874300000000034</v>
      </c>
      <c r="R241" s="15" cm="1">
        <f t="array" aca="1" ref="R241" ca="1">MMS_Swine_N2ODirect_Equations.VEERG_4_5_1_3__6_Stage2NitrogenInMMS(Q$169,H211)</f>
        <v>53.392200000000017</v>
      </c>
      <c r="S241" s="15" cm="1">
        <f t="array" aca="1" ref="S241" ca="1">MMS_Swine_N2ODirect_Equations.VEERG_4_5_1_3__6_Stage2NitrogenInMMS(R$169,I211)</f>
        <v>36.213840000000019</v>
      </c>
      <c r="T241" s="16"/>
    </row>
    <row r="242" spans="1:21" ht="20.100000000000001" customHeight="1" x14ac:dyDescent="0.2">
      <c r="D242" s="111"/>
      <c r="E242" s="111" t="str">
        <f>INDEX(X_Table_Swine_Stage2MMS_From_SolidStorage,6,1)</f>
        <v>Direct application</v>
      </c>
      <c r="F242" s="15" cm="1">
        <f t="array" aca="1" ref="F242" ca="1">MMS_Swine_N2ODirect_Equations.VEERG_4_5_1_3__6_Stage2NitrogenInMMS(E$169,F212)</f>
        <v>160.17660000000001</v>
      </c>
      <c r="G242" s="15" cm="1">
        <f t="array" aca="1" ref="G242" ca="1">MMS_Swine_N2ODirect_Equations.VEERG_4_5_1_3__6_Stage2NitrogenInMMS(F$169,G212)</f>
        <v>170.62290000000004</v>
      </c>
      <c r="H242" s="15" cm="1">
        <f t="array" aca="1" ref="H242" ca="1">MMS_Swine_N2ODirect_Equations.VEERG_4_5_1_3__6_Stage2NitrogenInMMS(G$169,H212)</f>
        <v>160.17660000000001</v>
      </c>
      <c r="I242" s="15" cm="1">
        <f t="array" aca="1" ref="I242" ca="1">MMS_Swine_N2ODirect_Equations.VEERG_4_5_1_3__6_Stage2NitrogenInMMS(H$169,I212)</f>
        <v>108.64152000000003</v>
      </c>
      <c r="J242" s="16"/>
      <c r="N242" s="111"/>
      <c r="O242" s="111" t="str">
        <f>INDEX(X_Table_Swine_Stage2MMS_From_SolidStorage,6,1)</f>
        <v>Direct application</v>
      </c>
      <c r="P242" s="15" cm="1">
        <f t="array" aca="1" ref="P242" ca="1">MMS_Swine_N2ODirect_Equations.VEERG_4_5_1_3__6_Stage2NitrogenInMMS(O$169,F212)</f>
        <v>160.17660000000001</v>
      </c>
      <c r="Q242" s="15" cm="1">
        <f t="array" aca="1" ref="Q242" ca="1">MMS_Swine_N2ODirect_Equations.VEERG_4_5_1_3__6_Stage2NitrogenInMMS(P$169,G212)</f>
        <v>170.62290000000004</v>
      </c>
      <c r="R242" s="15" cm="1">
        <f t="array" aca="1" ref="R242" ca="1">MMS_Swine_N2ODirect_Equations.VEERG_4_5_1_3__6_Stage2NitrogenInMMS(Q$169,H212)</f>
        <v>160.17660000000001</v>
      </c>
      <c r="S242" s="15" cm="1">
        <f t="array" aca="1" ref="S242" ca="1">MMS_Swine_N2ODirect_Equations.VEERG_4_5_1_3__6_Stage2NitrogenInMMS(R$169,I212)</f>
        <v>108.64152000000003</v>
      </c>
      <c r="T242" s="16"/>
    </row>
    <row r="245" spans="1:21" ht="20.100000000000001" customHeight="1" x14ac:dyDescent="0.2">
      <c r="C245" s="82"/>
      <c r="D245" s="82"/>
      <c r="E245" s="82"/>
      <c r="F245" s="82"/>
      <c r="G245" s="82"/>
      <c r="H245" s="82"/>
      <c r="I245" s="82"/>
      <c r="J245" s="82"/>
      <c r="K245" s="82"/>
      <c r="M245" s="82"/>
      <c r="N245" s="82"/>
      <c r="O245" s="82"/>
      <c r="P245" s="82"/>
      <c r="Q245" s="82"/>
      <c r="R245" s="82"/>
      <c r="S245" s="82"/>
      <c r="T245" s="82"/>
      <c r="U245" s="82"/>
    </row>
    <row r="246" spans="1:21" ht="20.100000000000001" customHeight="1" x14ac:dyDescent="0.2">
      <c r="D246" s="2" t="str" cm="1">
        <f t="array" ref="D246">MMS_Swine_N2ODirect_Equations.VEERG_4_5_1_3__1_TotalAnnualDirectNitrousOxideEmissionsFromMMS_Title()</f>
        <v>Total annual direct nitrous oxide emissions from manure management systems</v>
      </c>
    </row>
    <row r="247" spans="1:21" ht="20.100000000000001" customHeight="1" x14ac:dyDescent="0.2">
      <c r="A247" s="131" t="str">
        <f>HYPERLINK("#A1", "▲ Back to top")</f>
        <v>▲ Back to top</v>
      </c>
      <c r="D247" s="17" t="str" cm="1">
        <f t="array" ref="D247">MMS_Swine_N2ODirect_Equations.VEERG_4_5_1_3__1_TotalAnnualDirectNitrousOxideEmissionsFromMMS_Source()</f>
        <v>VEERG 2026: 4.5.1.3, Equation (1)</v>
      </c>
    </row>
    <row r="248" spans="1:21" ht="20.100000000000001" customHeight="1" x14ac:dyDescent="0.2">
      <c r="D248" s="110" t="s">
        <v>321</v>
      </c>
      <c r="E248" s="110" t="str" cm="1">
        <f t="array" aca="1" ref="E248" ca="1">Common_InputFunctions.Utility_DisplayFunctionName(F264)</f>
        <v>=MMS_Swine_N2ODirect_Equations.VEERG_4_5_1_3__1_TotalAnnualDirectNitrousOxideEmissionsFromMMS</v>
      </c>
    </row>
    <row r="251" spans="1:21" ht="20.100000000000001" customHeight="1" x14ac:dyDescent="0.2">
      <c r="D251" s="75" t="s">
        <v>322</v>
      </c>
      <c r="E251" s="1" t="str" cm="1">
        <f t="array" ref="E251">MMS_Swine_N2ODirect_Equations.VEERG_4_5_1_3__1_TotalAnnualDirectNitrousOxideEmissionsFromMMS_Variable()</f>
        <v>E_N2Odir</v>
      </c>
    </row>
    <row r="252" spans="1:21" ht="20.100000000000001" customHeight="1" x14ac:dyDescent="0.2">
      <c r="D252" s="75" t="s">
        <v>118</v>
      </c>
      <c r="E252" s="9" t="str" cm="1">
        <f t="array" ref="E252">MMS_Swine_N2ODirect_Equations.VEERG_4_5_1_3__1_TotalAnnualDirectNitrousOxideEmissionsFromMMS_Unit()</f>
        <v>t N2O</v>
      </c>
    </row>
    <row r="254" spans="1:21" ht="20.100000000000001" customHeight="1" x14ac:dyDescent="0.2">
      <c r="D254" s="120" t="str" cm="1">
        <f t="array" ref="D254:E256">Common_InputFunctions.Utility_DisplayArguments_1_2(MMS_Swine_N2ODirect_Equations.VEERG_4_5_1_3__1_TotalAnnualDirectNitrousOxideEmissionsFromMMS_Arguments())</f>
        <v>MN_jmT</v>
      </c>
      <c r="E254" s="121" t="str">
        <v>nitrogen per swine class, MMS and treatment stage</v>
      </c>
      <c r="F254" s="122"/>
      <c r="G254" s="127" t="str" cm="1">
        <f t="array" ref="G254:H256">Common_InputFunctions.Utility_DisplayArguments_3_4(MMS_Swine_N2ODirect_Equations.VEERG_4_5_1_3__1_TotalAnnualDirectNitrousOxideEmissionsFromMMS_Arguments())</f>
        <v>kg N</v>
      </c>
      <c r="H254" s="125" t="str">
        <v>Calculated from 4.5.1.3 (2)(6)</v>
      </c>
      <c r="I254" s="115" t="str" cm="1">
        <f t="array" aca="1" ref="I254" ca="1">HYPERLINK(Common_InputFunctions.Utility_SourceHyperlink(D115), D115)</f>
        <v>M1_Table_MN_j_m_T-1</v>
      </c>
      <c r="J254" s="115" t="str" cm="1">
        <f t="array" aca="1" ref="J254" ca="1">HYPERLINK(Common_InputFunctions.Utility_SourceHyperlink(D214), D214)</f>
        <v>M1_Table_MN_j_m_T-2</v>
      </c>
    </row>
    <row r="255" spans="1:21" ht="20.100000000000001" customHeight="1" x14ac:dyDescent="0.2">
      <c r="D255" s="120" t="str">
        <v>EF_jm</v>
      </c>
      <c r="E255" s="121" t="str">
        <v>nitrous oxide emission factor for MMS</v>
      </c>
      <c r="F255" s="122"/>
      <c r="G255" s="127" t="str">
        <v>kg N2O-N/kg N</v>
      </c>
      <c r="H255" s="125" t="str">
        <v>Constant</v>
      </c>
      <c r="I255" s="134" t="str" cm="1">
        <f t="array" aca="1" ref="I255" ca="1">HYPERLINK(Common_InputFunctions.Utility_SourceHyperlink(D150), D150)</f>
        <v>Table_EF_m_t-1</v>
      </c>
      <c r="J255" s="135"/>
    </row>
    <row r="256" spans="1:21" ht="20.100000000000001" customHeight="1" x14ac:dyDescent="0.2">
      <c r="D256" s="120" t="str">
        <v>C_N2O</v>
      </c>
      <c r="E256" s="121" t="str">
        <v>factor to convert elemental mass of nitrous oxide to molecular mass</v>
      </c>
      <c r="F256" s="122"/>
      <c r="G256" s="127" t="str">
        <v/>
      </c>
      <c r="H256" s="125" t="str">
        <v>Constant</v>
      </c>
      <c r="I256" s="112">
        <f>Common_InputFunctions.Utility_LookupValueInTableNumber("N2O",Table_GasToMolecularConversionFactor[Gas],Table_GasToMolecularConversionFactor[Conversion factor combined])</f>
        <v>1.5714285714285714</v>
      </c>
      <c r="J256" s="122"/>
    </row>
    <row r="258" spans="4:20" ht="20.100000000000001" customHeight="1" x14ac:dyDescent="0.2">
      <c r="D258" s="136" t="s">
        <v>421</v>
      </c>
      <c r="E258" s="43"/>
      <c r="F258" s="43"/>
      <c r="G258" s="44"/>
    </row>
    <row r="259" spans="4:20" ht="20.100000000000001" customHeight="1" x14ac:dyDescent="0.2">
      <c r="D259" s="45" t="s">
        <v>422</v>
      </c>
      <c r="E259" s="46"/>
      <c r="F259" s="46"/>
      <c r="G259" s="47"/>
    </row>
    <row r="261" spans="4:20" ht="20.100000000000001" customHeight="1" x14ac:dyDescent="0.2">
      <c r="D261" s="117" t="s">
        <v>423</v>
      </c>
      <c r="N261" s="117" t="s">
        <v>424</v>
      </c>
    </row>
    <row r="262" spans="4:20" ht="20.100000000000001" customHeight="1" x14ac:dyDescent="0.2">
      <c r="D262" s="118" t="s">
        <v>425</v>
      </c>
      <c r="N262" s="118" t="s">
        <v>426</v>
      </c>
    </row>
    <row r="263" spans="4:20" ht="20.100000000000001" customHeight="1" x14ac:dyDescent="0.2">
      <c r="D263" s="119" t="s">
        <v>325</v>
      </c>
      <c r="E263" s="119" t="s">
        <v>354</v>
      </c>
      <c r="F263" s="119" t="s">
        <v>290</v>
      </c>
      <c r="G263" s="119" t="s">
        <v>291</v>
      </c>
      <c r="H263" s="119" t="s">
        <v>265</v>
      </c>
      <c r="I263" s="119" t="s">
        <v>292</v>
      </c>
      <c r="N263" s="119" t="s">
        <v>325</v>
      </c>
      <c r="O263" s="119" t="s">
        <v>354</v>
      </c>
      <c r="P263" s="119" t="s">
        <v>290</v>
      </c>
      <c r="Q263" s="119" t="s">
        <v>291</v>
      </c>
      <c r="R263" s="119" t="s">
        <v>265</v>
      </c>
      <c r="S263" s="119" t="s">
        <v>292</v>
      </c>
    </row>
    <row r="264" spans="4:20" ht="20.100000000000001" customHeight="1" x14ac:dyDescent="0.2">
      <c r="D264" s="111" t="str">
        <f>INDEX(X_Table_Swine_Stage1MMS_AnaerobicLagoon,2,1)</f>
        <v>Anaerobic lagoon</v>
      </c>
      <c r="E264" s="111" t="s">
        <v>124</v>
      </c>
      <c r="F264" s="15" cm="1">
        <f t="array" aca="1" ref="F264" ca="1">MMS_Swine_N2ODirect_Equations.VEERG_4_5_1_3__1_TotalAnnualDirectNitrousOxideEmissionsFromMMS(E118, _xlfn.XLOOKUP($D264, $D$153:$D$159, $E$153:$E$159), $I$256)</f>
        <v>0</v>
      </c>
      <c r="G264" s="15" cm="1">
        <f t="array" aca="1" ref="G264" ca="1">MMS_Swine_N2ODirect_Equations.VEERG_4_5_1_3__1_TotalAnnualDirectNitrousOxideEmissionsFromMMS(F118, _xlfn.XLOOKUP($D264, $D$153:$D$159, $E$153:$E$159), $I$256)</f>
        <v>0</v>
      </c>
      <c r="H264" s="15" cm="1">
        <f t="array" aca="1" ref="H264" ca="1">MMS_Swine_N2ODirect_Equations.VEERG_4_5_1_3__1_TotalAnnualDirectNitrousOxideEmissionsFromMMS(G118, _xlfn.XLOOKUP($D264, $D$153:$D$159, $E$153:$E$159), $I$256)</f>
        <v>0</v>
      </c>
      <c r="I264" s="15" cm="1">
        <f t="array" aca="1" ref="I264" ca="1">MMS_Swine_N2ODirect_Equations.VEERG_4_5_1_3__1_TotalAnnualDirectNitrousOxideEmissionsFromMMS(H118, _xlfn.XLOOKUP($D264, $D$153:$D$159, $E$153:$E$159), $I$256)</f>
        <v>0</v>
      </c>
      <c r="J264" s="16" t="str">
        <f>$E$252</f>
        <v>t N2O</v>
      </c>
      <c r="N264" s="111" t="str">
        <f>INDEX(X_Table_Swine_Stage1MMS_AnaerobicLagoon,2,1)</f>
        <v>Anaerobic lagoon</v>
      </c>
      <c r="O264" s="111" t="s">
        <v>124</v>
      </c>
      <c r="P264" s="15" cm="1">
        <f t="array" aca="1" ref="P264" ca="1">MMS_Swine_N2ODirect_Equations.VEERG_4_5_1_3__1_TotalAnnualDirectNitrousOxideEmissionsFromMMS(O118, _xlfn.XLOOKUP($D264, $D$153:$D$159, $E$153:$E$159), $I$256)</f>
        <v>0</v>
      </c>
      <c r="Q264" s="15" cm="1">
        <f t="array" aca="1" ref="Q264" ca="1">MMS_Swine_N2ODirect_Equations.VEERG_4_5_1_3__1_TotalAnnualDirectNitrousOxideEmissionsFromMMS(P118, _xlfn.XLOOKUP($D264, $D$153:$D$159, $E$153:$E$159), $I$256)</f>
        <v>0</v>
      </c>
      <c r="R264" s="15" cm="1">
        <f t="array" aca="1" ref="R264" ca="1">MMS_Swine_N2ODirect_Equations.VEERG_4_5_1_3__1_TotalAnnualDirectNitrousOxideEmissionsFromMMS(Q118, _xlfn.XLOOKUP($D264, $D$153:$D$159, $E$153:$E$159), $I$256)</f>
        <v>0</v>
      </c>
      <c r="S264" s="15" cm="1">
        <f t="array" aca="1" ref="S264" ca="1">MMS_Swine_N2ODirect_Equations.VEERG_4_5_1_3__1_TotalAnnualDirectNitrousOxideEmissionsFromMMS(R118, _xlfn.XLOOKUP($D264, $D$153:$D$159, $E$153:$E$159), $I$256)</f>
        <v>0</v>
      </c>
      <c r="T264" s="16" t="str">
        <f t="shared" ref="T264" si="2">$E$252</f>
        <v>t N2O</v>
      </c>
    </row>
    <row r="265" spans="4:20" ht="20.100000000000001" customHeight="1" x14ac:dyDescent="0.2">
      <c r="D265" s="111" t="str">
        <f>INDEX(X_Table_Swine_Stage1MMS_Drylot,2,1)</f>
        <v>Drylot (feed pad)</v>
      </c>
      <c r="E265" s="111" t="s">
        <v>124</v>
      </c>
      <c r="F265" s="15" cm="1">
        <f t="array" aca="1" ref="F265" ca="1">MMS_Swine_N2ODirect_Equations.VEERG_4_5_1_3__1_TotalAnnualDirectNitrousOxideEmissionsFromMMS(E119, _xlfn.XLOOKUP($D265, $D$153:$D$159, $E$153:$E$159), $I$256)</f>
        <v>6.3322285714285699E-3</v>
      </c>
      <c r="G265" s="15" cm="1">
        <f t="array" aca="1" ref="G265" ca="1">MMS_Swine_N2ODirect_Equations.VEERG_4_5_1_3__1_TotalAnnualDirectNitrousOxideEmissionsFromMMS(F119, _xlfn.XLOOKUP($D265, $D$153:$D$159, $E$153:$E$159), $I$256)</f>
        <v>6.7452000000000007E-3</v>
      </c>
      <c r="H265" s="15" cm="1">
        <f t="array" aca="1" ref="H265" ca="1">MMS_Swine_N2ODirect_Equations.VEERG_4_5_1_3__1_TotalAnnualDirectNitrousOxideEmissionsFromMMS(G119, _xlfn.XLOOKUP($D265, $D$153:$D$159, $E$153:$E$159), $I$256)</f>
        <v>6.3322285714285699E-3</v>
      </c>
      <c r="I265" s="15" cm="1">
        <f t="array" aca="1" ref="I265" ca="1">MMS_Swine_N2ODirect_Equations.VEERG_4_5_1_3__1_TotalAnnualDirectNitrousOxideEmissionsFromMMS(H119, _xlfn.XLOOKUP($D265, $D$153:$D$159, $E$153:$E$159), $I$256)</f>
        <v>4.2949028571428564E-3</v>
      </c>
      <c r="J265" s="16"/>
      <c r="N265" s="111" t="str">
        <f>INDEX(X_Table_Swine_Stage1MMS_Drylot,2,1)</f>
        <v>Drylot (feed pad)</v>
      </c>
      <c r="O265" s="111" t="s">
        <v>124</v>
      </c>
      <c r="P265" s="15" cm="1">
        <f t="array" aca="1" ref="P265" ca="1">MMS_Swine_N2ODirect_Equations.VEERG_4_5_1_3__1_TotalAnnualDirectNitrousOxideEmissionsFromMMS(O119, _xlfn.XLOOKUP($D265, $D$153:$D$159, $E$153:$E$159), $I$256)</f>
        <v>6.3322285714285699E-3</v>
      </c>
      <c r="Q265" s="15" cm="1">
        <f t="array" aca="1" ref="Q265" ca="1">MMS_Swine_N2ODirect_Equations.VEERG_4_5_1_3__1_TotalAnnualDirectNitrousOxideEmissionsFromMMS(P119, _xlfn.XLOOKUP($D265, $D$153:$D$159, $E$153:$E$159), $I$256)</f>
        <v>6.7452000000000007E-3</v>
      </c>
      <c r="R265" s="15" cm="1">
        <f t="array" aca="1" ref="R265" ca="1">MMS_Swine_N2ODirect_Equations.VEERG_4_5_1_3__1_TotalAnnualDirectNitrousOxideEmissionsFromMMS(Q119, _xlfn.XLOOKUP($D265, $D$153:$D$159, $E$153:$E$159), $I$256)</f>
        <v>6.3322285714285699E-3</v>
      </c>
      <c r="S265" s="15" cm="1">
        <f t="array" aca="1" ref="S265" ca="1">MMS_Swine_N2ODirect_Equations.VEERG_4_5_1_3__1_TotalAnnualDirectNitrousOxideEmissionsFromMMS(R119, _xlfn.XLOOKUP($D265, $D$153:$D$159, $E$153:$E$159), $I$256)</f>
        <v>4.2949028571428564E-3</v>
      </c>
      <c r="T265" s="16"/>
    </row>
    <row r="266" spans="4:20" ht="20.100000000000001" customHeight="1" x14ac:dyDescent="0.2">
      <c r="D266" s="111" t="str">
        <f>INDEX(X_Table_Swine_Stage1MMS_DigesterCoveredLagoons,2,1)</f>
        <v>Digester / covered lagoons</v>
      </c>
      <c r="E266" s="111" t="s">
        <v>124</v>
      </c>
      <c r="F266" s="15" cm="1">
        <f t="array" aca="1" ref="F266" ca="1">MMS_Swine_N2ODirect_Equations.VEERG_4_5_1_3__1_TotalAnnualDirectNitrousOxideEmissionsFromMMS(E120, _xlfn.XLOOKUP($D266, $D$153:$D$159, $E$153:$E$159), $I$256)</f>
        <v>0</v>
      </c>
      <c r="G266" s="15" cm="1">
        <f t="array" aca="1" ref="G266" ca="1">MMS_Swine_N2ODirect_Equations.VEERG_4_5_1_3__1_TotalAnnualDirectNitrousOxideEmissionsFromMMS(F120, _xlfn.XLOOKUP($D266, $D$153:$D$159, $E$153:$E$159), $I$256)</f>
        <v>0</v>
      </c>
      <c r="H266" s="15" cm="1">
        <f t="array" aca="1" ref="H266" ca="1">MMS_Swine_N2ODirect_Equations.VEERG_4_5_1_3__1_TotalAnnualDirectNitrousOxideEmissionsFromMMS(G120, _xlfn.XLOOKUP($D266, $D$153:$D$159, $E$153:$E$159), $I$256)</f>
        <v>0</v>
      </c>
      <c r="I266" s="15" cm="1">
        <f t="array" aca="1" ref="I266" ca="1">MMS_Swine_N2ODirect_Equations.VEERG_4_5_1_3__1_TotalAnnualDirectNitrousOxideEmissionsFromMMS(H120, _xlfn.XLOOKUP($D266, $D$153:$D$159, $E$153:$E$159), $I$256)</f>
        <v>0</v>
      </c>
      <c r="J266" s="16"/>
      <c r="N266" s="111" t="str">
        <f>INDEX(X_Table_Swine_Stage1MMS_DigesterCoveredLagoons,2,1)</f>
        <v>Digester / covered lagoons</v>
      </c>
      <c r="O266" s="111" t="s">
        <v>124</v>
      </c>
      <c r="P266" s="15" cm="1">
        <f t="array" aca="1" ref="P266" ca="1">MMS_Swine_N2ODirect_Equations.VEERG_4_5_1_3__1_TotalAnnualDirectNitrousOxideEmissionsFromMMS(O120, _xlfn.XLOOKUP($D266, $D$153:$D$159, $E$153:$E$159), $I$256)</f>
        <v>0</v>
      </c>
      <c r="Q266" s="15" cm="1">
        <f t="array" aca="1" ref="Q266" ca="1">MMS_Swine_N2ODirect_Equations.VEERG_4_5_1_3__1_TotalAnnualDirectNitrousOxideEmissionsFromMMS(P120, _xlfn.XLOOKUP($D266, $D$153:$D$159, $E$153:$E$159), $I$256)</f>
        <v>0</v>
      </c>
      <c r="R266" s="15" cm="1">
        <f t="array" aca="1" ref="R266" ca="1">MMS_Swine_N2ODirect_Equations.VEERG_4_5_1_3__1_TotalAnnualDirectNitrousOxideEmissionsFromMMS(Q120, _xlfn.XLOOKUP($D266, $D$153:$D$159, $E$153:$E$159), $I$256)</f>
        <v>0</v>
      </c>
      <c r="S266" s="15" cm="1">
        <f t="array" aca="1" ref="S266" ca="1">MMS_Swine_N2ODirect_Equations.VEERG_4_5_1_3__1_TotalAnnualDirectNitrousOxideEmissionsFromMMS(R120, _xlfn.XLOOKUP($D266, $D$153:$D$159, $E$153:$E$159), $I$256)</f>
        <v>0</v>
      </c>
      <c r="T266" s="16"/>
    </row>
    <row r="267" spans="4:20" ht="20.100000000000001" customHeight="1" x14ac:dyDescent="0.2">
      <c r="D267" s="111" t="str">
        <f>INDEX(X_Table_Swine_Stage1MMS_DeepLitter,2,1)</f>
        <v>Deep litter</v>
      </c>
      <c r="E267" s="111" t="s">
        <v>124</v>
      </c>
      <c r="F267" s="15" cm="1">
        <f t="array" aca="1" ref="F267" ca="1">MMS_Swine_N2ODirect_Equations.VEERG_4_5_1_3__1_TotalAnnualDirectNitrousOxideEmissionsFromMMS(E121, _xlfn.XLOOKUP($D267, $D$153:$D$159, $E$153:$E$159), $I$256)</f>
        <v>3.166114285714285E-3</v>
      </c>
      <c r="G267" s="15" cm="1">
        <f t="array" aca="1" ref="G267" ca="1">MMS_Swine_N2ODirect_Equations.VEERG_4_5_1_3__1_TotalAnnualDirectNitrousOxideEmissionsFromMMS(F121, _xlfn.XLOOKUP($D267, $D$153:$D$159, $E$153:$E$159), $I$256)</f>
        <v>3.3726000000000003E-3</v>
      </c>
      <c r="H267" s="15" cm="1">
        <f t="array" aca="1" ref="H267" ca="1">MMS_Swine_N2ODirect_Equations.VEERG_4_5_1_3__1_TotalAnnualDirectNitrousOxideEmissionsFromMMS(G121, _xlfn.XLOOKUP($D267, $D$153:$D$159, $E$153:$E$159), $I$256)</f>
        <v>3.166114285714285E-3</v>
      </c>
      <c r="I267" s="15" cm="1">
        <f t="array" aca="1" ref="I267" ca="1">MMS_Swine_N2ODirect_Equations.VEERG_4_5_1_3__1_TotalAnnualDirectNitrousOxideEmissionsFromMMS(H121, _xlfn.XLOOKUP($D267, $D$153:$D$159, $E$153:$E$159), $I$256)</f>
        <v>2.1474514285714282E-3</v>
      </c>
      <c r="J267" s="16"/>
      <c r="N267" s="111" t="str">
        <f>INDEX(X_Table_Swine_Stage1MMS_DeepLitter,2,1)</f>
        <v>Deep litter</v>
      </c>
      <c r="O267" s="111" t="s">
        <v>124</v>
      </c>
      <c r="P267" s="15" cm="1">
        <f t="array" aca="1" ref="P267" ca="1">MMS_Swine_N2ODirect_Equations.VEERG_4_5_1_3__1_TotalAnnualDirectNitrousOxideEmissionsFromMMS(O121, _xlfn.XLOOKUP($D267, $D$153:$D$159, $E$153:$E$159), $I$256)</f>
        <v>3.166114285714285E-3</v>
      </c>
      <c r="Q267" s="15" cm="1">
        <f t="array" aca="1" ref="Q267" ca="1">MMS_Swine_N2ODirect_Equations.VEERG_4_5_1_3__1_TotalAnnualDirectNitrousOxideEmissionsFromMMS(P121, _xlfn.XLOOKUP($D267, $D$153:$D$159, $E$153:$E$159), $I$256)</f>
        <v>3.3726000000000003E-3</v>
      </c>
      <c r="R267" s="15" cm="1">
        <f t="array" aca="1" ref="R267" ca="1">MMS_Swine_N2ODirect_Equations.VEERG_4_5_1_3__1_TotalAnnualDirectNitrousOxideEmissionsFromMMS(Q121, _xlfn.XLOOKUP($D267, $D$153:$D$159, $E$153:$E$159), $I$256)</f>
        <v>3.166114285714285E-3</v>
      </c>
      <c r="S267" s="15" cm="1">
        <f t="array" aca="1" ref="S267" ca="1">MMS_Swine_N2ODirect_Equations.VEERG_4_5_1_3__1_TotalAnnualDirectNitrousOxideEmissionsFromMMS(R121, _xlfn.XLOOKUP($D267, $D$153:$D$159, $E$153:$E$159), $I$256)</f>
        <v>2.1474514285714282E-3</v>
      </c>
      <c r="T267" s="16"/>
    </row>
    <row r="268" spans="4:20" ht="20.100000000000001" customHeight="1" x14ac:dyDescent="0.2">
      <c r="D268" s="111" t="str">
        <f>INDEX(X_Table_Swine_Stage1MMS_PitStorage,2,1)</f>
        <v>Pit storage</v>
      </c>
      <c r="E268" s="111" t="s">
        <v>124</v>
      </c>
      <c r="F268" s="15" cm="1">
        <f t="array" aca="1" ref="F268" ca="1">MMS_Swine_N2ODirect_Equations.VEERG_4_5_1_3__1_TotalAnnualDirectNitrousOxideEmissionsFromMMS(E122, _xlfn.XLOOKUP($D268, $D$153:$D$159, $E$153:$E$159), $I$256)</f>
        <v>6.3322285714285703E-4</v>
      </c>
      <c r="G268" s="15" cm="1">
        <f t="array" aca="1" ref="G268" ca="1">MMS_Swine_N2ODirect_Equations.VEERG_4_5_1_3__1_TotalAnnualDirectNitrousOxideEmissionsFromMMS(F122, _xlfn.XLOOKUP($D268, $D$153:$D$159, $E$153:$E$159), $I$256)</f>
        <v>6.7452000000000018E-4</v>
      </c>
      <c r="H268" s="15" cm="1">
        <f t="array" aca="1" ref="H268" ca="1">MMS_Swine_N2ODirect_Equations.VEERG_4_5_1_3__1_TotalAnnualDirectNitrousOxideEmissionsFromMMS(G122, _xlfn.XLOOKUP($D268, $D$153:$D$159, $E$153:$E$159), $I$256)</f>
        <v>6.3322285714285703E-4</v>
      </c>
      <c r="I268" s="15" cm="1">
        <f t="array" aca="1" ref="I268" ca="1">MMS_Swine_N2ODirect_Equations.VEERG_4_5_1_3__1_TotalAnnualDirectNitrousOxideEmissionsFromMMS(H122, _xlfn.XLOOKUP($D268, $D$153:$D$159, $E$153:$E$159), $I$256)</f>
        <v>4.294902857142856E-4</v>
      </c>
      <c r="J268" s="16"/>
      <c r="N268" s="111" t="str">
        <f>INDEX(X_Table_Swine_Stage1MMS_PitStorage,2,1)</f>
        <v>Pit storage</v>
      </c>
      <c r="O268" s="111" t="s">
        <v>124</v>
      </c>
      <c r="P268" s="15" cm="1">
        <f t="array" aca="1" ref="P268" ca="1">MMS_Swine_N2ODirect_Equations.VEERG_4_5_1_3__1_TotalAnnualDirectNitrousOxideEmissionsFromMMS(O122, _xlfn.XLOOKUP($D268, $D$153:$D$159, $E$153:$E$159), $I$256)</f>
        <v>6.3322285714285703E-4</v>
      </c>
      <c r="Q268" s="15" cm="1">
        <f t="array" aca="1" ref="Q268" ca="1">MMS_Swine_N2ODirect_Equations.VEERG_4_5_1_3__1_TotalAnnualDirectNitrousOxideEmissionsFromMMS(P122, _xlfn.XLOOKUP($D268, $D$153:$D$159, $E$153:$E$159), $I$256)</f>
        <v>6.7452000000000018E-4</v>
      </c>
      <c r="R268" s="15" cm="1">
        <f t="array" aca="1" ref="R268" ca="1">MMS_Swine_N2ODirect_Equations.VEERG_4_5_1_3__1_TotalAnnualDirectNitrousOxideEmissionsFromMMS(Q122, _xlfn.XLOOKUP($D268, $D$153:$D$159, $E$153:$E$159), $I$256)</f>
        <v>6.3322285714285703E-4</v>
      </c>
      <c r="S268" s="15" cm="1">
        <f t="array" aca="1" ref="S268" ca="1">MMS_Swine_N2ODirect_Equations.VEERG_4_5_1_3__1_TotalAnnualDirectNitrousOxideEmissionsFromMMS(R122, _xlfn.XLOOKUP($D268, $D$153:$D$159, $E$153:$E$159), $I$256)</f>
        <v>4.294902857142856E-4</v>
      </c>
      <c r="T268" s="16"/>
    </row>
    <row r="269" spans="4:20" ht="20.100000000000001" customHeight="1" x14ac:dyDescent="0.2">
      <c r="D269" s="111" t="s">
        <v>75</v>
      </c>
      <c r="E269" s="111" t="s">
        <v>124</v>
      </c>
      <c r="F269" s="15" cm="1">
        <f t="array" aca="1" ref="F269" ca="1">MMS_Swine_N2ODirect_Equations.VEERG_4_5_1_3__1_TotalAnnualDirectNitrousOxideEmissionsFromMMS(E123, _xlfn.XLOOKUP($D269, $D$153:$D$159, $E$153:$E$159), $I$256)</f>
        <v>5.2768571428571439E-3</v>
      </c>
      <c r="G269" s="15" cm="1">
        <f t="array" aca="1" ref="G269" ca="1">MMS_Swine_N2ODirect_Equations.VEERG_4_5_1_3__1_TotalAnnualDirectNitrousOxideEmissionsFromMMS(F123, _xlfn.XLOOKUP($D269, $D$153:$D$159, $E$153:$E$159), $I$256)</f>
        <v>5.6210000000000027E-3</v>
      </c>
      <c r="H269" s="15" cm="1">
        <f t="array" aca="1" ref="H269" ca="1">MMS_Swine_N2ODirect_Equations.VEERG_4_5_1_3__1_TotalAnnualDirectNitrousOxideEmissionsFromMMS(G123, _xlfn.XLOOKUP($D269, $D$153:$D$159, $E$153:$E$159), $I$256)</f>
        <v>5.2768571428571439E-3</v>
      </c>
      <c r="I269" s="15" cm="1">
        <f t="array" aca="1" ref="I269" ca="1">MMS_Swine_N2ODirect_Equations.VEERG_4_5_1_3__1_TotalAnnualDirectNitrousOxideEmissionsFromMMS(H123, _xlfn.XLOOKUP($D269, $D$153:$D$159, $E$153:$E$159), $I$256)</f>
        <v>3.5790857142857157E-3</v>
      </c>
      <c r="J269" s="16"/>
      <c r="N269" s="111" t="s">
        <v>75</v>
      </c>
      <c r="O269" s="111" t="s">
        <v>124</v>
      </c>
      <c r="P269" s="15" cm="1">
        <f t="array" aca="1" ref="P269" ca="1">MMS_Swine_N2ODirect_Equations.VEERG_4_5_1_3__1_TotalAnnualDirectNitrousOxideEmissionsFromMMS(O123, _xlfn.XLOOKUP($D269, $D$153:$D$159, $E$153:$E$159), $I$256)</f>
        <v>5.2768571428571439E-3</v>
      </c>
      <c r="Q269" s="15" cm="1">
        <f t="array" aca="1" ref="Q269" ca="1">MMS_Swine_N2ODirect_Equations.VEERG_4_5_1_3__1_TotalAnnualDirectNitrousOxideEmissionsFromMMS(P123, _xlfn.XLOOKUP($D269, $D$153:$D$159, $E$153:$E$159), $I$256)</f>
        <v>5.6210000000000027E-3</v>
      </c>
      <c r="R269" s="15" cm="1">
        <f t="array" aca="1" ref="R269" ca="1">MMS_Swine_N2ODirect_Equations.VEERG_4_5_1_3__1_TotalAnnualDirectNitrousOxideEmissionsFromMMS(Q123, _xlfn.XLOOKUP($D269, $D$153:$D$159, $E$153:$E$159), $I$256)</f>
        <v>5.2768571428571439E-3</v>
      </c>
      <c r="S269" s="15" cm="1">
        <f t="array" aca="1" ref="S269" ca="1">MMS_Swine_N2ODirect_Equations.VEERG_4_5_1_3__1_TotalAnnualDirectNitrousOxideEmissionsFromMMS(R123, _xlfn.XLOOKUP($D269, $D$153:$D$159, $E$153:$E$159), $I$256)</f>
        <v>3.5790857142857157E-3</v>
      </c>
      <c r="T269" s="16"/>
    </row>
    <row r="270" spans="4:20" ht="20.100000000000001" customHeight="1" x14ac:dyDescent="0.2">
      <c r="D270" s="111" t="str">
        <f>INDEX(X_Table_Swine_Stage1MMS_AnaerobicLagoon,2,1)</f>
        <v>Anaerobic lagoon</v>
      </c>
      <c r="E270" s="111" t="str">
        <f>INDEX(X_Table_Swine_Stage2MMS_From_AnaerobicLagoon,2,1)</f>
        <v>Digester / covered lagoons</v>
      </c>
      <c r="F270" s="15" cm="1">
        <f t="array" aca="1" ref="F270" ca="1">MMS_Swine_N2ODirect_Equations.VEERG_4_5_1_3__1_TotalAnnualDirectNitrousOxideEmissionsFromMMS(F217, _xlfn.XLOOKUP($E270, $D$153:$D$159, $E$153:$E$159), $I$256)</f>
        <v>0</v>
      </c>
      <c r="G270" s="15" cm="1">
        <f t="array" aca="1" ref="G270" ca="1">MMS_Swine_N2ODirect_Equations.VEERG_4_5_1_3__1_TotalAnnualDirectNitrousOxideEmissionsFromMMS(G217, _xlfn.XLOOKUP($E270, $D$153:$D$159, $E$153:$E$159), $I$256)</f>
        <v>0</v>
      </c>
      <c r="H270" s="15" cm="1">
        <f t="array" aca="1" ref="H270" ca="1">MMS_Swine_N2ODirect_Equations.VEERG_4_5_1_3__1_TotalAnnualDirectNitrousOxideEmissionsFromMMS(H217, _xlfn.XLOOKUP($E270, $D$153:$D$159, $E$153:$E$159), $I$256)</f>
        <v>0</v>
      </c>
      <c r="I270" s="15" cm="1">
        <f t="array" aca="1" ref="I270" ca="1">MMS_Swine_N2ODirect_Equations.VEERG_4_5_1_3__1_TotalAnnualDirectNitrousOxideEmissionsFromMMS(I217, _xlfn.XLOOKUP($E270, $D$153:$D$159, $E$153:$E$159), $I$256)</f>
        <v>0</v>
      </c>
      <c r="J270" s="16"/>
      <c r="N270" s="111" t="str">
        <f>INDEX(X_Table_Swine_Stage1MMS_AnaerobicLagoon,2,1)</f>
        <v>Anaerobic lagoon</v>
      </c>
      <c r="O270" s="111" t="str">
        <f>INDEX(X_Table_Swine_Stage2MMS_From_AnaerobicLagoon,2,1)</f>
        <v>Digester / covered lagoons</v>
      </c>
      <c r="P270" s="15" cm="1">
        <f t="array" aca="1" ref="P270" ca="1">MMS_Swine_N2ODirect_Equations.VEERG_4_5_1_3__1_TotalAnnualDirectNitrousOxideEmissionsFromMMS(P217, _xlfn.XLOOKUP($E270, $D$153:$D$159, $E$153:$E$159), $I$256)</f>
        <v>0</v>
      </c>
      <c r="Q270" s="15" cm="1">
        <f t="array" aca="1" ref="Q270" ca="1">MMS_Swine_N2ODirect_Equations.VEERG_4_5_1_3__1_TotalAnnualDirectNitrousOxideEmissionsFromMMS(Q217, _xlfn.XLOOKUP($E270, $D$153:$D$159, $E$153:$E$159), $I$256)</f>
        <v>0</v>
      </c>
      <c r="R270" s="15" cm="1">
        <f t="array" aca="1" ref="R270" ca="1">MMS_Swine_N2ODirect_Equations.VEERG_4_5_1_3__1_TotalAnnualDirectNitrousOxideEmissionsFromMMS(R217, _xlfn.XLOOKUP($E270, $D$153:$D$159, $E$153:$E$159), $I$256)</f>
        <v>0</v>
      </c>
      <c r="S270" s="15" cm="1">
        <f t="array" aca="1" ref="S270" ca="1">MMS_Swine_N2ODirect_Equations.VEERG_4_5_1_3__1_TotalAnnualDirectNitrousOxideEmissionsFromMMS(S217, _xlfn.XLOOKUP($E270, $D$153:$D$159, $E$153:$E$159), $I$256)</f>
        <v>0</v>
      </c>
      <c r="T270" s="16"/>
    </row>
    <row r="271" spans="4:20" ht="20.100000000000001" customHeight="1" x14ac:dyDescent="0.2">
      <c r="D271" s="111"/>
      <c r="E271" s="111" t="str">
        <f>INDEX(X_Table_Swine_Stage2MMS_From_AnaerobicLagoon,3,1)</f>
        <v>Deep litter</v>
      </c>
      <c r="F271" s="15" cm="1">
        <f t="array" aca="1" ref="F271" ca="1">MMS_Swine_N2ODirect_Equations.VEERG_4_5_1_3__1_TotalAnnualDirectNitrousOxideEmissionsFromMMS(F218, _xlfn.XLOOKUP($E271, $D$153:$D$159, $E$153:$E$159), $I$256)</f>
        <v>2.8495028571428569E-4</v>
      </c>
      <c r="G271" s="15" cm="1">
        <f t="array" aca="1" ref="G271" ca="1">MMS_Swine_N2ODirect_Equations.VEERG_4_5_1_3__1_TotalAnnualDirectNitrousOxideEmissionsFromMMS(G218, _xlfn.XLOOKUP($E271, $D$153:$D$159, $E$153:$E$159), $I$256)</f>
        <v>3.7941750000000007E-4</v>
      </c>
      <c r="H271" s="15" cm="1">
        <f t="array" aca="1" ref="H271" ca="1">MMS_Swine_N2ODirect_Equations.VEERG_4_5_1_3__1_TotalAnnualDirectNitrousOxideEmissionsFromMMS(H218, _xlfn.XLOOKUP($E271, $D$153:$D$159, $E$153:$E$159), $I$256)</f>
        <v>3.5618785714285701E-4</v>
      </c>
      <c r="I271" s="15" cm="1">
        <f t="array" aca="1" ref="I271" ca="1">MMS_Swine_N2ODirect_Equations.VEERG_4_5_1_3__1_TotalAnnualDirectNitrousOxideEmissionsFromMMS(I218, _xlfn.XLOOKUP($E271, $D$153:$D$159, $E$153:$E$159), $I$256)</f>
        <v>2.4158828571428564E-4</v>
      </c>
      <c r="J271" s="16"/>
      <c r="N271" s="111"/>
      <c r="O271" s="111" t="str">
        <f>INDEX(X_Table_Swine_Stage2MMS_From_AnaerobicLagoon,3,1)</f>
        <v>Deep litter</v>
      </c>
      <c r="P271" s="15" cm="1">
        <f t="array" aca="1" ref="P271" ca="1">MMS_Swine_N2ODirect_Equations.VEERG_4_5_1_3__1_TotalAnnualDirectNitrousOxideEmissionsFromMMS(P218, _xlfn.XLOOKUP($E271, $D$153:$D$159, $E$153:$E$159), $I$256)</f>
        <v>2.8495028571428569E-4</v>
      </c>
      <c r="Q271" s="15" cm="1">
        <f t="array" aca="1" ref="Q271" ca="1">MMS_Swine_N2ODirect_Equations.VEERG_4_5_1_3__1_TotalAnnualDirectNitrousOxideEmissionsFromMMS(Q218, _xlfn.XLOOKUP($E271, $D$153:$D$159, $E$153:$E$159), $I$256)</f>
        <v>3.7941750000000007E-4</v>
      </c>
      <c r="R271" s="15" cm="1">
        <f t="array" aca="1" ref="R271" ca="1">MMS_Swine_N2ODirect_Equations.VEERG_4_5_1_3__1_TotalAnnualDirectNitrousOxideEmissionsFromMMS(R218, _xlfn.XLOOKUP($E271, $D$153:$D$159, $E$153:$E$159), $I$256)</f>
        <v>3.5618785714285701E-4</v>
      </c>
      <c r="S271" s="15" cm="1">
        <f t="array" aca="1" ref="S271" ca="1">MMS_Swine_N2ODirect_Equations.VEERG_4_5_1_3__1_TotalAnnualDirectNitrousOxideEmissionsFromMMS(S218, _xlfn.XLOOKUP($E271, $D$153:$D$159, $E$153:$E$159), $I$256)</f>
        <v>2.4158828571428564E-4</v>
      </c>
      <c r="T271" s="16"/>
    </row>
    <row r="272" spans="4:20" ht="20.100000000000001" customHeight="1" x14ac:dyDescent="0.2">
      <c r="D272" s="111"/>
      <c r="E272" s="111" t="str">
        <f>INDEX(X_Table_Swine_Stage2MMS_From_AnaerobicLagoon,4,1)</f>
        <v>Pit storage</v>
      </c>
      <c r="F272" s="15" cm="1">
        <f t="array" aca="1" ref="F272" ca="1">MMS_Swine_N2ODirect_Equations.VEERG_4_5_1_3__1_TotalAnnualDirectNitrousOxideEmissionsFromMMS(F219, _xlfn.XLOOKUP($E272, $D$153:$D$159, $E$153:$E$159), $I$256)</f>
        <v>5.6990057142857125E-5</v>
      </c>
      <c r="G272" s="15" cm="1">
        <f t="array" aca="1" ref="G272" ca="1">MMS_Swine_N2ODirect_Equations.VEERG_4_5_1_3__1_TotalAnnualDirectNitrousOxideEmissionsFromMMS(G219, _xlfn.XLOOKUP($E272, $D$153:$D$159, $E$153:$E$159), $I$256)</f>
        <v>7.5883500000000013E-5</v>
      </c>
      <c r="H272" s="15" cm="1">
        <f t="array" aca="1" ref="H272" ca="1">MMS_Swine_N2ODirect_Equations.VEERG_4_5_1_3__1_TotalAnnualDirectNitrousOxideEmissionsFromMMS(H219, _xlfn.XLOOKUP($E272, $D$153:$D$159, $E$153:$E$159), $I$256)</f>
        <v>7.1237571428571408E-5</v>
      </c>
      <c r="I272" s="15" cm="1">
        <f t="array" aca="1" ref="I272" ca="1">MMS_Swine_N2ODirect_Equations.VEERG_4_5_1_3__1_TotalAnnualDirectNitrousOxideEmissionsFromMMS(I219, _xlfn.XLOOKUP($E272, $D$153:$D$159, $E$153:$E$159), $I$256)</f>
        <v>4.831765714285713E-5</v>
      </c>
      <c r="J272" s="16"/>
      <c r="N272" s="111"/>
      <c r="O272" s="111" t="str">
        <f>INDEX(X_Table_Swine_Stage2MMS_From_AnaerobicLagoon,4,1)</f>
        <v>Pit storage</v>
      </c>
      <c r="P272" s="15" cm="1">
        <f t="array" aca="1" ref="P272" ca="1">MMS_Swine_N2ODirect_Equations.VEERG_4_5_1_3__1_TotalAnnualDirectNitrousOxideEmissionsFromMMS(P219, _xlfn.XLOOKUP($E272, $D$153:$D$159, $E$153:$E$159), $I$256)</f>
        <v>5.6990057142857125E-5</v>
      </c>
      <c r="Q272" s="15" cm="1">
        <f t="array" aca="1" ref="Q272" ca="1">MMS_Swine_N2ODirect_Equations.VEERG_4_5_1_3__1_TotalAnnualDirectNitrousOxideEmissionsFromMMS(Q219, _xlfn.XLOOKUP($E272, $D$153:$D$159, $E$153:$E$159), $I$256)</f>
        <v>7.5883500000000013E-5</v>
      </c>
      <c r="R272" s="15" cm="1">
        <f t="array" aca="1" ref="R272" ca="1">MMS_Swine_N2ODirect_Equations.VEERG_4_5_1_3__1_TotalAnnualDirectNitrousOxideEmissionsFromMMS(R219, _xlfn.XLOOKUP($E272, $D$153:$D$159, $E$153:$E$159), $I$256)</f>
        <v>7.1237571428571408E-5</v>
      </c>
      <c r="S272" s="15" cm="1">
        <f t="array" aca="1" ref="S272" ca="1">MMS_Swine_N2ODirect_Equations.VEERG_4_5_1_3__1_TotalAnnualDirectNitrousOxideEmissionsFromMMS(S219, _xlfn.XLOOKUP($E272, $D$153:$D$159, $E$153:$E$159), $I$256)</f>
        <v>4.831765714285713E-5</v>
      </c>
      <c r="T272" s="16"/>
    </row>
    <row r="273" spans="1:20" ht="20.100000000000001" customHeight="1" x14ac:dyDescent="0.2">
      <c r="D273" s="111"/>
      <c r="E273" s="111" t="str">
        <f>INDEX(X_Table_Swine_Stage2MMS_From_AnaerobicLagoon,5,1)</f>
        <v>Direct application</v>
      </c>
      <c r="F273" s="15" t="s">
        <v>124</v>
      </c>
      <c r="G273" s="15" t="s">
        <v>124</v>
      </c>
      <c r="H273" s="15" t="s">
        <v>124</v>
      </c>
      <c r="I273" s="15" t="s">
        <v>124</v>
      </c>
      <c r="J273" s="16"/>
      <c r="N273" s="111"/>
      <c r="O273" s="111" t="str">
        <f>INDEX(X_Table_Swine_Stage2MMS_From_AnaerobicLagoon,5,1)</f>
        <v>Direct application</v>
      </c>
      <c r="P273" s="15" t="s">
        <v>124</v>
      </c>
      <c r="Q273" s="15" t="s">
        <v>124</v>
      </c>
      <c r="R273" s="15" t="s">
        <v>124</v>
      </c>
      <c r="S273" s="15" t="s">
        <v>124</v>
      </c>
      <c r="T273" s="16"/>
    </row>
    <row r="274" spans="1:20" ht="20.100000000000001" customHeight="1" x14ac:dyDescent="0.2">
      <c r="D274" s="111" t="str">
        <f>INDEX(X_Table_Swine_Stage1MMS_Drylot,2,1)</f>
        <v>Drylot (feed pad)</v>
      </c>
      <c r="E274" s="111" t="str">
        <f>INDEX(X_Table_Swine_Stage2MMS_From_Drylot,2,1)</f>
        <v>Anaerobic lagoon</v>
      </c>
      <c r="F274" s="15" cm="1">
        <f t="array" aca="1" ref="F274" ca="1">MMS_Swine_N2ODirect_Equations.VEERG_4_5_1_3__1_TotalAnnualDirectNitrousOxideEmissionsFromMMS(F221, _xlfn.XLOOKUP($E274, $D$153:$D$159, $E$153:$E$159), $I$256)</f>
        <v>0</v>
      </c>
      <c r="G274" s="15" cm="1">
        <f t="array" aca="1" ref="G274" ca="1">MMS_Swine_N2ODirect_Equations.VEERG_4_5_1_3__1_TotalAnnualDirectNitrousOxideEmissionsFromMMS(G221, _xlfn.XLOOKUP($E274, $D$153:$D$159, $E$153:$E$159), $I$256)</f>
        <v>0</v>
      </c>
      <c r="H274" s="15" cm="1">
        <f t="array" aca="1" ref="H274" ca="1">MMS_Swine_N2ODirect_Equations.VEERG_4_5_1_3__1_TotalAnnualDirectNitrousOxideEmissionsFromMMS(H221, _xlfn.XLOOKUP($E274, $D$153:$D$159, $E$153:$E$159), $I$256)</f>
        <v>0</v>
      </c>
      <c r="I274" s="15" cm="1">
        <f t="array" aca="1" ref="I274" ca="1">MMS_Swine_N2ODirect_Equations.VEERG_4_5_1_3__1_TotalAnnualDirectNitrousOxideEmissionsFromMMS(I221, _xlfn.XLOOKUP($E274, $D$153:$D$159, $E$153:$E$159), $I$256)</f>
        <v>0</v>
      </c>
      <c r="J274" s="16"/>
      <c r="N274" s="111" t="str">
        <f>INDEX(X_Table_Swine_Stage1MMS_Drylot,2,1)</f>
        <v>Drylot (feed pad)</v>
      </c>
      <c r="O274" s="111" t="str">
        <f>INDEX(X_Table_Swine_Stage2MMS_From_Drylot,2,1)</f>
        <v>Anaerobic lagoon</v>
      </c>
      <c r="P274" s="15" cm="1">
        <f t="array" aca="1" ref="P274" ca="1">MMS_Swine_N2ODirect_Equations.VEERG_4_5_1_3__1_TotalAnnualDirectNitrousOxideEmissionsFromMMS(P221, _xlfn.XLOOKUP($E274, $D$153:$D$159, $E$153:$E$159), $I$256)</f>
        <v>0</v>
      </c>
      <c r="Q274" s="15" cm="1">
        <f t="array" aca="1" ref="Q274" ca="1">MMS_Swine_N2ODirect_Equations.VEERG_4_5_1_3__1_TotalAnnualDirectNitrousOxideEmissionsFromMMS(Q221, _xlfn.XLOOKUP($E274, $D$153:$D$159, $E$153:$E$159), $I$256)</f>
        <v>0</v>
      </c>
      <c r="R274" s="15" cm="1">
        <f t="array" aca="1" ref="R274" ca="1">MMS_Swine_N2ODirect_Equations.VEERG_4_5_1_3__1_TotalAnnualDirectNitrousOxideEmissionsFromMMS(R221, _xlfn.XLOOKUP($E274, $D$153:$D$159, $E$153:$E$159), $I$256)</f>
        <v>0</v>
      </c>
      <c r="S274" s="15" cm="1">
        <f t="array" aca="1" ref="S274" ca="1">MMS_Swine_N2ODirect_Equations.VEERG_4_5_1_3__1_TotalAnnualDirectNitrousOxideEmissionsFromMMS(S221, _xlfn.XLOOKUP($E274, $D$153:$D$159, $E$153:$E$159), $I$256)</f>
        <v>0</v>
      </c>
      <c r="T274" s="16"/>
    </row>
    <row r="275" spans="1:20" ht="20.100000000000001" customHeight="1" x14ac:dyDescent="0.2">
      <c r="D275" s="111"/>
      <c r="E275" s="111" t="str">
        <f>INDEX(X_Table_Swine_Stage2MMS_From_Drylot,3,1)</f>
        <v>Digester / covered lagoons</v>
      </c>
      <c r="F275" s="15" cm="1">
        <f t="array" aca="1" ref="F275" ca="1">MMS_Swine_N2ODirect_Equations.VEERG_4_5_1_3__1_TotalAnnualDirectNitrousOxideEmissionsFromMMS(F222, _xlfn.XLOOKUP($E275, $D$153:$D$159, $E$153:$E$159), $I$256)</f>
        <v>0</v>
      </c>
      <c r="G275" s="15" cm="1">
        <f t="array" aca="1" ref="G275" ca="1">MMS_Swine_N2ODirect_Equations.VEERG_4_5_1_3__1_TotalAnnualDirectNitrousOxideEmissionsFromMMS(G222, _xlfn.XLOOKUP($E275, $D$153:$D$159, $E$153:$E$159), $I$256)</f>
        <v>0</v>
      </c>
      <c r="H275" s="15" cm="1">
        <f t="array" aca="1" ref="H275" ca="1">MMS_Swine_N2ODirect_Equations.VEERG_4_5_1_3__1_TotalAnnualDirectNitrousOxideEmissionsFromMMS(H222, _xlfn.XLOOKUP($E275, $D$153:$D$159, $E$153:$E$159), $I$256)</f>
        <v>0</v>
      </c>
      <c r="I275" s="15" cm="1">
        <f t="array" aca="1" ref="I275" ca="1">MMS_Swine_N2ODirect_Equations.VEERG_4_5_1_3__1_TotalAnnualDirectNitrousOxideEmissionsFromMMS(I222, _xlfn.XLOOKUP($E275, $D$153:$D$159, $E$153:$E$159), $I$256)</f>
        <v>0</v>
      </c>
      <c r="J275" s="16"/>
      <c r="N275" s="111"/>
      <c r="O275" s="111" t="str">
        <f>INDEX(X_Table_Swine_Stage2MMS_From_Drylot,3,1)</f>
        <v>Digester / covered lagoons</v>
      </c>
      <c r="P275" s="15" cm="1">
        <f t="array" aca="1" ref="P275" ca="1">MMS_Swine_N2ODirect_Equations.VEERG_4_5_1_3__1_TotalAnnualDirectNitrousOxideEmissionsFromMMS(P222, _xlfn.XLOOKUP($E275, $D$153:$D$159, $E$153:$E$159), $I$256)</f>
        <v>0</v>
      </c>
      <c r="Q275" s="15" cm="1">
        <f t="array" aca="1" ref="Q275" ca="1">MMS_Swine_N2ODirect_Equations.VEERG_4_5_1_3__1_TotalAnnualDirectNitrousOxideEmissionsFromMMS(Q222, _xlfn.XLOOKUP($E275, $D$153:$D$159, $E$153:$E$159), $I$256)</f>
        <v>0</v>
      </c>
      <c r="R275" s="15" cm="1">
        <f t="array" aca="1" ref="R275" ca="1">MMS_Swine_N2ODirect_Equations.VEERG_4_5_1_3__1_TotalAnnualDirectNitrousOxideEmissionsFromMMS(R222, _xlfn.XLOOKUP($E275, $D$153:$D$159, $E$153:$E$159), $I$256)</f>
        <v>0</v>
      </c>
      <c r="S275" s="15" cm="1">
        <f t="array" aca="1" ref="S275" ca="1">MMS_Swine_N2ODirect_Equations.VEERG_4_5_1_3__1_TotalAnnualDirectNitrousOxideEmissionsFromMMS(S222, _xlfn.XLOOKUP($E275, $D$153:$D$159, $E$153:$E$159), $I$256)</f>
        <v>0</v>
      </c>
      <c r="T275" s="16"/>
    </row>
    <row r="276" spans="1:20" ht="20.100000000000001" customHeight="1" x14ac:dyDescent="0.2">
      <c r="D276" s="111"/>
      <c r="E276" s="111" t="str">
        <f>INDEX(X_Table_Swine_Stage2MMS_From_Drylot,4,1)</f>
        <v>Deep litter</v>
      </c>
      <c r="F276" s="15" cm="1">
        <f t="array" aca="1" ref="F276" ca="1">MMS_Swine_N2ODirect_Equations.VEERG_4_5_1_3__1_TotalAnnualDirectNitrousOxideEmissionsFromMMS(F223, _xlfn.XLOOKUP($E276, $D$153:$D$159, $E$153:$E$159), $I$256)</f>
        <v>4.3059154285714273E-4</v>
      </c>
      <c r="G276" s="15" cm="1">
        <f t="array" aca="1" ref="G276" ca="1">MMS_Swine_N2ODirect_Equations.VEERG_4_5_1_3__1_TotalAnnualDirectNitrousOxideEmissionsFromMMS(G223, _xlfn.XLOOKUP($E276, $D$153:$D$159, $E$153:$E$159), $I$256)</f>
        <v>5.7334200000000012E-4</v>
      </c>
      <c r="H276" s="15" cm="1">
        <f t="array" aca="1" ref="H276" ca="1">MMS_Swine_N2ODirect_Equations.VEERG_4_5_1_3__1_TotalAnnualDirectNitrousOxideEmissionsFromMMS(H223, _xlfn.XLOOKUP($E276, $D$153:$D$159, $E$153:$E$159), $I$256)</f>
        <v>5.3823942857142838E-4</v>
      </c>
      <c r="I276" s="15" cm="1">
        <f t="array" aca="1" ref="I276" ca="1">MMS_Swine_N2ODirect_Equations.VEERG_4_5_1_3__1_TotalAnnualDirectNitrousOxideEmissionsFromMMS(I223, _xlfn.XLOOKUP($E276, $D$153:$D$159, $E$153:$E$159), $I$256)</f>
        <v>3.6506674285714276E-4</v>
      </c>
      <c r="J276" s="16"/>
      <c r="N276" s="111"/>
      <c r="O276" s="111" t="str">
        <f>INDEX(X_Table_Swine_Stage2MMS_From_Drylot,4,1)</f>
        <v>Deep litter</v>
      </c>
      <c r="P276" s="15" cm="1">
        <f t="array" aca="1" ref="P276" ca="1">MMS_Swine_N2ODirect_Equations.VEERG_4_5_1_3__1_TotalAnnualDirectNitrousOxideEmissionsFromMMS(P223, _xlfn.XLOOKUP($E276, $D$153:$D$159, $E$153:$E$159), $I$256)</f>
        <v>4.3059154285714273E-4</v>
      </c>
      <c r="Q276" s="15" cm="1">
        <f t="array" aca="1" ref="Q276" ca="1">MMS_Swine_N2ODirect_Equations.VEERG_4_5_1_3__1_TotalAnnualDirectNitrousOxideEmissionsFromMMS(Q223, _xlfn.XLOOKUP($E276, $D$153:$D$159, $E$153:$E$159), $I$256)</f>
        <v>5.7334200000000012E-4</v>
      </c>
      <c r="R276" s="15" cm="1">
        <f t="array" aca="1" ref="R276" ca="1">MMS_Swine_N2ODirect_Equations.VEERG_4_5_1_3__1_TotalAnnualDirectNitrousOxideEmissionsFromMMS(R223, _xlfn.XLOOKUP($E276, $D$153:$D$159, $E$153:$E$159), $I$256)</f>
        <v>5.3823942857142838E-4</v>
      </c>
      <c r="S276" s="15" cm="1">
        <f t="array" aca="1" ref="S276" ca="1">MMS_Swine_N2ODirect_Equations.VEERG_4_5_1_3__1_TotalAnnualDirectNitrousOxideEmissionsFromMMS(S223, _xlfn.XLOOKUP($E276, $D$153:$D$159, $E$153:$E$159), $I$256)</f>
        <v>3.6506674285714276E-4</v>
      </c>
      <c r="T276" s="16"/>
    </row>
    <row r="277" spans="1:20" ht="20.100000000000001" customHeight="1" x14ac:dyDescent="0.2">
      <c r="A277" s="131" t="str">
        <f>HYPERLINK("#A1", "▲ Back to top")</f>
        <v>▲ Back to top</v>
      </c>
      <c r="D277" s="111"/>
      <c r="E277" s="111" t="str">
        <f>INDEX(X_Table_Swine_Stage2MMS_From_Drylot,5,1)</f>
        <v>Pit storage</v>
      </c>
      <c r="F277" s="15" cm="1">
        <f t="array" aca="1" ref="F277" ca="1">MMS_Swine_N2ODirect_Equations.VEERG_4_5_1_3__1_TotalAnnualDirectNitrousOxideEmissionsFromMMS(F224, _xlfn.XLOOKUP($E277, $D$153:$D$159, $E$153:$E$159), $I$256)</f>
        <v>8.6118308571428545E-5</v>
      </c>
      <c r="G277" s="15" cm="1">
        <f t="array" aca="1" ref="G277" ca="1">MMS_Swine_N2ODirect_Equations.VEERG_4_5_1_3__1_TotalAnnualDirectNitrousOxideEmissionsFromMMS(G224, _xlfn.XLOOKUP($E277, $D$153:$D$159, $E$153:$E$159), $I$256)</f>
        <v>1.1466840000000002E-4</v>
      </c>
      <c r="H277" s="15" cm="1">
        <f t="array" aca="1" ref="H277" ca="1">MMS_Swine_N2ODirect_Equations.VEERG_4_5_1_3__1_TotalAnnualDirectNitrousOxideEmissionsFromMMS(H224, _xlfn.XLOOKUP($E277, $D$153:$D$159, $E$153:$E$159), $I$256)</f>
        <v>1.0764788571428568E-4</v>
      </c>
      <c r="I277" s="15" cm="1">
        <f t="array" aca="1" ref="I277" ca="1">MMS_Swine_N2ODirect_Equations.VEERG_4_5_1_3__1_TotalAnnualDirectNitrousOxideEmissionsFromMMS(I224, _xlfn.XLOOKUP($E277, $D$153:$D$159, $E$153:$E$159), $I$256)</f>
        <v>7.3013348571428544E-5</v>
      </c>
      <c r="J277" s="16"/>
      <c r="N277" s="111"/>
      <c r="O277" s="111" t="str">
        <f>INDEX(X_Table_Swine_Stage2MMS_From_Drylot,5,1)</f>
        <v>Pit storage</v>
      </c>
      <c r="P277" s="15" cm="1">
        <f t="array" aca="1" ref="P277" ca="1">MMS_Swine_N2ODirect_Equations.VEERG_4_5_1_3__1_TotalAnnualDirectNitrousOxideEmissionsFromMMS(P224, _xlfn.XLOOKUP($E277, $D$153:$D$159, $E$153:$E$159), $I$256)</f>
        <v>8.6118308571428545E-5</v>
      </c>
      <c r="Q277" s="15" cm="1">
        <f t="array" aca="1" ref="Q277" ca="1">MMS_Swine_N2ODirect_Equations.VEERG_4_5_1_3__1_TotalAnnualDirectNitrousOxideEmissionsFromMMS(Q224, _xlfn.XLOOKUP($E277, $D$153:$D$159, $E$153:$E$159), $I$256)</f>
        <v>1.1466840000000002E-4</v>
      </c>
      <c r="R277" s="15" cm="1">
        <f t="array" aca="1" ref="R277" ca="1">MMS_Swine_N2ODirect_Equations.VEERG_4_5_1_3__1_TotalAnnualDirectNitrousOxideEmissionsFromMMS(R224, _xlfn.XLOOKUP($E277, $D$153:$D$159, $E$153:$E$159), $I$256)</f>
        <v>1.0764788571428568E-4</v>
      </c>
      <c r="S277" s="15" cm="1">
        <f t="array" aca="1" ref="S277" ca="1">MMS_Swine_N2ODirect_Equations.VEERG_4_5_1_3__1_TotalAnnualDirectNitrousOxideEmissionsFromMMS(S224, _xlfn.XLOOKUP($E277, $D$153:$D$159, $E$153:$E$159), $I$256)</f>
        <v>7.3013348571428544E-5</v>
      </c>
      <c r="T277" s="16"/>
    </row>
    <row r="278" spans="1:20" ht="20.100000000000001" customHeight="1" x14ac:dyDescent="0.2">
      <c r="D278" s="111"/>
      <c r="E278" s="111" t="str">
        <f>INDEX(X_Table_Swine_Stage2MMS_From_Drylot,6,1)</f>
        <v>Direct application</v>
      </c>
      <c r="F278" s="15" t="s">
        <v>124</v>
      </c>
      <c r="G278" s="15" t="s">
        <v>124</v>
      </c>
      <c r="H278" s="15" t="s">
        <v>124</v>
      </c>
      <c r="I278" s="15" t="s">
        <v>124</v>
      </c>
      <c r="J278" s="16"/>
      <c r="N278" s="111"/>
      <c r="O278" s="111" t="str">
        <f>INDEX(X_Table_Swine_Stage2MMS_From_Drylot,6,1)</f>
        <v>Direct application</v>
      </c>
      <c r="P278" s="15" t="s">
        <v>124</v>
      </c>
      <c r="Q278" s="15" t="s">
        <v>124</v>
      </c>
      <c r="R278" s="15" t="s">
        <v>124</v>
      </c>
      <c r="S278" s="15" t="s">
        <v>124</v>
      </c>
      <c r="T278" s="16"/>
    </row>
    <row r="279" spans="1:20" ht="20.100000000000001" customHeight="1" x14ac:dyDescent="0.2">
      <c r="D279" s="111" t="str">
        <f>INDEX(X_Table_Swine_Stage1MMS_DigesterCoveredLagoons,2,1)</f>
        <v>Digester / covered lagoons</v>
      </c>
      <c r="E279" s="111" t="str">
        <f>INDEX(X_Table_Swine_Stage2MMS_From_DigesterCoveredLagoons,2,1)</f>
        <v>Anaerobic lagoon</v>
      </c>
      <c r="F279" s="15" cm="1">
        <f t="array" aca="1" ref="F279" ca="1">MMS_Swine_N2ODirect_Equations.VEERG_4_5_1_3__1_TotalAnnualDirectNitrousOxideEmissionsFromMMS(F226, _xlfn.XLOOKUP($E279, $D$153:$D$159, $E$153:$E$159), $I$256)</f>
        <v>0</v>
      </c>
      <c r="G279" s="15" cm="1">
        <f t="array" aca="1" ref="G279" ca="1">MMS_Swine_N2ODirect_Equations.VEERG_4_5_1_3__1_TotalAnnualDirectNitrousOxideEmissionsFromMMS(G226, _xlfn.XLOOKUP($E279, $D$153:$D$159, $E$153:$E$159), $I$256)</f>
        <v>0</v>
      </c>
      <c r="H279" s="15" cm="1">
        <f t="array" aca="1" ref="H279" ca="1">MMS_Swine_N2ODirect_Equations.VEERG_4_5_1_3__1_TotalAnnualDirectNitrousOxideEmissionsFromMMS(H226, _xlfn.XLOOKUP($E279, $D$153:$D$159, $E$153:$E$159), $I$256)</f>
        <v>0</v>
      </c>
      <c r="I279" s="15" cm="1">
        <f t="array" aca="1" ref="I279" ca="1">MMS_Swine_N2ODirect_Equations.VEERG_4_5_1_3__1_TotalAnnualDirectNitrousOxideEmissionsFromMMS(I226, _xlfn.XLOOKUP($E279, $D$153:$D$159, $E$153:$E$159), $I$256)</f>
        <v>0</v>
      </c>
      <c r="J279" s="16"/>
      <c r="N279" s="111" t="str">
        <f>INDEX(X_Table_Swine_Stage1MMS_DigesterCoveredLagoons,2,1)</f>
        <v>Digester / covered lagoons</v>
      </c>
      <c r="O279" s="111" t="str">
        <f>INDEX(X_Table_Swine_Stage2MMS_From_DigesterCoveredLagoons,2,1)</f>
        <v>Anaerobic lagoon</v>
      </c>
      <c r="P279" s="15" cm="1">
        <f t="array" aca="1" ref="P279" ca="1">MMS_Swine_N2ODirect_Equations.VEERG_4_5_1_3__1_TotalAnnualDirectNitrousOxideEmissionsFromMMS(P226, _xlfn.XLOOKUP($E279, $D$153:$D$159, $E$153:$E$159), $I$256)</f>
        <v>0</v>
      </c>
      <c r="Q279" s="15" cm="1">
        <f t="array" aca="1" ref="Q279" ca="1">MMS_Swine_N2ODirect_Equations.VEERG_4_5_1_3__1_TotalAnnualDirectNitrousOxideEmissionsFromMMS(Q226, _xlfn.XLOOKUP($E279, $D$153:$D$159, $E$153:$E$159), $I$256)</f>
        <v>0</v>
      </c>
      <c r="R279" s="15" cm="1">
        <f t="array" aca="1" ref="R279" ca="1">MMS_Swine_N2ODirect_Equations.VEERG_4_5_1_3__1_TotalAnnualDirectNitrousOxideEmissionsFromMMS(R226, _xlfn.XLOOKUP($E279, $D$153:$D$159, $E$153:$E$159), $I$256)</f>
        <v>0</v>
      </c>
      <c r="S279" s="15" cm="1">
        <f t="array" aca="1" ref="S279" ca="1">MMS_Swine_N2ODirect_Equations.VEERG_4_5_1_3__1_TotalAnnualDirectNitrousOxideEmissionsFromMMS(S226, _xlfn.XLOOKUP($E279, $D$153:$D$159, $E$153:$E$159), $I$256)</f>
        <v>0</v>
      </c>
      <c r="T279" s="16"/>
    </row>
    <row r="280" spans="1:20" ht="20.100000000000001" customHeight="1" x14ac:dyDescent="0.2">
      <c r="D280" s="111"/>
      <c r="E280" s="111" t="str">
        <f>INDEX(X_Table_Swine_Stage2MMS_From_DigesterCoveredLagoons,3,1)</f>
        <v>Deep litter</v>
      </c>
      <c r="F280" s="15" cm="1">
        <f t="array" aca="1" ref="F280" ca="1">MMS_Swine_N2ODirect_Equations.VEERG_4_5_1_3__1_TotalAnnualDirectNitrousOxideEmissionsFromMMS(F227, _xlfn.XLOOKUP($E280, $D$153:$D$159, $E$153:$E$159), $I$256)</f>
        <v>6.3322285714285703E-4</v>
      </c>
      <c r="G280" s="15" cm="1">
        <f t="array" aca="1" ref="G280" ca="1">MMS_Swine_N2ODirect_Equations.VEERG_4_5_1_3__1_TotalAnnualDirectNitrousOxideEmissionsFromMMS(G227, _xlfn.XLOOKUP($E280, $D$153:$D$159, $E$153:$E$159), $I$256)</f>
        <v>8.4315000000000008E-4</v>
      </c>
      <c r="H280" s="15" cm="1">
        <f t="array" aca="1" ref="H280" ca="1">MMS_Swine_N2ODirect_Equations.VEERG_4_5_1_3__1_TotalAnnualDirectNitrousOxideEmissionsFromMMS(H227, _xlfn.XLOOKUP($E280, $D$153:$D$159, $E$153:$E$159), $I$256)</f>
        <v>7.9152857142857124E-4</v>
      </c>
      <c r="I280" s="15" cm="1">
        <f t="array" aca="1" ref="I280" ca="1">MMS_Swine_N2ODirect_Equations.VEERG_4_5_1_3__1_TotalAnnualDirectNitrousOxideEmissionsFromMMS(I227, _xlfn.XLOOKUP($E280, $D$153:$D$159, $E$153:$E$159), $I$256)</f>
        <v>5.3686285714285705E-4</v>
      </c>
      <c r="J280" s="16"/>
      <c r="N280" s="111"/>
      <c r="O280" s="111" t="str">
        <f>INDEX(X_Table_Swine_Stage2MMS_From_DigesterCoveredLagoons,3,1)</f>
        <v>Deep litter</v>
      </c>
      <c r="P280" s="15" cm="1">
        <f t="array" aca="1" ref="P280" ca="1">MMS_Swine_N2ODirect_Equations.VEERG_4_5_1_3__1_TotalAnnualDirectNitrousOxideEmissionsFromMMS(P227, _xlfn.XLOOKUP($E280, $D$153:$D$159, $E$153:$E$159), $I$256)</f>
        <v>6.3322285714285703E-4</v>
      </c>
      <c r="Q280" s="15" cm="1">
        <f t="array" aca="1" ref="Q280" ca="1">MMS_Swine_N2ODirect_Equations.VEERG_4_5_1_3__1_TotalAnnualDirectNitrousOxideEmissionsFromMMS(Q227, _xlfn.XLOOKUP($E280, $D$153:$D$159, $E$153:$E$159), $I$256)</f>
        <v>8.4315000000000008E-4</v>
      </c>
      <c r="R280" s="15" cm="1">
        <f t="array" aca="1" ref="R280" ca="1">MMS_Swine_N2ODirect_Equations.VEERG_4_5_1_3__1_TotalAnnualDirectNitrousOxideEmissionsFromMMS(R227, _xlfn.XLOOKUP($E280, $D$153:$D$159, $E$153:$E$159), $I$256)</f>
        <v>7.9152857142857124E-4</v>
      </c>
      <c r="S280" s="15" cm="1">
        <f t="array" aca="1" ref="S280" ca="1">MMS_Swine_N2ODirect_Equations.VEERG_4_5_1_3__1_TotalAnnualDirectNitrousOxideEmissionsFromMMS(S227, _xlfn.XLOOKUP($E280, $D$153:$D$159, $E$153:$E$159), $I$256)</f>
        <v>5.3686285714285705E-4</v>
      </c>
      <c r="T280" s="16"/>
    </row>
    <row r="281" spans="1:20" ht="20.100000000000001" customHeight="1" x14ac:dyDescent="0.2">
      <c r="D281" s="111"/>
      <c r="E281" s="111" t="str">
        <f>INDEX(X_Table_Swine_Stage2MMS_From_DigesterCoveredLagoons,4,1)</f>
        <v>Pit storage</v>
      </c>
      <c r="F281" s="15" cm="1">
        <f t="array" aca="1" ref="F281" ca="1">MMS_Swine_N2ODirect_Equations.VEERG_4_5_1_3__1_TotalAnnualDirectNitrousOxideEmissionsFromMMS(F228, _xlfn.XLOOKUP($E281, $D$153:$D$159, $E$153:$E$159), $I$256)</f>
        <v>1.266445714285714E-4</v>
      </c>
      <c r="G281" s="15" cm="1">
        <f t="array" aca="1" ref="G281" ca="1">MMS_Swine_N2ODirect_Equations.VEERG_4_5_1_3__1_TotalAnnualDirectNitrousOxideEmissionsFromMMS(G228, _xlfn.XLOOKUP($E281, $D$153:$D$159, $E$153:$E$159), $I$256)</f>
        <v>1.6863000000000004E-4</v>
      </c>
      <c r="H281" s="15" cm="1">
        <f t="array" aca="1" ref="H281" ca="1">MMS_Swine_N2ODirect_Equations.VEERG_4_5_1_3__1_TotalAnnualDirectNitrousOxideEmissionsFromMMS(H228, _xlfn.XLOOKUP($E281, $D$153:$D$159, $E$153:$E$159), $I$256)</f>
        <v>1.5830571428571426E-4</v>
      </c>
      <c r="I281" s="15" cm="1">
        <f t="array" aca="1" ref="I281" ca="1">MMS_Swine_N2ODirect_Equations.VEERG_4_5_1_3__1_TotalAnnualDirectNitrousOxideEmissionsFromMMS(I228, _xlfn.XLOOKUP($E281, $D$153:$D$159, $E$153:$E$159), $I$256)</f>
        <v>1.073725714285714E-4</v>
      </c>
      <c r="J281" s="16"/>
      <c r="N281" s="111"/>
      <c r="O281" s="111" t="str">
        <f>INDEX(X_Table_Swine_Stage2MMS_From_DigesterCoveredLagoons,4,1)</f>
        <v>Pit storage</v>
      </c>
      <c r="P281" s="15" cm="1">
        <f t="array" aca="1" ref="P281" ca="1">MMS_Swine_N2ODirect_Equations.VEERG_4_5_1_3__1_TotalAnnualDirectNitrousOxideEmissionsFromMMS(P228, _xlfn.XLOOKUP($E281, $D$153:$D$159, $E$153:$E$159), $I$256)</f>
        <v>1.266445714285714E-4</v>
      </c>
      <c r="Q281" s="15" cm="1">
        <f t="array" aca="1" ref="Q281" ca="1">MMS_Swine_N2ODirect_Equations.VEERG_4_5_1_3__1_TotalAnnualDirectNitrousOxideEmissionsFromMMS(Q228, _xlfn.XLOOKUP($E281, $D$153:$D$159, $E$153:$E$159), $I$256)</f>
        <v>1.6863000000000004E-4</v>
      </c>
      <c r="R281" s="15" cm="1">
        <f t="array" aca="1" ref="R281" ca="1">MMS_Swine_N2ODirect_Equations.VEERG_4_5_1_3__1_TotalAnnualDirectNitrousOxideEmissionsFromMMS(R228, _xlfn.XLOOKUP($E281, $D$153:$D$159, $E$153:$E$159), $I$256)</f>
        <v>1.5830571428571426E-4</v>
      </c>
      <c r="S281" s="15" cm="1">
        <f t="array" aca="1" ref="S281" ca="1">MMS_Swine_N2ODirect_Equations.VEERG_4_5_1_3__1_TotalAnnualDirectNitrousOxideEmissionsFromMMS(S228, _xlfn.XLOOKUP($E281, $D$153:$D$159, $E$153:$E$159), $I$256)</f>
        <v>1.073725714285714E-4</v>
      </c>
      <c r="T281" s="16"/>
    </row>
    <row r="282" spans="1:20" ht="20.100000000000001" customHeight="1" x14ac:dyDescent="0.2">
      <c r="D282" s="111"/>
      <c r="E282" s="111" t="str">
        <f>INDEX(X_Table_Swine_Stage2MMS_From_DigesterCoveredLagoons,5,1)</f>
        <v>Direct application</v>
      </c>
      <c r="F282" s="15" t="s">
        <v>124</v>
      </c>
      <c r="G282" s="15" t="s">
        <v>124</v>
      </c>
      <c r="H282" s="15" t="s">
        <v>124</v>
      </c>
      <c r="I282" s="15" t="s">
        <v>124</v>
      </c>
      <c r="J282" s="16"/>
      <c r="N282" s="111"/>
      <c r="O282" s="111" t="str">
        <f>INDEX(X_Table_Swine_Stage2MMS_From_DigesterCoveredLagoons,5,1)</f>
        <v>Direct application</v>
      </c>
      <c r="P282" s="15" t="s">
        <v>124</v>
      </c>
      <c r="Q282" s="15" t="s">
        <v>124</v>
      </c>
      <c r="R282" s="15" t="s">
        <v>124</v>
      </c>
      <c r="S282" s="15" t="s">
        <v>124</v>
      </c>
      <c r="T282" s="16"/>
    </row>
    <row r="283" spans="1:20" ht="20.100000000000001" customHeight="1" x14ac:dyDescent="0.2">
      <c r="D283" s="111" t="str">
        <f>INDEX(X_Table_Swine_Stage1MMS_DeepLitter,2,1)</f>
        <v>Deep litter</v>
      </c>
      <c r="E283" s="111" t="str">
        <f>INDEX(X_Table_Swine_Stage2MMS_From_DeepLitter,2,1)</f>
        <v>Anaerobic lagoon</v>
      </c>
      <c r="F283" s="15" cm="1">
        <f t="array" aca="1" ref="F283" ca="1">MMS_Swine_N2ODirect_Equations.VEERG_4_5_1_3__1_TotalAnnualDirectNitrousOxideEmissionsFromMMS(F230, _xlfn.XLOOKUP($E283, $D$153:$D$159, $E$153:$E$159), $I$256)</f>
        <v>0</v>
      </c>
      <c r="G283" s="15" cm="1">
        <f t="array" aca="1" ref="G283" ca="1">MMS_Swine_N2ODirect_Equations.VEERG_4_5_1_3__1_TotalAnnualDirectNitrousOxideEmissionsFromMMS(G230, _xlfn.XLOOKUP($E283, $D$153:$D$159, $E$153:$E$159), $I$256)</f>
        <v>0</v>
      </c>
      <c r="H283" s="15" cm="1">
        <f t="array" aca="1" ref="H283" ca="1">MMS_Swine_N2ODirect_Equations.VEERG_4_5_1_3__1_TotalAnnualDirectNitrousOxideEmissionsFromMMS(H230, _xlfn.XLOOKUP($E283, $D$153:$D$159, $E$153:$E$159), $I$256)</f>
        <v>0</v>
      </c>
      <c r="I283" s="15" cm="1">
        <f t="array" aca="1" ref="I283" ca="1">MMS_Swine_N2ODirect_Equations.VEERG_4_5_1_3__1_TotalAnnualDirectNitrousOxideEmissionsFromMMS(I230, _xlfn.XLOOKUP($E283, $D$153:$D$159, $E$153:$E$159), $I$256)</f>
        <v>0</v>
      </c>
      <c r="J283" s="16"/>
      <c r="N283" s="111" t="str">
        <f>INDEX(X_Table_Swine_Stage1MMS_DeepLitter,2,1)</f>
        <v>Deep litter</v>
      </c>
      <c r="O283" s="111" t="str">
        <f>INDEX(X_Table_Swine_Stage2MMS_From_DeepLitter,2,1)</f>
        <v>Anaerobic lagoon</v>
      </c>
      <c r="P283" s="15" cm="1">
        <f t="array" aca="1" ref="P283" ca="1">MMS_Swine_N2ODirect_Equations.VEERG_4_5_1_3__1_TotalAnnualDirectNitrousOxideEmissionsFromMMS(P230, _xlfn.XLOOKUP($E283, $D$153:$D$159, $E$153:$E$159), $I$256)</f>
        <v>0</v>
      </c>
      <c r="Q283" s="15" cm="1">
        <f t="array" aca="1" ref="Q283" ca="1">MMS_Swine_N2ODirect_Equations.VEERG_4_5_1_3__1_TotalAnnualDirectNitrousOxideEmissionsFromMMS(Q230, _xlfn.XLOOKUP($E283, $D$153:$D$159, $E$153:$E$159), $I$256)</f>
        <v>0</v>
      </c>
      <c r="R283" s="15" cm="1">
        <f t="array" aca="1" ref="R283" ca="1">MMS_Swine_N2ODirect_Equations.VEERG_4_5_1_3__1_TotalAnnualDirectNitrousOxideEmissionsFromMMS(R230, _xlfn.XLOOKUP($E283, $D$153:$D$159, $E$153:$E$159), $I$256)</f>
        <v>0</v>
      </c>
      <c r="S283" s="15" cm="1">
        <f t="array" aca="1" ref="S283" ca="1">MMS_Swine_N2ODirect_Equations.VEERG_4_5_1_3__1_TotalAnnualDirectNitrousOxideEmissionsFromMMS(S230, _xlfn.XLOOKUP($E283, $D$153:$D$159, $E$153:$E$159), $I$256)</f>
        <v>0</v>
      </c>
      <c r="T283" s="16"/>
    </row>
    <row r="284" spans="1:20" ht="20.100000000000001" customHeight="1" x14ac:dyDescent="0.2">
      <c r="D284" s="111"/>
      <c r="E284" s="111" t="str">
        <f>INDEX(X_Table_Swine_Stage2MMS_From_DeepLitter,3,1)</f>
        <v>Digester / covered lagoons</v>
      </c>
      <c r="F284" s="15" cm="1">
        <f t="array" aca="1" ref="F284" ca="1">MMS_Swine_N2ODirect_Equations.VEERG_4_5_1_3__1_TotalAnnualDirectNitrousOxideEmissionsFromMMS(F231, _xlfn.XLOOKUP($E284, $D$153:$D$159, $E$153:$E$159), $I$256)</f>
        <v>0</v>
      </c>
      <c r="G284" s="15" cm="1">
        <f t="array" aca="1" ref="G284" ca="1">MMS_Swine_N2ODirect_Equations.VEERG_4_5_1_3__1_TotalAnnualDirectNitrousOxideEmissionsFromMMS(G231, _xlfn.XLOOKUP($E284, $D$153:$D$159, $E$153:$E$159), $I$256)</f>
        <v>0</v>
      </c>
      <c r="H284" s="15" cm="1">
        <f t="array" aca="1" ref="H284" ca="1">MMS_Swine_N2ODirect_Equations.VEERG_4_5_1_3__1_TotalAnnualDirectNitrousOxideEmissionsFromMMS(H231, _xlfn.XLOOKUP($E284, $D$153:$D$159, $E$153:$E$159), $I$256)</f>
        <v>0</v>
      </c>
      <c r="I284" s="15" cm="1">
        <f t="array" aca="1" ref="I284" ca="1">MMS_Swine_N2ODirect_Equations.VEERG_4_5_1_3__1_TotalAnnualDirectNitrousOxideEmissionsFromMMS(I231, _xlfn.XLOOKUP($E284, $D$153:$D$159, $E$153:$E$159), $I$256)</f>
        <v>0</v>
      </c>
      <c r="J284" s="16"/>
      <c r="N284" s="111"/>
      <c r="O284" s="111" t="str">
        <f>INDEX(X_Table_Swine_Stage2MMS_From_DeepLitter,3,1)</f>
        <v>Digester / covered lagoons</v>
      </c>
      <c r="P284" s="15" cm="1">
        <f t="array" aca="1" ref="P284" ca="1">MMS_Swine_N2ODirect_Equations.VEERG_4_5_1_3__1_TotalAnnualDirectNitrousOxideEmissionsFromMMS(P231, _xlfn.XLOOKUP($E284, $D$153:$D$159, $E$153:$E$159), $I$256)</f>
        <v>0</v>
      </c>
      <c r="Q284" s="15" cm="1">
        <f t="array" aca="1" ref="Q284" ca="1">MMS_Swine_N2ODirect_Equations.VEERG_4_5_1_3__1_TotalAnnualDirectNitrousOxideEmissionsFromMMS(Q231, _xlfn.XLOOKUP($E284, $D$153:$D$159, $E$153:$E$159), $I$256)</f>
        <v>0</v>
      </c>
      <c r="R284" s="15" cm="1">
        <f t="array" aca="1" ref="R284" ca="1">MMS_Swine_N2ODirect_Equations.VEERG_4_5_1_3__1_TotalAnnualDirectNitrousOxideEmissionsFromMMS(R231, _xlfn.XLOOKUP($E284, $D$153:$D$159, $E$153:$E$159), $I$256)</f>
        <v>0</v>
      </c>
      <c r="S284" s="15" cm="1">
        <f t="array" aca="1" ref="S284" ca="1">MMS_Swine_N2ODirect_Equations.VEERG_4_5_1_3__1_TotalAnnualDirectNitrousOxideEmissionsFromMMS(S231, _xlfn.XLOOKUP($E284, $D$153:$D$159, $E$153:$E$159), $I$256)</f>
        <v>0</v>
      </c>
      <c r="T284" s="16"/>
    </row>
    <row r="285" spans="1:20" ht="20.100000000000001" customHeight="1" x14ac:dyDescent="0.2">
      <c r="D285" s="111"/>
      <c r="E285" s="111" t="str">
        <f>INDEX(X_Table_Swine_Stage2MMS_From_DeepLitter,4,1)</f>
        <v>Pit storage</v>
      </c>
      <c r="F285" s="15" cm="1">
        <f t="array" aca="1" ref="F285" ca="1">MMS_Swine_N2ODirect_Equations.VEERG_4_5_1_3__1_TotalAnnualDirectNitrousOxideEmissionsFromMMS(F232, _xlfn.XLOOKUP($E285, $D$153:$D$159, $E$153:$E$159), $I$256)</f>
        <v>1.0954755428571425E-4</v>
      </c>
      <c r="G285" s="15" cm="1">
        <f t="array" aca="1" ref="G285" ca="1">MMS_Swine_N2ODirect_Equations.VEERG_4_5_1_3__1_TotalAnnualDirectNitrousOxideEmissionsFromMMS(G232, _xlfn.XLOOKUP($E285, $D$153:$D$159, $E$153:$E$159), $I$256)</f>
        <v>1.4586495000000002E-4</v>
      </c>
      <c r="H285" s="15" cm="1">
        <f t="array" aca="1" ref="H285" ca="1">MMS_Swine_N2ODirect_Equations.VEERG_4_5_1_3__1_TotalAnnualDirectNitrousOxideEmissionsFromMMS(H232, _xlfn.XLOOKUP($E285, $D$153:$D$159, $E$153:$E$159), $I$256)</f>
        <v>1.3693444285714282E-4</v>
      </c>
      <c r="I285" s="15" cm="1">
        <f t="array" aca="1" ref="I285" ca="1">MMS_Swine_N2ODirect_Equations.VEERG_4_5_1_3__1_TotalAnnualDirectNitrousOxideEmissionsFromMMS(I232, _xlfn.XLOOKUP($E285, $D$153:$D$159, $E$153:$E$159), $I$256)</f>
        <v>9.2877274285714271E-5</v>
      </c>
      <c r="J285" s="16"/>
      <c r="N285" s="111"/>
      <c r="O285" s="111" t="str">
        <f>INDEX(X_Table_Swine_Stage2MMS_From_DeepLitter,4,1)</f>
        <v>Pit storage</v>
      </c>
      <c r="P285" s="15" cm="1">
        <f t="array" aca="1" ref="P285" ca="1">MMS_Swine_N2ODirect_Equations.VEERG_4_5_1_3__1_TotalAnnualDirectNitrousOxideEmissionsFromMMS(P232, _xlfn.XLOOKUP($E285, $D$153:$D$159, $E$153:$E$159), $I$256)</f>
        <v>1.0954755428571425E-4</v>
      </c>
      <c r="Q285" s="15" cm="1">
        <f t="array" aca="1" ref="Q285" ca="1">MMS_Swine_N2ODirect_Equations.VEERG_4_5_1_3__1_TotalAnnualDirectNitrousOxideEmissionsFromMMS(Q232, _xlfn.XLOOKUP($E285, $D$153:$D$159, $E$153:$E$159), $I$256)</f>
        <v>1.4586495000000002E-4</v>
      </c>
      <c r="R285" s="15" cm="1">
        <f t="array" aca="1" ref="R285" ca="1">MMS_Swine_N2ODirect_Equations.VEERG_4_5_1_3__1_TotalAnnualDirectNitrousOxideEmissionsFromMMS(R232, _xlfn.XLOOKUP($E285, $D$153:$D$159, $E$153:$E$159), $I$256)</f>
        <v>1.3693444285714282E-4</v>
      </c>
      <c r="S285" s="15" cm="1">
        <f t="array" aca="1" ref="S285" ca="1">MMS_Swine_N2ODirect_Equations.VEERG_4_5_1_3__1_TotalAnnualDirectNitrousOxideEmissionsFromMMS(S232, _xlfn.XLOOKUP($E285, $D$153:$D$159, $E$153:$E$159), $I$256)</f>
        <v>9.2877274285714271E-5</v>
      </c>
      <c r="T285" s="16"/>
    </row>
    <row r="286" spans="1:20" ht="20.100000000000001" customHeight="1" x14ac:dyDescent="0.2">
      <c r="D286" s="111"/>
      <c r="E286" s="111" t="str">
        <f>INDEX(X_Table_Swine_Stage2MMS_From_DeepLitter,5,1)</f>
        <v>Direct application</v>
      </c>
      <c r="F286" s="15" t="s">
        <v>124</v>
      </c>
      <c r="G286" s="15" t="s">
        <v>124</v>
      </c>
      <c r="H286" s="15" t="s">
        <v>124</v>
      </c>
      <c r="I286" s="15" t="s">
        <v>124</v>
      </c>
      <c r="J286" s="16"/>
      <c r="N286" s="111"/>
      <c r="O286" s="111" t="str">
        <f>INDEX(X_Table_Swine_Stage2MMS_From_DeepLitter,5,1)</f>
        <v>Direct application</v>
      </c>
      <c r="P286" s="15" t="s">
        <v>124</v>
      </c>
      <c r="Q286" s="15" t="s">
        <v>124</v>
      </c>
      <c r="R286" s="15" t="s">
        <v>124</v>
      </c>
      <c r="S286" s="15" t="s">
        <v>124</v>
      </c>
      <c r="T286" s="16"/>
    </row>
    <row r="287" spans="1:20" ht="20.100000000000001" customHeight="1" x14ac:dyDescent="0.2">
      <c r="D287" s="111" t="str">
        <f>INDEX(X_Table_Swine_Stage1MMS_PitStorage,2,1)</f>
        <v>Pit storage</v>
      </c>
      <c r="E287" s="111" t="str">
        <f>INDEX(X_Table_Swine_Stage2MMS_From_PitStorage,2,1)</f>
        <v>Anaerobic lagoon</v>
      </c>
      <c r="F287" s="15" cm="1">
        <f t="array" aca="1" ref="F287" ca="1">MMS_Swine_N2ODirect_Equations.VEERG_4_5_1_3__1_TotalAnnualDirectNitrousOxideEmissionsFromMMS(F234, _xlfn.XLOOKUP($E287, $D$153:$D$159, $E$153:$E$159), $I$256)</f>
        <v>0</v>
      </c>
      <c r="G287" s="15" cm="1">
        <f t="array" aca="1" ref="G287" ca="1">MMS_Swine_N2ODirect_Equations.VEERG_4_5_1_3__1_TotalAnnualDirectNitrousOxideEmissionsFromMMS(G234, _xlfn.XLOOKUP($E287, $D$153:$D$159, $E$153:$E$159), $I$256)</f>
        <v>0</v>
      </c>
      <c r="H287" s="15" cm="1">
        <f t="array" aca="1" ref="H287" ca="1">MMS_Swine_N2ODirect_Equations.VEERG_4_5_1_3__1_TotalAnnualDirectNitrousOxideEmissionsFromMMS(H234, _xlfn.XLOOKUP($E287, $D$153:$D$159, $E$153:$E$159), $I$256)</f>
        <v>0</v>
      </c>
      <c r="I287" s="15" cm="1">
        <f t="array" aca="1" ref="I287" ca="1">MMS_Swine_N2ODirect_Equations.VEERG_4_5_1_3__1_TotalAnnualDirectNitrousOxideEmissionsFromMMS(I234, _xlfn.XLOOKUP($E287, $D$153:$D$159, $E$153:$E$159), $I$256)</f>
        <v>0</v>
      </c>
      <c r="J287" s="16"/>
      <c r="N287" s="111" t="str">
        <f>INDEX(X_Table_Swine_Stage1MMS_PitStorage,2,1)</f>
        <v>Pit storage</v>
      </c>
      <c r="O287" s="111" t="str">
        <f>INDEX(X_Table_Swine_Stage2MMS_From_PitStorage,2,1)</f>
        <v>Anaerobic lagoon</v>
      </c>
      <c r="P287" s="15" cm="1">
        <f t="array" aca="1" ref="P287" ca="1">MMS_Swine_N2ODirect_Equations.VEERG_4_5_1_3__1_TotalAnnualDirectNitrousOxideEmissionsFromMMS(P234, _xlfn.XLOOKUP($E287, $D$153:$D$159, $E$153:$E$159), $I$256)</f>
        <v>0</v>
      </c>
      <c r="Q287" s="15" cm="1">
        <f t="array" aca="1" ref="Q287" ca="1">MMS_Swine_N2ODirect_Equations.VEERG_4_5_1_3__1_TotalAnnualDirectNitrousOxideEmissionsFromMMS(Q234, _xlfn.XLOOKUP($E287, $D$153:$D$159, $E$153:$E$159), $I$256)</f>
        <v>0</v>
      </c>
      <c r="R287" s="15" cm="1">
        <f t="array" aca="1" ref="R287" ca="1">MMS_Swine_N2ODirect_Equations.VEERG_4_5_1_3__1_TotalAnnualDirectNitrousOxideEmissionsFromMMS(R234, _xlfn.XLOOKUP($E287, $D$153:$D$159, $E$153:$E$159), $I$256)</f>
        <v>0</v>
      </c>
      <c r="S287" s="15" cm="1">
        <f t="array" aca="1" ref="S287" ca="1">MMS_Swine_N2ODirect_Equations.VEERG_4_5_1_3__1_TotalAnnualDirectNitrousOxideEmissionsFromMMS(S234, _xlfn.XLOOKUP($E287, $D$153:$D$159, $E$153:$E$159), $I$256)</f>
        <v>0</v>
      </c>
      <c r="T287" s="16"/>
    </row>
    <row r="288" spans="1:20" ht="20.100000000000001" customHeight="1" x14ac:dyDescent="0.2">
      <c r="D288" s="111"/>
      <c r="E288" s="111" t="str">
        <f>INDEX(X_Table_Swine_Stage2MMS_From_PitStorage,3,1)</f>
        <v>Digester / covered lagoons</v>
      </c>
      <c r="F288" s="15" cm="1">
        <f t="array" aca="1" ref="F288" ca="1">MMS_Swine_N2ODirect_Equations.VEERG_4_5_1_3__1_TotalAnnualDirectNitrousOxideEmissionsFromMMS(F235, _xlfn.XLOOKUP($E288, $D$153:$D$159, $E$153:$E$159), $I$256)</f>
        <v>0</v>
      </c>
      <c r="G288" s="15" cm="1">
        <f t="array" aca="1" ref="G288" ca="1">MMS_Swine_N2ODirect_Equations.VEERG_4_5_1_3__1_TotalAnnualDirectNitrousOxideEmissionsFromMMS(G235, _xlfn.XLOOKUP($E288, $D$153:$D$159, $E$153:$E$159), $I$256)</f>
        <v>0</v>
      </c>
      <c r="H288" s="15" cm="1">
        <f t="array" aca="1" ref="H288" ca="1">MMS_Swine_N2ODirect_Equations.VEERG_4_5_1_3__1_TotalAnnualDirectNitrousOxideEmissionsFromMMS(H235, _xlfn.XLOOKUP($E288, $D$153:$D$159, $E$153:$E$159), $I$256)</f>
        <v>0</v>
      </c>
      <c r="I288" s="15" cm="1">
        <f t="array" aca="1" ref="I288" ca="1">MMS_Swine_N2ODirect_Equations.VEERG_4_5_1_3__1_TotalAnnualDirectNitrousOxideEmissionsFromMMS(I235, _xlfn.XLOOKUP($E288, $D$153:$D$159, $E$153:$E$159), $I$256)</f>
        <v>0</v>
      </c>
      <c r="J288" s="16"/>
      <c r="N288" s="111"/>
      <c r="O288" s="111" t="str">
        <f>INDEX(X_Table_Swine_Stage2MMS_From_PitStorage,3,1)</f>
        <v>Digester / covered lagoons</v>
      </c>
      <c r="P288" s="15" cm="1">
        <f t="array" aca="1" ref="P288" ca="1">MMS_Swine_N2ODirect_Equations.VEERG_4_5_1_3__1_TotalAnnualDirectNitrousOxideEmissionsFromMMS(P235, _xlfn.XLOOKUP($E288, $D$153:$D$159, $E$153:$E$159), $I$256)</f>
        <v>0</v>
      </c>
      <c r="Q288" s="15" cm="1">
        <f t="array" aca="1" ref="Q288" ca="1">MMS_Swine_N2ODirect_Equations.VEERG_4_5_1_3__1_TotalAnnualDirectNitrousOxideEmissionsFromMMS(Q235, _xlfn.XLOOKUP($E288, $D$153:$D$159, $E$153:$E$159), $I$256)</f>
        <v>0</v>
      </c>
      <c r="R288" s="15" cm="1">
        <f t="array" aca="1" ref="R288" ca="1">MMS_Swine_N2ODirect_Equations.VEERG_4_5_1_3__1_TotalAnnualDirectNitrousOxideEmissionsFromMMS(R235, _xlfn.XLOOKUP($E288, $D$153:$D$159, $E$153:$E$159), $I$256)</f>
        <v>0</v>
      </c>
      <c r="S288" s="15" cm="1">
        <f t="array" aca="1" ref="S288" ca="1">MMS_Swine_N2ODirect_Equations.VEERG_4_5_1_3__1_TotalAnnualDirectNitrousOxideEmissionsFromMMS(S235, _xlfn.XLOOKUP($E288, $D$153:$D$159, $E$153:$E$159), $I$256)</f>
        <v>0</v>
      </c>
      <c r="T288" s="16"/>
    </row>
    <row r="289" spans="4:20" ht="20.100000000000001" customHeight="1" x14ac:dyDescent="0.2">
      <c r="D289" s="111"/>
      <c r="E289" s="111" t="str">
        <f>INDEX(X_Table_Swine_Stage2MMS_From_PitStorage,4,1)</f>
        <v>Deep litter</v>
      </c>
      <c r="F289" s="15" cm="1">
        <f t="array" aca="1" ref="F289" ca="1">MMS_Swine_N2ODirect_Equations.VEERG_4_5_1_3__1_TotalAnnualDirectNitrousOxideEmissionsFromMMS(F236, _xlfn.XLOOKUP($E289, $D$153:$D$159, $E$153:$E$159), $I$256)</f>
        <v>4.7365069714285705E-4</v>
      </c>
      <c r="G289" s="15" cm="1">
        <f t="array" aca="1" ref="G289" ca="1">MMS_Swine_N2ODirect_Equations.VEERG_4_5_1_3__1_TotalAnnualDirectNitrousOxideEmissionsFromMMS(G236, _xlfn.XLOOKUP($E289, $D$153:$D$159, $E$153:$E$159), $I$256)</f>
        <v>6.306762E-4</v>
      </c>
      <c r="H289" s="15" cm="1">
        <f t="array" aca="1" ref="H289" ca="1">MMS_Swine_N2ODirect_Equations.VEERG_4_5_1_3__1_TotalAnnualDirectNitrousOxideEmissionsFromMMS(H236, _xlfn.XLOOKUP($E289, $D$153:$D$159, $E$153:$E$159), $I$256)</f>
        <v>5.9206337142857137E-4</v>
      </c>
      <c r="I289" s="15" cm="1">
        <f t="array" aca="1" ref="I289" ca="1">MMS_Swine_N2ODirect_Equations.VEERG_4_5_1_3__1_TotalAnnualDirectNitrousOxideEmissionsFromMMS(I236, _xlfn.XLOOKUP($E289, $D$153:$D$159, $E$153:$E$159), $I$256)</f>
        <v>4.0157341714285705E-4</v>
      </c>
      <c r="J289" s="16"/>
      <c r="N289" s="111"/>
      <c r="O289" s="111" t="str">
        <f>INDEX(X_Table_Swine_Stage2MMS_From_PitStorage,4,1)</f>
        <v>Deep litter</v>
      </c>
      <c r="P289" s="15" cm="1">
        <f t="array" aca="1" ref="P289" ca="1">MMS_Swine_N2ODirect_Equations.VEERG_4_5_1_3__1_TotalAnnualDirectNitrousOxideEmissionsFromMMS(P236, _xlfn.XLOOKUP($E289, $D$153:$D$159, $E$153:$E$159), $I$256)</f>
        <v>4.7365069714285705E-4</v>
      </c>
      <c r="Q289" s="15" cm="1">
        <f t="array" aca="1" ref="Q289" ca="1">MMS_Swine_N2ODirect_Equations.VEERG_4_5_1_3__1_TotalAnnualDirectNitrousOxideEmissionsFromMMS(Q236, _xlfn.XLOOKUP($E289, $D$153:$D$159, $E$153:$E$159), $I$256)</f>
        <v>6.306762E-4</v>
      </c>
      <c r="R289" s="15" cm="1">
        <f t="array" aca="1" ref="R289" ca="1">MMS_Swine_N2ODirect_Equations.VEERG_4_5_1_3__1_TotalAnnualDirectNitrousOxideEmissionsFromMMS(R236, _xlfn.XLOOKUP($E289, $D$153:$D$159, $E$153:$E$159), $I$256)</f>
        <v>5.9206337142857137E-4</v>
      </c>
      <c r="S289" s="15" cm="1">
        <f t="array" aca="1" ref="S289" ca="1">MMS_Swine_N2ODirect_Equations.VEERG_4_5_1_3__1_TotalAnnualDirectNitrousOxideEmissionsFromMMS(S236, _xlfn.XLOOKUP($E289, $D$153:$D$159, $E$153:$E$159), $I$256)</f>
        <v>4.0157341714285705E-4</v>
      </c>
      <c r="T289" s="16"/>
    </row>
    <row r="290" spans="4:20" ht="20.100000000000001" customHeight="1" x14ac:dyDescent="0.2">
      <c r="D290" s="111"/>
      <c r="E290" s="111" t="str">
        <f>INDEX(X_Table_Swine_Stage2MMS_From_PitStorage,5,1)</f>
        <v>Direct application</v>
      </c>
      <c r="F290" s="15" t="s">
        <v>124</v>
      </c>
      <c r="G290" s="15" t="s">
        <v>124</v>
      </c>
      <c r="H290" s="15" t="s">
        <v>124</v>
      </c>
      <c r="I290" s="15" t="s">
        <v>124</v>
      </c>
      <c r="J290" s="16"/>
      <c r="N290" s="111"/>
      <c r="O290" s="111" t="str">
        <f>INDEX(X_Table_Swine_Stage2MMS_From_PitStorage,5,1)</f>
        <v>Direct application</v>
      </c>
      <c r="P290" s="15" t="s">
        <v>124</v>
      </c>
      <c r="Q290" s="15" t="s">
        <v>124</v>
      </c>
      <c r="R290" s="15" t="s">
        <v>124</v>
      </c>
      <c r="S290" s="15" t="s">
        <v>124</v>
      </c>
      <c r="T290" s="16"/>
    </row>
    <row r="291" spans="4:20" ht="20.100000000000001" customHeight="1" x14ac:dyDescent="0.2">
      <c r="D291" s="111" t="s">
        <v>75</v>
      </c>
      <c r="E291" s="111" t="str">
        <f>INDEX(X_Table_Swine_Stage2MMS_From_SolidStorage,2,1)</f>
        <v>Anaerobic lagoon</v>
      </c>
      <c r="F291" s="15" cm="1">
        <f t="array" aca="1" ref="F291" ca="1">MMS_Swine_N2ODirect_Equations.VEERG_4_5_1_3__1_TotalAnnualDirectNitrousOxideEmissionsFromMMS(F238, _xlfn.XLOOKUP($E291, $D$153:$D$159, $E$153:$E$159), $I$256)</f>
        <v>0</v>
      </c>
      <c r="G291" s="15" cm="1">
        <f t="array" aca="1" ref="G291" ca="1">MMS_Swine_N2ODirect_Equations.VEERG_4_5_1_3__1_TotalAnnualDirectNitrousOxideEmissionsFromMMS(G238, _xlfn.XLOOKUP($E291, $D$153:$D$159, $E$153:$E$159), $I$256)</f>
        <v>0</v>
      </c>
      <c r="H291" s="15" cm="1">
        <f t="array" aca="1" ref="H291" ca="1">MMS_Swine_N2ODirect_Equations.VEERG_4_5_1_3__1_TotalAnnualDirectNitrousOxideEmissionsFromMMS(H238, _xlfn.XLOOKUP($E291, $D$153:$D$159, $E$153:$E$159), $I$256)</f>
        <v>0</v>
      </c>
      <c r="I291" s="15" cm="1">
        <f t="array" aca="1" ref="I291" ca="1">MMS_Swine_N2ODirect_Equations.VEERG_4_5_1_3__1_TotalAnnualDirectNitrousOxideEmissionsFromMMS(I238, _xlfn.XLOOKUP($E291, $D$153:$D$159, $E$153:$E$159), $I$256)</f>
        <v>0</v>
      </c>
      <c r="J291" s="16"/>
      <c r="N291" s="111" t="s">
        <v>75</v>
      </c>
      <c r="O291" s="111" t="str">
        <f>INDEX(X_Table_Swine_Stage2MMS_From_SolidStorage,2,1)</f>
        <v>Anaerobic lagoon</v>
      </c>
      <c r="P291" s="15" cm="1">
        <f t="array" aca="1" ref="P291" ca="1">MMS_Swine_N2ODirect_Equations.VEERG_4_5_1_3__1_TotalAnnualDirectNitrousOxideEmissionsFromMMS(P238, _xlfn.XLOOKUP($E291, $D$153:$D$159, $E$153:$E$159), $I$256)</f>
        <v>0</v>
      </c>
      <c r="Q291" s="15" cm="1">
        <f t="array" aca="1" ref="Q291" ca="1">MMS_Swine_N2ODirect_Equations.VEERG_4_5_1_3__1_TotalAnnualDirectNitrousOxideEmissionsFromMMS(Q238, _xlfn.XLOOKUP($E291, $D$153:$D$159, $E$153:$E$159), $I$256)</f>
        <v>0</v>
      </c>
      <c r="R291" s="15" cm="1">
        <f t="array" aca="1" ref="R291" ca="1">MMS_Swine_N2ODirect_Equations.VEERG_4_5_1_3__1_TotalAnnualDirectNitrousOxideEmissionsFromMMS(R238, _xlfn.XLOOKUP($E291, $D$153:$D$159, $E$153:$E$159), $I$256)</f>
        <v>0</v>
      </c>
      <c r="S291" s="15" cm="1">
        <f t="array" aca="1" ref="S291" ca="1">MMS_Swine_N2ODirect_Equations.VEERG_4_5_1_3__1_TotalAnnualDirectNitrousOxideEmissionsFromMMS(S238, _xlfn.XLOOKUP($E291, $D$153:$D$159, $E$153:$E$159), $I$256)</f>
        <v>0</v>
      </c>
      <c r="T291" s="16"/>
    </row>
    <row r="292" spans="4:20" ht="20.100000000000001" customHeight="1" x14ac:dyDescent="0.2">
      <c r="D292" s="111"/>
      <c r="E292" s="111" t="str">
        <f>INDEX(X_Table_Swine_Stage2MMS_From_SolidStorage,3,1)</f>
        <v>Digester / covered lagoons</v>
      </c>
      <c r="F292" s="15" cm="1">
        <f t="array" aca="1" ref="F292" ca="1">MMS_Swine_N2ODirect_Equations.VEERG_4_5_1_3__1_TotalAnnualDirectNitrousOxideEmissionsFromMMS(F239, _xlfn.XLOOKUP($E292, $D$153:$D$159, $E$153:$E$159), $I$256)</f>
        <v>0</v>
      </c>
      <c r="G292" s="15" cm="1">
        <f t="array" aca="1" ref="G292" ca="1">MMS_Swine_N2ODirect_Equations.VEERG_4_5_1_3__1_TotalAnnualDirectNitrousOxideEmissionsFromMMS(G239, _xlfn.XLOOKUP($E292, $D$153:$D$159, $E$153:$E$159), $I$256)</f>
        <v>0</v>
      </c>
      <c r="H292" s="15" cm="1">
        <f t="array" aca="1" ref="H292" ca="1">MMS_Swine_N2ODirect_Equations.VEERG_4_5_1_3__1_TotalAnnualDirectNitrousOxideEmissionsFromMMS(H239, _xlfn.XLOOKUP($E292, $D$153:$D$159, $E$153:$E$159), $I$256)</f>
        <v>0</v>
      </c>
      <c r="I292" s="15" cm="1">
        <f t="array" aca="1" ref="I292" ca="1">MMS_Swine_N2ODirect_Equations.VEERG_4_5_1_3__1_TotalAnnualDirectNitrousOxideEmissionsFromMMS(I239, _xlfn.XLOOKUP($E292, $D$153:$D$159, $E$153:$E$159), $I$256)</f>
        <v>0</v>
      </c>
      <c r="J292" s="16"/>
      <c r="N292" s="111"/>
      <c r="O292" s="111" t="str">
        <f>INDEX(X_Table_Swine_Stage2MMS_From_SolidStorage,3,1)</f>
        <v>Digester / covered lagoons</v>
      </c>
      <c r="P292" s="15" cm="1">
        <f t="array" aca="1" ref="P292" ca="1">MMS_Swine_N2ODirect_Equations.VEERG_4_5_1_3__1_TotalAnnualDirectNitrousOxideEmissionsFromMMS(P239, _xlfn.XLOOKUP($E292, $D$153:$D$159, $E$153:$E$159), $I$256)</f>
        <v>0</v>
      </c>
      <c r="Q292" s="15" cm="1">
        <f t="array" aca="1" ref="Q292" ca="1">MMS_Swine_N2ODirect_Equations.VEERG_4_5_1_3__1_TotalAnnualDirectNitrousOxideEmissionsFromMMS(Q239, _xlfn.XLOOKUP($E292, $D$153:$D$159, $E$153:$E$159), $I$256)</f>
        <v>0</v>
      </c>
      <c r="R292" s="15" cm="1">
        <f t="array" aca="1" ref="R292" ca="1">MMS_Swine_N2ODirect_Equations.VEERG_4_5_1_3__1_TotalAnnualDirectNitrousOxideEmissionsFromMMS(R239, _xlfn.XLOOKUP($E292, $D$153:$D$159, $E$153:$E$159), $I$256)</f>
        <v>0</v>
      </c>
      <c r="S292" s="15" cm="1">
        <f t="array" aca="1" ref="S292" ca="1">MMS_Swine_N2ODirect_Equations.VEERG_4_5_1_3__1_TotalAnnualDirectNitrousOxideEmissionsFromMMS(S239, _xlfn.XLOOKUP($E292, $D$153:$D$159, $E$153:$E$159), $I$256)</f>
        <v>0</v>
      </c>
      <c r="T292" s="16"/>
    </row>
    <row r="293" spans="4:20" ht="20.100000000000001" customHeight="1" x14ac:dyDescent="0.2">
      <c r="D293" s="111"/>
      <c r="E293" s="111" t="str">
        <f>INDEX(X_Table_Swine_Stage2MMS_From_SolidStorage,4,1)</f>
        <v>Deep litter</v>
      </c>
      <c r="F293" s="15" cm="1">
        <f t="array" aca="1" ref="F293" ca="1">MMS_Swine_N2ODirect_Equations.VEERG_4_5_1_3__1_TotalAnnualDirectNitrousOxideEmissionsFromMMS(F240, _xlfn.XLOOKUP($E293, $D$153:$D$159, $E$153:$E$159), $I$256)</f>
        <v>1.6780405714285722E-3</v>
      </c>
      <c r="G293" s="15" cm="1">
        <f t="array" aca="1" ref="G293" ca="1">MMS_Swine_N2ODirect_Equations.VEERG_4_5_1_3__1_TotalAnnualDirectNitrousOxideEmissionsFromMMS(G240, _xlfn.XLOOKUP($E293, $D$153:$D$159, $E$153:$E$159), $I$256)</f>
        <v>1.787478000000001E-3</v>
      </c>
      <c r="H293" s="15" cm="1">
        <f t="array" aca="1" ref="H293" ca="1">MMS_Swine_N2ODirect_Equations.VEERG_4_5_1_3__1_TotalAnnualDirectNitrousOxideEmissionsFromMMS(H240, _xlfn.XLOOKUP($E293, $D$153:$D$159, $E$153:$E$159), $I$256)</f>
        <v>1.6780405714285722E-3</v>
      </c>
      <c r="I293" s="15" cm="1">
        <f t="array" aca="1" ref="I293" ca="1">MMS_Swine_N2ODirect_Equations.VEERG_4_5_1_3__1_TotalAnnualDirectNitrousOxideEmissionsFromMMS(I240, _xlfn.XLOOKUP($E293, $D$153:$D$159, $E$153:$E$159), $I$256)</f>
        <v>1.1381492571428578E-3</v>
      </c>
      <c r="J293" s="16"/>
      <c r="N293" s="111"/>
      <c r="O293" s="111" t="str">
        <f>INDEX(X_Table_Swine_Stage2MMS_From_SolidStorage,4,1)</f>
        <v>Deep litter</v>
      </c>
      <c r="P293" s="15" cm="1">
        <f t="array" aca="1" ref="P293" ca="1">MMS_Swine_N2ODirect_Equations.VEERG_4_5_1_3__1_TotalAnnualDirectNitrousOxideEmissionsFromMMS(P240, _xlfn.XLOOKUP($E293, $D$153:$D$159, $E$153:$E$159), $I$256)</f>
        <v>1.6780405714285722E-3</v>
      </c>
      <c r="Q293" s="15" cm="1">
        <f t="array" aca="1" ref="Q293" ca="1">MMS_Swine_N2ODirect_Equations.VEERG_4_5_1_3__1_TotalAnnualDirectNitrousOxideEmissionsFromMMS(Q240, _xlfn.XLOOKUP($E293, $D$153:$D$159, $E$153:$E$159), $I$256)</f>
        <v>1.787478000000001E-3</v>
      </c>
      <c r="R293" s="15" cm="1">
        <f t="array" aca="1" ref="R293" ca="1">MMS_Swine_N2ODirect_Equations.VEERG_4_5_1_3__1_TotalAnnualDirectNitrousOxideEmissionsFromMMS(R240, _xlfn.XLOOKUP($E293, $D$153:$D$159, $E$153:$E$159), $I$256)</f>
        <v>1.6780405714285722E-3</v>
      </c>
      <c r="S293" s="15" cm="1">
        <f t="array" aca="1" ref="S293" ca="1">MMS_Swine_N2ODirect_Equations.VEERG_4_5_1_3__1_TotalAnnualDirectNitrousOxideEmissionsFromMMS(S240, _xlfn.XLOOKUP($E293, $D$153:$D$159, $E$153:$E$159), $I$256)</f>
        <v>1.1381492571428578E-3</v>
      </c>
      <c r="T293" s="16"/>
    </row>
    <row r="294" spans="4:20" ht="20.100000000000001" customHeight="1" x14ac:dyDescent="0.2">
      <c r="D294" s="111"/>
      <c r="E294" s="111" t="str">
        <f>INDEX(X_Table_Swine_Stage2MMS_From_SolidStorage,5,1)</f>
        <v>Pit storage</v>
      </c>
      <c r="F294" s="15" cm="1">
        <f t="array" aca="1" ref="F294" ca="1">MMS_Swine_N2ODirect_Equations.VEERG_4_5_1_3__1_TotalAnnualDirectNitrousOxideEmissionsFromMMS(F241, _xlfn.XLOOKUP($E294, $D$153:$D$159, $E$153:$E$159), $I$256)</f>
        <v>1.6780405714285717E-4</v>
      </c>
      <c r="G294" s="15" cm="1">
        <f t="array" aca="1" ref="G294" ca="1">MMS_Swine_N2ODirect_Equations.VEERG_4_5_1_3__1_TotalAnnualDirectNitrousOxideEmissionsFromMMS(G241, _xlfn.XLOOKUP($E294, $D$153:$D$159, $E$153:$E$159), $I$256)</f>
        <v>1.7874780000000013E-4</v>
      </c>
      <c r="H294" s="15" cm="1">
        <f t="array" aca="1" ref="H294" ca="1">MMS_Swine_N2ODirect_Equations.VEERG_4_5_1_3__1_TotalAnnualDirectNitrousOxideEmissionsFromMMS(H241, _xlfn.XLOOKUP($E294, $D$153:$D$159, $E$153:$E$159), $I$256)</f>
        <v>1.6780405714285717E-4</v>
      </c>
      <c r="I294" s="15" cm="1">
        <f t="array" aca="1" ref="I294" ca="1">MMS_Swine_N2ODirect_Equations.VEERG_4_5_1_3__1_TotalAnnualDirectNitrousOxideEmissionsFromMMS(I241, _xlfn.XLOOKUP($E294, $D$153:$D$159, $E$153:$E$159), $I$256)</f>
        <v>1.1381492571428576E-4</v>
      </c>
      <c r="J294" s="16"/>
      <c r="N294" s="111"/>
      <c r="O294" s="111" t="str">
        <f>INDEX(X_Table_Swine_Stage2MMS_From_SolidStorage,5,1)</f>
        <v>Pit storage</v>
      </c>
      <c r="P294" s="15" cm="1">
        <f t="array" aca="1" ref="P294" ca="1">MMS_Swine_N2ODirect_Equations.VEERG_4_5_1_3__1_TotalAnnualDirectNitrousOxideEmissionsFromMMS(P241, _xlfn.XLOOKUP($E294, $D$153:$D$159, $E$153:$E$159), $I$256)</f>
        <v>1.6780405714285717E-4</v>
      </c>
      <c r="Q294" s="15" cm="1">
        <f t="array" aca="1" ref="Q294" ca="1">MMS_Swine_N2ODirect_Equations.VEERG_4_5_1_3__1_TotalAnnualDirectNitrousOxideEmissionsFromMMS(Q241, _xlfn.XLOOKUP($E294, $D$153:$D$159, $E$153:$E$159), $I$256)</f>
        <v>1.7874780000000013E-4</v>
      </c>
      <c r="R294" s="15" cm="1">
        <f t="array" aca="1" ref="R294" ca="1">MMS_Swine_N2ODirect_Equations.VEERG_4_5_1_3__1_TotalAnnualDirectNitrousOxideEmissionsFromMMS(R241, _xlfn.XLOOKUP($E294, $D$153:$D$159, $E$153:$E$159), $I$256)</f>
        <v>1.6780405714285717E-4</v>
      </c>
      <c r="S294" s="15" cm="1">
        <f t="array" aca="1" ref="S294" ca="1">MMS_Swine_N2ODirect_Equations.VEERG_4_5_1_3__1_TotalAnnualDirectNitrousOxideEmissionsFromMMS(S241, _xlfn.XLOOKUP($E294, $D$153:$D$159, $E$153:$E$159), $I$256)</f>
        <v>1.1381492571428576E-4</v>
      </c>
      <c r="T294" s="16"/>
    </row>
    <row r="295" spans="4:20" ht="20.100000000000001" customHeight="1" x14ac:dyDescent="0.2">
      <c r="D295" s="111"/>
      <c r="E295" s="111" t="str">
        <f>INDEX(X_Table_Swine_Stage2MMS_From_SolidStorage,6,1)</f>
        <v>Direct application</v>
      </c>
      <c r="F295" s="15" t="s">
        <v>124</v>
      </c>
      <c r="G295" s="15" t="s">
        <v>124</v>
      </c>
      <c r="H295" s="15" t="s">
        <v>124</v>
      </c>
      <c r="I295" s="15" t="s">
        <v>124</v>
      </c>
      <c r="J295" s="16"/>
      <c r="N295" s="111"/>
      <c r="O295" s="111" t="str">
        <f>INDEX(X_Table_Swine_Stage2MMS_From_SolidStorage,6,1)</f>
        <v>Direct application</v>
      </c>
      <c r="P295" s="15" t="s">
        <v>124</v>
      </c>
      <c r="Q295" s="15" t="s">
        <v>124</v>
      </c>
      <c r="R295" s="15" t="s">
        <v>124</v>
      </c>
      <c r="S295" s="15" t="s">
        <v>124</v>
      </c>
      <c r="T295" s="16"/>
    </row>
    <row r="297" spans="4:20" ht="20.100000000000001" customHeight="1" x14ac:dyDescent="0.2">
      <c r="D297" s="84" t="s">
        <v>427</v>
      </c>
      <c r="E297" s="85">
        <f ca="1">SUM(F264:I295)</f>
        <v>7.4343140661428567E-2</v>
      </c>
      <c r="F297" s="94" t="str">
        <f>$E$252</f>
        <v>t N2O</v>
      </c>
      <c r="N297" s="84" t="s">
        <v>427</v>
      </c>
      <c r="O297" s="85">
        <f ca="1">SUM(P264:S295)</f>
        <v>7.4343140661428567E-2</v>
      </c>
      <c r="P297" s="94" t="str">
        <f>$E$252</f>
        <v>t N2O</v>
      </c>
    </row>
    <row r="299" spans="4:20" ht="20.100000000000001" customHeight="1" x14ac:dyDescent="0.2">
      <c r="D299" s="111" t="str" cm="1">
        <f t="array" ref="D299:E300">Common_Equations.Common_ConvertN2OToCO2e_Arguments()</f>
        <v>EN2O</v>
      </c>
      <c r="E299" s="112" t="str">
        <v>Nitrous oxide emissions (t N2O)</v>
      </c>
      <c r="F299" s="133"/>
      <c r="G299" s="15">
        <f ca="1">E297</f>
        <v>7.4343140661428567E-2</v>
      </c>
      <c r="N299" s="111" t="str" cm="1">
        <f t="array" ref="N299:O300">Common_Equations.Common_ConvertN2OToCO2e_Arguments()</f>
        <v>EN2O</v>
      </c>
      <c r="O299" s="112" t="str">
        <v>Nitrous oxide emissions (t N2O)</v>
      </c>
      <c r="P299" s="133"/>
      <c r="Q299" s="15">
        <f ca="1">O297</f>
        <v>7.4343140661428567E-2</v>
      </c>
    </row>
    <row r="300" spans="4:20" ht="20.100000000000001" customHeight="1" x14ac:dyDescent="0.2">
      <c r="D300" s="111" t="str">
        <v>GWPN2O</v>
      </c>
      <c r="E300" s="112" t="str">
        <v>Global warming potential for nitrous oxide (t CO2-e / t N2O)</v>
      </c>
      <c r="F300" s="133"/>
      <c r="G300" s="15">
        <f>Common_InputFunctions.Utility_LookupValueInTableNumber("N2O",Table_GWPData[Gas],Table_GWPData[CO2-e factor])</f>
        <v>265</v>
      </c>
      <c r="N300" s="111" t="str">
        <v>GWPN2O</v>
      </c>
      <c r="O300" s="112" t="str">
        <v>Global warming potential for nitrous oxide (t CO2-e / t N2O)</v>
      </c>
      <c r="P300" s="133"/>
      <c r="Q300" s="15">
        <f>Common_InputFunctions.Utility_LookupValueInTableNumber("N2O",Table_GWPData[Gas],Table_GWPData[CO2-e factor])</f>
        <v>265</v>
      </c>
    </row>
    <row r="302" spans="4:20" ht="20.100000000000001" customHeight="1" x14ac:dyDescent="0.2">
      <c r="D302" s="82" t="s">
        <v>382</v>
      </c>
      <c r="E302" s="82" cm="1">
        <f t="array" aca="1" ref="E302" ca="1">Common_Equations.Common_ConvertN2OToCO2e(G299,G300)</f>
        <v>19.700932275278571</v>
      </c>
      <c r="F302" s="88" t="str" cm="1">
        <f t="array" ref="F302">Common_Equations.Common_ConvertN2OToCO2e_Unit()</f>
        <v>t CO2e</v>
      </c>
      <c r="N302" s="82" t="s">
        <v>382</v>
      </c>
      <c r="O302" s="82" cm="1">
        <f t="array" aca="1" ref="O302" ca="1">Common_Equations.Common_ConvertN2OToCO2e(Q299,Q300)</f>
        <v>19.700932275278571</v>
      </c>
      <c r="P302" s="88" t="str" cm="1">
        <f t="array" ref="P302">Common_Equations.Common_ConvertN2OToCO2e_Unit()</f>
        <v>t CO2e</v>
      </c>
    </row>
  </sheetData>
  <dataValidations count="1">
    <dataValidation operator="equal" allowBlank="1" showInputMessage="1" showErrorMessage="1" sqref="E18 E28 E33 J101 J106 E23 U126 O114:T114 U103 O23 O33 F196:I199" xr:uid="{330151CD-DDC6-438F-969A-5EDDE5FD4B1E}"/>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C1BFD-9FF2-45AE-9600-8C3467FCD6FF}">
  <sheetPr>
    <tabColor rgb="FF008000"/>
  </sheetPr>
  <dimension ref="A1:U130"/>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428</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MMS_Swine_AtmosphericDeposition_Equations.VEERG_4_5_1_5__2_TotalNitrogenVolatilisedFromMMS_Title()</f>
        <v>Total nitrogen volatilised from MMS</v>
      </c>
    </row>
    <row r="6" spans="1:21" ht="20.100000000000001" customHeight="1" x14ac:dyDescent="0.2">
      <c r="D6" s="17" t="str" cm="1">
        <f t="array" ref="D6">MMS_Swine_AtmosphericDeposition_Equations.VEERG_4_5_1_5__2_TotalNitrogenVolatilisedFromMMS_Source()</f>
        <v>VEERG 2026: 4.5.1.1, Equation (2)</v>
      </c>
    </row>
    <row r="7" spans="1:21" ht="20.100000000000001" customHeight="1" x14ac:dyDescent="0.2">
      <c r="D7" s="110" t="s">
        <v>321</v>
      </c>
      <c r="E7" s="110" t="str" cm="1">
        <f t="array" aca="1" ref="E7" ca="1">Common_InputFunctions.Utility_DisplayFunctionName(F73)</f>
        <v>=MMS_Swine_AtmosphericDeposition_Equations.VEERG_4_5_1_5__2_TotalNitrogenVolatilisedFromMMS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MMS_Swine_AtmosphericDeposition_Equations.VEERG_4_5_1_5__2_TotalNitrogenVolatilisedFromMMS_Variable()</f>
        <v>MMS_ATMOS</v>
      </c>
    </row>
    <row r="11" spans="1:21" ht="20.100000000000001" customHeight="1" x14ac:dyDescent="0.2">
      <c r="A11" s="5" t="str">
        <f>HYPERLINK("#'Input - Swine'!A1", "Swine")</f>
        <v>Swine</v>
      </c>
      <c r="D11" s="75" t="s">
        <v>118</v>
      </c>
      <c r="E11" s="9" t="str" cm="1">
        <f t="array" ref="E11">MMS_Swine_AtmosphericDeposition_Equations.VEERG_4_5_1_5__2_TotalNitrogenVolatilisedFromMMS_Unit()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4">Common_InputFunctions.Utility_DisplayArguments_1_2(MMS_Swine_AtmosphericDeposition_Equations.VEERG_4_5_1_5__2_TotalNitrogenVolatilisedFromMMS_Arguments())</f>
        <v>MN_jmT</v>
      </c>
      <c r="E13" s="112" t="str">
        <v>nitrogen per swine class, MMS and treatment stage</v>
      </c>
      <c r="F13" s="124"/>
      <c r="G13" s="127" t="str" cm="1">
        <f t="array" ref="G13:H14">Common_InputFunctions.Utility_DisplayArguments_3_4(MMS_Swine_AtmosphericDeposition_Equations.VEERG_4_5_1_5__2_TotalNitrogenVolatilisedFromMMS_Arguments())</f>
        <v>kg N</v>
      </c>
      <c r="H13" s="125" t="str">
        <v>Calculated from 4.5.1.3 (2)(6)</v>
      </c>
      <c r="I13" s="115" t="str" cm="1">
        <f t="array" aca="1" ref="I13" ca="1">HYPERLINK(Common_InputFunctions.Utility_SourceHyperlink(D19), D19)</f>
        <v>M1_Table_MN_j_m_T-1</v>
      </c>
      <c r="J13" s="115" t="str" cm="1">
        <f t="array" aca="1" ref="J13" ca="1">HYPERLINK(Common_InputFunctions.Utility_SourceHyperlink(D29), D29)</f>
        <v>M1_Table_MN_j_m_T-2</v>
      </c>
    </row>
    <row r="14" spans="1:21" ht="20.100000000000001" customHeight="1" x14ac:dyDescent="0.2">
      <c r="A14" s="5" t="str">
        <f>HYPERLINK("#'Input - Fuel'!A1", "Fuel")</f>
        <v>Fuel</v>
      </c>
      <c r="D14" s="111" t="str">
        <v>FracGASMmT</v>
      </c>
      <c r="E14" s="112" t="str">
        <v>fraction of N volatilised in each MMS</v>
      </c>
      <c r="F14" s="124"/>
      <c r="G14" s="127" t="str">
        <v>(kg NH3-N + NOx-N)/kg N</v>
      </c>
      <c r="H14" s="125" t="str">
        <v>Constant</v>
      </c>
      <c r="I14" s="134" t="str" cm="1">
        <f t="array" aca="1" ref="I14" ca="1">HYPERLINK(Common_InputFunctions.Utility_SourceHyperlink(D59), D59)</f>
        <v>Table_FracGASM_m_t</v>
      </c>
      <c r="J14" s="135"/>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6" t="s">
        <v>429</v>
      </c>
      <c r="E16" s="43"/>
      <c r="F16" s="43"/>
      <c r="G16" s="44"/>
    </row>
    <row r="17" spans="1:20" ht="20.100000000000001" customHeight="1" x14ac:dyDescent="0.2">
      <c r="A17" s="5" t="str">
        <f>HYPERLINK("#'Input - Livestock farm Inputs'!A1", "Livestock farm Inputs")</f>
        <v>Livestock farm Inputs</v>
      </c>
      <c r="D17" s="45" t="s">
        <v>422</v>
      </c>
      <c r="E17" s="46"/>
      <c r="F17" s="46"/>
      <c r="G17" s="47"/>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7" t="s">
        <v>403</v>
      </c>
      <c r="N19" s="117" t="s">
        <v>403</v>
      </c>
    </row>
    <row r="20" spans="1:20" ht="20.100000000000001" customHeight="1" x14ac:dyDescent="0.2">
      <c r="A20" s="5" t="str">
        <f>HYPERLINK("#'Input - Manure sent off-site'!A1", "Manure sent off-site")</f>
        <v>Manure sent off-site</v>
      </c>
      <c r="D20" s="118" t="s">
        <v>405</v>
      </c>
      <c r="N20" s="118" t="s">
        <v>405</v>
      </c>
    </row>
    <row r="21" spans="1:20" ht="20.100000000000001" customHeight="1" x14ac:dyDescent="0.2">
      <c r="A21" s="5" t="str">
        <f>HYPERLINK("#'Input - Data quality'!A1", "Data quality")</f>
        <v>Data quality</v>
      </c>
      <c r="D21" s="119" t="s">
        <v>325</v>
      </c>
      <c r="E21" s="119" t="s">
        <v>290</v>
      </c>
      <c r="F21" s="119" t="s">
        <v>291</v>
      </c>
      <c r="G21" s="119" t="s">
        <v>265</v>
      </c>
      <c r="H21" s="119" t="s">
        <v>292</v>
      </c>
      <c r="N21" s="119" t="s">
        <v>325</v>
      </c>
      <c r="O21" s="119" t="s">
        <v>290</v>
      </c>
      <c r="P21" s="119" t="s">
        <v>291</v>
      </c>
      <c r="Q21" s="119" t="s">
        <v>265</v>
      </c>
      <c r="R21" s="119" t="s">
        <v>292</v>
      </c>
    </row>
    <row r="22" spans="1:20" ht="20.100000000000001" customHeight="1" x14ac:dyDescent="0.2">
      <c r="A22" s="5" t="str">
        <f>HYPERLINK("#'Input - Fert Prod System'!A1", "Fert Prod System")</f>
        <v>Fert Prod System</v>
      </c>
      <c r="D22" s="111" t="str">
        <f>INDEX(X_Table_Swine_Stage1MMS_AnaerobicLagoon,2,1)</f>
        <v>Anaerobic lagoon</v>
      </c>
      <c r="E22" s="15">
        <f ca="1">'4.5.1.3-4 Direct N2O'!E118</f>
        <v>201.47999999999996</v>
      </c>
      <c r="F22" s="15">
        <f ca="1">'4.5.1.3-4 Direct N2O'!F118</f>
        <v>214.62000000000003</v>
      </c>
      <c r="G22" s="15">
        <f ca="1">'4.5.1.3-4 Direct N2O'!G118</f>
        <v>201.47999999999996</v>
      </c>
      <c r="H22" s="15">
        <f ca="1">'4.5.1.3-4 Direct N2O'!H118</f>
        <v>136.65599999999998</v>
      </c>
      <c r="I22" s="16" t="str">
        <f>$G$13</f>
        <v>kg N</v>
      </c>
      <c r="N22" s="111" t="str">
        <f>INDEX(X_Table_Swine_Stage1MMS_AnaerobicLagoon,2,1)</f>
        <v>Anaerobic lagoon</v>
      </c>
      <c r="O22" s="15">
        <f ca="1">'4.5.1.3-4 Direct N2O'!O118</f>
        <v>201.47999999999996</v>
      </c>
      <c r="P22" s="15">
        <f ca="1">'4.5.1.3-4 Direct N2O'!P118</f>
        <v>214.62000000000003</v>
      </c>
      <c r="Q22" s="15">
        <f ca="1">'4.5.1.3-4 Direct N2O'!Q118</f>
        <v>201.47999999999996</v>
      </c>
      <c r="R22" s="15">
        <f ca="1">'4.5.1.3-4 Direct N2O'!R118</f>
        <v>136.65599999999998</v>
      </c>
      <c r="S22" s="16" t="str">
        <f>$G$13</f>
        <v>kg N</v>
      </c>
    </row>
    <row r="23" spans="1:20" ht="20.100000000000001" customHeight="1" x14ac:dyDescent="0.2">
      <c r="A23" s="5" t="str">
        <f>HYPERLINK("#'Input - Fertiliser'!A1", "Fertiliser")</f>
        <v>Fertiliser</v>
      </c>
      <c r="D23" s="111"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c r="N23" s="111" t="str">
        <f>INDEX(X_Table_Swine_Stage1MMS_Drylot,2,1)</f>
        <v>Drylot (feed pad)</v>
      </c>
      <c r="O23" s="15">
        <f ca="1">'4.5.1.3-4 Direct N2O'!O119</f>
        <v>201.47999999999996</v>
      </c>
      <c r="P23" s="15">
        <f ca="1">'4.5.1.3-4 Direct N2O'!P119</f>
        <v>214.62000000000003</v>
      </c>
      <c r="Q23" s="15">
        <f ca="1">'4.5.1.3-4 Direct N2O'!Q119</f>
        <v>201.47999999999996</v>
      </c>
      <c r="R23" s="15">
        <f ca="1">'4.5.1.3-4 Direct N2O'!R119</f>
        <v>136.65599999999998</v>
      </c>
      <c r="S23" s="16"/>
    </row>
    <row r="24" spans="1:20" ht="20.100000000000001" customHeight="1" x14ac:dyDescent="0.2">
      <c r="D24" s="111" t="str">
        <f>INDEX(X_Table_Swine_Stage1MMS_DigesterCoveredLagoons,2,1)</f>
        <v>Digester / covered lagoons</v>
      </c>
      <c r="E24" s="15">
        <f ca="1">'4.5.1.3-4 Direct N2O'!E120</f>
        <v>201.47999999999996</v>
      </c>
      <c r="F24" s="15">
        <f ca="1">'4.5.1.3-4 Direct N2O'!F120</f>
        <v>214.62000000000003</v>
      </c>
      <c r="G24" s="15">
        <f ca="1">'4.5.1.3-4 Direct N2O'!G120</f>
        <v>201.47999999999996</v>
      </c>
      <c r="H24" s="15">
        <f ca="1">'4.5.1.3-4 Direct N2O'!H120</f>
        <v>136.65599999999998</v>
      </c>
      <c r="I24" s="16"/>
      <c r="N24" s="111" t="str">
        <f>INDEX(X_Table_Swine_Stage1MMS_DigesterCoveredLagoons,2,1)</f>
        <v>Digester / covered lagoons</v>
      </c>
      <c r="O24" s="15">
        <f ca="1">'4.5.1.3-4 Direct N2O'!O120</f>
        <v>201.47999999999996</v>
      </c>
      <c r="P24" s="15">
        <f ca="1">'4.5.1.3-4 Direct N2O'!P120</f>
        <v>214.62000000000003</v>
      </c>
      <c r="Q24" s="15">
        <f ca="1">'4.5.1.3-4 Direct N2O'!Q120</f>
        <v>201.47999999999996</v>
      </c>
      <c r="R24" s="15">
        <f ca="1">'4.5.1.3-4 Direct N2O'!R120</f>
        <v>136.65599999999998</v>
      </c>
      <c r="S24" s="16"/>
    </row>
    <row r="25" spans="1:20" ht="20.100000000000001" customHeight="1" x14ac:dyDescent="0.2">
      <c r="D25" s="111" t="str">
        <f>INDEX(X_Table_Swine_Stage1MMS_DeepLitter,2,1)</f>
        <v>Deep litter</v>
      </c>
      <c r="E25" s="15">
        <f ca="1">'4.5.1.3-4 Direct N2O'!E121</f>
        <v>201.47999999999996</v>
      </c>
      <c r="F25" s="15">
        <f ca="1">'4.5.1.3-4 Direct N2O'!F121</f>
        <v>214.62000000000003</v>
      </c>
      <c r="G25" s="15">
        <f ca="1">'4.5.1.3-4 Direct N2O'!G121</f>
        <v>201.47999999999996</v>
      </c>
      <c r="H25" s="15">
        <f ca="1">'4.5.1.3-4 Direct N2O'!H121</f>
        <v>136.65599999999998</v>
      </c>
      <c r="I25" s="16"/>
      <c r="N25" s="111" t="str">
        <f>INDEX(X_Table_Swine_Stage1MMS_DeepLitter,2,1)</f>
        <v>Deep litter</v>
      </c>
      <c r="O25" s="15">
        <f ca="1">'4.5.1.3-4 Direct N2O'!O121</f>
        <v>201.47999999999996</v>
      </c>
      <c r="P25" s="15">
        <f ca="1">'4.5.1.3-4 Direct N2O'!P121</f>
        <v>214.62000000000003</v>
      </c>
      <c r="Q25" s="15">
        <f ca="1">'4.5.1.3-4 Direct N2O'!Q121</f>
        <v>201.47999999999996</v>
      </c>
      <c r="R25" s="15">
        <f ca="1">'4.5.1.3-4 Direct N2O'!R121</f>
        <v>136.65599999999998</v>
      </c>
      <c r="S25" s="16"/>
    </row>
    <row r="26" spans="1:20" ht="20.100000000000001" customHeight="1" x14ac:dyDescent="0.2">
      <c r="A26" s="6" t="s">
        <v>2</v>
      </c>
      <c r="D26" s="111" t="str">
        <f>INDEX(X_Table_Swine_Stage1MMS_PitStorage,2,1)</f>
        <v>Pit storage</v>
      </c>
      <c r="E26" s="15">
        <f ca="1">'4.5.1.3-4 Direct N2O'!E122</f>
        <v>201.47999999999996</v>
      </c>
      <c r="F26" s="15">
        <f ca="1">'4.5.1.3-4 Direct N2O'!F122</f>
        <v>214.62000000000003</v>
      </c>
      <c r="G26" s="15">
        <f ca="1">'4.5.1.3-4 Direct N2O'!G122</f>
        <v>201.47999999999996</v>
      </c>
      <c r="H26" s="15">
        <f ca="1">'4.5.1.3-4 Direct N2O'!H122</f>
        <v>136.65599999999998</v>
      </c>
      <c r="I26" s="16"/>
      <c r="N26" s="111" t="str">
        <f>INDEX(X_Table_Swine_Stage1MMS_PitStorage,2,1)</f>
        <v>Pit storage</v>
      </c>
      <c r="O26" s="15">
        <f ca="1">'4.5.1.3-4 Direct N2O'!O122</f>
        <v>201.47999999999996</v>
      </c>
      <c r="P26" s="15">
        <f ca="1">'4.5.1.3-4 Direct N2O'!P122</f>
        <v>214.62000000000003</v>
      </c>
      <c r="Q26" s="15">
        <f ca="1">'4.5.1.3-4 Direct N2O'!Q122</f>
        <v>201.47999999999996</v>
      </c>
      <c r="R26" s="15">
        <f ca="1">'4.5.1.3-4 Direct N2O'!R122</f>
        <v>136.65599999999998</v>
      </c>
      <c r="S26" s="16"/>
    </row>
    <row r="27" spans="1:20" ht="20.100000000000001" customHeight="1" x14ac:dyDescent="0.2">
      <c r="A27" s="5" t="str">
        <f>HYPERLINK("#'3.5.1.1-2 Enteric Methane'!A1", "3.5.1.1-2 Enteric Methane")</f>
        <v>3.5.1.1-2 Enteric Methane</v>
      </c>
      <c r="D27" s="111" t="s">
        <v>75</v>
      </c>
      <c r="E27" s="15">
        <f ca="1">'4.5.1.3-4 Direct N2O'!E123</f>
        <v>671.60000000000014</v>
      </c>
      <c r="F27" s="15">
        <f ca="1">'4.5.1.3-4 Direct N2O'!F123</f>
        <v>715.40000000000032</v>
      </c>
      <c r="G27" s="15">
        <f ca="1">'4.5.1.3-4 Direct N2O'!G123</f>
        <v>671.60000000000014</v>
      </c>
      <c r="H27" s="15">
        <f ca="1">'4.5.1.3-4 Direct N2O'!H123</f>
        <v>455.52000000000015</v>
      </c>
      <c r="I27" s="16"/>
      <c r="N27" s="111" t="s">
        <v>75</v>
      </c>
      <c r="O27" s="15">
        <f ca="1">'4.5.1.3-4 Direct N2O'!O123</f>
        <v>671.60000000000014</v>
      </c>
      <c r="P27" s="15">
        <f ca="1">'4.5.1.3-4 Direct N2O'!P123</f>
        <v>715.40000000000032</v>
      </c>
      <c r="Q27" s="15">
        <f ca="1">'4.5.1.3-4 Direct N2O'!Q123</f>
        <v>671.60000000000014</v>
      </c>
      <c r="R27" s="15">
        <f ca="1">'4.5.1.3-4 Direct N2O'!R123</f>
        <v>455.52000000000015</v>
      </c>
      <c r="S27" s="16"/>
    </row>
    <row r="28" spans="1:20" ht="20.100000000000001" customHeight="1" x14ac:dyDescent="0.2">
      <c r="A28" s="5" t="str">
        <f>HYPERLINK("#'4.5.1.1-2 Methane'!A1", "4.5.1.1-2 Manure Methane")</f>
        <v>4.5.1.1-2 Manure Methane</v>
      </c>
    </row>
    <row r="29" spans="1:20" ht="20.100000000000001" customHeight="1" x14ac:dyDescent="0.2">
      <c r="A29" s="5" t="str">
        <f>HYPERLINK("#'4.5.1.3-4 Direct N2O'!A1", "4.5.1.3-4 Manure Direct N2O")</f>
        <v>4.5.1.3-4 Manure Direct N2O</v>
      </c>
      <c r="D29" s="117" t="s">
        <v>417</v>
      </c>
      <c r="N29" s="117" t="s">
        <v>417</v>
      </c>
    </row>
    <row r="30" spans="1:20" ht="20.100000000000001" customHeight="1" x14ac:dyDescent="0.2">
      <c r="A30" s="116" t="str">
        <f>HYPERLINK("#'4.5.1.5-6 Atmos Dep'!A1", "4.5.1.5-6 Manure Atmos Dep")</f>
        <v>4.5.1.5-6 Manure Atmos Dep</v>
      </c>
      <c r="D30" s="118" t="s">
        <v>419</v>
      </c>
      <c r="N30" s="118" t="s">
        <v>419</v>
      </c>
    </row>
    <row r="31" spans="1:20" ht="20.100000000000001" customHeight="1" x14ac:dyDescent="0.2">
      <c r="A31" s="5" t="str">
        <f>HYPERLINK("#'4.5.1.7-8 Leaching and runoff'!A1", "4.5.1.7-8 Manure Leaching and runoff")</f>
        <v>4.5.1.7-8 Manure Leaching and runoff</v>
      </c>
      <c r="D31" s="119" t="s">
        <v>325</v>
      </c>
      <c r="E31" s="119" t="s">
        <v>354</v>
      </c>
      <c r="F31" s="119" t="s">
        <v>290</v>
      </c>
      <c r="G31" s="119" t="s">
        <v>291</v>
      </c>
      <c r="H31" s="119" t="s">
        <v>265</v>
      </c>
      <c r="I31" s="119" t="s">
        <v>292</v>
      </c>
      <c r="N31" s="119" t="s">
        <v>325</v>
      </c>
      <c r="O31" s="119" t="s">
        <v>354</v>
      </c>
      <c r="P31" s="119" t="s">
        <v>290</v>
      </c>
      <c r="Q31" s="119" t="s">
        <v>291</v>
      </c>
      <c r="R31" s="119" t="s">
        <v>265</v>
      </c>
      <c r="S31" s="119" t="s">
        <v>292</v>
      </c>
    </row>
    <row r="32" spans="1:20" ht="20.100000000000001" customHeight="1" x14ac:dyDescent="0.2">
      <c r="A32" s="5" t="str">
        <f>HYPERLINK("#'4.5.1.9 Manure applied to soils'!A1", "4.5.1.9 Manure applied to soils")</f>
        <v>4.5.1.9 Manure applied to soils</v>
      </c>
      <c r="D32" s="111" t="str">
        <f>INDEX(X_Table_Swine_Stage1MMS_AnaerobicLagoon,2,1)</f>
        <v>Anaerobic lagoon</v>
      </c>
      <c r="E32" s="111" t="str">
        <f>INDEX(X_Table_Swine_Stage2MMS_From_AnaerobicLagoon,2,1)</f>
        <v>Digester / covered lagoons</v>
      </c>
      <c r="F32" s="15">
        <f ca="1">'4.5.1.3-4 Direct N2O'!F217</f>
        <v>18.133199999999995</v>
      </c>
      <c r="G32" s="15">
        <f ca="1">'4.5.1.3-4 Direct N2O'!G217</f>
        <v>24.144750000000002</v>
      </c>
      <c r="H32" s="15">
        <f ca="1">'4.5.1.3-4 Direct N2O'!H217</f>
        <v>22.666499999999992</v>
      </c>
      <c r="I32" s="15">
        <f ca="1">'4.5.1.3-4 Direct N2O'!I217</f>
        <v>15.373799999999996</v>
      </c>
      <c r="J32" s="16" t="str">
        <f>$G$13</f>
        <v>kg N</v>
      </c>
      <c r="N32" s="111" t="str">
        <f>INDEX(X_Table_Swine_Stage1MMS_AnaerobicLagoon,2,1)</f>
        <v>Anaerobic lagoon</v>
      </c>
      <c r="O32" s="111" t="str">
        <f>INDEX(X_Table_Swine_Stage2MMS_From_AnaerobicLagoon,2,1)</f>
        <v>Digester / covered lagoons</v>
      </c>
      <c r="P32" s="15">
        <f ca="1">'4.5.1.3-4 Direct N2O'!P217</f>
        <v>18.133199999999995</v>
      </c>
      <c r="Q32" s="15">
        <f ca="1">'4.5.1.3-4 Direct N2O'!Q217</f>
        <v>24.144750000000002</v>
      </c>
      <c r="R32" s="15">
        <f ca="1">'4.5.1.3-4 Direct N2O'!R217</f>
        <v>22.666499999999992</v>
      </c>
      <c r="S32" s="15">
        <f ca="1">'4.5.1.3-4 Direct N2O'!S217</f>
        <v>15.373799999999996</v>
      </c>
      <c r="T32" s="16" t="str">
        <f>$G$13</f>
        <v>kg N</v>
      </c>
    </row>
    <row r="33" spans="1:20" ht="20.100000000000001" customHeight="1" x14ac:dyDescent="0.2">
      <c r="A33" s="5" t="str">
        <f>HYPERLINK("#'8.1.1.1-2 Transport fuel'!A1", "8.1.1.1-2 Transport fuel")</f>
        <v>8.1.1.1-2 Transport fuel</v>
      </c>
      <c r="D33" s="111"/>
      <c r="E33" s="111" t="str">
        <f>INDEX(X_Table_Swine_Stage2MMS_From_AnaerobicLagoon,3,1)</f>
        <v>Deep litter</v>
      </c>
      <c r="F33" s="15">
        <f ca="1">'4.5.1.3-4 Direct N2O'!F218</f>
        <v>18.133199999999995</v>
      </c>
      <c r="G33" s="15">
        <f ca="1">'4.5.1.3-4 Direct N2O'!G218</f>
        <v>24.144750000000002</v>
      </c>
      <c r="H33" s="15">
        <f ca="1">'4.5.1.3-4 Direct N2O'!H218</f>
        <v>22.666499999999992</v>
      </c>
      <c r="I33" s="15">
        <f ca="1">'4.5.1.3-4 Direct N2O'!I218</f>
        <v>15.373799999999996</v>
      </c>
      <c r="J33" s="16"/>
      <c r="N33" s="111"/>
      <c r="O33" s="111" t="str">
        <f>INDEX(X_Table_Swine_Stage2MMS_From_AnaerobicLagoon,3,1)</f>
        <v>Deep litter</v>
      </c>
      <c r="P33" s="15">
        <f ca="1">'4.5.1.3-4 Direct N2O'!P218</f>
        <v>18.133199999999995</v>
      </c>
      <c r="Q33" s="15">
        <f ca="1">'4.5.1.3-4 Direct N2O'!Q218</f>
        <v>24.144750000000002</v>
      </c>
      <c r="R33" s="15">
        <f ca="1">'4.5.1.3-4 Direct N2O'!R218</f>
        <v>22.666499999999992</v>
      </c>
      <c r="S33" s="15">
        <f ca="1">'4.5.1.3-4 Direct N2O'!S218</f>
        <v>15.373799999999996</v>
      </c>
      <c r="T33" s="16"/>
    </row>
    <row r="34" spans="1:20" ht="20.100000000000001" customHeight="1" x14ac:dyDescent="0.2">
      <c r="A34" s="5" t="str">
        <f>HYPERLINK("#'8.2.1.1-2 Stationary fuel'!A1", "8.2.1.1-2 Stationary fuel")</f>
        <v>8.2.1.1-2 Stationary fuel</v>
      </c>
      <c r="D34" s="111"/>
      <c r="E34" s="111" t="str">
        <f>INDEX(X_Table_Swine_Stage2MMS_From_AnaerobicLagoon,4,1)</f>
        <v>Pit storage</v>
      </c>
      <c r="F34" s="15">
        <f ca="1">'4.5.1.3-4 Direct N2O'!F219</f>
        <v>18.133199999999995</v>
      </c>
      <c r="G34" s="15">
        <f ca="1">'4.5.1.3-4 Direct N2O'!G219</f>
        <v>24.144750000000002</v>
      </c>
      <c r="H34" s="15">
        <f ca="1">'4.5.1.3-4 Direct N2O'!H219</f>
        <v>22.666499999999992</v>
      </c>
      <c r="I34" s="15">
        <f ca="1">'4.5.1.3-4 Direct N2O'!I219</f>
        <v>15.373799999999996</v>
      </c>
      <c r="J34" s="16"/>
      <c r="N34" s="111"/>
      <c r="O34" s="111" t="str">
        <f>INDEX(X_Table_Swine_Stage2MMS_From_AnaerobicLagoon,4,1)</f>
        <v>Pit storage</v>
      </c>
      <c r="P34" s="15">
        <f ca="1">'4.5.1.3-4 Direct N2O'!P219</f>
        <v>18.133199999999995</v>
      </c>
      <c r="Q34" s="15">
        <f ca="1">'4.5.1.3-4 Direct N2O'!Q219</f>
        <v>24.144750000000002</v>
      </c>
      <c r="R34" s="15">
        <f ca="1">'4.5.1.3-4 Direct N2O'!R219</f>
        <v>22.666499999999992</v>
      </c>
      <c r="S34" s="15">
        <f ca="1">'4.5.1.3-4 Direct N2O'!S219</f>
        <v>15.373799999999996</v>
      </c>
      <c r="T34" s="16"/>
    </row>
    <row r="35" spans="1:20" ht="20.100000000000001" customHeight="1" x14ac:dyDescent="0.2">
      <c r="A35" s="5" t="str">
        <f>HYPERLINK("#'10.1.1-2 Solid waste treatment'!A1", "10.1.1.1-2 Solid waste")</f>
        <v>10.1.1.1-2 Solid waste</v>
      </c>
      <c r="D35" s="111"/>
      <c r="E35" s="111" t="str">
        <f>INDEX(X_Table_Swine_Stage2MMS_From_AnaerobicLagoon,5,1)</f>
        <v>Direct application</v>
      </c>
      <c r="F35" s="15">
        <f ca="1">'4.5.1.3-4 Direct N2O'!F220</f>
        <v>36.266399999999976</v>
      </c>
      <c r="G35" s="15">
        <f ca="1">'4.5.1.3-4 Direct N2O'!G220</f>
        <v>24.144750000000002</v>
      </c>
      <c r="H35" s="15">
        <f ca="1">'4.5.1.3-4 Direct N2O'!H220</f>
        <v>22.666499999999992</v>
      </c>
      <c r="I35" s="15">
        <f ca="1">'4.5.1.3-4 Direct N2O'!I220</f>
        <v>15.373799999999996</v>
      </c>
      <c r="J35" s="16"/>
      <c r="N35" s="111"/>
      <c r="O35" s="111" t="str">
        <f>INDEX(X_Table_Swine_Stage2MMS_From_AnaerobicLagoon,5,1)</f>
        <v>Direct application</v>
      </c>
      <c r="P35" s="15">
        <f ca="1">'4.5.1.3-4 Direct N2O'!P220</f>
        <v>36.266399999999976</v>
      </c>
      <c r="Q35" s="15">
        <f ca="1">'4.5.1.3-4 Direct N2O'!Q220</f>
        <v>24.144750000000002</v>
      </c>
      <c r="R35" s="15">
        <f ca="1">'4.5.1.3-4 Direct N2O'!R220</f>
        <v>22.666499999999992</v>
      </c>
      <c r="S35" s="15">
        <f ca="1">'4.5.1.3-4 Direct N2O'!S220</f>
        <v>15.373799999999996</v>
      </c>
      <c r="T35" s="16"/>
    </row>
    <row r="36" spans="1:20" ht="20.100000000000001" customHeight="1" x14ac:dyDescent="0.2">
      <c r="A36" s="5" t="str">
        <f>HYPERLINK("#'14.1.1-2 Purchased electricity'!A1", "14.1.1-2 Purchased electricity")</f>
        <v>14.1.1-2 Purchased electricity</v>
      </c>
      <c r="D36" s="111" t="str">
        <f>INDEX(X_Table_Swine_Stage1MMS_Drylot,2,1)</f>
        <v>Drylot (feed pad)</v>
      </c>
      <c r="E36" s="111" t="str">
        <f>INDEX(X_Table_Swine_Stage2MMS_From_Drylot,2,1)</f>
        <v>Anaerobic lagoon</v>
      </c>
      <c r="F36" s="15">
        <f ca="1">'4.5.1.3-4 Direct N2O'!F221</f>
        <v>27.401279999999993</v>
      </c>
      <c r="G36" s="15">
        <f ca="1">'4.5.1.3-4 Direct N2O'!G221</f>
        <v>36.485400000000006</v>
      </c>
      <c r="H36" s="15">
        <f ca="1">'4.5.1.3-4 Direct N2O'!H221</f>
        <v>34.251599999999989</v>
      </c>
      <c r="I36" s="15">
        <f ca="1">'4.5.1.3-4 Direct N2O'!I221</f>
        <v>23.231519999999993</v>
      </c>
      <c r="J36" s="16"/>
      <c r="N36" s="111" t="str">
        <f>INDEX(X_Table_Swine_Stage1MMS_Drylot,2,1)</f>
        <v>Drylot (feed pad)</v>
      </c>
      <c r="O36" s="111" t="str">
        <f>INDEX(X_Table_Swine_Stage2MMS_From_Drylot,2,1)</f>
        <v>Anaerobic lagoon</v>
      </c>
      <c r="P36" s="15">
        <f ca="1">'4.5.1.3-4 Direct N2O'!P221</f>
        <v>27.401279999999993</v>
      </c>
      <c r="Q36" s="15">
        <f ca="1">'4.5.1.3-4 Direct N2O'!Q221</f>
        <v>36.485400000000006</v>
      </c>
      <c r="R36" s="15">
        <f ca="1">'4.5.1.3-4 Direct N2O'!R221</f>
        <v>34.251599999999989</v>
      </c>
      <c r="S36" s="15">
        <f ca="1">'4.5.1.3-4 Direct N2O'!S221</f>
        <v>23.231519999999993</v>
      </c>
      <c r="T36" s="16"/>
    </row>
    <row r="37" spans="1:20" ht="20.100000000000001" customHeight="1" x14ac:dyDescent="0.2">
      <c r="A37" s="5" t="str">
        <f>HYPERLINK("#'15 Scope 3'!A1", "15 Scope 3")</f>
        <v>15 Scope 3</v>
      </c>
      <c r="D37" s="111"/>
      <c r="E37" s="111" t="str">
        <f>INDEX(X_Table_Swine_Stage2MMS_From_Drylot,3,1)</f>
        <v>Digester / covered lagoons</v>
      </c>
      <c r="F37" s="15">
        <f ca="1">'4.5.1.3-4 Direct N2O'!F222</f>
        <v>27.401279999999993</v>
      </c>
      <c r="G37" s="15">
        <f ca="1">'4.5.1.3-4 Direct N2O'!G222</f>
        <v>36.485400000000006</v>
      </c>
      <c r="H37" s="15">
        <f ca="1">'4.5.1.3-4 Direct N2O'!H222</f>
        <v>34.251599999999989</v>
      </c>
      <c r="I37" s="15">
        <f ca="1">'4.5.1.3-4 Direct N2O'!I222</f>
        <v>23.231519999999993</v>
      </c>
      <c r="J37" s="16"/>
      <c r="N37" s="111"/>
      <c r="O37" s="111" t="str">
        <f>INDEX(X_Table_Swine_Stage2MMS_From_Drylot,3,1)</f>
        <v>Digester / covered lagoons</v>
      </c>
      <c r="P37" s="15">
        <f ca="1">'4.5.1.3-4 Direct N2O'!P222</f>
        <v>27.401279999999993</v>
      </c>
      <c r="Q37" s="15">
        <f ca="1">'4.5.1.3-4 Direct N2O'!Q222</f>
        <v>36.485400000000006</v>
      </c>
      <c r="R37" s="15">
        <f ca="1">'4.5.1.3-4 Direct N2O'!R222</f>
        <v>34.251599999999989</v>
      </c>
      <c r="S37" s="15">
        <f ca="1">'4.5.1.3-4 Direct N2O'!S222</f>
        <v>23.231519999999993</v>
      </c>
      <c r="T37" s="16"/>
    </row>
    <row r="38" spans="1:20" ht="20.100000000000001" customHeight="1" x14ac:dyDescent="0.2">
      <c r="A38" s="5" t="str">
        <f>HYPERLINK("#'Calcs - Manure sent off-site'!A1", "Calcs - Manure sent off-site")</f>
        <v>Calcs - Manure sent off-site</v>
      </c>
      <c r="D38" s="111"/>
      <c r="E38" s="111" t="str">
        <f>INDEX(X_Table_Swine_Stage2MMS_From_Drylot,4,1)</f>
        <v>Deep litter</v>
      </c>
      <c r="F38" s="15">
        <f ca="1">'4.5.1.3-4 Direct N2O'!F223</f>
        <v>27.401279999999993</v>
      </c>
      <c r="G38" s="15">
        <f ca="1">'4.5.1.3-4 Direct N2O'!G223</f>
        <v>36.485400000000006</v>
      </c>
      <c r="H38" s="15">
        <f ca="1">'4.5.1.3-4 Direct N2O'!H223</f>
        <v>34.251599999999989</v>
      </c>
      <c r="I38" s="15">
        <f ca="1">'4.5.1.3-4 Direct N2O'!I223</f>
        <v>23.231519999999993</v>
      </c>
      <c r="J38" s="16"/>
      <c r="N38" s="111"/>
      <c r="O38" s="111" t="str">
        <f>INDEX(X_Table_Swine_Stage2MMS_From_Drylot,4,1)</f>
        <v>Deep litter</v>
      </c>
      <c r="P38" s="15">
        <f ca="1">'4.5.1.3-4 Direct N2O'!P223</f>
        <v>27.401279999999993</v>
      </c>
      <c r="Q38" s="15">
        <f ca="1">'4.5.1.3-4 Direct N2O'!Q223</f>
        <v>36.485400000000006</v>
      </c>
      <c r="R38" s="15">
        <f ca="1">'4.5.1.3-4 Direct N2O'!R223</f>
        <v>34.251599999999989</v>
      </c>
      <c r="S38" s="15">
        <f ca="1">'4.5.1.3-4 Direct N2O'!S223</f>
        <v>23.231519999999993</v>
      </c>
      <c r="T38" s="16"/>
    </row>
    <row r="39" spans="1:20" ht="20.100000000000001" customHeight="1" x14ac:dyDescent="0.2">
      <c r="A39" s="5" t="str">
        <f>HYPERLINK("#'5.1.1.1-2 Inorganic fert N2O'!A1", "5.1.1.1-2 Inorganic fert N2O")</f>
        <v>5.1.1.1-2 Inorganic fert N2O</v>
      </c>
      <c r="D39" s="111"/>
      <c r="E39" s="111" t="str">
        <f>INDEX(X_Table_Swine_Stage2MMS_From_Drylot,5,1)</f>
        <v>Pit storage</v>
      </c>
      <c r="F39" s="15">
        <f ca="1">'4.5.1.3-4 Direct N2O'!F224</f>
        <v>27.401279999999993</v>
      </c>
      <c r="G39" s="15">
        <f ca="1">'4.5.1.3-4 Direct N2O'!G224</f>
        <v>36.485400000000006</v>
      </c>
      <c r="H39" s="15">
        <f ca="1">'4.5.1.3-4 Direct N2O'!H224</f>
        <v>34.251599999999989</v>
      </c>
      <c r="I39" s="15">
        <f ca="1">'4.5.1.3-4 Direct N2O'!I224</f>
        <v>23.231519999999993</v>
      </c>
      <c r="J39" s="16"/>
      <c r="N39" s="111"/>
      <c r="O39" s="111" t="str">
        <f>INDEX(X_Table_Swine_Stage2MMS_From_Drylot,5,1)</f>
        <v>Pit storage</v>
      </c>
      <c r="P39" s="15">
        <f ca="1">'4.5.1.3-4 Direct N2O'!P224</f>
        <v>27.401279999999993</v>
      </c>
      <c r="Q39" s="15">
        <f ca="1">'4.5.1.3-4 Direct N2O'!Q224</f>
        <v>36.485400000000006</v>
      </c>
      <c r="R39" s="15">
        <f ca="1">'4.5.1.3-4 Direct N2O'!R224</f>
        <v>34.251599999999989</v>
      </c>
      <c r="S39" s="15">
        <f ca="1">'4.5.1.3-4 Direct N2O'!S224</f>
        <v>23.231519999999993</v>
      </c>
      <c r="T39" s="16"/>
    </row>
    <row r="40" spans="1:20" ht="20.100000000000001" customHeight="1" x14ac:dyDescent="0.2">
      <c r="A40" s="5" t="str">
        <f>HYPERLINK("#'5.1.1.3-4 Inorganic fert CO2'!A1", "5.1.1.3-4 Inorganic fert CO2")</f>
        <v>5.1.1.3-4 Inorganic fert CO2</v>
      </c>
      <c r="D40" s="111"/>
      <c r="E40" s="111" t="str">
        <f>INDEX(X_Table_Swine_Stage2MMS_From_Drylot,6,1)</f>
        <v>Direct application</v>
      </c>
      <c r="F40" s="15">
        <f ca="1">'4.5.1.3-4 Direct N2O'!F225</f>
        <v>27.401279999999986</v>
      </c>
      <c r="G40" s="15">
        <f ca="1">'4.5.1.3-4 Direct N2O'!G225</f>
        <v>0</v>
      </c>
      <c r="H40" s="15">
        <f ca="1">'4.5.1.3-4 Direct N2O'!H225</f>
        <v>0</v>
      </c>
      <c r="I40" s="15">
        <f ca="1">'4.5.1.3-4 Direct N2O'!I225</f>
        <v>0</v>
      </c>
      <c r="J40" s="16"/>
      <c r="N40" s="111"/>
      <c r="O40" s="111" t="str">
        <f>INDEX(X_Table_Swine_Stage2MMS_From_Drylot,6,1)</f>
        <v>Direct application</v>
      </c>
      <c r="P40" s="15">
        <f ca="1">'4.5.1.3-4 Direct N2O'!P225</f>
        <v>27.401279999999986</v>
      </c>
      <c r="Q40" s="15">
        <f ca="1">'4.5.1.3-4 Direct N2O'!Q225</f>
        <v>0</v>
      </c>
      <c r="R40" s="15">
        <f ca="1">'4.5.1.3-4 Direct N2O'!R225</f>
        <v>0</v>
      </c>
      <c r="S40" s="15">
        <f ca="1">'4.5.1.3-4 Direct N2O'!S225</f>
        <v>0</v>
      </c>
      <c r="T40" s="16"/>
    </row>
    <row r="41" spans="1:20" ht="20.100000000000001" customHeight="1" x14ac:dyDescent="0.2">
      <c r="A41" s="5" t="str">
        <f>HYPERLINK("#'5.2.1.1-2 Organic Fert N2O'!A1", "5.2.1.1-2 Organic Fert N2O")</f>
        <v>5.2.1.1-2 Organic Fert N2O</v>
      </c>
      <c r="D41" s="111" t="str">
        <f>INDEX(X_Table_Swine_Stage1MMS_DigesterCoveredLagoons,2,1)</f>
        <v>Digester / covered lagoons</v>
      </c>
      <c r="E41" s="111" t="str">
        <f>INDEX(X_Table_Swine_Stage2MMS_From_DigesterCoveredLagoons,2,1)</f>
        <v>Anaerobic lagoon</v>
      </c>
      <c r="F41" s="15">
        <f ca="1">'4.5.1.3-4 Direct N2O'!F226</f>
        <v>40.295999999999992</v>
      </c>
      <c r="G41" s="15">
        <f ca="1">'4.5.1.3-4 Direct N2O'!G226</f>
        <v>53.655000000000008</v>
      </c>
      <c r="H41" s="15">
        <f ca="1">'4.5.1.3-4 Direct N2O'!H226</f>
        <v>50.36999999999999</v>
      </c>
      <c r="I41" s="15">
        <f ca="1">'4.5.1.3-4 Direct N2O'!I226</f>
        <v>34.163999999999994</v>
      </c>
      <c r="J41" s="16"/>
      <c r="N41" s="111" t="str">
        <f>INDEX(X_Table_Swine_Stage1MMS_DigesterCoveredLagoons,2,1)</f>
        <v>Digester / covered lagoons</v>
      </c>
      <c r="O41" s="111" t="str">
        <f>INDEX(X_Table_Swine_Stage2MMS_From_DigesterCoveredLagoons,2,1)</f>
        <v>Anaerobic lagoon</v>
      </c>
      <c r="P41" s="15">
        <f ca="1">'4.5.1.3-4 Direct N2O'!P226</f>
        <v>40.295999999999992</v>
      </c>
      <c r="Q41" s="15">
        <f ca="1">'4.5.1.3-4 Direct N2O'!Q226</f>
        <v>53.655000000000008</v>
      </c>
      <c r="R41" s="15">
        <f ca="1">'4.5.1.3-4 Direct N2O'!R226</f>
        <v>50.36999999999999</v>
      </c>
      <c r="S41" s="15">
        <f ca="1">'4.5.1.3-4 Direct N2O'!S226</f>
        <v>34.163999999999994</v>
      </c>
      <c r="T41" s="16"/>
    </row>
    <row r="42" spans="1:20" ht="20.100000000000001" customHeight="1" x14ac:dyDescent="0.2">
      <c r="A42" s="5" t="str">
        <f>HYPERLINK("#'5.3.1.1-2 Lime CO2'!A1", "5.3.1.1-2 Lime CO2")</f>
        <v>5.3.1.1-2 Lime CO2</v>
      </c>
      <c r="D42" s="111"/>
      <c r="E42" s="111" t="str">
        <f>INDEX(X_Table_Swine_Stage2MMS_From_DigesterCoveredLagoons,3,1)</f>
        <v>Deep litter</v>
      </c>
      <c r="F42" s="15">
        <f ca="1">'4.5.1.3-4 Direct N2O'!F227</f>
        <v>40.295999999999992</v>
      </c>
      <c r="G42" s="15">
        <f ca="1">'4.5.1.3-4 Direct N2O'!G227</f>
        <v>53.655000000000008</v>
      </c>
      <c r="H42" s="15">
        <f ca="1">'4.5.1.3-4 Direct N2O'!H227</f>
        <v>50.36999999999999</v>
      </c>
      <c r="I42" s="15">
        <f ca="1">'4.5.1.3-4 Direct N2O'!I227</f>
        <v>34.163999999999994</v>
      </c>
      <c r="J42" s="16"/>
      <c r="N42" s="111"/>
      <c r="O42" s="111" t="str">
        <f>INDEX(X_Table_Swine_Stage2MMS_From_DigesterCoveredLagoons,3,1)</f>
        <v>Deep litter</v>
      </c>
      <c r="P42" s="15">
        <f ca="1">'4.5.1.3-4 Direct N2O'!P227</f>
        <v>40.295999999999992</v>
      </c>
      <c r="Q42" s="15">
        <f ca="1">'4.5.1.3-4 Direct N2O'!Q227</f>
        <v>53.655000000000008</v>
      </c>
      <c r="R42" s="15">
        <f ca="1">'4.5.1.3-4 Direct N2O'!R227</f>
        <v>50.36999999999999</v>
      </c>
      <c r="S42" s="15">
        <f ca="1">'4.5.1.3-4 Direct N2O'!S227</f>
        <v>34.163999999999994</v>
      </c>
      <c r="T42" s="16"/>
    </row>
    <row r="43" spans="1:20" ht="20.100000000000001" customHeight="1" x14ac:dyDescent="0.2">
      <c r="A43" s="5" t="str">
        <f>HYPERLINK("#'5.4.1.1-4 Atmos deposition'!A1", "5.4.1.1-4 Atmos deposition")</f>
        <v>5.4.1.1-4 Atmos deposition</v>
      </c>
      <c r="D43" s="111"/>
      <c r="E43" s="111" t="str">
        <f>INDEX(X_Table_Swine_Stage2MMS_From_DigesterCoveredLagoons,4,1)</f>
        <v>Pit storage</v>
      </c>
      <c r="F43" s="15">
        <f ca="1">'4.5.1.3-4 Direct N2O'!F228</f>
        <v>40.295999999999992</v>
      </c>
      <c r="G43" s="15">
        <f ca="1">'4.5.1.3-4 Direct N2O'!G228</f>
        <v>53.655000000000008</v>
      </c>
      <c r="H43" s="15">
        <f ca="1">'4.5.1.3-4 Direct N2O'!H228</f>
        <v>50.36999999999999</v>
      </c>
      <c r="I43" s="15">
        <f ca="1">'4.5.1.3-4 Direct N2O'!I228</f>
        <v>34.163999999999994</v>
      </c>
      <c r="J43" s="16"/>
      <c r="N43" s="111"/>
      <c r="O43" s="111" t="str">
        <f>INDEX(X_Table_Swine_Stage2MMS_From_DigesterCoveredLagoons,4,1)</f>
        <v>Pit storage</v>
      </c>
      <c r="P43" s="15">
        <f ca="1">'4.5.1.3-4 Direct N2O'!P228</f>
        <v>40.295999999999992</v>
      </c>
      <c r="Q43" s="15">
        <f ca="1">'4.5.1.3-4 Direct N2O'!Q228</f>
        <v>53.655000000000008</v>
      </c>
      <c r="R43" s="15">
        <f ca="1">'4.5.1.3-4 Direct N2O'!R228</f>
        <v>50.36999999999999</v>
      </c>
      <c r="S43" s="15">
        <f ca="1">'4.5.1.3-4 Direct N2O'!S228</f>
        <v>34.163999999999994</v>
      </c>
      <c r="T43" s="16"/>
    </row>
    <row r="44" spans="1:20" ht="20.100000000000001" customHeight="1" x14ac:dyDescent="0.2">
      <c r="A44" s="5" t="str">
        <f>HYPERLINK("#'5.5.1.1-2 Leaching and runoff'!A1", "5.5.1.1-2 Leaching and runoff")</f>
        <v>5.5.1.1-2 Leaching and runoff</v>
      </c>
      <c r="D44" s="111"/>
      <c r="E44" s="111" t="str">
        <f>INDEX(X_Table_Swine_Stage2MMS_From_DigesterCoveredLagoons,5,1)</f>
        <v>Direct application</v>
      </c>
      <c r="F44" s="15">
        <f ca="1">'4.5.1.3-4 Direct N2O'!F229</f>
        <v>80.59199999999997</v>
      </c>
      <c r="G44" s="15">
        <f ca="1">'4.5.1.3-4 Direct N2O'!G229</f>
        <v>53.655000000000008</v>
      </c>
      <c r="H44" s="15">
        <f ca="1">'4.5.1.3-4 Direct N2O'!H229</f>
        <v>50.36999999999999</v>
      </c>
      <c r="I44" s="15">
        <f ca="1">'4.5.1.3-4 Direct N2O'!I229</f>
        <v>34.163999999999994</v>
      </c>
      <c r="J44" s="16"/>
      <c r="N44" s="111"/>
      <c r="O44" s="111" t="str">
        <f>INDEX(X_Table_Swine_Stage2MMS_From_DigesterCoveredLagoons,5,1)</f>
        <v>Direct application</v>
      </c>
      <c r="P44" s="15">
        <f ca="1">'4.5.1.3-4 Direct N2O'!P229</f>
        <v>80.59199999999997</v>
      </c>
      <c r="Q44" s="15">
        <f ca="1">'4.5.1.3-4 Direct N2O'!Q229</f>
        <v>53.655000000000008</v>
      </c>
      <c r="R44" s="15">
        <f ca="1">'4.5.1.3-4 Direct N2O'!R229</f>
        <v>50.36999999999999</v>
      </c>
      <c r="S44" s="15">
        <f ca="1">'4.5.1.3-4 Direct N2O'!S229</f>
        <v>34.163999999999994</v>
      </c>
      <c r="T44" s="16"/>
    </row>
    <row r="45" spans="1:20" ht="20.100000000000001" customHeight="1" x14ac:dyDescent="0.2">
      <c r="D45" s="111" t="str">
        <f>INDEX(X_Table_Swine_Stage1MMS_DeepLitter,2,1)</f>
        <v>Deep litter</v>
      </c>
      <c r="E45" s="111" t="str">
        <f>INDEX(X_Table_Swine_Stage2MMS_From_DeepLitter,2,1)</f>
        <v>Anaerobic lagoon</v>
      </c>
      <c r="F45" s="15">
        <f ca="1">'4.5.1.3-4 Direct N2O'!F230</f>
        <v>34.856039999999993</v>
      </c>
      <c r="G45" s="15">
        <f ca="1">'4.5.1.3-4 Direct N2O'!G230</f>
        <v>46.411575000000006</v>
      </c>
      <c r="H45" s="15">
        <f ca="1">'4.5.1.3-4 Direct N2O'!H230</f>
        <v>43.570049999999988</v>
      </c>
      <c r="I45" s="15">
        <f ca="1">'4.5.1.3-4 Direct N2O'!I230</f>
        <v>29.551859999999994</v>
      </c>
      <c r="J45" s="16"/>
      <c r="N45" s="111" t="str">
        <f>INDEX(X_Table_Swine_Stage1MMS_DeepLitter,2,1)</f>
        <v>Deep litter</v>
      </c>
      <c r="O45" s="111" t="str">
        <f>INDEX(X_Table_Swine_Stage2MMS_From_DeepLitter,2,1)</f>
        <v>Anaerobic lagoon</v>
      </c>
      <c r="P45" s="15">
        <f ca="1">'4.5.1.3-4 Direct N2O'!P230</f>
        <v>34.856039999999993</v>
      </c>
      <c r="Q45" s="15">
        <f ca="1">'4.5.1.3-4 Direct N2O'!Q230</f>
        <v>46.411575000000006</v>
      </c>
      <c r="R45" s="15">
        <f ca="1">'4.5.1.3-4 Direct N2O'!R230</f>
        <v>43.570049999999988</v>
      </c>
      <c r="S45" s="15">
        <f ca="1">'4.5.1.3-4 Direct N2O'!S230</f>
        <v>29.551859999999994</v>
      </c>
      <c r="T45" s="16"/>
    </row>
    <row r="46" spans="1:20" ht="20.100000000000001" customHeight="1" x14ac:dyDescent="0.2">
      <c r="D46" s="111"/>
      <c r="E46" s="111" t="str">
        <f>INDEX(X_Table_Swine_Stage2MMS_From_DeepLitter,3,1)</f>
        <v>Digester / covered lagoons</v>
      </c>
      <c r="F46" s="15">
        <f ca="1">'4.5.1.3-4 Direct N2O'!F231</f>
        <v>34.856039999999993</v>
      </c>
      <c r="G46" s="15">
        <f ca="1">'4.5.1.3-4 Direct N2O'!G231</f>
        <v>46.411575000000006</v>
      </c>
      <c r="H46" s="15">
        <f ca="1">'4.5.1.3-4 Direct N2O'!H231</f>
        <v>43.570049999999988</v>
      </c>
      <c r="I46" s="15">
        <f ca="1">'4.5.1.3-4 Direct N2O'!I231</f>
        <v>29.551859999999994</v>
      </c>
      <c r="J46" s="16"/>
      <c r="N46" s="111"/>
      <c r="O46" s="111" t="str">
        <f>INDEX(X_Table_Swine_Stage2MMS_From_DeepLitter,3,1)</f>
        <v>Digester / covered lagoons</v>
      </c>
      <c r="P46" s="15">
        <f ca="1">'4.5.1.3-4 Direct N2O'!P231</f>
        <v>34.856039999999993</v>
      </c>
      <c r="Q46" s="15">
        <f ca="1">'4.5.1.3-4 Direct N2O'!Q231</f>
        <v>46.411575000000006</v>
      </c>
      <c r="R46" s="15">
        <f ca="1">'4.5.1.3-4 Direct N2O'!R231</f>
        <v>43.570049999999988</v>
      </c>
      <c r="S46" s="15">
        <f ca="1">'4.5.1.3-4 Direct N2O'!S231</f>
        <v>29.551859999999994</v>
      </c>
      <c r="T46" s="16"/>
    </row>
    <row r="47" spans="1:20" ht="20.100000000000001" customHeight="1" x14ac:dyDescent="0.2">
      <c r="A47" s="79" t="s">
        <v>1</v>
      </c>
      <c r="D47" s="111"/>
      <c r="E47" s="111" t="str">
        <f>INDEX(X_Table_Swine_Stage2MMS_From_DeepLitter,4,1)</f>
        <v>Pit storage</v>
      </c>
      <c r="F47" s="15">
        <f ca="1">'4.5.1.3-4 Direct N2O'!F232</f>
        <v>34.856039999999993</v>
      </c>
      <c r="G47" s="15">
        <f ca="1">'4.5.1.3-4 Direct N2O'!G232</f>
        <v>46.411575000000006</v>
      </c>
      <c r="H47" s="15">
        <f ca="1">'4.5.1.3-4 Direct N2O'!H232</f>
        <v>43.570049999999988</v>
      </c>
      <c r="I47" s="15">
        <f ca="1">'4.5.1.3-4 Direct N2O'!I232</f>
        <v>29.551859999999994</v>
      </c>
      <c r="J47" s="16"/>
      <c r="N47" s="111"/>
      <c r="O47" s="111" t="str">
        <f>INDEX(X_Table_Swine_Stage2MMS_From_DeepLitter,4,1)</f>
        <v>Pit storage</v>
      </c>
      <c r="P47" s="15">
        <f ca="1">'4.5.1.3-4 Direct N2O'!P232</f>
        <v>34.856039999999993</v>
      </c>
      <c r="Q47" s="15">
        <f ca="1">'4.5.1.3-4 Direct N2O'!Q232</f>
        <v>46.411575000000006</v>
      </c>
      <c r="R47" s="15">
        <f ca="1">'4.5.1.3-4 Direct N2O'!R232</f>
        <v>43.570049999999988</v>
      </c>
      <c r="S47" s="15">
        <f ca="1">'4.5.1.3-4 Direct N2O'!S232</f>
        <v>29.551859999999994</v>
      </c>
      <c r="T47" s="16"/>
    </row>
    <row r="48" spans="1:20" ht="20.100000000000001" customHeight="1" x14ac:dyDescent="0.2">
      <c r="A48" s="5" t="str">
        <f>HYPERLINK("#'Constants - Swine'!A1", "Constants - Swine")</f>
        <v>Constants - Swine</v>
      </c>
      <c r="D48" s="111"/>
      <c r="E48" s="111" t="str">
        <f>INDEX(X_Table_Swine_Stage2MMS_From_DeepLitter,5,1)</f>
        <v>Direct application</v>
      </c>
      <c r="F48" s="15">
        <f ca="1">'4.5.1.3-4 Direct N2O'!F233</f>
        <v>69.712079999999972</v>
      </c>
      <c r="G48" s="15">
        <f ca="1">'4.5.1.3-4 Direct N2O'!G233</f>
        <v>46.411575000000006</v>
      </c>
      <c r="H48" s="15">
        <f ca="1">'4.5.1.3-4 Direct N2O'!H233</f>
        <v>43.570049999999988</v>
      </c>
      <c r="I48" s="15">
        <f ca="1">'4.5.1.3-4 Direct N2O'!I233</f>
        <v>29.551859999999994</v>
      </c>
      <c r="J48" s="16"/>
      <c r="N48" s="111"/>
      <c r="O48" s="111" t="str">
        <f>INDEX(X_Table_Swine_Stage2MMS_From_DeepLitter,5,1)</f>
        <v>Direct application</v>
      </c>
      <c r="P48" s="15">
        <f ca="1">'4.5.1.3-4 Direct N2O'!P233</f>
        <v>69.712079999999972</v>
      </c>
      <c r="Q48" s="15">
        <f ca="1">'4.5.1.3-4 Direct N2O'!Q233</f>
        <v>46.411575000000006</v>
      </c>
      <c r="R48" s="15">
        <f ca="1">'4.5.1.3-4 Direct N2O'!R233</f>
        <v>43.570049999999988</v>
      </c>
      <c r="S48" s="15">
        <f ca="1">'4.5.1.3-4 Direct N2O'!S233</f>
        <v>29.551859999999994</v>
      </c>
      <c r="T48" s="16"/>
    </row>
    <row r="49" spans="1:20" ht="20.100000000000001" customHeight="1" x14ac:dyDescent="0.2">
      <c r="A49" s="5" t="str">
        <f>HYPERLINK("#'Constants - Common livestock'!A1", "Constants - Common Livestock")</f>
        <v>Constants - Common Livestock</v>
      </c>
      <c r="D49" s="111" t="str">
        <f>INDEX(X_Table_Swine_Stage1MMS_PitStorage,2,1)</f>
        <v>Pit storage</v>
      </c>
      <c r="E49" s="111" t="str">
        <f>INDEX(X_Table_Swine_Stage2MMS_From_PitStorage,2,1)</f>
        <v>Anaerobic lagoon</v>
      </c>
      <c r="F49" s="15">
        <f ca="1">'4.5.1.3-4 Direct N2O'!F234</f>
        <v>30.141407999999998</v>
      </c>
      <c r="G49" s="15">
        <f ca="1">'4.5.1.3-4 Direct N2O'!G234</f>
        <v>40.133940000000003</v>
      </c>
      <c r="H49" s="15">
        <f ca="1">'4.5.1.3-4 Direct N2O'!H234</f>
        <v>37.676759999999994</v>
      </c>
      <c r="I49" s="15">
        <f ca="1">'4.5.1.3-4 Direct N2O'!I234</f>
        <v>25.554671999999997</v>
      </c>
      <c r="J49" s="16"/>
      <c r="N49" s="111" t="str">
        <f>INDEX(X_Table_Swine_Stage1MMS_PitStorage,2,1)</f>
        <v>Pit storage</v>
      </c>
      <c r="O49" s="111" t="str">
        <f>INDEX(X_Table_Swine_Stage2MMS_From_PitStorage,2,1)</f>
        <v>Anaerobic lagoon</v>
      </c>
      <c r="P49" s="15">
        <f ca="1">'4.5.1.3-4 Direct N2O'!P234</f>
        <v>30.141407999999998</v>
      </c>
      <c r="Q49" s="15">
        <f ca="1">'4.5.1.3-4 Direct N2O'!Q234</f>
        <v>40.133940000000003</v>
      </c>
      <c r="R49" s="15">
        <f ca="1">'4.5.1.3-4 Direct N2O'!R234</f>
        <v>37.676759999999994</v>
      </c>
      <c r="S49" s="15">
        <f ca="1">'4.5.1.3-4 Direct N2O'!S234</f>
        <v>25.554671999999997</v>
      </c>
      <c r="T49" s="16"/>
    </row>
    <row r="50" spans="1:20" ht="20.100000000000001" customHeight="1" x14ac:dyDescent="0.2">
      <c r="A50" s="5" t="str">
        <f>HYPERLINK("#'Constants - Electricity'!A1", "Constants - Electricity")</f>
        <v>Constants - Electricity</v>
      </c>
      <c r="D50" s="111"/>
      <c r="E50" s="111" t="str">
        <f>INDEX(X_Table_Swine_Stage2MMS_From_PitStorage,3,1)</f>
        <v>Digester / covered lagoons</v>
      </c>
      <c r="F50" s="15">
        <f ca="1">'4.5.1.3-4 Direct N2O'!F235</f>
        <v>30.141407999999998</v>
      </c>
      <c r="G50" s="15">
        <f ca="1">'4.5.1.3-4 Direct N2O'!G235</f>
        <v>40.133940000000003</v>
      </c>
      <c r="H50" s="15">
        <f ca="1">'4.5.1.3-4 Direct N2O'!H235</f>
        <v>37.676759999999994</v>
      </c>
      <c r="I50" s="15">
        <f ca="1">'4.5.1.3-4 Direct N2O'!I235</f>
        <v>25.554671999999997</v>
      </c>
      <c r="J50" s="16"/>
      <c r="N50" s="111"/>
      <c r="O50" s="111" t="str">
        <f>INDEX(X_Table_Swine_Stage2MMS_From_PitStorage,3,1)</f>
        <v>Digester / covered lagoons</v>
      </c>
      <c r="P50" s="15">
        <f ca="1">'4.5.1.3-4 Direct N2O'!P235</f>
        <v>30.141407999999998</v>
      </c>
      <c r="Q50" s="15">
        <f ca="1">'4.5.1.3-4 Direct N2O'!Q235</f>
        <v>40.133940000000003</v>
      </c>
      <c r="R50" s="15">
        <f ca="1">'4.5.1.3-4 Direct N2O'!R235</f>
        <v>37.676759999999994</v>
      </c>
      <c r="S50" s="15">
        <f ca="1">'4.5.1.3-4 Direct N2O'!S235</f>
        <v>25.554671999999997</v>
      </c>
      <c r="T50" s="16"/>
    </row>
    <row r="51" spans="1:20" ht="20.100000000000001" customHeight="1" x14ac:dyDescent="0.2">
      <c r="A51" s="5" t="str">
        <f>HYPERLINK("#'Constants - Fertiliser'!A1", "Constants - Fertiliser")</f>
        <v>Constants - Fertiliser</v>
      </c>
      <c r="D51" s="111"/>
      <c r="E51" s="111" t="str">
        <f>INDEX(X_Table_Swine_Stage2MMS_From_PitStorage,4,1)</f>
        <v>Deep litter</v>
      </c>
      <c r="F51" s="15">
        <f ca="1">'4.5.1.3-4 Direct N2O'!F236</f>
        <v>30.141407999999998</v>
      </c>
      <c r="G51" s="15">
        <f ca="1">'4.5.1.3-4 Direct N2O'!G236</f>
        <v>40.133940000000003</v>
      </c>
      <c r="H51" s="15">
        <f ca="1">'4.5.1.3-4 Direct N2O'!H236</f>
        <v>37.676759999999994</v>
      </c>
      <c r="I51" s="15">
        <f ca="1">'4.5.1.3-4 Direct N2O'!I236</f>
        <v>25.554671999999997</v>
      </c>
      <c r="J51" s="16"/>
      <c r="N51" s="111"/>
      <c r="O51" s="111" t="str">
        <f>INDEX(X_Table_Swine_Stage2MMS_From_PitStorage,4,1)</f>
        <v>Deep litter</v>
      </c>
      <c r="P51" s="15">
        <f ca="1">'4.5.1.3-4 Direct N2O'!P236</f>
        <v>30.141407999999998</v>
      </c>
      <c r="Q51" s="15">
        <f ca="1">'4.5.1.3-4 Direct N2O'!Q236</f>
        <v>40.133940000000003</v>
      </c>
      <c r="R51" s="15">
        <f ca="1">'4.5.1.3-4 Direct N2O'!R236</f>
        <v>37.676759999999994</v>
      </c>
      <c r="S51" s="15">
        <f ca="1">'4.5.1.3-4 Direct N2O'!S236</f>
        <v>25.554671999999997</v>
      </c>
      <c r="T51" s="16"/>
    </row>
    <row r="52" spans="1:20" ht="20.100000000000001" customHeight="1" x14ac:dyDescent="0.2">
      <c r="A52" s="5" t="str">
        <f>HYPERLINK("#'Constants - Fuel'!A1", "Constants - Fuel")</f>
        <v>Constants - Fuel</v>
      </c>
      <c r="D52" s="111"/>
      <c r="E52" s="111" t="str">
        <f>INDEX(X_Table_Swine_Stage2MMS_From_PitStorage,5,1)</f>
        <v>Direct application</v>
      </c>
      <c r="F52" s="15">
        <f ca="1">'4.5.1.3-4 Direct N2O'!F237</f>
        <v>60.282815999999976</v>
      </c>
      <c r="G52" s="15">
        <f ca="1">'4.5.1.3-4 Direct N2O'!G237</f>
        <v>40.133940000000003</v>
      </c>
      <c r="H52" s="15">
        <f ca="1">'4.5.1.3-4 Direct N2O'!H237</f>
        <v>37.676759999999994</v>
      </c>
      <c r="I52" s="15">
        <f ca="1">'4.5.1.3-4 Direct N2O'!I237</f>
        <v>25.554671999999997</v>
      </c>
      <c r="J52" s="16"/>
      <c r="N52" s="111"/>
      <c r="O52" s="111" t="str">
        <f>INDEX(X_Table_Swine_Stage2MMS_From_PitStorage,5,1)</f>
        <v>Direct application</v>
      </c>
      <c r="P52" s="15">
        <f ca="1">'4.5.1.3-4 Direct N2O'!P237</f>
        <v>60.282815999999976</v>
      </c>
      <c r="Q52" s="15">
        <f ca="1">'4.5.1.3-4 Direct N2O'!Q237</f>
        <v>40.133940000000003</v>
      </c>
      <c r="R52" s="15">
        <f ca="1">'4.5.1.3-4 Direct N2O'!R237</f>
        <v>37.676759999999994</v>
      </c>
      <c r="S52" s="15">
        <f ca="1">'4.5.1.3-4 Direct N2O'!S237</f>
        <v>25.554671999999997</v>
      </c>
      <c r="T52" s="16"/>
    </row>
    <row r="53" spans="1:20" ht="20.100000000000001" customHeight="1" x14ac:dyDescent="0.2">
      <c r="A53" s="5" t="str">
        <f>HYPERLINK("#'Constants - Scope 3'!A1", "Constants - Scope 3")</f>
        <v>Constants - Scope 3</v>
      </c>
      <c r="D53" s="111" t="s">
        <v>75</v>
      </c>
      <c r="E53" s="111" t="str">
        <f>INDEX(X_Table_Swine_Stage2MMS_From_SolidStorage,2,1)</f>
        <v>Anaerobic lagoon</v>
      </c>
      <c r="F53" s="15">
        <f ca="1">'4.5.1.3-4 Direct N2O'!F238</f>
        <v>106.78440000000003</v>
      </c>
      <c r="G53" s="15">
        <f ca="1">'4.5.1.3-4 Direct N2O'!G238</f>
        <v>113.74860000000007</v>
      </c>
      <c r="H53" s="15">
        <f ca="1">'4.5.1.3-4 Direct N2O'!H238</f>
        <v>106.78440000000003</v>
      </c>
      <c r="I53" s="15">
        <f ca="1">'4.5.1.3-4 Direct N2O'!I238</f>
        <v>72.427680000000038</v>
      </c>
      <c r="J53" s="16"/>
      <c r="N53" s="111" t="s">
        <v>75</v>
      </c>
      <c r="O53" s="111" t="str">
        <f>INDEX(X_Table_Swine_Stage2MMS_From_SolidStorage,2,1)</f>
        <v>Anaerobic lagoon</v>
      </c>
      <c r="P53" s="15">
        <f ca="1">'4.5.1.3-4 Direct N2O'!P238</f>
        <v>106.78440000000003</v>
      </c>
      <c r="Q53" s="15">
        <f ca="1">'4.5.1.3-4 Direct N2O'!Q238</f>
        <v>113.74860000000007</v>
      </c>
      <c r="R53" s="15">
        <f ca="1">'4.5.1.3-4 Direct N2O'!R238</f>
        <v>106.78440000000003</v>
      </c>
      <c r="S53" s="15">
        <f ca="1">'4.5.1.3-4 Direct N2O'!S238</f>
        <v>72.427680000000038</v>
      </c>
      <c r="T53" s="16"/>
    </row>
    <row r="54" spans="1:20" ht="20.100000000000001" customHeight="1" x14ac:dyDescent="0.2">
      <c r="A54" s="5" t="str">
        <f>HYPERLINK("#'Constants - Solid Waste'!A1", "Constants - Solid Waste")</f>
        <v>Constants - Solid Waste</v>
      </c>
      <c r="D54" s="111"/>
      <c r="E54" s="111" t="str">
        <f>INDEX(X_Table_Swine_Stage2MMS_From_SolidStorage,3,1)</f>
        <v>Digester / covered lagoons</v>
      </c>
      <c r="F54" s="15">
        <f ca="1">'4.5.1.3-4 Direct N2O'!F239</f>
        <v>106.78440000000003</v>
      </c>
      <c r="G54" s="15">
        <f ca="1">'4.5.1.3-4 Direct N2O'!G239</f>
        <v>113.74860000000007</v>
      </c>
      <c r="H54" s="15">
        <f ca="1">'4.5.1.3-4 Direct N2O'!H239</f>
        <v>106.78440000000003</v>
      </c>
      <c r="I54" s="15">
        <f ca="1">'4.5.1.3-4 Direct N2O'!I239</f>
        <v>72.427680000000038</v>
      </c>
      <c r="J54" s="16"/>
      <c r="N54" s="111"/>
      <c r="O54" s="111" t="str">
        <f>INDEX(X_Table_Swine_Stage2MMS_From_SolidStorage,3,1)</f>
        <v>Digester / covered lagoons</v>
      </c>
      <c r="P54" s="15">
        <f ca="1">'4.5.1.3-4 Direct N2O'!P239</f>
        <v>106.78440000000003</v>
      </c>
      <c r="Q54" s="15">
        <f ca="1">'4.5.1.3-4 Direct N2O'!Q239</f>
        <v>113.74860000000007</v>
      </c>
      <c r="R54" s="15">
        <f ca="1">'4.5.1.3-4 Direct N2O'!R239</f>
        <v>106.78440000000003</v>
      </c>
      <c r="S54" s="15">
        <f ca="1">'4.5.1.3-4 Direct N2O'!S239</f>
        <v>72.427680000000038</v>
      </c>
      <c r="T54" s="16"/>
    </row>
    <row r="55" spans="1:20" ht="20.100000000000001" customHeight="1" x14ac:dyDescent="0.2">
      <c r="A55" s="5" t="str">
        <f>HYPERLINK("#'Constants - Common'!A1", "Constants - Common")</f>
        <v>Constants - Common</v>
      </c>
      <c r="D55" s="111"/>
      <c r="E55" s="111" t="str">
        <f>INDEX(X_Table_Swine_Stage2MMS_From_SolidStorage,4,1)</f>
        <v>Deep litter</v>
      </c>
      <c r="F55" s="15">
        <f ca="1">'4.5.1.3-4 Direct N2O'!F240</f>
        <v>106.78440000000003</v>
      </c>
      <c r="G55" s="15">
        <f ca="1">'4.5.1.3-4 Direct N2O'!G240</f>
        <v>113.74860000000007</v>
      </c>
      <c r="H55" s="15">
        <f ca="1">'4.5.1.3-4 Direct N2O'!H240</f>
        <v>106.78440000000003</v>
      </c>
      <c r="I55" s="15">
        <f ca="1">'4.5.1.3-4 Direct N2O'!I240</f>
        <v>72.427680000000038</v>
      </c>
      <c r="J55" s="16"/>
      <c r="N55" s="111"/>
      <c r="O55" s="111" t="str">
        <f>INDEX(X_Table_Swine_Stage2MMS_From_SolidStorage,4,1)</f>
        <v>Deep litter</v>
      </c>
      <c r="P55" s="15">
        <f ca="1">'4.5.1.3-4 Direct N2O'!P240</f>
        <v>106.78440000000003</v>
      </c>
      <c r="Q55" s="15">
        <f ca="1">'4.5.1.3-4 Direct N2O'!Q240</f>
        <v>113.74860000000007</v>
      </c>
      <c r="R55" s="15">
        <f ca="1">'4.5.1.3-4 Direct N2O'!R240</f>
        <v>106.78440000000003</v>
      </c>
      <c r="S55" s="15">
        <f ca="1">'4.5.1.3-4 Direct N2O'!S240</f>
        <v>72.427680000000038</v>
      </c>
      <c r="T55" s="16"/>
    </row>
    <row r="56" spans="1:20" ht="20.100000000000001" customHeight="1" x14ac:dyDescent="0.2">
      <c r="A56" s="5" t="str">
        <f>HYPERLINK("#'Acknowledgements'!A1", "Acknowledgements")</f>
        <v>Acknowledgements</v>
      </c>
      <c r="D56" s="111"/>
      <c r="E56" s="111" t="str">
        <f>INDEX(X_Table_Swine_Stage2MMS_From_SolidStorage,5,1)</f>
        <v>Pit storage</v>
      </c>
      <c r="F56" s="15">
        <f ca="1">'4.5.1.3-4 Direct N2O'!F241</f>
        <v>53.392200000000017</v>
      </c>
      <c r="G56" s="15">
        <f ca="1">'4.5.1.3-4 Direct N2O'!G241</f>
        <v>56.874300000000034</v>
      </c>
      <c r="H56" s="15">
        <f ca="1">'4.5.1.3-4 Direct N2O'!H241</f>
        <v>53.392200000000017</v>
      </c>
      <c r="I56" s="15">
        <f ca="1">'4.5.1.3-4 Direct N2O'!I241</f>
        <v>36.213840000000019</v>
      </c>
      <c r="J56" s="16"/>
      <c r="N56" s="111"/>
      <c r="O56" s="111" t="str">
        <f>INDEX(X_Table_Swine_Stage2MMS_From_SolidStorage,5,1)</f>
        <v>Pit storage</v>
      </c>
      <c r="P56" s="15">
        <f ca="1">'4.5.1.3-4 Direct N2O'!P241</f>
        <v>53.392200000000017</v>
      </c>
      <c r="Q56" s="15">
        <f ca="1">'4.5.1.3-4 Direct N2O'!Q241</f>
        <v>56.874300000000034</v>
      </c>
      <c r="R56" s="15">
        <f ca="1">'4.5.1.3-4 Direct N2O'!R241</f>
        <v>53.392200000000017</v>
      </c>
      <c r="S56" s="15">
        <f ca="1">'4.5.1.3-4 Direct N2O'!S241</f>
        <v>36.213840000000019</v>
      </c>
      <c r="T56" s="16"/>
    </row>
    <row r="57" spans="1:20" ht="20.100000000000001" customHeight="1" x14ac:dyDescent="0.2">
      <c r="D57" s="111"/>
      <c r="E57" s="111" t="str">
        <f>INDEX(X_Table_Swine_Stage2MMS_From_SolidStorage,6,1)</f>
        <v>Direct application</v>
      </c>
      <c r="F57" s="15">
        <f ca="1">'4.5.1.3-4 Direct N2O'!F242</f>
        <v>160.17660000000001</v>
      </c>
      <c r="G57" s="15">
        <f ca="1">'4.5.1.3-4 Direct N2O'!G242</f>
        <v>170.62290000000004</v>
      </c>
      <c r="H57" s="15">
        <f ca="1">'4.5.1.3-4 Direct N2O'!H242</f>
        <v>160.17660000000001</v>
      </c>
      <c r="I57" s="15">
        <f ca="1">'4.5.1.3-4 Direct N2O'!I242</f>
        <v>108.64152000000003</v>
      </c>
      <c r="J57" s="16"/>
      <c r="N57" s="111"/>
      <c r="O57" s="111" t="str">
        <f>INDEX(X_Table_Swine_Stage2MMS_From_SolidStorage,6,1)</f>
        <v>Direct application</v>
      </c>
      <c r="P57" s="15">
        <f ca="1">'4.5.1.3-4 Direct N2O'!P242</f>
        <v>160.17660000000001</v>
      </c>
      <c r="Q57" s="15">
        <f ca="1">'4.5.1.3-4 Direct N2O'!Q242</f>
        <v>170.62290000000004</v>
      </c>
      <c r="R57" s="15">
        <f ca="1">'4.5.1.3-4 Direct N2O'!R242</f>
        <v>160.17660000000001</v>
      </c>
      <c r="S57" s="15">
        <f ca="1">'4.5.1.3-4 Direct N2O'!S242</f>
        <v>108.64152000000003</v>
      </c>
      <c r="T57" s="16"/>
    </row>
    <row r="59" spans="1:20" ht="20.100000000000001" customHeight="1" x14ac:dyDescent="0.2">
      <c r="D59" s="117" t="s">
        <v>430</v>
      </c>
    </row>
    <row r="60" spans="1:20" ht="20.100000000000001" customHeight="1" x14ac:dyDescent="0.2">
      <c r="D60" s="118" t="s">
        <v>431</v>
      </c>
    </row>
    <row r="61" spans="1:20" ht="20.100000000000001" customHeight="1" x14ac:dyDescent="0.2">
      <c r="D61" s="119" t="s">
        <v>325</v>
      </c>
      <c r="E61" s="119" t="s">
        <v>409</v>
      </c>
    </row>
    <row r="62" spans="1:20" ht="20.100000000000001" customHeight="1" x14ac:dyDescent="0.2">
      <c r="D62" s="111" t="str">
        <f>INDEX(X_Table_Swine_Stage1MMS_AnaerobicLagoon,2,1)</f>
        <v>Anaerobic lagoon</v>
      </c>
      <c r="E62" s="15" cm="1">
        <f t="array" ref="E62">Common_InputFunctions.Utility_LookupValueInTableNumber(D62, Table_SourceData_Swine_FracGASM[NIR reference],Table_SourceData_Swine_FracGASM[FracGASMmT])</f>
        <v>0.55000000000000004</v>
      </c>
      <c r="F62" s="16" t="str">
        <f>G14</f>
        <v>(kg NH3-N + NOx-N)/kg N</v>
      </c>
    </row>
    <row r="63" spans="1:20" ht="20.100000000000001" customHeight="1" x14ac:dyDescent="0.2">
      <c r="D63" s="111" t="str">
        <f>INDEX(X_Table_Swine_Stage1MMS_Drylot,2,1)</f>
        <v>Drylot (feed pad)</v>
      </c>
      <c r="E63" s="15" cm="1">
        <f t="array" ref="E63">Common_InputFunctions.Utility_LookupValueInTableNumber(D63, Table_SourceData_Swine_FracGASM[NIR reference],Table_SourceData_Swine_FracGASM[FracGASMmT])</f>
        <v>0.3</v>
      </c>
    </row>
    <row r="64" spans="1:20" ht="20.100000000000001" customHeight="1" x14ac:dyDescent="0.2">
      <c r="D64" s="111" t="str">
        <f>INDEX(X_Table_Swine_Stage1MMS_DigesterCoveredLagoons,2,1)</f>
        <v>Digester / covered lagoons</v>
      </c>
      <c r="E64" s="15" cm="1">
        <f t="array" ref="E64">Common_InputFunctions.Utility_LookupValueInTableNumber(D64, Table_SourceData_Swine_FracGASM[NIR reference],Table_SourceData_Swine_FracGASM[FracGASMmT])</f>
        <v>0</v>
      </c>
    </row>
    <row r="65" spans="1:20" ht="20.100000000000001" customHeight="1" x14ac:dyDescent="0.2">
      <c r="D65" s="111" t="str">
        <f>INDEX(X_Table_Swine_Stage1MMS_DeepLitter,2,1)</f>
        <v>Deep litter</v>
      </c>
      <c r="E65" s="15" cm="1">
        <f t="array" ref="E65">Common_InputFunctions.Utility_LookupValueInTableNumber(D65, Table_SourceData_Swine_FracGASM[NIR reference],Table_SourceData_Swine_FracGASM[FracGASMmT])</f>
        <v>0.125</v>
      </c>
    </row>
    <row r="66" spans="1:20" ht="20.100000000000001" customHeight="1" x14ac:dyDescent="0.2">
      <c r="D66" s="111" t="str">
        <f>INDEX(X_Table_Swine_Stage1MMS_PitStorage,2,1)</f>
        <v>Pit storage</v>
      </c>
      <c r="E66" s="15" cm="1">
        <f t="array" ref="E66">Common_InputFunctions.Utility_LookupValueInTableNumber(D66, Table_SourceData_Swine_FracGASM[NIR reference],Table_SourceData_Swine_FracGASM[FracGASMmT])</f>
        <v>0.25</v>
      </c>
    </row>
    <row r="67" spans="1:20" ht="20.100000000000001" customHeight="1" x14ac:dyDescent="0.2">
      <c r="A67" s="131" t="str">
        <f>HYPERLINK("#A1", "▲ Back to top")</f>
        <v>▲ Back to top</v>
      </c>
      <c r="D67" s="111" t="s">
        <v>75</v>
      </c>
      <c r="E67" s="15" cm="1">
        <f t="array" ref="E67">Common_InputFunctions.Utility_LookupValueInTableNumber(D67, Table_SourceData_Swine_FracGASM[NIR reference],Table_SourceData_Swine_FracGASM[FracGASMmT])</f>
        <v>0.2</v>
      </c>
    </row>
    <row r="68" spans="1:20" ht="20.100000000000001" customHeight="1" x14ac:dyDescent="0.2">
      <c r="D68" s="111" t="str">
        <f>'Constants - Swine'!D47</f>
        <v>Direct application</v>
      </c>
      <c r="E68" s="15" cm="1">
        <f t="array" ref="E68">Common_InputFunctions.Utility_LookupValueInTableNumber(D68, Table_SourceData_Swine_FracGASM[NIR reference],Table_SourceData_Swine_FracGASM[FracGASMmT])</f>
        <v>0</v>
      </c>
    </row>
    <row r="70" spans="1:20" ht="20.100000000000001" customHeight="1" x14ac:dyDescent="0.2">
      <c r="D70" s="117" t="s">
        <v>423</v>
      </c>
      <c r="N70" s="117" t="s">
        <v>423</v>
      </c>
    </row>
    <row r="71" spans="1:20" ht="20.100000000000001" customHeight="1" x14ac:dyDescent="0.2">
      <c r="D71" s="118" t="s">
        <v>425</v>
      </c>
      <c r="N71" s="118" t="s">
        <v>425</v>
      </c>
    </row>
    <row r="72" spans="1:20" ht="20.100000000000001" customHeight="1" x14ac:dyDescent="0.2">
      <c r="D72" s="119" t="s">
        <v>325</v>
      </c>
      <c r="E72" s="119" t="s">
        <v>354</v>
      </c>
      <c r="F72" s="119" t="s">
        <v>290</v>
      </c>
      <c r="G72" s="119" t="s">
        <v>291</v>
      </c>
      <c r="H72" s="119" t="s">
        <v>265</v>
      </c>
      <c r="I72" s="119" t="s">
        <v>292</v>
      </c>
      <c r="N72" s="119" t="s">
        <v>325</v>
      </c>
      <c r="O72" s="119" t="s">
        <v>354</v>
      </c>
      <c r="P72" s="119" t="s">
        <v>290</v>
      </c>
      <c r="Q72" s="119" t="s">
        <v>291</v>
      </c>
      <c r="R72" s="119" t="s">
        <v>265</v>
      </c>
      <c r="S72" s="119" t="s">
        <v>292</v>
      </c>
    </row>
    <row r="73" spans="1:20" ht="20.100000000000001" customHeight="1" x14ac:dyDescent="0.2">
      <c r="D73" s="111" t="str">
        <f>INDEX(X_Table_Swine_Stage1MMS_AnaerobicLagoon,2,1)</f>
        <v>Anaerobic lagoon</v>
      </c>
      <c r="E73" s="111" t="s">
        <v>124</v>
      </c>
      <c r="F73" s="15" cm="1">
        <f t="array" aca="1" ref="F73" ca="1">MMS_Swine_AtmosphericDeposition_Equations.VEERG_4_5_1_5__2_TotalNitrogenVolatilisedFromMMS(E22,_xlfn.XLOOKUP($D73,$D$62:$D$68,$E$62:$E$68))</f>
        <v>110.81399999999999</v>
      </c>
      <c r="G73" s="15" cm="1">
        <f t="array" aca="1" ref="G73" ca="1">MMS_Swine_AtmosphericDeposition_Equations.VEERG_4_5_1_5__2_TotalNitrogenVolatilisedFromMMS(F22,_xlfn.XLOOKUP($D73,$D$62:$D$68,$E$62:$E$68))</f>
        <v>118.04100000000003</v>
      </c>
      <c r="H73" s="15" cm="1">
        <f t="array" aca="1" ref="H73" ca="1">MMS_Swine_AtmosphericDeposition_Equations.VEERG_4_5_1_5__2_TotalNitrogenVolatilisedFromMMS(G22,_xlfn.XLOOKUP($D73,$D$62:$D$68,$E$62:$E$68))</f>
        <v>110.81399999999999</v>
      </c>
      <c r="I73" s="15" cm="1">
        <f t="array" aca="1" ref="I73" ca="1">MMS_Swine_AtmosphericDeposition_Equations.VEERG_4_5_1_5__2_TotalNitrogenVolatilisedFromMMS(H22,_xlfn.XLOOKUP($D73,$D$62:$D$68,$E$62:$E$68))</f>
        <v>75.160799999999995</v>
      </c>
      <c r="J73" s="16" t="str">
        <f>$E$11</f>
        <v>kg N</v>
      </c>
      <c r="N73" s="111" t="str">
        <f>INDEX(X_Table_Swine_Stage1MMS_AnaerobicLagoon,2,1)</f>
        <v>Anaerobic lagoon</v>
      </c>
      <c r="O73" s="111" t="s">
        <v>124</v>
      </c>
      <c r="P73" s="15" cm="1">
        <f t="array" aca="1" ref="P73" ca="1">MMS_Swine_AtmosphericDeposition_Equations.VEERG_4_5_1_5__2_TotalNitrogenVolatilisedFromMMS(O22,_xlfn.XLOOKUP($N73,$D$62:$D$68,$E$62:$E$68))</f>
        <v>110.81399999999999</v>
      </c>
      <c r="Q73" s="15" cm="1">
        <f t="array" aca="1" ref="Q73" ca="1">MMS_Swine_AtmosphericDeposition_Equations.VEERG_4_5_1_5__2_TotalNitrogenVolatilisedFromMMS(P22,_xlfn.XLOOKUP($N73,$D$62:$D$68,$E$62:$E$68))</f>
        <v>118.04100000000003</v>
      </c>
      <c r="R73" s="15" cm="1">
        <f t="array" aca="1" ref="R73" ca="1">MMS_Swine_AtmosphericDeposition_Equations.VEERG_4_5_1_5__2_TotalNitrogenVolatilisedFromMMS(Q22,_xlfn.XLOOKUP($N73,$D$62:$D$68,$E$62:$E$68))</f>
        <v>110.81399999999999</v>
      </c>
      <c r="S73" s="15" cm="1">
        <f t="array" aca="1" ref="S73" ca="1">MMS_Swine_AtmosphericDeposition_Equations.VEERG_4_5_1_5__2_TotalNitrogenVolatilisedFromMMS(R22,_xlfn.XLOOKUP($N73,$D$62:$D$68,$E$62:$E$68))</f>
        <v>75.160799999999995</v>
      </c>
      <c r="T73" s="16" t="str">
        <f>$E$11</f>
        <v>kg N</v>
      </c>
    </row>
    <row r="74" spans="1:20" ht="20.100000000000001" customHeight="1" x14ac:dyDescent="0.2">
      <c r="D74" s="111" t="str">
        <f>INDEX(X_Table_Swine_Stage1MMS_Drylot,2,1)</f>
        <v>Drylot (feed pad)</v>
      </c>
      <c r="E74" s="111" t="s">
        <v>124</v>
      </c>
      <c r="F74" s="15" cm="1">
        <f t="array" aca="1" ref="F74" ca="1">MMS_Swine_AtmosphericDeposition_Equations.VEERG_4_5_1_5__2_TotalNitrogenVolatilisedFromMMS(E23,_xlfn.XLOOKUP($D74,$D$62:$D$68,$E$62:$E$68))</f>
        <v>60.443999999999988</v>
      </c>
      <c r="G74" s="15" cm="1">
        <f t="array" aca="1" ref="G74" ca="1">MMS_Swine_AtmosphericDeposition_Equations.VEERG_4_5_1_5__2_TotalNitrogenVolatilisedFromMMS(F23,_xlfn.XLOOKUP($D74,$D$62:$D$68,$E$62:$E$68))</f>
        <v>64.38600000000001</v>
      </c>
      <c r="H74" s="15" cm="1">
        <f t="array" aca="1" ref="H74" ca="1">MMS_Swine_AtmosphericDeposition_Equations.VEERG_4_5_1_5__2_TotalNitrogenVolatilisedFromMMS(G23,_xlfn.XLOOKUP($D74,$D$62:$D$68,$E$62:$E$68))</f>
        <v>60.443999999999988</v>
      </c>
      <c r="I74" s="15" cm="1">
        <f t="array" aca="1" ref="I74" ca="1">MMS_Swine_AtmosphericDeposition_Equations.VEERG_4_5_1_5__2_TotalNitrogenVolatilisedFromMMS(H23,_xlfn.XLOOKUP($D74,$D$62:$D$68,$E$62:$E$68))</f>
        <v>40.996799999999993</v>
      </c>
      <c r="J74" s="16"/>
      <c r="N74" s="111" t="str">
        <f>INDEX(X_Table_Swine_Stage1MMS_Drylot,2,1)</f>
        <v>Drylot (feed pad)</v>
      </c>
      <c r="O74" s="111" t="s">
        <v>124</v>
      </c>
      <c r="P74" s="15" cm="1">
        <f t="array" aca="1" ref="P74" ca="1">MMS_Swine_AtmosphericDeposition_Equations.VEERG_4_5_1_5__2_TotalNitrogenVolatilisedFromMMS(O23,_xlfn.XLOOKUP($N74,$D$62:$D$68,$E$62:$E$68))</f>
        <v>60.443999999999988</v>
      </c>
      <c r="Q74" s="15" cm="1">
        <f t="array" aca="1" ref="Q74" ca="1">MMS_Swine_AtmosphericDeposition_Equations.VEERG_4_5_1_5__2_TotalNitrogenVolatilisedFromMMS(P23,_xlfn.XLOOKUP($N74,$D$62:$D$68,$E$62:$E$68))</f>
        <v>64.38600000000001</v>
      </c>
      <c r="R74" s="15" cm="1">
        <f t="array" aca="1" ref="R74" ca="1">MMS_Swine_AtmosphericDeposition_Equations.VEERG_4_5_1_5__2_TotalNitrogenVolatilisedFromMMS(Q23,_xlfn.XLOOKUP($N74,$D$62:$D$68,$E$62:$E$68))</f>
        <v>60.443999999999988</v>
      </c>
      <c r="S74" s="15" cm="1">
        <f t="array" aca="1" ref="S74" ca="1">MMS_Swine_AtmosphericDeposition_Equations.VEERG_4_5_1_5__2_TotalNitrogenVolatilisedFromMMS(R23,_xlfn.XLOOKUP($N74,$D$62:$D$68,$E$62:$E$68))</f>
        <v>40.996799999999993</v>
      </c>
      <c r="T74" s="16"/>
    </row>
    <row r="75" spans="1:20" ht="20.100000000000001" customHeight="1" x14ac:dyDescent="0.2">
      <c r="D75" s="111" t="str">
        <f>INDEX(X_Table_Swine_Stage1MMS_DigesterCoveredLagoons,2,1)</f>
        <v>Digester / covered lagoons</v>
      </c>
      <c r="E75" s="111" t="s">
        <v>124</v>
      </c>
      <c r="F75" s="15" cm="1">
        <f t="array" aca="1" ref="F75" ca="1">MMS_Swine_AtmosphericDeposition_Equations.VEERG_4_5_1_5__2_TotalNitrogenVolatilisedFromMMS(E24,_xlfn.XLOOKUP($D75,$D$62:$D$68,$E$62:$E$68))</f>
        <v>0</v>
      </c>
      <c r="G75" s="15" cm="1">
        <f t="array" aca="1" ref="G75" ca="1">MMS_Swine_AtmosphericDeposition_Equations.VEERG_4_5_1_5__2_TotalNitrogenVolatilisedFromMMS(F24,_xlfn.XLOOKUP($D75,$D$62:$D$68,$E$62:$E$68))</f>
        <v>0</v>
      </c>
      <c r="H75" s="15" cm="1">
        <f t="array" aca="1" ref="H75" ca="1">MMS_Swine_AtmosphericDeposition_Equations.VEERG_4_5_1_5__2_TotalNitrogenVolatilisedFromMMS(G24,_xlfn.XLOOKUP($D75,$D$62:$D$68,$E$62:$E$68))</f>
        <v>0</v>
      </c>
      <c r="I75" s="15" cm="1">
        <f t="array" aca="1" ref="I75" ca="1">MMS_Swine_AtmosphericDeposition_Equations.VEERG_4_5_1_5__2_TotalNitrogenVolatilisedFromMMS(H24,_xlfn.XLOOKUP($D75,$D$62:$D$68,$E$62:$E$68))</f>
        <v>0</v>
      </c>
      <c r="J75" s="16"/>
      <c r="N75" s="111" t="str">
        <f>INDEX(X_Table_Swine_Stage1MMS_DigesterCoveredLagoons,2,1)</f>
        <v>Digester / covered lagoons</v>
      </c>
      <c r="O75" s="111" t="s">
        <v>124</v>
      </c>
      <c r="P75" s="15" cm="1">
        <f t="array" aca="1" ref="P75" ca="1">MMS_Swine_AtmosphericDeposition_Equations.VEERG_4_5_1_5__2_TotalNitrogenVolatilisedFromMMS(O24,_xlfn.XLOOKUP($N75,$D$62:$D$68,$E$62:$E$68))</f>
        <v>0</v>
      </c>
      <c r="Q75" s="15" cm="1">
        <f t="array" aca="1" ref="Q75" ca="1">MMS_Swine_AtmosphericDeposition_Equations.VEERG_4_5_1_5__2_TotalNitrogenVolatilisedFromMMS(P24,_xlfn.XLOOKUP($N75,$D$62:$D$68,$E$62:$E$68))</f>
        <v>0</v>
      </c>
      <c r="R75" s="15" cm="1">
        <f t="array" aca="1" ref="R75" ca="1">MMS_Swine_AtmosphericDeposition_Equations.VEERG_4_5_1_5__2_TotalNitrogenVolatilisedFromMMS(Q24,_xlfn.XLOOKUP($N75,$D$62:$D$68,$E$62:$E$68))</f>
        <v>0</v>
      </c>
      <c r="S75" s="15" cm="1">
        <f t="array" aca="1" ref="S75" ca="1">MMS_Swine_AtmosphericDeposition_Equations.VEERG_4_5_1_5__2_TotalNitrogenVolatilisedFromMMS(R24,_xlfn.XLOOKUP($N75,$D$62:$D$68,$E$62:$E$68))</f>
        <v>0</v>
      </c>
      <c r="T75" s="16"/>
    </row>
    <row r="76" spans="1:20" ht="20.100000000000001" customHeight="1" x14ac:dyDescent="0.2">
      <c r="D76" s="111" t="str">
        <f>INDEX(X_Table_Swine_Stage1MMS_DeepLitter,2,1)</f>
        <v>Deep litter</v>
      </c>
      <c r="E76" s="111" t="s">
        <v>124</v>
      </c>
      <c r="F76" s="15" cm="1">
        <f t="array" aca="1" ref="F76" ca="1">MMS_Swine_AtmosphericDeposition_Equations.VEERG_4_5_1_5__2_TotalNitrogenVolatilisedFromMMS(E25,_xlfn.XLOOKUP($D76,$D$62:$D$68,$E$62:$E$68))</f>
        <v>25.184999999999995</v>
      </c>
      <c r="G76" s="15" cm="1">
        <f t="array" aca="1" ref="G76" ca="1">MMS_Swine_AtmosphericDeposition_Equations.VEERG_4_5_1_5__2_TotalNitrogenVolatilisedFromMMS(F25,_xlfn.XLOOKUP($D76,$D$62:$D$68,$E$62:$E$68))</f>
        <v>26.827500000000004</v>
      </c>
      <c r="H76" s="15" cm="1">
        <f t="array" aca="1" ref="H76" ca="1">MMS_Swine_AtmosphericDeposition_Equations.VEERG_4_5_1_5__2_TotalNitrogenVolatilisedFromMMS(G25,_xlfn.XLOOKUP($D76,$D$62:$D$68,$E$62:$E$68))</f>
        <v>25.184999999999995</v>
      </c>
      <c r="I76" s="15" cm="1">
        <f t="array" aca="1" ref="I76" ca="1">MMS_Swine_AtmosphericDeposition_Equations.VEERG_4_5_1_5__2_TotalNitrogenVolatilisedFromMMS(H25,_xlfn.XLOOKUP($D76,$D$62:$D$68,$E$62:$E$68))</f>
        <v>17.081999999999997</v>
      </c>
      <c r="J76" s="16"/>
      <c r="N76" s="111" t="str">
        <f>INDEX(X_Table_Swine_Stage1MMS_DeepLitter,2,1)</f>
        <v>Deep litter</v>
      </c>
      <c r="O76" s="111" t="s">
        <v>124</v>
      </c>
      <c r="P76" s="15" cm="1">
        <f t="array" aca="1" ref="P76" ca="1">MMS_Swine_AtmosphericDeposition_Equations.VEERG_4_5_1_5__2_TotalNitrogenVolatilisedFromMMS(O25,_xlfn.XLOOKUP($N76,$D$62:$D$68,$E$62:$E$68))</f>
        <v>25.184999999999995</v>
      </c>
      <c r="Q76" s="15" cm="1">
        <f t="array" aca="1" ref="Q76" ca="1">MMS_Swine_AtmosphericDeposition_Equations.VEERG_4_5_1_5__2_TotalNitrogenVolatilisedFromMMS(P25,_xlfn.XLOOKUP($N76,$D$62:$D$68,$E$62:$E$68))</f>
        <v>26.827500000000004</v>
      </c>
      <c r="R76" s="15" cm="1">
        <f t="array" aca="1" ref="R76" ca="1">MMS_Swine_AtmosphericDeposition_Equations.VEERG_4_5_1_5__2_TotalNitrogenVolatilisedFromMMS(Q25,_xlfn.XLOOKUP($N76,$D$62:$D$68,$E$62:$E$68))</f>
        <v>25.184999999999995</v>
      </c>
      <c r="S76" s="15" cm="1">
        <f t="array" aca="1" ref="S76" ca="1">MMS_Swine_AtmosphericDeposition_Equations.VEERG_4_5_1_5__2_TotalNitrogenVolatilisedFromMMS(R25,_xlfn.XLOOKUP($N76,$D$62:$D$68,$E$62:$E$68))</f>
        <v>17.081999999999997</v>
      </c>
      <c r="T76" s="16"/>
    </row>
    <row r="77" spans="1:20" ht="20.100000000000001" customHeight="1" x14ac:dyDescent="0.2">
      <c r="D77" s="111" t="str">
        <f>INDEX(X_Table_Swine_Stage1MMS_PitStorage,2,1)</f>
        <v>Pit storage</v>
      </c>
      <c r="E77" s="111" t="s">
        <v>124</v>
      </c>
      <c r="F77" s="15" cm="1">
        <f t="array" aca="1" ref="F77" ca="1">MMS_Swine_AtmosphericDeposition_Equations.VEERG_4_5_1_5__2_TotalNitrogenVolatilisedFromMMS(E26,_xlfn.XLOOKUP($D77,$D$62:$D$68,$E$62:$E$68))</f>
        <v>50.36999999999999</v>
      </c>
      <c r="G77" s="15" cm="1">
        <f t="array" aca="1" ref="G77" ca="1">MMS_Swine_AtmosphericDeposition_Equations.VEERG_4_5_1_5__2_TotalNitrogenVolatilisedFromMMS(F26,_xlfn.XLOOKUP($D77,$D$62:$D$68,$E$62:$E$68))</f>
        <v>53.655000000000008</v>
      </c>
      <c r="H77" s="15" cm="1">
        <f t="array" aca="1" ref="H77" ca="1">MMS_Swine_AtmosphericDeposition_Equations.VEERG_4_5_1_5__2_TotalNitrogenVolatilisedFromMMS(G26,_xlfn.XLOOKUP($D77,$D$62:$D$68,$E$62:$E$68))</f>
        <v>50.36999999999999</v>
      </c>
      <c r="I77" s="15" cm="1">
        <f t="array" aca="1" ref="I77" ca="1">MMS_Swine_AtmosphericDeposition_Equations.VEERG_4_5_1_5__2_TotalNitrogenVolatilisedFromMMS(H26,_xlfn.XLOOKUP($D77,$D$62:$D$68,$E$62:$E$68))</f>
        <v>34.163999999999994</v>
      </c>
      <c r="J77" s="16"/>
      <c r="N77" s="111" t="str">
        <f>INDEX(X_Table_Swine_Stage1MMS_PitStorage,2,1)</f>
        <v>Pit storage</v>
      </c>
      <c r="O77" s="111" t="s">
        <v>124</v>
      </c>
      <c r="P77" s="15" cm="1">
        <f t="array" aca="1" ref="P77" ca="1">MMS_Swine_AtmosphericDeposition_Equations.VEERG_4_5_1_5__2_TotalNitrogenVolatilisedFromMMS(O26,_xlfn.XLOOKUP($N77,$D$62:$D$68,$E$62:$E$68))</f>
        <v>50.36999999999999</v>
      </c>
      <c r="Q77" s="15" cm="1">
        <f t="array" aca="1" ref="Q77" ca="1">MMS_Swine_AtmosphericDeposition_Equations.VEERG_4_5_1_5__2_TotalNitrogenVolatilisedFromMMS(P26,_xlfn.XLOOKUP($N77,$D$62:$D$68,$E$62:$E$68))</f>
        <v>53.655000000000008</v>
      </c>
      <c r="R77" s="15" cm="1">
        <f t="array" aca="1" ref="R77" ca="1">MMS_Swine_AtmosphericDeposition_Equations.VEERG_4_5_1_5__2_TotalNitrogenVolatilisedFromMMS(Q26,_xlfn.XLOOKUP($N77,$D$62:$D$68,$E$62:$E$68))</f>
        <v>50.36999999999999</v>
      </c>
      <c r="S77" s="15" cm="1">
        <f t="array" aca="1" ref="S77" ca="1">MMS_Swine_AtmosphericDeposition_Equations.VEERG_4_5_1_5__2_TotalNitrogenVolatilisedFromMMS(R26,_xlfn.XLOOKUP($N77,$D$62:$D$68,$E$62:$E$68))</f>
        <v>34.163999999999994</v>
      </c>
      <c r="T77" s="16"/>
    </row>
    <row r="78" spans="1:20" ht="20.100000000000001" customHeight="1" x14ac:dyDescent="0.2">
      <c r="D78" s="111" t="s">
        <v>75</v>
      </c>
      <c r="E78" s="111" t="s">
        <v>124</v>
      </c>
      <c r="F78" s="15" cm="1">
        <f t="array" aca="1" ref="F78" ca="1">MMS_Swine_AtmosphericDeposition_Equations.VEERG_4_5_1_5__2_TotalNitrogenVolatilisedFromMMS(E27,_xlfn.XLOOKUP($D78,$D$62:$D$68,$E$62:$E$68))</f>
        <v>134.32000000000002</v>
      </c>
      <c r="G78" s="15" cm="1">
        <f t="array" aca="1" ref="G78" ca="1">MMS_Swine_AtmosphericDeposition_Equations.VEERG_4_5_1_5__2_TotalNitrogenVolatilisedFromMMS(F27,_xlfn.XLOOKUP($D78,$D$62:$D$68,$E$62:$E$68))</f>
        <v>143.08000000000007</v>
      </c>
      <c r="H78" s="15" cm="1">
        <f t="array" aca="1" ref="H78" ca="1">MMS_Swine_AtmosphericDeposition_Equations.VEERG_4_5_1_5__2_TotalNitrogenVolatilisedFromMMS(G27,_xlfn.XLOOKUP($D78,$D$62:$D$68,$E$62:$E$68))</f>
        <v>134.32000000000002</v>
      </c>
      <c r="I78" s="15" cm="1">
        <f t="array" aca="1" ref="I78" ca="1">MMS_Swine_AtmosphericDeposition_Equations.VEERG_4_5_1_5__2_TotalNitrogenVolatilisedFromMMS(H27,_xlfn.XLOOKUP($D78,$D$62:$D$68,$E$62:$E$68))</f>
        <v>91.104000000000042</v>
      </c>
      <c r="J78" s="16"/>
      <c r="N78" s="111" t="s">
        <v>75</v>
      </c>
      <c r="O78" s="111" t="s">
        <v>124</v>
      </c>
      <c r="P78" s="15" cm="1">
        <f t="array" aca="1" ref="P78" ca="1">MMS_Swine_AtmosphericDeposition_Equations.VEERG_4_5_1_5__2_TotalNitrogenVolatilisedFromMMS(O27,_xlfn.XLOOKUP($N78,$D$62:$D$68,$E$62:$E$68))</f>
        <v>134.32000000000002</v>
      </c>
      <c r="Q78" s="15" cm="1">
        <f t="array" aca="1" ref="Q78" ca="1">MMS_Swine_AtmosphericDeposition_Equations.VEERG_4_5_1_5__2_TotalNitrogenVolatilisedFromMMS(P27,_xlfn.XLOOKUP($N78,$D$62:$D$68,$E$62:$E$68))</f>
        <v>143.08000000000007</v>
      </c>
      <c r="R78" s="15" cm="1">
        <f t="array" aca="1" ref="R78" ca="1">MMS_Swine_AtmosphericDeposition_Equations.VEERG_4_5_1_5__2_TotalNitrogenVolatilisedFromMMS(Q27,_xlfn.XLOOKUP($N78,$D$62:$D$68,$E$62:$E$68))</f>
        <v>134.32000000000002</v>
      </c>
      <c r="S78" s="15" cm="1">
        <f t="array" aca="1" ref="S78" ca="1">MMS_Swine_AtmosphericDeposition_Equations.VEERG_4_5_1_5__2_TotalNitrogenVolatilisedFromMMS(R27,_xlfn.XLOOKUP($N78,$D$62:$D$68,$E$62:$E$68))</f>
        <v>91.104000000000042</v>
      </c>
      <c r="T78" s="16"/>
    </row>
    <row r="79" spans="1:20" ht="20.100000000000001" customHeight="1" x14ac:dyDescent="0.2">
      <c r="D79" s="111" t="str">
        <f>INDEX(X_Table_Swine_Stage1MMS_AnaerobicLagoon,2,1)</f>
        <v>Anaerobic lagoon</v>
      </c>
      <c r="E79" s="111" t="str">
        <f>INDEX(X_Table_Swine_Stage2MMS_From_AnaerobicLagoon,2,1)</f>
        <v>Digester / covered lagoons</v>
      </c>
      <c r="F79" s="15" cm="1">
        <f t="array" aca="1" ref="F79" ca="1">MMS_Swine_AtmosphericDeposition_Equations.VEERG_4_5_1_5__2_TotalNitrogenVolatilisedFromMMS(F32,_xlfn.XLOOKUP($E79,$D$62:$D$68,$E$62:$E$68))</f>
        <v>0</v>
      </c>
      <c r="G79" s="15" cm="1">
        <f t="array" aca="1" ref="G79" ca="1">MMS_Swine_AtmosphericDeposition_Equations.VEERG_4_5_1_5__2_TotalNitrogenVolatilisedFromMMS(G32,_xlfn.XLOOKUP($E79,$D$62:$D$68,$E$62:$E$68))</f>
        <v>0</v>
      </c>
      <c r="H79" s="15" cm="1">
        <f t="array" aca="1" ref="H79" ca="1">MMS_Swine_AtmosphericDeposition_Equations.VEERG_4_5_1_5__2_TotalNitrogenVolatilisedFromMMS(H32,_xlfn.XLOOKUP($E79,$D$62:$D$68,$E$62:$E$68))</f>
        <v>0</v>
      </c>
      <c r="I79" s="15" cm="1">
        <f t="array" aca="1" ref="I79" ca="1">MMS_Swine_AtmosphericDeposition_Equations.VEERG_4_5_1_5__2_TotalNitrogenVolatilisedFromMMS(I32,_xlfn.XLOOKUP($E79,$D$62:$D$68,$E$62:$E$68))</f>
        <v>0</v>
      </c>
      <c r="J79" s="16"/>
      <c r="N79" s="111" t="str">
        <f>INDEX(X_Table_Swine_Stage1MMS_AnaerobicLagoon,2,1)</f>
        <v>Anaerobic lagoon</v>
      </c>
      <c r="O79" s="111" t="str">
        <f>INDEX(X_Table_Swine_Stage2MMS_From_AnaerobicLagoon,2,1)</f>
        <v>Digester / covered lagoons</v>
      </c>
      <c r="P79" s="15" cm="1">
        <f t="array" aca="1" ref="P79" ca="1">MMS_Swine_AtmosphericDeposition_Equations.VEERG_4_5_1_5__2_TotalNitrogenVolatilisedFromMMS(P32,_xlfn.XLOOKUP($O79,$D$62:$D$68,$E$62:$E$68))</f>
        <v>0</v>
      </c>
      <c r="Q79" s="15" cm="1">
        <f t="array" aca="1" ref="Q79" ca="1">MMS_Swine_AtmosphericDeposition_Equations.VEERG_4_5_1_5__2_TotalNitrogenVolatilisedFromMMS(Q32,_xlfn.XLOOKUP($O79,$D$62:$D$68,$E$62:$E$68))</f>
        <v>0</v>
      </c>
      <c r="R79" s="15" cm="1">
        <f t="array" aca="1" ref="R79" ca="1">MMS_Swine_AtmosphericDeposition_Equations.VEERG_4_5_1_5__2_TotalNitrogenVolatilisedFromMMS(R32,_xlfn.XLOOKUP($O79,$D$62:$D$68,$E$62:$E$68))</f>
        <v>0</v>
      </c>
      <c r="S79" s="15" cm="1">
        <f t="array" aca="1" ref="S79" ca="1">MMS_Swine_AtmosphericDeposition_Equations.VEERG_4_5_1_5__2_TotalNitrogenVolatilisedFromMMS(S32,_xlfn.XLOOKUP($O79,$D$62:$D$68,$E$62:$E$68))</f>
        <v>0</v>
      </c>
      <c r="T79" s="16"/>
    </row>
    <row r="80" spans="1:20" ht="20.100000000000001" customHeight="1" x14ac:dyDescent="0.2">
      <c r="D80" s="111"/>
      <c r="E80" s="111" t="str">
        <f>INDEX(X_Table_Swine_Stage2MMS_From_AnaerobicLagoon,3,1)</f>
        <v>Deep litter</v>
      </c>
      <c r="F80" s="15" cm="1">
        <f t="array" aca="1" ref="F80" ca="1">MMS_Swine_AtmosphericDeposition_Equations.VEERG_4_5_1_5__2_TotalNitrogenVolatilisedFromMMS(F33,_xlfn.XLOOKUP($E80,$D$62:$D$68,$E$62:$E$68))</f>
        <v>2.2666499999999994</v>
      </c>
      <c r="G80" s="15" cm="1">
        <f t="array" aca="1" ref="G80" ca="1">MMS_Swine_AtmosphericDeposition_Equations.VEERG_4_5_1_5__2_TotalNitrogenVolatilisedFromMMS(G33,_xlfn.XLOOKUP($E80,$D$62:$D$68,$E$62:$E$68))</f>
        <v>3.0180937500000002</v>
      </c>
      <c r="H80" s="15" cm="1">
        <f t="array" aca="1" ref="H80" ca="1">MMS_Swine_AtmosphericDeposition_Equations.VEERG_4_5_1_5__2_TotalNitrogenVolatilisedFromMMS(H33,_xlfn.XLOOKUP($E80,$D$62:$D$68,$E$62:$E$68))</f>
        <v>2.833312499999999</v>
      </c>
      <c r="I80" s="15" cm="1">
        <f t="array" aca="1" ref="I80" ca="1">MMS_Swine_AtmosphericDeposition_Equations.VEERG_4_5_1_5__2_TotalNitrogenVolatilisedFromMMS(I33,_xlfn.XLOOKUP($E80,$D$62:$D$68,$E$62:$E$68))</f>
        <v>1.9217249999999995</v>
      </c>
      <c r="J80" s="16"/>
      <c r="N80" s="111"/>
      <c r="O80" s="111" t="str">
        <f>INDEX(X_Table_Swine_Stage2MMS_From_AnaerobicLagoon,3,1)</f>
        <v>Deep litter</v>
      </c>
      <c r="P80" s="15" cm="1">
        <f t="array" aca="1" ref="P80" ca="1">MMS_Swine_AtmosphericDeposition_Equations.VEERG_4_5_1_5__2_TotalNitrogenVolatilisedFromMMS(P33,_xlfn.XLOOKUP($O80,$D$62:$D$68,$E$62:$E$68))</f>
        <v>2.2666499999999994</v>
      </c>
      <c r="Q80" s="15" cm="1">
        <f t="array" aca="1" ref="Q80" ca="1">MMS_Swine_AtmosphericDeposition_Equations.VEERG_4_5_1_5__2_TotalNitrogenVolatilisedFromMMS(Q33,_xlfn.XLOOKUP($O80,$D$62:$D$68,$E$62:$E$68))</f>
        <v>3.0180937500000002</v>
      </c>
      <c r="R80" s="15" cm="1">
        <f t="array" aca="1" ref="R80" ca="1">MMS_Swine_AtmosphericDeposition_Equations.VEERG_4_5_1_5__2_TotalNitrogenVolatilisedFromMMS(R33,_xlfn.XLOOKUP($O80,$D$62:$D$68,$E$62:$E$68))</f>
        <v>2.833312499999999</v>
      </c>
      <c r="S80" s="15" cm="1">
        <f t="array" aca="1" ref="S80" ca="1">MMS_Swine_AtmosphericDeposition_Equations.VEERG_4_5_1_5__2_TotalNitrogenVolatilisedFromMMS(S33,_xlfn.XLOOKUP($O80,$D$62:$D$68,$E$62:$E$68))</f>
        <v>1.9217249999999995</v>
      </c>
      <c r="T80" s="16"/>
    </row>
    <row r="81" spans="4:20" ht="20.100000000000001" customHeight="1" x14ac:dyDescent="0.2">
      <c r="D81" s="111"/>
      <c r="E81" s="111" t="str">
        <f>INDEX(X_Table_Swine_Stage2MMS_From_AnaerobicLagoon,4,1)</f>
        <v>Pit storage</v>
      </c>
      <c r="F81" s="15" cm="1">
        <f t="array" aca="1" ref="F81" ca="1">MMS_Swine_AtmosphericDeposition_Equations.VEERG_4_5_1_5__2_TotalNitrogenVolatilisedFromMMS(F34,_xlfn.XLOOKUP($E81,$D$62:$D$68,$E$62:$E$68))</f>
        <v>4.5332999999999988</v>
      </c>
      <c r="G81" s="15" cm="1">
        <f t="array" aca="1" ref="G81" ca="1">MMS_Swine_AtmosphericDeposition_Equations.VEERG_4_5_1_5__2_TotalNitrogenVolatilisedFromMMS(G34,_xlfn.XLOOKUP($E81,$D$62:$D$68,$E$62:$E$68))</f>
        <v>6.0361875000000005</v>
      </c>
      <c r="H81" s="15" cm="1">
        <f t="array" aca="1" ref="H81" ca="1">MMS_Swine_AtmosphericDeposition_Equations.VEERG_4_5_1_5__2_TotalNitrogenVolatilisedFromMMS(H34,_xlfn.XLOOKUP($E81,$D$62:$D$68,$E$62:$E$68))</f>
        <v>5.666624999999998</v>
      </c>
      <c r="I81" s="15" cm="1">
        <f t="array" aca="1" ref="I81" ca="1">MMS_Swine_AtmosphericDeposition_Equations.VEERG_4_5_1_5__2_TotalNitrogenVolatilisedFromMMS(I34,_xlfn.XLOOKUP($E81,$D$62:$D$68,$E$62:$E$68))</f>
        <v>3.8434499999999989</v>
      </c>
      <c r="J81" s="16"/>
      <c r="N81" s="111"/>
      <c r="O81" s="111" t="str">
        <f>INDEX(X_Table_Swine_Stage2MMS_From_AnaerobicLagoon,4,1)</f>
        <v>Pit storage</v>
      </c>
      <c r="P81" s="15" cm="1">
        <f t="array" aca="1" ref="P81" ca="1">MMS_Swine_AtmosphericDeposition_Equations.VEERG_4_5_1_5__2_TotalNitrogenVolatilisedFromMMS(P34,_xlfn.XLOOKUP($O81,$D$62:$D$68,$E$62:$E$68))</f>
        <v>4.5332999999999988</v>
      </c>
      <c r="Q81" s="15" cm="1">
        <f t="array" aca="1" ref="Q81" ca="1">MMS_Swine_AtmosphericDeposition_Equations.VEERG_4_5_1_5__2_TotalNitrogenVolatilisedFromMMS(Q34,_xlfn.XLOOKUP($O81,$D$62:$D$68,$E$62:$E$68))</f>
        <v>6.0361875000000005</v>
      </c>
      <c r="R81" s="15" cm="1">
        <f t="array" aca="1" ref="R81" ca="1">MMS_Swine_AtmosphericDeposition_Equations.VEERG_4_5_1_5__2_TotalNitrogenVolatilisedFromMMS(R34,_xlfn.XLOOKUP($O81,$D$62:$D$68,$E$62:$E$68))</f>
        <v>5.666624999999998</v>
      </c>
      <c r="S81" s="15" cm="1">
        <f t="array" aca="1" ref="S81" ca="1">MMS_Swine_AtmosphericDeposition_Equations.VEERG_4_5_1_5__2_TotalNitrogenVolatilisedFromMMS(S34,_xlfn.XLOOKUP($O81,$D$62:$D$68,$E$62:$E$68))</f>
        <v>3.8434499999999989</v>
      </c>
      <c r="T81" s="16"/>
    </row>
    <row r="82" spans="4:20" ht="20.100000000000001" customHeight="1" x14ac:dyDescent="0.2">
      <c r="D82" s="111"/>
      <c r="E82" s="111" t="str">
        <f>INDEX(X_Table_Swine_Stage2MMS_From_AnaerobicLagoon,5,1)</f>
        <v>Direct application</v>
      </c>
      <c r="F82" s="15" t="s">
        <v>124</v>
      </c>
      <c r="G82" s="15" t="s">
        <v>124</v>
      </c>
      <c r="H82" s="15" t="s">
        <v>124</v>
      </c>
      <c r="I82" s="15" t="s">
        <v>124</v>
      </c>
      <c r="N82" s="111"/>
      <c r="O82" s="111" t="str">
        <f>INDEX(X_Table_Swine_Stage2MMS_From_AnaerobicLagoon,5,1)</f>
        <v>Direct application</v>
      </c>
      <c r="P82" s="15" t="s">
        <v>124</v>
      </c>
      <c r="Q82" s="15" t="s">
        <v>124</v>
      </c>
      <c r="R82" s="15" t="s">
        <v>124</v>
      </c>
      <c r="S82" s="15" t="s">
        <v>124</v>
      </c>
      <c r="T82" s="16"/>
    </row>
    <row r="83" spans="4:20" ht="20.100000000000001" customHeight="1" x14ac:dyDescent="0.2">
      <c r="D83" s="111" t="str">
        <f>INDEX(X_Table_Swine_Stage1MMS_Drylot,2,1)</f>
        <v>Drylot (feed pad)</v>
      </c>
      <c r="E83" s="111" t="str">
        <f>INDEX(X_Table_Swine_Stage2MMS_From_Drylot,2,1)</f>
        <v>Anaerobic lagoon</v>
      </c>
      <c r="F83" s="15" cm="1">
        <f t="array" aca="1" ref="F83" ca="1">MMS_Swine_AtmosphericDeposition_Equations.VEERG_4_5_1_5__2_TotalNitrogenVolatilisedFromMMS(F36,_xlfn.XLOOKUP($E83,$D$62:$D$68,$E$62:$E$68))</f>
        <v>15.070703999999997</v>
      </c>
      <c r="G83" s="15" cm="1">
        <f t="array" aca="1" ref="G83" ca="1">MMS_Swine_AtmosphericDeposition_Equations.VEERG_4_5_1_5__2_TotalNitrogenVolatilisedFromMMS(G36,_xlfn.XLOOKUP($E83,$D$62:$D$68,$E$62:$E$68))</f>
        <v>20.066970000000005</v>
      </c>
      <c r="H83" s="15" cm="1">
        <f t="array" aca="1" ref="H83" ca="1">MMS_Swine_AtmosphericDeposition_Equations.VEERG_4_5_1_5__2_TotalNitrogenVolatilisedFromMMS(H36,_xlfn.XLOOKUP($E83,$D$62:$D$68,$E$62:$E$68))</f>
        <v>18.838379999999997</v>
      </c>
      <c r="I83" s="15" cm="1">
        <f t="array" aca="1" ref="I83" ca="1">MMS_Swine_AtmosphericDeposition_Equations.VEERG_4_5_1_5__2_TotalNitrogenVolatilisedFromMMS(I36,_xlfn.XLOOKUP($E83,$D$62:$D$68,$E$62:$E$68))</f>
        <v>12.777335999999996</v>
      </c>
      <c r="J83" s="16"/>
      <c r="N83" s="111" t="str">
        <f>INDEX(X_Table_Swine_Stage1MMS_Drylot,2,1)</f>
        <v>Drylot (feed pad)</v>
      </c>
      <c r="O83" s="111" t="str">
        <f>INDEX(X_Table_Swine_Stage2MMS_From_Drylot,2,1)</f>
        <v>Anaerobic lagoon</v>
      </c>
      <c r="P83" s="15" cm="1">
        <f t="array" aca="1" ref="P83" ca="1">MMS_Swine_AtmosphericDeposition_Equations.VEERG_4_5_1_5__2_TotalNitrogenVolatilisedFromMMS(P36,_xlfn.XLOOKUP($O83,$D$62:$D$68,$E$62:$E$68))</f>
        <v>15.070703999999997</v>
      </c>
      <c r="Q83" s="15" cm="1">
        <f t="array" aca="1" ref="Q83" ca="1">MMS_Swine_AtmosphericDeposition_Equations.VEERG_4_5_1_5__2_TotalNitrogenVolatilisedFromMMS(Q36,_xlfn.XLOOKUP($O83,$D$62:$D$68,$E$62:$E$68))</f>
        <v>20.066970000000005</v>
      </c>
      <c r="R83" s="15" cm="1">
        <f t="array" aca="1" ref="R83" ca="1">MMS_Swine_AtmosphericDeposition_Equations.VEERG_4_5_1_5__2_TotalNitrogenVolatilisedFromMMS(R36,_xlfn.XLOOKUP($O83,$D$62:$D$68,$E$62:$E$68))</f>
        <v>18.838379999999997</v>
      </c>
      <c r="S83" s="15" cm="1">
        <f t="array" aca="1" ref="S83" ca="1">MMS_Swine_AtmosphericDeposition_Equations.VEERG_4_5_1_5__2_TotalNitrogenVolatilisedFromMMS(S36,_xlfn.XLOOKUP($O83,$D$62:$D$68,$E$62:$E$68))</f>
        <v>12.777335999999996</v>
      </c>
      <c r="T83" s="16"/>
    </row>
    <row r="84" spans="4:20" ht="20.100000000000001" customHeight="1" x14ac:dyDescent="0.2">
      <c r="D84" s="111"/>
      <c r="E84" s="111" t="str">
        <f>INDEX(X_Table_Swine_Stage2MMS_From_Drylot,3,1)</f>
        <v>Digester / covered lagoons</v>
      </c>
      <c r="F84" s="15" cm="1">
        <f t="array" aca="1" ref="F84" ca="1">MMS_Swine_AtmosphericDeposition_Equations.VEERG_4_5_1_5__2_TotalNitrogenVolatilisedFromMMS(F37,_xlfn.XLOOKUP($E84,$D$62:$D$68,$E$62:$E$68))</f>
        <v>0</v>
      </c>
      <c r="G84" s="15" cm="1">
        <f t="array" aca="1" ref="G84" ca="1">MMS_Swine_AtmosphericDeposition_Equations.VEERG_4_5_1_5__2_TotalNitrogenVolatilisedFromMMS(G37,_xlfn.XLOOKUP($E84,$D$62:$D$68,$E$62:$E$68))</f>
        <v>0</v>
      </c>
      <c r="H84" s="15" cm="1">
        <f t="array" aca="1" ref="H84" ca="1">MMS_Swine_AtmosphericDeposition_Equations.VEERG_4_5_1_5__2_TotalNitrogenVolatilisedFromMMS(H37,_xlfn.XLOOKUP($E84,$D$62:$D$68,$E$62:$E$68))</f>
        <v>0</v>
      </c>
      <c r="I84" s="15" cm="1">
        <f t="array" aca="1" ref="I84" ca="1">MMS_Swine_AtmosphericDeposition_Equations.VEERG_4_5_1_5__2_TotalNitrogenVolatilisedFromMMS(I37,_xlfn.XLOOKUP($E84,$D$62:$D$68,$E$62:$E$68))</f>
        <v>0</v>
      </c>
      <c r="J84" s="16"/>
      <c r="N84" s="111"/>
      <c r="O84" s="111" t="str">
        <f>INDEX(X_Table_Swine_Stage2MMS_From_Drylot,3,1)</f>
        <v>Digester / covered lagoons</v>
      </c>
      <c r="P84" s="15" cm="1">
        <f t="array" aca="1" ref="P84" ca="1">MMS_Swine_AtmosphericDeposition_Equations.VEERG_4_5_1_5__2_TotalNitrogenVolatilisedFromMMS(P37,_xlfn.XLOOKUP($O84,$D$62:$D$68,$E$62:$E$68))</f>
        <v>0</v>
      </c>
      <c r="Q84" s="15" cm="1">
        <f t="array" aca="1" ref="Q84" ca="1">MMS_Swine_AtmosphericDeposition_Equations.VEERG_4_5_1_5__2_TotalNitrogenVolatilisedFromMMS(Q37,_xlfn.XLOOKUP($O84,$D$62:$D$68,$E$62:$E$68))</f>
        <v>0</v>
      </c>
      <c r="R84" s="15" cm="1">
        <f t="array" aca="1" ref="R84" ca="1">MMS_Swine_AtmosphericDeposition_Equations.VEERG_4_5_1_5__2_TotalNitrogenVolatilisedFromMMS(R37,_xlfn.XLOOKUP($O84,$D$62:$D$68,$E$62:$E$68))</f>
        <v>0</v>
      </c>
      <c r="S84" s="15" cm="1">
        <f t="array" aca="1" ref="S84" ca="1">MMS_Swine_AtmosphericDeposition_Equations.VEERG_4_5_1_5__2_TotalNitrogenVolatilisedFromMMS(S37,_xlfn.XLOOKUP($O84,$D$62:$D$68,$E$62:$E$68))</f>
        <v>0</v>
      </c>
      <c r="T84" s="16"/>
    </row>
    <row r="85" spans="4:20" ht="20.100000000000001" customHeight="1" x14ac:dyDescent="0.2">
      <c r="D85" s="111"/>
      <c r="E85" s="111" t="str">
        <f>INDEX(X_Table_Swine_Stage2MMS_From_Drylot,4,1)</f>
        <v>Deep litter</v>
      </c>
      <c r="F85" s="15" cm="1">
        <f t="array" aca="1" ref="F85" ca="1">MMS_Swine_AtmosphericDeposition_Equations.VEERG_4_5_1_5__2_TotalNitrogenVolatilisedFromMMS(F38,_xlfn.XLOOKUP($E85,$D$62:$D$68,$E$62:$E$68))</f>
        <v>3.4251599999999991</v>
      </c>
      <c r="G85" s="15" cm="1">
        <f t="array" aca="1" ref="G85" ca="1">MMS_Swine_AtmosphericDeposition_Equations.VEERG_4_5_1_5__2_TotalNitrogenVolatilisedFromMMS(G38,_xlfn.XLOOKUP($E85,$D$62:$D$68,$E$62:$E$68))</f>
        <v>4.5606750000000007</v>
      </c>
      <c r="H85" s="15" cm="1">
        <f t="array" aca="1" ref="H85" ca="1">MMS_Swine_AtmosphericDeposition_Equations.VEERG_4_5_1_5__2_TotalNitrogenVolatilisedFromMMS(H38,_xlfn.XLOOKUP($E85,$D$62:$D$68,$E$62:$E$68))</f>
        <v>4.2814499999999986</v>
      </c>
      <c r="I85" s="15" cm="1">
        <f t="array" aca="1" ref="I85" ca="1">MMS_Swine_AtmosphericDeposition_Equations.VEERG_4_5_1_5__2_TotalNitrogenVolatilisedFromMMS(I38,_xlfn.XLOOKUP($E85,$D$62:$D$68,$E$62:$E$68))</f>
        <v>2.9039399999999991</v>
      </c>
      <c r="J85" s="16"/>
      <c r="N85" s="111"/>
      <c r="O85" s="111" t="str">
        <f>INDEX(X_Table_Swine_Stage2MMS_From_Drylot,4,1)</f>
        <v>Deep litter</v>
      </c>
      <c r="P85" s="15" cm="1">
        <f t="array" aca="1" ref="P85" ca="1">MMS_Swine_AtmosphericDeposition_Equations.VEERG_4_5_1_5__2_TotalNitrogenVolatilisedFromMMS(P38,_xlfn.XLOOKUP($O85,$D$62:$D$68,$E$62:$E$68))</f>
        <v>3.4251599999999991</v>
      </c>
      <c r="Q85" s="15" cm="1">
        <f t="array" aca="1" ref="Q85" ca="1">MMS_Swine_AtmosphericDeposition_Equations.VEERG_4_5_1_5__2_TotalNitrogenVolatilisedFromMMS(Q38,_xlfn.XLOOKUP($O85,$D$62:$D$68,$E$62:$E$68))</f>
        <v>4.5606750000000007</v>
      </c>
      <c r="R85" s="15" cm="1">
        <f t="array" aca="1" ref="R85" ca="1">MMS_Swine_AtmosphericDeposition_Equations.VEERG_4_5_1_5__2_TotalNitrogenVolatilisedFromMMS(R38,_xlfn.XLOOKUP($O85,$D$62:$D$68,$E$62:$E$68))</f>
        <v>4.2814499999999986</v>
      </c>
      <c r="S85" s="15" cm="1">
        <f t="array" aca="1" ref="S85" ca="1">MMS_Swine_AtmosphericDeposition_Equations.VEERG_4_5_1_5__2_TotalNitrogenVolatilisedFromMMS(S38,_xlfn.XLOOKUP($O85,$D$62:$D$68,$E$62:$E$68))</f>
        <v>2.9039399999999991</v>
      </c>
      <c r="T85" s="16"/>
    </row>
    <row r="86" spans="4:20" ht="20.100000000000001" customHeight="1" x14ac:dyDescent="0.2">
      <c r="D86" s="111"/>
      <c r="E86" s="111" t="str">
        <f>INDEX(X_Table_Swine_Stage2MMS_From_Drylot,5,1)</f>
        <v>Pit storage</v>
      </c>
      <c r="F86" s="15" cm="1">
        <f t="array" aca="1" ref="F86" ca="1">MMS_Swine_AtmosphericDeposition_Equations.VEERG_4_5_1_5__2_TotalNitrogenVolatilisedFromMMS(F39,_xlfn.XLOOKUP($E86,$D$62:$D$68,$E$62:$E$68))</f>
        <v>6.8503199999999982</v>
      </c>
      <c r="G86" s="15" cm="1">
        <f t="array" aca="1" ref="G86" ca="1">MMS_Swine_AtmosphericDeposition_Equations.VEERG_4_5_1_5__2_TotalNitrogenVolatilisedFromMMS(G39,_xlfn.XLOOKUP($E86,$D$62:$D$68,$E$62:$E$68))</f>
        <v>9.1213500000000014</v>
      </c>
      <c r="H86" s="15" cm="1">
        <f t="array" aca="1" ref="H86" ca="1">MMS_Swine_AtmosphericDeposition_Equations.VEERG_4_5_1_5__2_TotalNitrogenVolatilisedFromMMS(H39,_xlfn.XLOOKUP($E86,$D$62:$D$68,$E$62:$E$68))</f>
        <v>8.5628999999999973</v>
      </c>
      <c r="I86" s="15" cm="1">
        <f t="array" aca="1" ref="I86" ca="1">MMS_Swine_AtmosphericDeposition_Equations.VEERG_4_5_1_5__2_TotalNitrogenVolatilisedFromMMS(I39,_xlfn.XLOOKUP($E86,$D$62:$D$68,$E$62:$E$68))</f>
        <v>5.8078799999999982</v>
      </c>
      <c r="J86" s="16"/>
      <c r="N86" s="111"/>
      <c r="O86" s="111" t="str">
        <f>INDEX(X_Table_Swine_Stage2MMS_From_Drylot,5,1)</f>
        <v>Pit storage</v>
      </c>
      <c r="P86" s="15" cm="1">
        <f t="array" aca="1" ref="P86" ca="1">MMS_Swine_AtmosphericDeposition_Equations.VEERG_4_5_1_5__2_TotalNitrogenVolatilisedFromMMS(P39,_xlfn.XLOOKUP($O86,$D$62:$D$68,$E$62:$E$68))</f>
        <v>6.8503199999999982</v>
      </c>
      <c r="Q86" s="15" cm="1">
        <f t="array" aca="1" ref="Q86" ca="1">MMS_Swine_AtmosphericDeposition_Equations.VEERG_4_5_1_5__2_TotalNitrogenVolatilisedFromMMS(Q39,_xlfn.XLOOKUP($O86,$D$62:$D$68,$E$62:$E$68))</f>
        <v>9.1213500000000014</v>
      </c>
      <c r="R86" s="15" cm="1">
        <f t="array" aca="1" ref="R86" ca="1">MMS_Swine_AtmosphericDeposition_Equations.VEERG_4_5_1_5__2_TotalNitrogenVolatilisedFromMMS(R39,_xlfn.XLOOKUP($O86,$D$62:$D$68,$E$62:$E$68))</f>
        <v>8.5628999999999973</v>
      </c>
      <c r="S86" s="15" cm="1">
        <f t="array" aca="1" ref="S86" ca="1">MMS_Swine_AtmosphericDeposition_Equations.VEERG_4_5_1_5__2_TotalNitrogenVolatilisedFromMMS(S39,_xlfn.XLOOKUP($O86,$D$62:$D$68,$E$62:$E$68))</f>
        <v>5.8078799999999982</v>
      </c>
      <c r="T86" s="16"/>
    </row>
    <row r="87" spans="4:20" ht="20.100000000000001" customHeight="1" x14ac:dyDescent="0.2">
      <c r="D87" s="111"/>
      <c r="E87" s="111" t="str">
        <f>INDEX(X_Table_Swine_Stage2MMS_From_Drylot,6,1)</f>
        <v>Direct application</v>
      </c>
      <c r="F87" s="15" t="s">
        <v>124</v>
      </c>
      <c r="G87" s="15" t="s">
        <v>124</v>
      </c>
      <c r="H87" s="15" t="s">
        <v>124</v>
      </c>
      <c r="I87" s="15" t="s">
        <v>124</v>
      </c>
      <c r="N87" s="111"/>
      <c r="O87" s="111" t="str">
        <f>INDEX(X_Table_Swine_Stage2MMS_From_Drylot,6,1)</f>
        <v>Direct application</v>
      </c>
      <c r="P87" s="15" t="s">
        <v>124</v>
      </c>
      <c r="Q87" s="15" t="s">
        <v>124</v>
      </c>
      <c r="R87" s="15" t="s">
        <v>124</v>
      </c>
      <c r="S87" s="15" t="s">
        <v>124</v>
      </c>
      <c r="T87" s="16"/>
    </row>
    <row r="88" spans="4:20" ht="20.100000000000001" customHeight="1" x14ac:dyDescent="0.2">
      <c r="D88" s="111" t="str">
        <f>INDEX(X_Table_Swine_Stage1MMS_DigesterCoveredLagoons,2,1)</f>
        <v>Digester / covered lagoons</v>
      </c>
      <c r="E88" s="111" t="str">
        <f>INDEX(X_Table_Swine_Stage2MMS_From_DigesterCoveredLagoons,2,1)</f>
        <v>Anaerobic lagoon</v>
      </c>
      <c r="F88" s="15" cm="1">
        <f t="array" aca="1" ref="F88" ca="1">MMS_Swine_AtmosphericDeposition_Equations.VEERG_4_5_1_5__2_TotalNitrogenVolatilisedFromMMS(F41,_xlfn.XLOOKUP($E88,$D$62:$D$68,$E$62:$E$68))</f>
        <v>22.162799999999997</v>
      </c>
      <c r="G88" s="15" cm="1">
        <f t="array" aca="1" ref="G88" ca="1">MMS_Swine_AtmosphericDeposition_Equations.VEERG_4_5_1_5__2_TotalNitrogenVolatilisedFromMMS(G41,_xlfn.XLOOKUP($E88,$D$62:$D$68,$E$62:$E$68))</f>
        <v>29.510250000000006</v>
      </c>
      <c r="H88" s="15" cm="1">
        <f t="array" aca="1" ref="H88" ca="1">MMS_Swine_AtmosphericDeposition_Equations.VEERG_4_5_1_5__2_TotalNitrogenVolatilisedFromMMS(H41,_xlfn.XLOOKUP($E88,$D$62:$D$68,$E$62:$E$68))</f>
        <v>27.703499999999998</v>
      </c>
      <c r="I88" s="15" cm="1">
        <f t="array" aca="1" ref="I88" ca="1">MMS_Swine_AtmosphericDeposition_Equations.VEERG_4_5_1_5__2_TotalNitrogenVolatilisedFromMMS(I41,_xlfn.XLOOKUP($E88,$D$62:$D$68,$E$62:$E$68))</f>
        <v>18.790199999999999</v>
      </c>
      <c r="J88" s="16"/>
      <c r="N88" s="111" t="str">
        <f>INDEX(X_Table_Swine_Stage1MMS_DigesterCoveredLagoons,2,1)</f>
        <v>Digester / covered lagoons</v>
      </c>
      <c r="O88" s="111" t="str">
        <f>INDEX(X_Table_Swine_Stage2MMS_From_DigesterCoveredLagoons,2,1)</f>
        <v>Anaerobic lagoon</v>
      </c>
      <c r="P88" s="15" cm="1">
        <f t="array" aca="1" ref="P88" ca="1">MMS_Swine_AtmosphericDeposition_Equations.VEERG_4_5_1_5__2_TotalNitrogenVolatilisedFromMMS(P41,_xlfn.XLOOKUP($O88,$D$62:$D$68,$E$62:$E$68))</f>
        <v>22.162799999999997</v>
      </c>
      <c r="Q88" s="15" cm="1">
        <f t="array" aca="1" ref="Q88" ca="1">MMS_Swine_AtmosphericDeposition_Equations.VEERG_4_5_1_5__2_TotalNitrogenVolatilisedFromMMS(Q41,_xlfn.XLOOKUP($O88,$D$62:$D$68,$E$62:$E$68))</f>
        <v>29.510250000000006</v>
      </c>
      <c r="R88" s="15" cm="1">
        <f t="array" aca="1" ref="R88" ca="1">MMS_Swine_AtmosphericDeposition_Equations.VEERG_4_5_1_5__2_TotalNitrogenVolatilisedFromMMS(R41,_xlfn.XLOOKUP($O88,$D$62:$D$68,$E$62:$E$68))</f>
        <v>27.703499999999998</v>
      </c>
      <c r="S88" s="15" cm="1">
        <f t="array" aca="1" ref="S88" ca="1">MMS_Swine_AtmosphericDeposition_Equations.VEERG_4_5_1_5__2_TotalNitrogenVolatilisedFromMMS(S41,_xlfn.XLOOKUP($O88,$D$62:$D$68,$E$62:$E$68))</f>
        <v>18.790199999999999</v>
      </c>
      <c r="T88" s="16"/>
    </row>
    <row r="89" spans="4:20" ht="20.100000000000001" customHeight="1" x14ac:dyDescent="0.2">
      <c r="D89" s="111"/>
      <c r="E89" s="111" t="str">
        <f>INDEX(X_Table_Swine_Stage2MMS_From_DigesterCoveredLagoons,3,1)</f>
        <v>Deep litter</v>
      </c>
      <c r="F89" s="15" cm="1">
        <f t="array" aca="1" ref="F89" ca="1">MMS_Swine_AtmosphericDeposition_Equations.VEERG_4_5_1_5__2_TotalNitrogenVolatilisedFromMMS(F42,_xlfn.XLOOKUP($E89,$D$62:$D$68,$E$62:$E$68))</f>
        <v>5.036999999999999</v>
      </c>
      <c r="G89" s="15" cm="1">
        <f t="array" aca="1" ref="G89" ca="1">MMS_Swine_AtmosphericDeposition_Equations.VEERG_4_5_1_5__2_TotalNitrogenVolatilisedFromMMS(G42,_xlfn.XLOOKUP($E89,$D$62:$D$68,$E$62:$E$68))</f>
        <v>6.706875000000001</v>
      </c>
      <c r="H89" s="15" cm="1">
        <f t="array" aca="1" ref="H89" ca="1">MMS_Swine_AtmosphericDeposition_Equations.VEERG_4_5_1_5__2_TotalNitrogenVolatilisedFromMMS(H42,_xlfn.XLOOKUP($E89,$D$62:$D$68,$E$62:$E$68))</f>
        <v>6.2962499999999988</v>
      </c>
      <c r="I89" s="15" cm="1">
        <f t="array" aca="1" ref="I89" ca="1">MMS_Swine_AtmosphericDeposition_Equations.VEERG_4_5_1_5__2_TotalNitrogenVolatilisedFromMMS(I42,_xlfn.XLOOKUP($E89,$D$62:$D$68,$E$62:$E$68))</f>
        <v>4.2704999999999993</v>
      </c>
      <c r="J89" s="16"/>
      <c r="N89" s="111"/>
      <c r="O89" s="111" t="str">
        <f>INDEX(X_Table_Swine_Stage2MMS_From_DigesterCoveredLagoons,3,1)</f>
        <v>Deep litter</v>
      </c>
      <c r="P89" s="15" cm="1">
        <f t="array" aca="1" ref="P89" ca="1">MMS_Swine_AtmosphericDeposition_Equations.VEERG_4_5_1_5__2_TotalNitrogenVolatilisedFromMMS(P42,_xlfn.XLOOKUP($O89,$D$62:$D$68,$E$62:$E$68))</f>
        <v>5.036999999999999</v>
      </c>
      <c r="Q89" s="15" cm="1">
        <f t="array" aca="1" ref="Q89" ca="1">MMS_Swine_AtmosphericDeposition_Equations.VEERG_4_5_1_5__2_TotalNitrogenVolatilisedFromMMS(Q42,_xlfn.XLOOKUP($O89,$D$62:$D$68,$E$62:$E$68))</f>
        <v>6.706875000000001</v>
      </c>
      <c r="R89" s="15" cm="1">
        <f t="array" aca="1" ref="R89" ca="1">MMS_Swine_AtmosphericDeposition_Equations.VEERG_4_5_1_5__2_TotalNitrogenVolatilisedFromMMS(R42,_xlfn.XLOOKUP($O89,$D$62:$D$68,$E$62:$E$68))</f>
        <v>6.2962499999999988</v>
      </c>
      <c r="S89" s="15" cm="1">
        <f t="array" aca="1" ref="S89" ca="1">MMS_Swine_AtmosphericDeposition_Equations.VEERG_4_5_1_5__2_TotalNitrogenVolatilisedFromMMS(S42,_xlfn.XLOOKUP($O89,$D$62:$D$68,$E$62:$E$68))</f>
        <v>4.2704999999999993</v>
      </c>
      <c r="T89" s="16"/>
    </row>
    <row r="90" spans="4:20" ht="20.100000000000001" customHeight="1" x14ac:dyDescent="0.2">
      <c r="D90" s="111"/>
      <c r="E90" s="111" t="str">
        <f>INDEX(X_Table_Swine_Stage2MMS_From_DigesterCoveredLagoons,4,1)</f>
        <v>Pit storage</v>
      </c>
      <c r="F90" s="15" cm="1">
        <f t="array" aca="1" ref="F90" ca="1">MMS_Swine_AtmosphericDeposition_Equations.VEERG_4_5_1_5__2_TotalNitrogenVolatilisedFromMMS(F43,_xlfn.XLOOKUP($E90,$D$62:$D$68,$E$62:$E$68))</f>
        <v>10.073999999999998</v>
      </c>
      <c r="G90" s="15" cm="1">
        <f t="array" aca="1" ref="G90" ca="1">MMS_Swine_AtmosphericDeposition_Equations.VEERG_4_5_1_5__2_TotalNitrogenVolatilisedFromMMS(G43,_xlfn.XLOOKUP($E90,$D$62:$D$68,$E$62:$E$68))</f>
        <v>13.413750000000002</v>
      </c>
      <c r="H90" s="15" cm="1">
        <f t="array" aca="1" ref="H90" ca="1">MMS_Swine_AtmosphericDeposition_Equations.VEERG_4_5_1_5__2_TotalNitrogenVolatilisedFromMMS(H43,_xlfn.XLOOKUP($E90,$D$62:$D$68,$E$62:$E$68))</f>
        <v>12.592499999999998</v>
      </c>
      <c r="I90" s="15" cm="1">
        <f t="array" aca="1" ref="I90" ca="1">MMS_Swine_AtmosphericDeposition_Equations.VEERG_4_5_1_5__2_TotalNitrogenVolatilisedFromMMS(I43,_xlfn.XLOOKUP($E90,$D$62:$D$68,$E$62:$E$68))</f>
        <v>8.5409999999999986</v>
      </c>
      <c r="J90" s="16"/>
      <c r="N90" s="111"/>
      <c r="O90" s="111" t="str">
        <f>INDEX(X_Table_Swine_Stage2MMS_From_DigesterCoveredLagoons,4,1)</f>
        <v>Pit storage</v>
      </c>
      <c r="P90" s="15" cm="1">
        <f t="array" aca="1" ref="P90" ca="1">MMS_Swine_AtmosphericDeposition_Equations.VEERG_4_5_1_5__2_TotalNitrogenVolatilisedFromMMS(P43,_xlfn.XLOOKUP($O90,$D$62:$D$68,$E$62:$E$68))</f>
        <v>10.073999999999998</v>
      </c>
      <c r="Q90" s="15" cm="1">
        <f t="array" aca="1" ref="Q90" ca="1">MMS_Swine_AtmosphericDeposition_Equations.VEERG_4_5_1_5__2_TotalNitrogenVolatilisedFromMMS(Q43,_xlfn.XLOOKUP($O90,$D$62:$D$68,$E$62:$E$68))</f>
        <v>13.413750000000002</v>
      </c>
      <c r="R90" s="15" cm="1">
        <f t="array" aca="1" ref="R90" ca="1">MMS_Swine_AtmosphericDeposition_Equations.VEERG_4_5_1_5__2_TotalNitrogenVolatilisedFromMMS(R43,_xlfn.XLOOKUP($O90,$D$62:$D$68,$E$62:$E$68))</f>
        <v>12.592499999999998</v>
      </c>
      <c r="S90" s="15" cm="1">
        <f t="array" aca="1" ref="S90" ca="1">MMS_Swine_AtmosphericDeposition_Equations.VEERG_4_5_1_5__2_TotalNitrogenVolatilisedFromMMS(S43,_xlfn.XLOOKUP($O90,$D$62:$D$68,$E$62:$E$68))</f>
        <v>8.5409999999999986</v>
      </c>
      <c r="T90" s="16"/>
    </row>
    <row r="91" spans="4:20" ht="20.100000000000001" customHeight="1" x14ac:dyDescent="0.2">
      <c r="D91" s="111"/>
      <c r="E91" s="111" t="str">
        <f>INDEX(X_Table_Swine_Stage2MMS_From_DigesterCoveredLagoons,5,1)</f>
        <v>Direct application</v>
      </c>
      <c r="F91" s="15" t="s">
        <v>124</v>
      </c>
      <c r="G91" s="15" t="s">
        <v>124</v>
      </c>
      <c r="H91" s="15" t="s">
        <v>124</v>
      </c>
      <c r="I91" s="15" t="s">
        <v>124</v>
      </c>
      <c r="N91" s="111"/>
      <c r="O91" s="111" t="str">
        <f>INDEX(X_Table_Swine_Stage2MMS_From_DigesterCoveredLagoons,5,1)</f>
        <v>Direct application</v>
      </c>
      <c r="P91" s="15" t="s">
        <v>124</v>
      </c>
      <c r="Q91" s="15" t="s">
        <v>124</v>
      </c>
      <c r="R91" s="15" t="s">
        <v>124</v>
      </c>
      <c r="S91" s="15" t="s">
        <v>124</v>
      </c>
      <c r="T91" s="16"/>
    </row>
    <row r="92" spans="4:20" ht="20.100000000000001" customHeight="1" x14ac:dyDescent="0.2">
      <c r="D92" s="111" t="str">
        <f>INDEX(X_Table_Swine_Stage1MMS_DeepLitter,2,1)</f>
        <v>Deep litter</v>
      </c>
      <c r="E92" s="111" t="str">
        <f>INDEX(X_Table_Swine_Stage2MMS_From_DeepLitter,2,1)</f>
        <v>Anaerobic lagoon</v>
      </c>
      <c r="F92" s="15" cm="1">
        <f t="array" aca="1" ref="F92" ca="1">MMS_Swine_AtmosphericDeposition_Equations.VEERG_4_5_1_5__2_TotalNitrogenVolatilisedFromMMS(F45,_xlfn.XLOOKUP($E92,$D$62:$D$68,$E$62:$E$68))</f>
        <v>19.170821999999998</v>
      </c>
      <c r="G92" s="15" cm="1">
        <f t="array" aca="1" ref="G92" ca="1">MMS_Swine_AtmosphericDeposition_Equations.VEERG_4_5_1_5__2_TotalNitrogenVolatilisedFromMMS(G45,_xlfn.XLOOKUP($E92,$D$62:$D$68,$E$62:$E$68))</f>
        <v>25.526366250000006</v>
      </c>
      <c r="H92" s="15" cm="1">
        <f t="array" aca="1" ref="H92" ca="1">MMS_Swine_AtmosphericDeposition_Equations.VEERG_4_5_1_5__2_TotalNitrogenVolatilisedFromMMS(H45,_xlfn.XLOOKUP($E92,$D$62:$D$68,$E$62:$E$68))</f>
        <v>23.963527499999994</v>
      </c>
      <c r="I92" s="15" cm="1">
        <f t="array" aca="1" ref="I92" ca="1">MMS_Swine_AtmosphericDeposition_Equations.VEERG_4_5_1_5__2_TotalNitrogenVolatilisedFromMMS(I45,_xlfn.XLOOKUP($E92,$D$62:$D$68,$E$62:$E$68))</f>
        <v>16.253522999999998</v>
      </c>
      <c r="J92" s="16"/>
      <c r="N92" s="111" t="str">
        <f>INDEX(X_Table_Swine_Stage1MMS_DeepLitter,2,1)</f>
        <v>Deep litter</v>
      </c>
      <c r="O92" s="111" t="str">
        <f>INDEX(X_Table_Swine_Stage2MMS_From_DeepLitter,2,1)</f>
        <v>Anaerobic lagoon</v>
      </c>
      <c r="P92" s="15" cm="1">
        <f t="array" aca="1" ref="P92" ca="1">MMS_Swine_AtmosphericDeposition_Equations.VEERG_4_5_1_5__2_TotalNitrogenVolatilisedFromMMS(P45,_xlfn.XLOOKUP($O92,$D$62:$D$68,$E$62:$E$68))</f>
        <v>19.170821999999998</v>
      </c>
      <c r="Q92" s="15" cm="1">
        <f t="array" aca="1" ref="Q92" ca="1">MMS_Swine_AtmosphericDeposition_Equations.VEERG_4_5_1_5__2_TotalNitrogenVolatilisedFromMMS(Q45,_xlfn.XLOOKUP($O92,$D$62:$D$68,$E$62:$E$68))</f>
        <v>25.526366250000006</v>
      </c>
      <c r="R92" s="15" cm="1">
        <f t="array" aca="1" ref="R92" ca="1">MMS_Swine_AtmosphericDeposition_Equations.VEERG_4_5_1_5__2_TotalNitrogenVolatilisedFromMMS(R45,_xlfn.XLOOKUP($O92,$D$62:$D$68,$E$62:$E$68))</f>
        <v>23.963527499999994</v>
      </c>
      <c r="S92" s="15" cm="1">
        <f t="array" aca="1" ref="S92" ca="1">MMS_Swine_AtmosphericDeposition_Equations.VEERG_4_5_1_5__2_TotalNitrogenVolatilisedFromMMS(S45,_xlfn.XLOOKUP($O92,$D$62:$D$68,$E$62:$E$68))</f>
        <v>16.253522999999998</v>
      </c>
      <c r="T92" s="16"/>
    </row>
    <row r="93" spans="4:20" ht="20.100000000000001" customHeight="1" x14ac:dyDescent="0.2">
      <c r="D93" s="111"/>
      <c r="E93" s="111" t="str">
        <f>INDEX(X_Table_Swine_Stage2MMS_From_DeepLitter,3,1)</f>
        <v>Digester / covered lagoons</v>
      </c>
      <c r="F93" s="15" cm="1">
        <f t="array" aca="1" ref="F93" ca="1">MMS_Swine_AtmosphericDeposition_Equations.VEERG_4_5_1_5__2_TotalNitrogenVolatilisedFromMMS(F46,_xlfn.XLOOKUP($E93,$D$62:$D$68,$E$62:$E$68))</f>
        <v>0</v>
      </c>
      <c r="G93" s="15" cm="1">
        <f t="array" aca="1" ref="G93" ca="1">MMS_Swine_AtmosphericDeposition_Equations.VEERG_4_5_1_5__2_TotalNitrogenVolatilisedFromMMS(G46,_xlfn.XLOOKUP($E93,$D$62:$D$68,$E$62:$E$68))</f>
        <v>0</v>
      </c>
      <c r="H93" s="15" cm="1">
        <f t="array" aca="1" ref="H93" ca="1">MMS_Swine_AtmosphericDeposition_Equations.VEERG_4_5_1_5__2_TotalNitrogenVolatilisedFromMMS(H46,_xlfn.XLOOKUP($E93,$D$62:$D$68,$E$62:$E$68))</f>
        <v>0</v>
      </c>
      <c r="I93" s="15" cm="1">
        <f t="array" aca="1" ref="I93" ca="1">MMS_Swine_AtmosphericDeposition_Equations.VEERG_4_5_1_5__2_TotalNitrogenVolatilisedFromMMS(I46,_xlfn.XLOOKUP($E93,$D$62:$D$68,$E$62:$E$68))</f>
        <v>0</v>
      </c>
      <c r="J93" s="16"/>
      <c r="N93" s="111"/>
      <c r="O93" s="111" t="str">
        <f>INDEX(X_Table_Swine_Stage2MMS_From_DeepLitter,3,1)</f>
        <v>Digester / covered lagoons</v>
      </c>
      <c r="P93" s="15" cm="1">
        <f t="array" aca="1" ref="P93" ca="1">MMS_Swine_AtmosphericDeposition_Equations.VEERG_4_5_1_5__2_TotalNitrogenVolatilisedFromMMS(P46,_xlfn.XLOOKUP($O93,$D$62:$D$68,$E$62:$E$68))</f>
        <v>0</v>
      </c>
      <c r="Q93" s="15" cm="1">
        <f t="array" aca="1" ref="Q93" ca="1">MMS_Swine_AtmosphericDeposition_Equations.VEERG_4_5_1_5__2_TotalNitrogenVolatilisedFromMMS(Q46,_xlfn.XLOOKUP($O93,$D$62:$D$68,$E$62:$E$68))</f>
        <v>0</v>
      </c>
      <c r="R93" s="15" cm="1">
        <f t="array" aca="1" ref="R93" ca="1">MMS_Swine_AtmosphericDeposition_Equations.VEERG_4_5_1_5__2_TotalNitrogenVolatilisedFromMMS(R46,_xlfn.XLOOKUP($O93,$D$62:$D$68,$E$62:$E$68))</f>
        <v>0</v>
      </c>
      <c r="S93" s="15" cm="1">
        <f t="array" aca="1" ref="S93" ca="1">MMS_Swine_AtmosphericDeposition_Equations.VEERG_4_5_1_5__2_TotalNitrogenVolatilisedFromMMS(S46,_xlfn.XLOOKUP($O93,$D$62:$D$68,$E$62:$E$68))</f>
        <v>0</v>
      </c>
      <c r="T93" s="16"/>
    </row>
    <row r="94" spans="4:20" ht="20.100000000000001" customHeight="1" x14ac:dyDescent="0.2">
      <c r="D94" s="111"/>
      <c r="E94" s="111" t="str">
        <f>INDEX(X_Table_Swine_Stage2MMS_From_DeepLitter,4,1)</f>
        <v>Pit storage</v>
      </c>
      <c r="F94" s="15" cm="1">
        <f t="array" aca="1" ref="F94" ca="1">MMS_Swine_AtmosphericDeposition_Equations.VEERG_4_5_1_5__2_TotalNitrogenVolatilisedFromMMS(F47,_xlfn.XLOOKUP($E94,$D$62:$D$68,$E$62:$E$68))</f>
        <v>8.7140099999999983</v>
      </c>
      <c r="G94" s="15" cm="1">
        <f t="array" aca="1" ref="G94" ca="1">MMS_Swine_AtmosphericDeposition_Equations.VEERG_4_5_1_5__2_TotalNitrogenVolatilisedFromMMS(G47,_xlfn.XLOOKUP($E94,$D$62:$D$68,$E$62:$E$68))</f>
        <v>11.602893750000002</v>
      </c>
      <c r="H94" s="15" cm="1">
        <f t="array" aca="1" ref="H94" ca="1">MMS_Swine_AtmosphericDeposition_Equations.VEERG_4_5_1_5__2_TotalNitrogenVolatilisedFromMMS(H47,_xlfn.XLOOKUP($E94,$D$62:$D$68,$E$62:$E$68))</f>
        <v>10.892512499999997</v>
      </c>
      <c r="I94" s="15" cm="1">
        <f t="array" aca="1" ref="I94" ca="1">MMS_Swine_AtmosphericDeposition_Equations.VEERG_4_5_1_5__2_TotalNitrogenVolatilisedFromMMS(I47,_xlfn.XLOOKUP($E94,$D$62:$D$68,$E$62:$E$68))</f>
        <v>7.3879649999999986</v>
      </c>
      <c r="J94" s="16"/>
      <c r="N94" s="111"/>
      <c r="O94" s="111" t="str">
        <f>INDEX(X_Table_Swine_Stage2MMS_From_DeepLitter,4,1)</f>
        <v>Pit storage</v>
      </c>
      <c r="P94" s="15" cm="1">
        <f t="array" aca="1" ref="P94" ca="1">MMS_Swine_AtmosphericDeposition_Equations.VEERG_4_5_1_5__2_TotalNitrogenVolatilisedFromMMS(P47,_xlfn.XLOOKUP($O94,$D$62:$D$68,$E$62:$E$68))</f>
        <v>8.7140099999999983</v>
      </c>
      <c r="Q94" s="15" cm="1">
        <f t="array" aca="1" ref="Q94" ca="1">MMS_Swine_AtmosphericDeposition_Equations.VEERG_4_5_1_5__2_TotalNitrogenVolatilisedFromMMS(Q47,_xlfn.XLOOKUP($O94,$D$62:$D$68,$E$62:$E$68))</f>
        <v>11.602893750000002</v>
      </c>
      <c r="R94" s="15" cm="1">
        <f t="array" aca="1" ref="R94" ca="1">MMS_Swine_AtmosphericDeposition_Equations.VEERG_4_5_1_5__2_TotalNitrogenVolatilisedFromMMS(R47,_xlfn.XLOOKUP($O94,$D$62:$D$68,$E$62:$E$68))</f>
        <v>10.892512499999997</v>
      </c>
      <c r="S94" s="15" cm="1">
        <f t="array" aca="1" ref="S94" ca="1">MMS_Swine_AtmosphericDeposition_Equations.VEERG_4_5_1_5__2_TotalNitrogenVolatilisedFromMMS(S47,_xlfn.XLOOKUP($O94,$D$62:$D$68,$E$62:$E$68))</f>
        <v>7.3879649999999986</v>
      </c>
      <c r="T94" s="16"/>
    </row>
    <row r="95" spans="4:20" ht="20.100000000000001" customHeight="1" x14ac:dyDescent="0.2">
      <c r="D95" s="111"/>
      <c r="E95" s="111" t="str">
        <f>INDEX(X_Table_Swine_Stage2MMS_From_DeepLitter,5,1)</f>
        <v>Direct application</v>
      </c>
      <c r="F95" s="15" t="s">
        <v>124</v>
      </c>
      <c r="G95" s="15" t="s">
        <v>124</v>
      </c>
      <c r="H95" s="15" t="s">
        <v>124</v>
      </c>
      <c r="I95" s="15" t="s">
        <v>124</v>
      </c>
      <c r="N95" s="111"/>
      <c r="O95" s="111" t="str">
        <f>INDEX(X_Table_Swine_Stage2MMS_From_DeepLitter,5,1)</f>
        <v>Direct application</v>
      </c>
      <c r="P95" s="15" t="s">
        <v>124</v>
      </c>
      <c r="Q95" s="15" t="s">
        <v>124</v>
      </c>
      <c r="R95" s="15" t="s">
        <v>124</v>
      </c>
      <c r="S95" s="15" t="s">
        <v>124</v>
      </c>
      <c r="T95" s="16"/>
    </row>
    <row r="96" spans="4:20" ht="20.100000000000001" customHeight="1" x14ac:dyDescent="0.2">
      <c r="D96" s="111" t="str">
        <f>INDEX(X_Table_Swine_Stage1MMS_PitStorage,2,1)</f>
        <v>Pit storage</v>
      </c>
      <c r="E96" s="111" t="str">
        <f>INDEX(X_Table_Swine_Stage2MMS_From_PitStorage,2,1)</f>
        <v>Anaerobic lagoon</v>
      </c>
      <c r="F96" s="15" cm="1">
        <f t="array" aca="1" ref="F96" ca="1">MMS_Swine_AtmosphericDeposition_Equations.VEERG_4_5_1_5__2_TotalNitrogenVolatilisedFromMMS(F49,_xlfn.XLOOKUP($E96,$D$62:$D$68,$E$62:$E$68))</f>
        <v>16.577774399999999</v>
      </c>
      <c r="G96" s="15" cm="1">
        <f t="array" aca="1" ref="G96" ca="1">MMS_Swine_AtmosphericDeposition_Equations.VEERG_4_5_1_5__2_TotalNitrogenVolatilisedFromMMS(G49,_xlfn.XLOOKUP($E96,$D$62:$D$68,$E$62:$E$68))</f>
        <v>22.073667000000004</v>
      </c>
      <c r="H96" s="15" cm="1">
        <f t="array" aca="1" ref="H96" ca="1">MMS_Swine_AtmosphericDeposition_Equations.VEERG_4_5_1_5__2_TotalNitrogenVolatilisedFromMMS(H49,_xlfn.XLOOKUP($E96,$D$62:$D$68,$E$62:$E$68))</f>
        <v>20.722217999999998</v>
      </c>
      <c r="I96" s="15" cm="1">
        <f t="array" aca="1" ref="I96" ca="1">MMS_Swine_AtmosphericDeposition_Equations.VEERG_4_5_1_5__2_TotalNitrogenVolatilisedFromMMS(I49,_xlfn.XLOOKUP($E96,$D$62:$D$68,$E$62:$E$68))</f>
        <v>14.055069599999999</v>
      </c>
      <c r="J96" s="16"/>
      <c r="N96" s="111" t="str">
        <f>INDEX(X_Table_Swine_Stage1MMS_PitStorage,2,1)</f>
        <v>Pit storage</v>
      </c>
      <c r="O96" s="111" t="str">
        <f>INDEX(X_Table_Swine_Stage2MMS_From_PitStorage,2,1)</f>
        <v>Anaerobic lagoon</v>
      </c>
      <c r="P96" s="15" cm="1">
        <f t="array" aca="1" ref="P96" ca="1">MMS_Swine_AtmosphericDeposition_Equations.VEERG_4_5_1_5__2_TotalNitrogenVolatilisedFromMMS(P49,_xlfn.XLOOKUP($O96,$D$62:$D$68,$E$62:$E$68))</f>
        <v>16.577774399999999</v>
      </c>
      <c r="Q96" s="15" cm="1">
        <f t="array" aca="1" ref="Q96" ca="1">MMS_Swine_AtmosphericDeposition_Equations.VEERG_4_5_1_5__2_TotalNitrogenVolatilisedFromMMS(Q49,_xlfn.XLOOKUP($O96,$D$62:$D$68,$E$62:$E$68))</f>
        <v>22.073667000000004</v>
      </c>
      <c r="R96" s="15" cm="1">
        <f t="array" aca="1" ref="R96" ca="1">MMS_Swine_AtmosphericDeposition_Equations.VEERG_4_5_1_5__2_TotalNitrogenVolatilisedFromMMS(R49,_xlfn.XLOOKUP($O96,$D$62:$D$68,$E$62:$E$68))</f>
        <v>20.722217999999998</v>
      </c>
      <c r="S96" s="15" cm="1">
        <f t="array" aca="1" ref="S96" ca="1">MMS_Swine_AtmosphericDeposition_Equations.VEERG_4_5_1_5__2_TotalNitrogenVolatilisedFromMMS(S49,_xlfn.XLOOKUP($O96,$D$62:$D$68,$E$62:$E$68))</f>
        <v>14.055069599999999</v>
      </c>
      <c r="T96" s="16"/>
    </row>
    <row r="97" spans="1:21" ht="20.100000000000001" customHeight="1" x14ac:dyDescent="0.2">
      <c r="A97" s="131" t="str">
        <f>HYPERLINK("#A1", "▲ Back to top")</f>
        <v>▲ Back to top</v>
      </c>
      <c r="D97" s="111"/>
      <c r="E97" s="111" t="str">
        <f>INDEX(X_Table_Swine_Stage2MMS_From_PitStorage,3,1)</f>
        <v>Digester / covered lagoons</v>
      </c>
      <c r="F97" s="15" cm="1">
        <f t="array" aca="1" ref="F97" ca="1">MMS_Swine_AtmosphericDeposition_Equations.VEERG_4_5_1_5__2_TotalNitrogenVolatilisedFromMMS(F50,_xlfn.XLOOKUP($E97,$D$62:$D$68,$E$62:$E$68))</f>
        <v>0</v>
      </c>
      <c r="G97" s="15" cm="1">
        <f t="array" aca="1" ref="G97" ca="1">MMS_Swine_AtmosphericDeposition_Equations.VEERG_4_5_1_5__2_TotalNitrogenVolatilisedFromMMS(G50,_xlfn.XLOOKUP($E97,$D$62:$D$68,$E$62:$E$68))</f>
        <v>0</v>
      </c>
      <c r="H97" s="15" cm="1">
        <f t="array" aca="1" ref="H97" ca="1">MMS_Swine_AtmosphericDeposition_Equations.VEERG_4_5_1_5__2_TotalNitrogenVolatilisedFromMMS(H50,_xlfn.XLOOKUP($E97,$D$62:$D$68,$E$62:$E$68))</f>
        <v>0</v>
      </c>
      <c r="I97" s="15" cm="1">
        <f t="array" aca="1" ref="I97" ca="1">MMS_Swine_AtmosphericDeposition_Equations.VEERG_4_5_1_5__2_TotalNitrogenVolatilisedFromMMS(I50,_xlfn.XLOOKUP($E97,$D$62:$D$68,$E$62:$E$68))</f>
        <v>0</v>
      </c>
      <c r="J97" s="16"/>
      <c r="N97" s="111"/>
      <c r="O97" s="111" t="str">
        <f>INDEX(X_Table_Swine_Stage2MMS_From_PitStorage,3,1)</f>
        <v>Digester / covered lagoons</v>
      </c>
      <c r="P97" s="15" cm="1">
        <f t="array" aca="1" ref="P97" ca="1">MMS_Swine_AtmosphericDeposition_Equations.VEERG_4_5_1_5__2_TotalNitrogenVolatilisedFromMMS(P50,_xlfn.XLOOKUP($O97,$D$62:$D$68,$E$62:$E$68))</f>
        <v>0</v>
      </c>
      <c r="Q97" s="15" cm="1">
        <f t="array" aca="1" ref="Q97" ca="1">MMS_Swine_AtmosphericDeposition_Equations.VEERG_4_5_1_5__2_TotalNitrogenVolatilisedFromMMS(Q50,_xlfn.XLOOKUP($O97,$D$62:$D$68,$E$62:$E$68))</f>
        <v>0</v>
      </c>
      <c r="R97" s="15" cm="1">
        <f t="array" aca="1" ref="R97" ca="1">MMS_Swine_AtmosphericDeposition_Equations.VEERG_4_5_1_5__2_TotalNitrogenVolatilisedFromMMS(R50,_xlfn.XLOOKUP($O97,$D$62:$D$68,$E$62:$E$68))</f>
        <v>0</v>
      </c>
      <c r="S97" s="15" cm="1">
        <f t="array" aca="1" ref="S97" ca="1">MMS_Swine_AtmosphericDeposition_Equations.VEERG_4_5_1_5__2_TotalNitrogenVolatilisedFromMMS(S50,_xlfn.XLOOKUP($O97,$D$62:$D$68,$E$62:$E$68))</f>
        <v>0</v>
      </c>
      <c r="T97" s="16"/>
    </row>
    <row r="98" spans="1:21" ht="20.100000000000001" customHeight="1" x14ac:dyDescent="0.2">
      <c r="D98" s="111"/>
      <c r="E98" s="111" t="str">
        <f>INDEX(X_Table_Swine_Stage2MMS_From_PitStorage,4,1)</f>
        <v>Deep litter</v>
      </c>
      <c r="F98" s="15" cm="1">
        <f t="array" aca="1" ref="F98" ca="1">MMS_Swine_AtmosphericDeposition_Equations.VEERG_4_5_1_5__2_TotalNitrogenVolatilisedFromMMS(F51,_xlfn.XLOOKUP($E98,$D$62:$D$68,$E$62:$E$68))</f>
        <v>3.7676759999999998</v>
      </c>
      <c r="G98" s="15" cm="1">
        <f t="array" aca="1" ref="G98" ca="1">MMS_Swine_AtmosphericDeposition_Equations.VEERG_4_5_1_5__2_TotalNitrogenVolatilisedFromMMS(G51,_xlfn.XLOOKUP($E98,$D$62:$D$68,$E$62:$E$68))</f>
        <v>5.0167425000000003</v>
      </c>
      <c r="H98" s="15" cm="1">
        <f t="array" aca="1" ref="H98" ca="1">MMS_Swine_AtmosphericDeposition_Equations.VEERG_4_5_1_5__2_TotalNitrogenVolatilisedFromMMS(H51,_xlfn.XLOOKUP($E98,$D$62:$D$68,$E$62:$E$68))</f>
        <v>4.7095949999999993</v>
      </c>
      <c r="I98" s="15" cm="1">
        <f t="array" aca="1" ref="I98" ca="1">MMS_Swine_AtmosphericDeposition_Equations.VEERG_4_5_1_5__2_TotalNitrogenVolatilisedFromMMS(I51,_xlfn.XLOOKUP($E98,$D$62:$D$68,$E$62:$E$68))</f>
        <v>3.1943339999999996</v>
      </c>
      <c r="J98" s="16"/>
      <c r="N98" s="111"/>
      <c r="O98" s="111" t="str">
        <f>INDEX(X_Table_Swine_Stage2MMS_From_PitStorage,4,1)</f>
        <v>Deep litter</v>
      </c>
      <c r="P98" s="15" cm="1">
        <f t="array" aca="1" ref="P98" ca="1">MMS_Swine_AtmosphericDeposition_Equations.VEERG_4_5_1_5__2_TotalNitrogenVolatilisedFromMMS(P51,_xlfn.XLOOKUP($O98,$D$62:$D$68,$E$62:$E$68))</f>
        <v>3.7676759999999998</v>
      </c>
      <c r="Q98" s="15" cm="1">
        <f t="array" aca="1" ref="Q98" ca="1">MMS_Swine_AtmosphericDeposition_Equations.VEERG_4_5_1_5__2_TotalNitrogenVolatilisedFromMMS(Q51,_xlfn.XLOOKUP($O98,$D$62:$D$68,$E$62:$E$68))</f>
        <v>5.0167425000000003</v>
      </c>
      <c r="R98" s="15" cm="1">
        <f t="array" aca="1" ref="R98" ca="1">MMS_Swine_AtmosphericDeposition_Equations.VEERG_4_5_1_5__2_TotalNitrogenVolatilisedFromMMS(R51,_xlfn.XLOOKUP($O98,$D$62:$D$68,$E$62:$E$68))</f>
        <v>4.7095949999999993</v>
      </c>
      <c r="S98" s="15" cm="1">
        <f t="array" aca="1" ref="S98" ca="1">MMS_Swine_AtmosphericDeposition_Equations.VEERG_4_5_1_5__2_TotalNitrogenVolatilisedFromMMS(S51,_xlfn.XLOOKUP($O98,$D$62:$D$68,$E$62:$E$68))</f>
        <v>3.1943339999999996</v>
      </c>
      <c r="T98" s="16"/>
    </row>
    <row r="99" spans="1:21" ht="20.100000000000001" customHeight="1" x14ac:dyDescent="0.2">
      <c r="D99" s="111"/>
      <c r="E99" s="111" t="str">
        <f>INDEX(X_Table_Swine_Stage2MMS_From_PitStorage,5,1)</f>
        <v>Direct application</v>
      </c>
      <c r="F99" s="15" t="s">
        <v>124</v>
      </c>
      <c r="G99" s="15" t="s">
        <v>124</v>
      </c>
      <c r="H99" s="15" t="s">
        <v>124</v>
      </c>
      <c r="I99" s="15" t="s">
        <v>124</v>
      </c>
      <c r="N99" s="111"/>
      <c r="O99" s="111" t="str">
        <f>INDEX(X_Table_Swine_Stage2MMS_From_PitStorage,5,1)</f>
        <v>Direct application</v>
      </c>
      <c r="P99" s="15" t="s">
        <v>124</v>
      </c>
      <c r="Q99" s="15" t="s">
        <v>124</v>
      </c>
      <c r="R99" s="15" t="s">
        <v>124</v>
      </c>
      <c r="S99" s="15" t="s">
        <v>124</v>
      </c>
      <c r="T99" s="16"/>
    </row>
    <row r="100" spans="1:21" ht="20.100000000000001" customHeight="1" x14ac:dyDescent="0.2">
      <c r="D100" s="111" t="s">
        <v>75</v>
      </c>
      <c r="E100" s="111" t="str">
        <f>INDEX(X_Table_Swine_Stage2MMS_From_SolidStorage,2,1)</f>
        <v>Anaerobic lagoon</v>
      </c>
      <c r="F100" s="15" cm="1">
        <f t="array" aca="1" ref="F100" ca="1">MMS_Swine_AtmosphericDeposition_Equations.VEERG_4_5_1_5__2_TotalNitrogenVolatilisedFromMMS(F53,_xlfn.XLOOKUP($E100,$D$62:$D$68,$E$62:$E$68))</f>
        <v>58.731420000000021</v>
      </c>
      <c r="G100" s="15" cm="1">
        <f t="array" aca="1" ref="G100" ca="1">MMS_Swine_AtmosphericDeposition_Equations.VEERG_4_5_1_5__2_TotalNitrogenVolatilisedFromMMS(G53,_xlfn.XLOOKUP($E100,$D$62:$D$68,$E$62:$E$68))</f>
        <v>62.56173000000004</v>
      </c>
      <c r="H100" s="15" cm="1">
        <f t="array" aca="1" ref="H100" ca="1">MMS_Swine_AtmosphericDeposition_Equations.VEERG_4_5_1_5__2_TotalNitrogenVolatilisedFromMMS(H53,_xlfn.XLOOKUP($E100,$D$62:$D$68,$E$62:$E$68))</f>
        <v>58.731420000000021</v>
      </c>
      <c r="I100" s="15" cm="1">
        <f t="array" aca="1" ref="I100" ca="1">MMS_Swine_AtmosphericDeposition_Equations.VEERG_4_5_1_5__2_TotalNitrogenVolatilisedFromMMS(I53,_xlfn.XLOOKUP($E100,$D$62:$D$68,$E$62:$E$68))</f>
        <v>39.835224000000025</v>
      </c>
      <c r="J100" s="16"/>
      <c r="N100" s="111" t="s">
        <v>75</v>
      </c>
      <c r="O100" s="111" t="str">
        <f>INDEX(X_Table_Swine_Stage2MMS_From_SolidStorage,2,1)</f>
        <v>Anaerobic lagoon</v>
      </c>
      <c r="P100" s="15" cm="1">
        <f t="array" aca="1" ref="P100" ca="1">MMS_Swine_AtmosphericDeposition_Equations.VEERG_4_5_1_5__2_TotalNitrogenVolatilisedFromMMS(P53,_xlfn.XLOOKUP($O100,$D$62:$D$68,$E$62:$E$68))</f>
        <v>58.731420000000021</v>
      </c>
      <c r="Q100" s="15" cm="1">
        <f t="array" aca="1" ref="Q100" ca="1">MMS_Swine_AtmosphericDeposition_Equations.VEERG_4_5_1_5__2_TotalNitrogenVolatilisedFromMMS(Q53,_xlfn.XLOOKUP($O100,$D$62:$D$68,$E$62:$E$68))</f>
        <v>62.56173000000004</v>
      </c>
      <c r="R100" s="15" cm="1">
        <f t="array" aca="1" ref="R100" ca="1">MMS_Swine_AtmosphericDeposition_Equations.VEERG_4_5_1_5__2_TotalNitrogenVolatilisedFromMMS(R53,_xlfn.XLOOKUP($O100,$D$62:$D$68,$E$62:$E$68))</f>
        <v>58.731420000000021</v>
      </c>
      <c r="S100" s="15" cm="1">
        <f t="array" aca="1" ref="S100" ca="1">MMS_Swine_AtmosphericDeposition_Equations.VEERG_4_5_1_5__2_TotalNitrogenVolatilisedFromMMS(S53,_xlfn.XLOOKUP($O100,$D$62:$D$68,$E$62:$E$68))</f>
        <v>39.835224000000025</v>
      </c>
      <c r="T100" s="16"/>
    </row>
    <row r="101" spans="1:21" ht="20.100000000000001" customHeight="1" x14ac:dyDescent="0.2">
      <c r="D101" s="111"/>
      <c r="E101" s="111" t="str">
        <f>INDEX(X_Table_Swine_Stage2MMS_From_SolidStorage,3,1)</f>
        <v>Digester / covered lagoons</v>
      </c>
      <c r="F101" s="15" cm="1">
        <f t="array" aca="1" ref="F101" ca="1">MMS_Swine_AtmosphericDeposition_Equations.VEERG_4_5_1_5__2_TotalNitrogenVolatilisedFromMMS(F54,_xlfn.XLOOKUP($E101,$D$62:$D$68,$E$62:$E$68))</f>
        <v>0</v>
      </c>
      <c r="G101" s="15" cm="1">
        <f t="array" aca="1" ref="G101" ca="1">MMS_Swine_AtmosphericDeposition_Equations.VEERG_4_5_1_5__2_TotalNitrogenVolatilisedFromMMS(G54,_xlfn.XLOOKUP($E101,$D$62:$D$68,$E$62:$E$68))</f>
        <v>0</v>
      </c>
      <c r="H101" s="15" cm="1">
        <f t="array" aca="1" ref="H101" ca="1">MMS_Swine_AtmosphericDeposition_Equations.VEERG_4_5_1_5__2_TotalNitrogenVolatilisedFromMMS(H54,_xlfn.XLOOKUP($E101,$D$62:$D$68,$E$62:$E$68))</f>
        <v>0</v>
      </c>
      <c r="I101" s="15" cm="1">
        <f t="array" aca="1" ref="I101" ca="1">MMS_Swine_AtmosphericDeposition_Equations.VEERG_4_5_1_5__2_TotalNitrogenVolatilisedFromMMS(I54,_xlfn.XLOOKUP($E101,$D$62:$D$68,$E$62:$E$68))</f>
        <v>0</v>
      </c>
      <c r="J101" s="16"/>
      <c r="N101" s="111"/>
      <c r="O101" s="111" t="str">
        <f>INDEX(X_Table_Swine_Stage2MMS_From_SolidStorage,3,1)</f>
        <v>Digester / covered lagoons</v>
      </c>
      <c r="P101" s="15" cm="1">
        <f t="array" aca="1" ref="P101" ca="1">MMS_Swine_AtmosphericDeposition_Equations.VEERG_4_5_1_5__2_TotalNitrogenVolatilisedFromMMS(P54,_xlfn.XLOOKUP($O101,$D$62:$D$68,$E$62:$E$68))</f>
        <v>0</v>
      </c>
      <c r="Q101" s="15" cm="1">
        <f t="array" aca="1" ref="Q101" ca="1">MMS_Swine_AtmosphericDeposition_Equations.VEERG_4_5_1_5__2_TotalNitrogenVolatilisedFromMMS(Q54,_xlfn.XLOOKUP($O101,$D$62:$D$68,$E$62:$E$68))</f>
        <v>0</v>
      </c>
      <c r="R101" s="15" cm="1">
        <f t="array" aca="1" ref="R101" ca="1">MMS_Swine_AtmosphericDeposition_Equations.VEERG_4_5_1_5__2_TotalNitrogenVolatilisedFromMMS(R54,_xlfn.XLOOKUP($O101,$D$62:$D$68,$E$62:$E$68))</f>
        <v>0</v>
      </c>
      <c r="S101" s="15" cm="1">
        <f t="array" aca="1" ref="S101" ca="1">MMS_Swine_AtmosphericDeposition_Equations.VEERG_4_5_1_5__2_TotalNitrogenVolatilisedFromMMS(S54,_xlfn.XLOOKUP($O101,$D$62:$D$68,$E$62:$E$68))</f>
        <v>0</v>
      </c>
      <c r="T101" s="16"/>
    </row>
    <row r="102" spans="1:21" ht="20.100000000000001" customHeight="1" x14ac:dyDescent="0.2">
      <c r="D102" s="111"/>
      <c r="E102" s="111" t="str">
        <f>INDEX(X_Table_Swine_Stage2MMS_From_SolidStorage,4,1)</f>
        <v>Deep litter</v>
      </c>
      <c r="F102" s="15" cm="1">
        <f t="array" aca="1" ref="F102" ca="1">MMS_Swine_AtmosphericDeposition_Equations.VEERG_4_5_1_5__2_TotalNitrogenVolatilisedFromMMS(F55,_xlfn.XLOOKUP($E102,$D$62:$D$68,$E$62:$E$68))</f>
        <v>13.348050000000004</v>
      </c>
      <c r="G102" s="15" cm="1">
        <f t="array" aca="1" ref="G102" ca="1">MMS_Swine_AtmosphericDeposition_Equations.VEERG_4_5_1_5__2_TotalNitrogenVolatilisedFromMMS(G55,_xlfn.XLOOKUP($E102,$D$62:$D$68,$E$62:$E$68))</f>
        <v>14.218575000000008</v>
      </c>
      <c r="H102" s="15" cm="1">
        <f t="array" aca="1" ref="H102" ca="1">MMS_Swine_AtmosphericDeposition_Equations.VEERG_4_5_1_5__2_TotalNitrogenVolatilisedFromMMS(H55,_xlfn.XLOOKUP($E102,$D$62:$D$68,$E$62:$E$68))</f>
        <v>13.348050000000004</v>
      </c>
      <c r="I102" s="15" cm="1">
        <f t="array" aca="1" ref="I102" ca="1">MMS_Swine_AtmosphericDeposition_Equations.VEERG_4_5_1_5__2_TotalNitrogenVolatilisedFromMMS(I55,_xlfn.XLOOKUP($E102,$D$62:$D$68,$E$62:$E$68))</f>
        <v>9.0534600000000047</v>
      </c>
      <c r="J102" s="16"/>
      <c r="N102" s="111"/>
      <c r="O102" s="111" t="str">
        <f>INDEX(X_Table_Swine_Stage2MMS_From_SolidStorage,4,1)</f>
        <v>Deep litter</v>
      </c>
      <c r="P102" s="15" cm="1">
        <f t="array" aca="1" ref="P102" ca="1">MMS_Swine_AtmosphericDeposition_Equations.VEERG_4_5_1_5__2_TotalNitrogenVolatilisedFromMMS(P55,_xlfn.XLOOKUP($O102,$D$62:$D$68,$E$62:$E$68))</f>
        <v>13.348050000000004</v>
      </c>
      <c r="Q102" s="15" cm="1">
        <f t="array" aca="1" ref="Q102" ca="1">MMS_Swine_AtmosphericDeposition_Equations.VEERG_4_5_1_5__2_TotalNitrogenVolatilisedFromMMS(Q55,_xlfn.XLOOKUP($O102,$D$62:$D$68,$E$62:$E$68))</f>
        <v>14.218575000000008</v>
      </c>
      <c r="R102" s="15" cm="1">
        <f t="array" aca="1" ref="R102" ca="1">MMS_Swine_AtmosphericDeposition_Equations.VEERG_4_5_1_5__2_TotalNitrogenVolatilisedFromMMS(R55,_xlfn.XLOOKUP($O102,$D$62:$D$68,$E$62:$E$68))</f>
        <v>13.348050000000004</v>
      </c>
      <c r="S102" s="15" cm="1">
        <f t="array" aca="1" ref="S102" ca="1">MMS_Swine_AtmosphericDeposition_Equations.VEERG_4_5_1_5__2_TotalNitrogenVolatilisedFromMMS(S55,_xlfn.XLOOKUP($O102,$D$62:$D$68,$E$62:$E$68))</f>
        <v>9.0534600000000047</v>
      </c>
      <c r="T102" s="16"/>
    </row>
    <row r="103" spans="1:21" ht="20.100000000000001" customHeight="1" x14ac:dyDescent="0.2">
      <c r="D103" s="111"/>
      <c r="E103" s="111" t="str">
        <f>INDEX(X_Table_Swine_Stage2MMS_From_SolidStorage,5,1)</f>
        <v>Pit storage</v>
      </c>
      <c r="F103" s="15" cm="1">
        <f t="array" aca="1" ref="F103" ca="1">MMS_Swine_AtmosphericDeposition_Equations.VEERG_4_5_1_5__2_TotalNitrogenVolatilisedFromMMS(F56,_xlfn.XLOOKUP($E103,$D$62:$D$68,$E$62:$E$68))</f>
        <v>13.348050000000004</v>
      </c>
      <c r="G103" s="15" cm="1">
        <f t="array" aca="1" ref="G103" ca="1">MMS_Swine_AtmosphericDeposition_Equations.VEERG_4_5_1_5__2_TotalNitrogenVolatilisedFromMMS(G56,_xlfn.XLOOKUP($E103,$D$62:$D$68,$E$62:$E$68))</f>
        <v>14.218575000000008</v>
      </c>
      <c r="H103" s="15" cm="1">
        <f t="array" aca="1" ref="H103" ca="1">MMS_Swine_AtmosphericDeposition_Equations.VEERG_4_5_1_5__2_TotalNitrogenVolatilisedFromMMS(H56,_xlfn.XLOOKUP($E103,$D$62:$D$68,$E$62:$E$68))</f>
        <v>13.348050000000004</v>
      </c>
      <c r="I103" s="15" cm="1">
        <f t="array" aca="1" ref="I103" ca="1">MMS_Swine_AtmosphericDeposition_Equations.VEERG_4_5_1_5__2_TotalNitrogenVolatilisedFromMMS(I56,_xlfn.XLOOKUP($E103,$D$62:$D$68,$E$62:$E$68))</f>
        <v>9.0534600000000047</v>
      </c>
      <c r="J103" s="16"/>
      <c r="N103" s="111"/>
      <c r="O103" s="111" t="str">
        <f>INDEX(X_Table_Swine_Stage2MMS_From_SolidStorage,5,1)</f>
        <v>Pit storage</v>
      </c>
      <c r="P103" s="15" cm="1">
        <f t="array" aca="1" ref="P103" ca="1">MMS_Swine_AtmosphericDeposition_Equations.VEERG_4_5_1_5__2_TotalNitrogenVolatilisedFromMMS(P56,_xlfn.XLOOKUP($O103,$D$62:$D$68,$E$62:$E$68))</f>
        <v>13.348050000000004</v>
      </c>
      <c r="Q103" s="15" cm="1">
        <f t="array" aca="1" ref="Q103" ca="1">MMS_Swine_AtmosphericDeposition_Equations.VEERG_4_5_1_5__2_TotalNitrogenVolatilisedFromMMS(Q56,_xlfn.XLOOKUP($O103,$D$62:$D$68,$E$62:$E$68))</f>
        <v>14.218575000000008</v>
      </c>
      <c r="R103" s="15" cm="1">
        <f t="array" aca="1" ref="R103" ca="1">MMS_Swine_AtmosphericDeposition_Equations.VEERG_4_5_1_5__2_TotalNitrogenVolatilisedFromMMS(R56,_xlfn.XLOOKUP($O103,$D$62:$D$68,$E$62:$E$68))</f>
        <v>13.348050000000004</v>
      </c>
      <c r="S103" s="15" cm="1">
        <f t="array" aca="1" ref="S103" ca="1">MMS_Swine_AtmosphericDeposition_Equations.VEERG_4_5_1_5__2_TotalNitrogenVolatilisedFromMMS(S56,_xlfn.XLOOKUP($O103,$D$62:$D$68,$E$62:$E$68))</f>
        <v>9.0534600000000047</v>
      </c>
      <c r="T103" s="16"/>
    </row>
    <row r="104" spans="1:21" ht="20.100000000000001" customHeight="1" x14ac:dyDescent="0.2">
      <c r="D104" s="111"/>
      <c r="E104" s="111" t="str">
        <f>INDEX(X_Table_Swine_Stage2MMS_From_SolidStorage,6,1)</f>
        <v>Direct application</v>
      </c>
      <c r="F104" s="15" t="s">
        <v>124</v>
      </c>
      <c r="G104" s="15" t="s">
        <v>124</v>
      </c>
      <c r="H104" s="15" t="s">
        <v>124</v>
      </c>
      <c r="I104" s="15" t="s">
        <v>124</v>
      </c>
      <c r="N104" s="111"/>
      <c r="O104" s="111" t="str">
        <f>INDEX(X_Table_Swine_Stage2MMS_From_SolidStorage,6,1)</f>
        <v>Direct application</v>
      </c>
      <c r="P104" s="15" t="s">
        <v>124</v>
      </c>
      <c r="Q104" s="15" t="s">
        <v>124</v>
      </c>
      <c r="R104" s="15" t="s">
        <v>124</v>
      </c>
      <c r="S104" s="15" t="s">
        <v>124</v>
      </c>
      <c r="T104" s="16"/>
    </row>
    <row r="106" spans="1:21" ht="20.100000000000001" customHeight="1" x14ac:dyDescent="0.2">
      <c r="D106" s="87" t="s">
        <v>432</v>
      </c>
      <c r="E106" s="82">
        <f ca="1">SUM(F73:I104)</f>
        <v>2267.6728942500004</v>
      </c>
      <c r="F106" s="88" t="str">
        <f>$E$11</f>
        <v>kg N</v>
      </c>
      <c r="N106" s="87" t="s">
        <v>432</v>
      </c>
      <c r="O106" s="82">
        <f ca="1">SUM(P73:S104)</f>
        <v>2267.6728942500004</v>
      </c>
      <c r="P106" s="88" t="str">
        <f>$E$11</f>
        <v>kg N</v>
      </c>
    </row>
    <row r="109" spans="1:21" ht="20.100000000000001" customHeight="1" x14ac:dyDescent="0.2">
      <c r="C109" s="82"/>
      <c r="D109" s="82"/>
      <c r="E109" s="82"/>
      <c r="F109" s="82"/>
      <c r="G109" s="82"/>
      <c r="H109" s="82"/>
      <c r="I109" s="82"/>
      <c r="J109" s="82"/>
      <c r="K109" s="82"/>
      <c r="N109" s="82"/>
      <c r="O109" s="82"/>
      <c r="P109" s="82"/>
      <c r="Q109" s="82"/>
      <c r="R109" s="82"/>
      <c r="S109" s="82"/>
      <c r="T109" s="82"/>
      <c r="U109" s="82"/>
    </row>
    <row r="110" spans="1:21" ht="20.100000000000001" customHeight="1" x14ac:dyDescent="0.2">
      <c r="D110" s="2" t="str" cm="1">
        <f t="array" ref="D110">MMS_Swine_AtmosphericDeposition_Equations.VEERG_4_5_1_5__1_AnnualAtmosphericDepositionEmissionsFromMMS_Title()</f>
        <v>Annual atmospheric deposition emissions from MMS</v>
      </c>
      <c r="N110" s="2" t="str" cm="1">
        <f t="array" ref="N110">MMS_Swine_AtmosphericDeposition_Equations.VEERG_4_5_1_5__1_AnnualAtmosphericDepositionEmissionsFromMMS_Title()</f>
        <v>Annual atmospheric deposition emissions from MMS</v>
      </c>
    </row>
    <row r="111" spans="1:21" ht="20.100000000000001" customHeight="1" x14ac:dyDescent="0.2">
      <c r="D111" s="17" t="str" cm="1">
        <f t="array" ref="D111">MMS_Swine_AtmosphericDeposition_Equations.VEERG_4_5_1_5__1_AnnualAtmosphericDepositionEmissionsFromMMS_Source()</f>
        <v>VEERG 2026: 4.5.1.1, Equation (1)</v>
      </c>
      <c r="N111" s="17" t="str" cm="1">
        <f t="array" ref="N111">MMS_Swine_AtmosphericDeposition_Equations.VEERG_4_5_1_5__1_AnnualAtmosphericDepositionEmissionsFromMMS_Source()</f>
        <v>VEERG 2026: 4.5.1.1, Equation (1)</v>
      </c>
    </row>
    <row r="112" spans="1:21" ht="20.100000000000001" customHeight="1" x14ac:dyDescent="0.2">
      <c r="D112" s="110" t="s">
        <v>321</v>
      </c>
      <c r="E112" s="110" t="str" cm="1">
        <f t="array" aca="1" ref="E112" ca="1">Common_InputFunctions.Utility_DisplayFunctionName(E125)</f>
        <v>=MMS_Swine_AtmosphericDeposition_Equations.VEERG_4_5_1_5__1_AnnualAtmosphericDepositionEmissionsFromMMS</v>
      </c>
      <c r="N112" s="110" t="s">
        <v>321</v>
      </c>
      <c r="O112" s="110" t="str" cm="1">
        <f t="array" aca="1" ref="O112" ca="1">Common_InputFunctions.Utility_DisplayFunctionName(O125)</f>
        <v>=MMS_Swine_AtmosphericDeposition_Equations.VEERG_4_5_1_5__1_AnnualAtmosphericDepositionEmissionsFromMMS</v>
      </c>
    </row>
    <row r="115" spans="1:19" ht="20.100000000000001" customHeight="1" x14ac:dyDescent="0.2">
      <c r="D115" s="75" t="s">
        <v>322</v>
      </c>
      <c r="E115" s="1" t="str" cm="1">
        <f t="array" ref="E115">MMS_Swine_AtmosphericDeposition_Equations.VEERG_4_5_1_5__1_AnnualAtmosphericDepositionEmissionsFromMMS_Variable()</f>
        <v>E_N2OMMSad</v>
      </c>
      <c r="N115" s="75" t="s">
        <v>322</v>
      </c>
      <c r="O115" s="1" t="str" cm="1">
        <f t="array" ref="O115">MMS_Swine_AtmosphericDeposition_Equations.VEERG_4_5_1_5__1_AnnualAtmosphericDepositionEmissionsFromMMS_Variable()</f>
        <v>E_N2OMMSad</v>
      </c>
    </row>
    <row r="116" spans="1:19" ht="20.100000000000001" customHeight="1" x14ac:dyDescent="0.2">
      <c r="D116" s="75" t="s">
        <v>118</v>
      </c>
      <c r="E116" s="9" t="str" cm="1">
        <f t="array" ref="E116">MMS_Swine_AtmosphericDeposition_Equations.VEERG_4_5_1_5__1_AnnualAtmosphericDepositionEmissionsFromMMS_Unit()</f>
        <v>t N2O</v>
      </c>
      <c r="N116" s="75" t="s">
        <v>118</v>
      </c>
      <c r="O116" s="9" t="str" cm="1">
        <f t="array" ref="O116">MMS_Swine_AtmosphericDeposition_Equations.VEERG_4_5_1_5__1_AnnualAtmosphericDepositionEmissionsFromMMS_Unit()</f>
        <v>t N2O</v>
      </c>
    </row>
    <row r="118" spans="1:19" ht="20.100000000000001" customHeight="1" x14ac:dyDescent="0.2">
      <c r="D118" s="111" t="str" cm="1">
        <f t="array" ref="D118:E123">Common_InputFunctions.Utility_DisplayArguments_1_2(MMS_Swine_AtmosphericDeposition_Equations.VEERG_4_5_1_5__1_AnnualAtmosphericDepositionEmissionsFromMMS_Arguments())</f>
        <v>MMS_ATMOS</v>
      </c>
      <c r="E118" s="112" t="str">
        <v>mass of N volatilised from MMS</v>
      </c>
      <c r="F118" s="124"/>
      <c r="G118" s="127" t="str" cm="1">
        <f t="array" ref="G118:H123">Common_InputFunctions.Utility_DisplayArguments_3_4(MMS_Swine_AtmosphericDeposition_Equations.VEERG_4_5_1_5__1_AnnualAtmosphericDepositionEmissionsFromMMS_Arguments())</f>
        <v>kg N</v>
      </c>
      <c r="H118" s="125" t="str">
        <v>Calculated from 4.5.1.5 (2)</v>
      </c>
      <c r="I118" s="127">
        <f ca="1">$E$106</f>
        <v>2267.6728942500004</v>
      </c>
      <c r="N118" s="111" t="str" cm="1">
        <f t="array" ref="N118:O123">Common_InputFunctions.Utility_DisplayArguments_1_2(MMS_Swine_AtmosphericDeposition_Equations.VEERG_4_5_1_5__1_AnnualAtmosphericDepositionEmissionsFromMMS_Arguments())</f>
        <v>MMS_ATMOS</v>
      </c>
      <c r="O118" s="112" t="str">
        <v>mass of N volatilised from MMS</v>
      </c>
      <c r="P118" s="124"/>
      <c r="Q118" s="127" t="str" cm="1">
        <f t="array" ref="Q118:R123">Common_InputFunctions.Utility_DisplayArguments_3_4(MMS_Swine_AtmosphericDeposition_Equations.VEERG_4_5_1_5__1_AnnualAtmosphericDepositionEmissionsFromMMS_Arguments())</f>
        <v>kg N</v>
      </c>
      <c r="R118" s="125" t="str">
        <v>Calculated from 4.5.1.5 (2)</v>
      </c>
      <c r="S118" s="111">
        <f ca="1">$E$106</f>
        <v>2267.6728942500004</v>
      </c>
    </row>
    <row r="119" spans="1:19" ht="20.100000000000001" customHeight="1" x14ac:dyDescent="0.2">
      <c r="D119" s="111" t="str">
        <v>EF_N2O</v>
      </c>
      <c r="E119" s="112" t="str">
        <v>nitrous oxide emission factor for atmospheric deposition</v>
      </c>
      <c r="F119" s="124"/>
      <c r="G119" s="127" t="str">
        <v>kg N2O-N/kg N</v>
      </c>
      <c r="H119" s="125" t="str">
        <v>Constant</v>
      </c>
      <c r="I119" s="127">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111" t="str">
        <v>EF_N2O</v>
      </c>
      <c r="O119" s="112" t="str">
        <v>nitrous oxide emission factor for atmospheric deposition</v>
      </c>
      <c r="P119" s="124"/>
      <c r="Q119" s="127" t="str">
        <v>kg N2O-N/kg N</v>
      </c>
      <c r="R119" s="125" t="str">
        <v>Constant</v>
      </c>
      <c r="S119" s="111"/>
    </row>
    <row r="120" spans="1:19" ht="20.100000000000001" customHeight="1" x14ac:dyDescent="0.2">
      <c r="D120" s="111" t="str">
        <v>C_N2O</v>
      </c>
      <c r="E120" s="112" t="str">
        <v>factor to convert elemental mass of N2O to molecular mass</v>
      </c>
      <c r="F120" s="124"/>
      <c r="G120" s="127" t="str">
        <v/>
      </c>
      <c r="H120" s="125" t="str">
        <v>Constant</v>
      </c>
      <c r="I120" s="127">
        <f>Common_InputFunctions.Utility_LookupValueInTableNumber("N2O",Table_GasToMolecularConversionFactor[Gas],Table_GasToMolecularConversionFactor[Conversion factor combined])</f>
        <v>1.5714285714285714</v>
      </c>
      <c r="N120" s="111" t="str">
        <v>C_N2O</v>
      </c>
      <c r="O120" s="112" t="str">
        <v>factor to convert elemental mass of N2O to molecular mass</v>
      </c>
      <c r="P120" s="124"/>
      <c r="Q120" s="127" t="str">
        <v/>
      </c>
      <c r="R120" s="125" t="str">
        <v>Constant</v>
      </c>
      <c r="S120" s="111"/>
    </row>
    <row r="121" spans="1:19" ht="20.100000000000001" customHeight="1" x14ac:dyDescent="0.2">
      <c r="D121" s="111" t="str">
        <v>j</v>
      </c>
      <c r="E121" s="112" t="str">
        <v>production system</v>
      </c>
      <c r="F121" s="124"/>
      <c r="G121" s="127" t="str">
        <v/>
      </c>
      <c r="H121" s="123" t="str">
        <v>Input</v>
      </c>
      <c r="I121" s="127" t="str">
        <f>X_Cell_Swine_ManureAppliedProductionSystem</f>
        <v>Crop</v>
      </c>
      <c r="N121" s="111" t="str">
        <v>j</v>
      </c>
      <c r="O121" s="112" t="str">
        <v>production system</v>
      </c>
      <c r="P121" s="124"/>
      <c r="Q121" s="127" t="str">
        <v/>
      </c>
      <c r="R121" s="123" t="str">
        <v>Input</v>
      </c>
      <c r="S121" s="111"/>
    </row>
    <row r="122" spans="1:19" ht="20.100000000000001" customHeight="1" x14ac:dyDescent="0.2">
      <c r="D122" s="111" t="str">
        <v>ir</v>
      </c>
      <c r="E122" s="112" t="str">
        <v>irrigation method</v>
      </c>
      <c r="F122" s="124"/>
      <c r="G122" s="127" t="str">
        <v/>
      </c>
      <c r="H122" s="123" t="str">
        <v>Input</v>
      </c>
      <c r="I122" s="127" t="str">
        <f>X_Cell_Swine_ManureAppliedIrrigationMethod</f>
        <v>Sprinkler irrigation</v>
      </c>
      <c r="N122" s="111" t="str">
        <v>ir</v>
      </c>
      <c r="O122" s="112" t="str">
        <v>irrigation method</v>
      </c>
      <c r="P122" s="124"/>
      <c r="Q122" s="127" t="str">
        <v/>
      </c>
      <c r="R122" s="123" t="str">
        <v>Input</v>
      </c>
      <c r="S122" s="111"/>
    </row>
    <row r="123" spans="1:19" ht="20.100000000000001" customHeight="1" x14ac:dyDescent="0.2">
      <c r="D123" s="111" t="str">
        <v>r</v>
      </c>
      <c r="E123" s="112" t="str">
        <v>rainfall region</v>
      </c>
      <c r="F123" s="124"/>
      <c r="G123" s="127" t="str">
        <v/>
      </c>
      <c r="H123" s="123" t="str">
        <v>Input</v>
      </c>
      <c r="I123" s="127" t="str">
        <f>X_Cell_Site_RainfallZone</f>
        <v>High rainfall</v>
      </c>
      <c r="N123" s="111" t="str">
        <v>r</v>
      </c>
      <c r="O123" s="112" t="str">
        <v>rainfall region</v>
      </c>
      <c r="P123" s="124"/>
      <c r="Q123" s="127" t="str">
        <v/>
      </c>
      <c r="R123" s="123" t="str">
        <v>Input</v>
      </c>
      <c r="S123" s="111"/>
    </row>
    <row r="125" spans="1:19" ht="20.100000000000001" customHeight="1" x14ac:dyDescent="0.2">
      <c r="D125" s="84" t="s">
        <v>433</v>
      </c>
      <c r="E125" s="85" cm="1">
        <f t="array" aca="1" ref="E125" ca="1">MMS_Swine_AtmosphericDeposition_Equations.VEERG_4_5_1_5__1_AnnualAtmosphericDepositionEmissionsFromMMS(I118,I119,I120)</f>
        <v>2.4944401836750004E-2</v>
      </c>
      <c r="F125" s="94" t="str">
        <f>E116</f>
        <v>t N2O</v>
      </c>
      <c r="N125" s="84" t="s">
        <v>433</v>
      </c>
      <c r="O125" s="85" cm="1">
        <f t="array" aca="1" ref="O125" ca="1">MMS_Swine_AtmosphericDeposition_Equations.VEERG_4_5_1_5__1_AnnualAtmosphericDepositionEmissionsFromMMS(S118,I119,I120)</f>
        <v>2.4944401836750004E-2</v>
      </c>
      <c r="P125" s="94" t="str">
        <f>O116</f>
        <v>t N2O</v>
      </c>
    </row>
    <row r="127" spans="1:19" ht="20.100000000000001" customHeight="1" x14ac:dyDescent="0.2">
      <c r="A127" s="131" t="str">
        <f>HYPERLINK("#A1", "▲ Back to top")</f>
        <v>▲ Back to top</v>
      </c>
      <c r="D127" s="111" t="str" cm="1">
        <f t="array" ref="D127:E128">Common_Equations.Common_ConvertN2OToCO2e_Arguments()</f>
        <v>EN2O</v>
      </c>
      <c r="E127" s="112" t="str">
        <v>Nitrous oxide emissions (t N2O)</v>
      </c>
      <c r="F127" s="133"/>
      <c r="G127" s="15">
        <f ca="1">E125</f>
        <v>2.4944401836750004E-2</v>
      </c>
      <c r="N127" s="111" t="str" cm="1">
        <f t="array" ref="N127:O128">Common_Equations.Common_ConvertN2OToCO2e_Arguments()</f>
        <v>EN2O</v>
      </c>
      <c r="O127" s="112" t="str">
        <v>Nitrous oxide emissions (t N2O)</v>
      </c>
      <c r="P127" s="133"/>
      <c r="Q127" s="15">
        <f ca="1">O125</f>
        <v>2.4944401836750004E-2</v>
      </c>
    </row>
    <row r="128" spans="1:19" ht="20.100000000000001" customHeight="1" x14ac:dyDescent="0.2">
      <c r="D128" s="111" t="str">
        <v>GWPN2O</v>
      </c>
      <c r="E128" s="112" t="str">
        <v>Global warming potential for nitrous oxide (t CO2-e / t N2O)</v>
      </c>
      <c r="F128" s="133"/>
      <c r="G128" s="15">
        <f>Common_InputFunctions.Utility_LookupValueInTableNumber("N2O",Table_GWPData[Gas],Table_GWPData[CO2-e factor])</f>
        <v>265</v>
      </c>
      <c r="N128" s="111" t="str">
        <v>GWPN2O</v>
      </c>
      <c r="O128" s="112" t="str">
        <v>Global warming potential for nitrous oxide (t CO2-e / t N2O)</v>
      </c>
      <c r="P128" s="133"/>
      <c r="Q128" s="15">
        <f>Common_InputFunctions.Utility_LookupValueInTableNumber("N2O",Table_GWPData[Gas],Table_GWPData[CO2-e factor])</f>
        <v>265</v>
      </c>
    </row>
    <row r="130" spans="4:16" ht="20.100000000000001" customHeight="1" x14ac:dyDescent="0.2">
      <c r="D130" s="82" t="s">
        <v>382</v>
      </c>
      <c r="E130" s="82" cm="1">
        <f t="array" aca="1" ref="E130" ca="1">Common_Equations.Common_ConvertN2OToCO2e(G127,G128)</f>
        <v>6.6102664867387508</v>
      </c>
      <c r="F130" s="88" t="str" cm="1">
        <f t="array" ref="F130">Common_Equations.Common_ConvertN2OToCO2e_Unit()</f>
        <v>t CO2e</v>
      </c>
      <c r="N130" s="82" t="s">
        <v>382</v>
      </c>
      <c r="O130" s="82" cm="1">
        <f t="array" aca="1" ref="O130" ca="1">Common_Equations.Common_ConvertN2OToCO2e(Q127,Q128)</f>
        <v>6.6102664867387508</v>
      </c>
      <c r="P130" s="88" t="str" cm="1">
        <f t="array" ref="P130">Common_Equations.Common_ConvertN2OToCO2e_Unit()</f>
        <v>t CO2e</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BA56-5792-4AE5-A673-90C216B09404}">
  <sheetPr>
    <tabColor rgb="FF008000"/>
  </sheetPr>
  <dimension ref="A1:S56"/>
  <sheetViews>
    <sheetView showGridLines="0" zoomScaleNormal="100" workbookViewId="0">
      <pane xSplit="1" topLeftCell="B1" activePane="topRight" state="frozenSplit"/>
      <selection pane="topRight" activeCell="A247" sqref="A247"/>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434</v>
      </c>
      <c r="K1"/>
    </row>
    <row r="2" spans="1:19" s="3" customFormat="1" ht="20.100000000000001" customHeight="1" x14ac:dyDescent="0.2">
      <c r="A2"/>
      <c r="K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MMS_Swine_LeachingAndRunoff_Equations.VEERG_4_5_1_7__2_MassOfNitrogenLostToLeachingAndRunoffFromDrylotMMS_Title()</f>
        <v>Mass of nitrogen lost to leaching and runoff from drylot MMS</v>
      </c>
    </row>
    <row r="6" spans="1:19" ht="20.100000000000001" customHeight="1" x14ac:dyDescent="0.2">
      <c r="D6" s="17" t="str" cm="1">
        <f t="array" ref="D6">MMS_Swine_LeachingAndRunoff_Equations.VEERG_4_5_1_7__2_MassOfNitrogenLostToLeachingAndRunoffFromDrylotMMS_Source()</f>
        <v>VEERG 2026: 4.5.1.7, Equation (2)</v>
      </c>
    </row>
    <row r="7" spans="1:19" ht="20.100000000000001" customHeight="1" x14ac:dyDescent="0.2">
      <c r="D7" s="110" t="s">
        <v>321</v>
      </c>
      <c r="E7" s="110" t="str" cm="1">
        <f t="array" aca="1" ref="E7" ca="1">Common_InputFunctions.Utility_DisplayFunctionName($E$28)</f>
        <v>=MMS_Swine_LeachingAndRunoff_Equations.VEERG_4_5_1_7__2_MassOfNitrogenLostToLeachingAndRunoffFromDrylotMMS</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322</v>
      </c>
      <c r="E10" s="1" t="str" cm="1">
        <f t="array" ref="E10">MMS_Swine_LeachingAndRunoff_Equations.VEERG_4_5_1_7__2_MassOfNitrogenLostToLeachingAndRunoffFromDrylotMMS_Variable()</f>
        <v>MNLeach_jm5</v>
      </c>
      <c r="F10" s="126" t="s">
        <v>435</v>
      </c>
    </row>
    <row r="11" spans="1:19" ht="20.100000000000001" customHeight="1" x14ac:dyDescent="0.2">
      <c r="A11" s="5" t="str">
        <f>HYPERLINK("#'Input - Swine'!A1", "Swine")</f>
        <v>Swine</v>
      </c>
      <c r="D11" s="75" t="s">
        <v>118</v>
      </c>
      <c r="E11" s="9" t="str" cm="1">
        <f t="array" ref="E11">MMS_Swine_LeachingAndRunoff_Equations.VEERG_4_5_1_7__2_MassOfNitrogenLostToLeachingAndRunoffFromDrylotMMS_Unit()</f>
        <v>kg N</v>
      </c>
      <c r="F11" s="126" t="s">
        <v>436</v>
      </c>
    </row>
    <row r="12" spans="1:19" ht="20.100000000000001" customHeight="1" x14ac:dyDescent="0.2">
      <c r="A12" s="5" t="str">
        <f>HYPERLINK("#'Input - Livestock sales'!A1", "Livestock sales")</f>
        <v>Livestock sales</v>
      </c>
    </row>
    <row r="13" spans="1:19" ht="20.100000000000001" customHeight="1" x14ac:dyDescent="0.2">
      <c r="A13" s="5" t="str">
        <f>HYPERLINK("#'Input - Pig purchases'!A1", "Pig purchases")</f>
        <v>Pig purchases</v>
      </c>
      <c r="D13" s="127" t="str" cm="1">
        <f t="array" ref="D13:E18">Common_InputFunctions.Utility_DisplayArguments_1_2(MMS_Swine_LeachingAndRunoff_Equations.VEERG_4_5_1_7__2_MassOfNitrogenLostToLeachingAndRunoffFromDrylotMMS_Arguments())</f>
        <v>MN_jm5T1</v>
      </c>
      <c r="E13" s="128" t="str">
        <v>nitrogen in treatment stage 1 drylot MMS</v>
      </c>
      <c r="F13" s="129"/>
      <c r="G13" s="127" t="str" cm="1">
        <f t="array" ref="G13:H18">Common_InputFunctions.Utility_DisplayArguments_3_4(MMS_Swine_LeachingAndRunoff_Equations.VEERG_4_5_1_7__2_MassOfNitrogenLostToLeachingAndRunoffFromDrylotMMS_Arguments())</f>
        <v>kg N</v>
      </c>
      <c r="H13" s="125" t="str">
        <v>Calculated from 4.5.1.3 (2)</v>
      </c>
      <c r="I13" s="115" t="str" cm="1">
        <f t="array" aca="1" ref="I13" ca="1">HYPERLINK(Common_InputFunctions.Utility_SourceHyperlink(D20), D20)</f>
        <v>M1_Table_MN_j_m-5_T-1</v>
      </c>
    </row>
    <row r="14" spans="1:19" ht="20.100000000000001" customHeight="1" x14ac:dyDescent="0.2">
      <c r="A14" s="5" t="str">
        <f>HYPERLINK("#'Input - Fuel'!A1", "Fuel")</f>
        <v>Fuel</v>
      </c>
      <c r="D14" s="127" t="str">
        <v>FracWET</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1</v>
      </c>
    </row>
    <row r="15" spans="1:19" ht="20.100000000000001" customHeight="1" x14ac:dyDescent="0.2">
      <c r="A15" s="5" t="str">
        <f>HYPERLINK("#'Input - Electricity'!A1", "Electricity")</f>
        <v>Electricity</v>
      </c>
      <c r="D15" s="127" t="str">
        <v>FracLEACH_MS</v>
      </c>
      <c r="E15" s="128" t="str">
        <v>fraction of N lost through leaching and runoff</v>
      </c>
      <c r="F15" s="129"/>
      <c r="G15" s="127" t="str">
        <v>fraction</v>
      </c>
      <c r="H15" s="125" t="str">
        <v>Constant</v>
      </c>
      <c r="I15" s="127">
        <f>SourceData_Swine_FracLEACH_DrylotMMS_Data</f>
        <v>0.02</v>
      </c>
    </row>
    <row r="16" spans="1:19" ht="20.100000000000001" customHeight="1" x14ac:dyDescent="0.2">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19" ht="20.100000000000001" customHeight="1" x14ac:dyDescent="0.2">
      <c r="A17" s="5" t="str">
        <f>HYPERLINK("#'Input - Livestock farm Inputs'!A1", "Livestock farm Inputs")</f>
        <v>Livestock farm Inputs</v>
      </c>
      <c r="D17" s="127" t="str">
        <v>j</v>
      </c>
      <c r="E17" s="128" t="str">
        <v>production system</v>
      </c>
      <c r="F17" s="129"/>
      <c r="G17" s="127" t="str">
        <v/>
      </c>
      <c r="H17" s="123" t="str">
        <v>Input</v>
      </c>
      <c r="I17" s="127" t="str">
        <f>X_Cell_Swine_ManureAppliedProductionSystem</f>
        <v>Crop</v>
      </c>
    </row>
    <row r="18" spans="1:19" ht="20.100000000000001" customHeight="1" x14ac:dyDescent="0.2">
      <c r="A18" s="5" t="str">
        <f>HYPERLINK("#'Input - Freight'!A1", "Freight")</f>
        <v>Freight</v>
      </c>
      <c r="D18" s="127" t="str">
        <v>ir</v>
      </c>
      <c r="E18" s="128" t="str">
        <v>irrigation method</v>
      </c>
      <c r="F18" s="129"/>
      <c r="G18" s="127" t="str">
        <v/>
      </c>
      <c r="H18" s="123" t="str">
        <v>Input</v>
      </c>
      <c r="I18" s="127" t="str">
        <f>X_Cell_Swine_ManureAppliedIrrigationMethod</f>
        <v>Sprinkler irrigation</v>
      </c>
    </row>
    <row r="19" spans="1:19" ht="20.100000000000001" customHeight="1" x14ac:dyDescent="0.2">
      <c r="A19" s="5" t="str">
        <f>HYPERLINK("#'Input - Solid waste'!A1", "Solid waste")</f>
        <v>Solid waste</v>
      </c>
    </row>
    <row r="20" spans="1:19" ht="20.100000000000001" customHeight="1" x14ac:dyDescent="0.2">
      <c r="A20" s="5" t="str">
        <f>HYPERLINK("#'Input - Manure sent off-site'!A1", "Manure sent off-site")</f>
        <v>Manure sent off-site</v>
      </c>
      <c r="D20" s="137" t="s">
        <v>437</v>
      </c>
      <c r="M20" s="137" t="s">
        <v>438</v>
      </c>
    </row>
    <row r="21" spans="1:19" ht="20.100000000000001" customHeight="1" x14ac:dyDescent="0.2">
      <c r="A21" s="5" t="str">
        <f>HYPERLINK("#'Input - Data quality'!A1", "Data quality")</f>
        <v>Data quality</v>
      </c>
      <c r="D21" s="138" t="s">
        <v>439</v>
      </c>
      <c r="M21" s="138" t="s">
        <v>440</v>
      </c>
    </row>
    <row r="22" spans="1:19" ht="20.100000000000001" customHeight="1" x14ac:dyDescent="0.2">
      <c r="A22" s="5" t="str">
        <f>HYPERLINK("#'Input - Fert Prod System'!A1", "Fert Prod System")</f>
        <v>Fert Prod System</v>
      </c>
      <c r="D22" s="119" t="s">
        <v>325</v>
      </c>
      <c r="E22" s="119" t="s">
        <v>290</v>
      </c>
      <c r="F22" s="119" t="s">
        <v>291</v>
      </c>
      <c r="G22" s="119" t="s">
        <v>265</v>
      </c>
      <c r="H22" s="119" t="s">
        <v>292</v>
      </c>
      <c r="M22" s="119" t="s">
        <v>325</v>
      </c>
      <c r="N22" s="119" t="s">
        <v>290</v>
      </c>
      <c r="O22" s="119" t="s">
        <v>291</v>
      </c>
      <c r="P22" s="119" t="s">
        <v>265</v>
      </c>
      <c r="Q22" s="119" t="s">
        <v>292</v>
      </c>
    </row>
    <row r="23" spans="1:19" ht="20.100000000000001" customHeight="1" x14ac:dyDescent="0.2">
      <c r="A23" s="5" t="str">
        <f>HYPERLINK("#'Input - Fertiliser'!A1", "Fertiliser")</f>
        <v>Fertiliser</v>
      </c>
      <c r="D23" s="15"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t="str">
        <f>$G$13</f>
        <v>kg N</v>
      </c>
      <c r="M23" s="15" t="str">
        <f>INDEX(X_Table_Swine_Stage1MMS_Drylot,2,1)</f>
        <v>Drylot (feed pad)</v>
      </c>
      <c r="N23" s="15">
        <f ca="1">'4.5.1.3-4 Direct N2O'!O119</f>
        <v>201.47999999999996</v>
      </c>
      <c r="O23" s="15">
        <f ca="1">'4.5.1.3-4 Direct N2O'!P119</f>
        <v>214.62000000000003</v>
      </c>
      <c r="P23" s="15">
        <f ca="1">'4.5.1.3-4 Direct N2O'!Q119</f>
        <v>201.47999999999996</v>
      </c>
      <c r="Q23" s="15">
        <f ca="1">'4.5.1.3-4 Direct N2O'!R119</f>
        <v>136.65599999999998</v>
      </c>
      <c r="R23" s="16" t="str">
        <f>$G$13</f>
        <v>kg N</v>
      </c>
    </row>
    <row r="25" spans="1:19" ht="20.100000000000001" customHeight="1" x14ac:dyDescent="0.2">
      <c r="D25" s="137" t="s">
        <v>441</v>
      </c>
      <c r="M25" s="137" t="s">
        <v>441</v>
      </c>
    </row>
    <row r="26" spans="1:19" ht="20.100000000000001" customHeight="1" x14ac:dyDescent="0.2">
      <c r="A26" s="6" t="s">
        <v>2</v>
      </c>
      <c r="D26" s="138" t="s">
        <v>442</v>
      </c>
      <c r="M26" s="138" t="s">
        <v>442</v>
      </c>
    </row>
    <row r="27" spans="1:19" ht="20.100000000000001" customHeight="1" x14ac:dyDescent="0.2">
      <c r="A27" s="5" t="str">
        <f>HYPERLINK("#'3.5.1.1-2 Enteric Methane'!A1", "3.5.1.1-2 Enteric Methane")</f>
        <v>3.5.1.1-2 Enteric Methane</v>
      </c>
      <c r="D27" s="119" t="s">
        <v>325</v>
      </c>
      <c r="E27" s="119" t="s">
        <v>290</v>
      </c>
      <c r="F27" s="119" t="s">
        <v>291</v>
      </c>
      <c r="G27" s="119" t="s">
        <v>265</v>
      </c>
      <c r="H27" s="119" t="s">
        <v>292</v>
      </c>
      <c r="M27" s="119" t="s">
        <v>325</v>
      </c>
      <c r="N27" s="119" t="s">
        <v>290</v>
      </c>
      <c r="O27" s="119" t="s">
        <v>291</v>
      </c>
      <c r="P27" s="119" t="s">
        <v>265</v>
      </c>
      <c r="Q27" s="119" t="s">
        <v>292</v>
      </c>
    </row>
    <row r="28" spans="1:19" ht="20.100000000000001" customHeight="1" x14ac:dyDescent="0.2">
      <c r="A28" s="5" t="str">
        <f>HYPERLINK("#'4.5.1.1-2 Methane'!A1", "4.5.1.1-2 Manure Methane")</f>
        <v>4.5.1.1-2 Manure Methane</v>
      </c>
      <c r="D28" s="15" t="str">
        <f>INDEX(X_Table_Swine_Stage1MMS_Drylot,2,1)</f>
        <v>Drylot (feed pad)</v>
      </c>
      <c r="E28" s="15" cm="1">
        <f t="array" aca="1" ref="E28" ca="1">MMS_Swine_LeachingAndRunoff_Equations.VEERG_4_5_1_7__2_MassOfNitrogenLostToLeachingAndRunoffFromDrylotMMS(E23,$I$14,$I$15)</f>
        <v>4.0295999999999994</v>
      </c>
      <c r="F28" s="15" cm="1">
        <f t="array" aca="1" ref="F28" ca="1">MMS_Swine_LeachingAndRunoff_Equations.VEERG_4_5_1_7__2_MassOfNitrogenLostToLeachingAndRunoffFromDrylotMMS(F23,$I$14,$I$15)</f>
        <v>4.2924000000000007</v>
      </c>
      <c r="G28" s="15" cm="1">
        <f t="array" aca="1" ref="G28" ca="1">MMS_Swine_LeachingAndRunoff_Equations.VEERG_4_5_1_7__2_MassOfNitrogenLostToLeachingAndRunoffFromDrylotMMS(G23,$I$14,$I$15)</f>
        <v>4.0295999999999994</v>
      </c>
      <c r="H28" s="15" cm="1">
        <f t="array" aca="1" ref="H28" ca="1">MMS_Swine_LeachingAndRunoff_Equations.VEERG_4_5_1_7__2_MassOfNitrogenLostToLeachingAndRunoffFromDrylotMMS(H23,$I$14,$I$15)</f>
        <v>2.7331199999999995</v>
      </c>
      <c r="I28" s="16" t="str">
        <f>$E$11</f>
        <v>kg N</v>
      </c>
      <c r="M28" s="15" t="str">
        <f>INDEX(X_Table_Swine_Stage1MMS_Drylot,2,1)</f>
        <v>Drylot (feed pad)</v>
      </c>
      <c r="N28" s="15" cm="1">
        <f t="array" aca="1" ref="N28" ca="1">MMS_Swine_LeachingAndRunoff_Equations.VEERG_4_5_1_7__2_MassOfNitrogenLostToLeachingAndRunoffFromDrylotMMS(N23,$I$14,$I$15)</f>
        <v>4.0295999999999994</v>
      </c>
      <c r="O28" s="15" cm="1">
        <f t="array" aca="1" ref="O28" ca="1">MMS_Swine_LeachingAndRunoff_Equations.VEERG_4_5_1_7__2_MassOfNitrogenLostToLeachingAndRunoffFromDrylotMMS(O23,$I$14,$I$15)</f>
        <v>4.2924000000000007</v>
      </c>
      <c r="P28" s="15" cm="1">
        <f t="array" aca="1" ref="P28" ca="1">MMS_Swine_LeachingAndRunoff_Equations.VEERG_4_5_1_7__2_MassOfNitrogenLostToLeachingAndRunoffFromDrylotMMS(P23,$I$14,$I$15)</f>
        <v>4.0295999999999994</v>
      </c>
      <c r="Q28" s="15" cm="1">
        <f t="array" aca="1" ref="Q28" ca="1">MMS_Swine_LeachingAndRunoff_Equations.VEERG_4_5_1_7__2_MassOfNitrogenLostToLeachingAndRunoffFromDrylotMMS(Q23,$I$14,$I$15)</f>
        <v>2.7331199999999995</v>
      </c>
      <c r="R28" s="16" t="str">
        <f>$E$11</f>
        <v>kg N</v>
      </c>
    </row>
    <row r="29" spans="1:19" ht="20.100000000000001" customHeight="1" x14ac:dyDescent="0.2">
      <c r="A29" s="5" t="str">
        <f>HYPERLINK("#'4.5.1.3-4 Direct N2O'!A1", "4.5.1.3-4 Manure Direct N2O")</f>
        <v>4.5.1.3-4 Manure Direct N2O</v>
      </c>
    </row>
    <row r="30" spans="1:19" ht="20.100000000000001" customHeight="1" x14ac:dyDescent="0.2">
      <c r="A30" s="5" t="str">
        <f>HYPERLINK("#'4.5.1.5-6 Atmos Dep'!A1", "4.5.1.5-6 Manure Atmos Dep")</f>
        <v>4.5.1.5-6 Manure Atmos Dep</v>
      </c>
    </row>
    <row r="31" spans="1:19" ht="20.100000000000001" customHeight="1" x14ac:dyDescent="0.2">
      <c r="A31" s="116" t="str">
        <f>HYPERLINK("#'4.5.1.7-8 Leaching and runoff'!A1", "4.5.1.7-8 Manure Leaching and runoff")</f>
        <v>4.5.1.7-8 Manure Leaching and runoff</v>
      </c>
      <c r="C31" s="82"/>
      <c r="D31" s="82"/>
      <c r="E31" s="82"/>
      <c r="F31" s="82"/>
      <c r="G31" s="82"/>
      <c r="H31" s="82"/>
      <c r="I31" s="82"/>
      <c r="J31" s="82"/>
      <c r="L31" s="82"/>
      <c r="M31" s="82"/>
      <c r="N31" s="82"/>
      <c r="O31" s="82"/>
      <c r="P31" s="82"/>
      <c r="Q31" s="82"/>
      <c r="R31" s="82"/>
      <c r="S31" s="82"/>
    </row>
    <row r="32" spans="1:19" ht="20.100000000000001" customHeight="1" x14ac:dyDescent="0.2">
      <c r="A32" s="5" t="str">
        <f>HYPERLINK("#'4.5.1.9 Manure applied to soils'!A1", "4.5.1.9 Manure applied to soils")</f>
        <v>4.5.1.9 Manure applied to soils</v>
      </c>
      <c r="D32" s="2" t="str" cm="1">
        <f t="array" ref="D32">MMS_Swine_LeachingAndRunoff_Equations.VEERG_4_5_1_7__1_AnnualEmissionsFromLeachingAndRunoffFromMMS_Title()</f>
        <v>Annual emissions from leaching and runoff from each MMS</v>
      </c>
    </row>
    <row r="33" spans="1:18" ht="20.100000000000001" customHeight="1" x14ac:dyDescent="0.2">
      <c r="A33" s="5" t="str">
        <f>HYPERLINK("#'8.1.1.1-2 Transport fuel'!A1", "8.1.1.1-2 Transport fuel")</f>
        <v>8.1.1.1-2 Transport fuel</v>
      </c>
      <c r="D33" s="17" t="str" cm="1">
        <f t="array" ref="D33">MMS_Swine_LeachingAndRunoff_Equations.VEERG_4_5_1_7__1_AnnualEmissionsFromLeachingAndRunoffFromMMS_Source()</f>
        <v>VEERG 2026: 4.5.1.7, Equation (1)</v>
      </c>
    </row>
    <row r="34" spans="1:18" ht="20.100000000000001" customHeight="1" x14ac:dyDescent="0.2">
      <c r="A34" s="5" t="str">
        <f>HYPERLINK("#'8.2.1.1-2 Stationary fuel'!A1", "8.2.1.1-2 Stationary fuel")</f>
        <v>8.2.1.1-2 Stationary fuel</v>
      </c>
      <c r="D34" s="110" t="s">
        <v>321</v>
      </c>
      <c r="E34" s="110" t="str" cm="1">
        <f t="array" aca="1" ref="E34" ca="1">Common_InputFunctions.Utility_DisplayFunctionName($E$47)</f>
        <v>=MMS_Swine_LeachingAndRunoff_Equations.VEERG_4_5_1_7__1_AnnualEmissionsFromLeachingAndRunoffFromMMS</v>
      </c>
    </row>
    <row r="35" spans="1:18" ht="20.100000000000001" customHeight="1" x14ac:dyDescent="0.2">
      <c r="A35" s="5" t="str">
        <f>HYPERLINK("#'10.1.1-2 Solid waste treatment'!A1", "10.1.1.1-2 Solid waste")</f>
        <v>10.1.1.1-2 Solid waste</v>
      </c>
    </row>
    <row r="36" spans="1:18" ht="20.100000000000001" customHeight="1" x14ac:dyDescent="0.2">
      <c r="A36" s="5" t="str">
        <f>HYPERLINK("#'14.1.1-2 Purchased electricity'!A1", "14.1.1-2 Purchased electricity")</f>
        <v>14.1.1-2 Purchased electricity</v>
      </c>
    </row>
    <row r="37" spans="1:18" ht="20.100000000000001" customHeight="1" x14ac:dyDescent="0.2">
      <c r="A37" s="5" t="str">
        <f>HYPERLINK("#'15 Scope 3'!A1", "15 Scope 3")</f>
        <v>15 Scope 3</v>
      </c>
      <c r="D37" s="75" t="s">
        <v>322</v>
      </c>
      <c r="E37" s="1" t="str" cm="1">
        <f t="array" ref="E37">MMS_Swine_LeachingAndRunoff_Equations.VEERG_4_5_1_7__1_AnnualEmissionsFromLeachingAndRunoffFromMMS_Variable()</f>
        <v>E_N2Oleach</v>
      </c>
    </row>
    <row r="38" spans="1:18" ht="20.100000000000001" customHeight="1" x14ac:dyDescent="0.2">
      <c r="A38" s="5" t="str">
        <f>HYPERLINK("#'Calcs - Manure sent off-site'!A1", "Calcs - Manure sent off-site")</f>
        <v>Calcs - Manure sent off-site</v>
      </c>
      <c r="D38" s="75" t="s">
        <v>118</v>
      </c>
      <c r="E38" s="9" t="str" cm="1">
        <f t="array" ref="E38">MMS_Swine_LeachingAndRunoff_Equations.VEERG_4_5_1_7__1_AnnualEmissionsFromLeachingAndRunoffFromMMS_Unit()</f>
        <v>t N2O</v>
      </c>
    </row>
    <row r="39" spans="1:18" ht="20.100000000000001" customHeight="1" x14ac:dyDescent="0.2">
      <c r="A39" s="5" t="str">
        <f>HYPERLINK("#'5.1.1.1-2 Inorganic fert N2O'!A1", "5.1.1.1-2 Inorganic fert N2O")</f>
        <v>5.1.1.1-2 Inorganic fert N2O</v>
      </c>
    </row>
    <row r="40" spans="1:18" ht="20.100000000000001" customHeight="1" x14ac:dyDescent="0.2">
      <c r="A40" s="5" t="str">
        <f>HYPERLINK("#'5.1.1.3-4 Inorganic fert CO2'!A1", "5.1.1.3-4 Inorganic fert CO2")</f>
        <v>5.1.1.3-4 Inorganic fert CO2</v>
      </c>
      <c r="D40" s="127" t="str" cm="1">
        <f t="array" ref="D40:E42">Common_InputFunctions.Utility_DisplayArguments_1_2(MMS_Swine_LeachingAndRunoff_Equations.VEERG_4_5_1_7__1_AnnualEmissionsFromLeachingAndRunoffFromMMS_Arguments())</f>
        <v>MNLeach_jm5</v>
      </c>
      <c r="E40" s="128" t="str">
        <v>mass of N lost through leaching and runoff from drylot MMS</v>
      </c>
      <c r="F40" s="129"/>
      <c r="G40" s="127" t="str" cm="1">
        <f t="array" ref="G40:H42">Common_InputFunctions.Utility_DisplayArguments_3_4(MMS_Swine_LeachingAndRunoff_Equations.VEERG_4_5_1_7__1_AnnualEmissionsFromLeachingAndRunoffFromMMS_Arguments())</f>
        <v>kg N</v>
      </c>
      <c r="H40" s="125" t="str">
        <v>Calculated from 4.5.1.7 (2)</v>
      </c>
      <c r="I40" s="115" t="str" cm="1">
        <f t="array" aca="1" ref="I40" ca="1">HYPERLINK(Common_InputFunctions.Utility_SourceHyperlink(D25), D25)</f>
        <v>M1_Table_MN_leach_j_m-5</v>
      </c>
    </row>
    <row r="41" spans="1:18" ht="20.100000000000001" customHeight="1" x14ac:dyDescent="0.2">
      <c r="A41" s="5" t="str">
        <f>HYPERLINK("#'5.2.1.1-2 Organic Fert N2O'!A1", "5.2.1.1-2 Organic Fert N2O")</f>
        <v>5.2.1.1-2 Organic Fert N2O</v>
      </c>
      <c r="D41" s="127" t="str">
        <v>EF_leach</v>
      </c>
      <c r="E41" s="128" t="str">
        <v>emission factor for leaching and runoff</v>
      </c>
      <c r="F41" s="129"/>
      <c r="G41" s="127" t="str">
        <v>kg N2O-N/kg N</v>
      </c>
      <c r="H41" s="125" t="str">
        <v>Constant</v>
      </c>
      <c r="I41" s="127">
        <f>'Constants - Common'!$E$170</f>
        <v>1.0999999999999999E-2</v>
      </c>
    </row>
    <row r="42" spans="1:18" ht="20.100000000000001" customHeight="1" x14ac:dyDescent="0.2">
      <c r="A42" s="5" t="str">
        <f>HYPERLINK("#'5.3.1.1-2 Lime CO2'!A1", "5.3.1.1-2 Lime CO2")</f>
        <v>5.3.1.1-2 Lime CO2</v>
      </c>
      <c r="D42" s="127" t="str">
        <v>C_N2O</v>
      </c>
      <c r="E42" s="128" t="str">
        <v>factor to convert elemental mass of N2O to molecular mass</v>
      </c>
      <c r="F42" s="129"/>
      <c r="G42" s="127" t="str">
        <v/>
      </c>
      <c r="H42" s="125" t="str">
        <v>Constant</v>
      </c>
      <c r="I42" s="127">
        <f>Common_InputFunctions.Utility_LookupValueInTableNumber("N2O",Table_GasToMolecularConversionFactor[Gas],Table_GasToMolecularConversionFactor[Conversion factor combined])</f>
        <v>1.5714285714285714</v>
      </c>
    </row>
    <row r="43" spans="1:18" ht="20.100000000000001" customHeight="1" x14ac:dyDescent="0.2">
      <c r="A43" s="5" t="str">
        <f>HYPERLINK("#'5.4.1.1-4 Atmos deposition'!A1", "5.4.1.1-4 Atmos deposition")</f>
        <v>5.4.1.1-4 Atmos deposition</v>
      </c>
    </row>
    <row r="44" spans="1:18" ht="20.100000000000001" customHeight="1" x14ac:dyDescent="0.2">
      <c r="A44" s="5" t="str">
        <f>HYPERLINK("#'5.5.1.1-2 Leaching and runoff'!A1", "5.5.1.1-2 Leaching and runoff")</f>
        <v>5.5.1.1-2 Leaching and runoff</v>
      </c>
      <c r="D44" s="137" t="s">
        <v>443</v>
      </c>
      <c r="M44" s="137" t="s">
        <v>444</v>
      </c>
    </row>
    <row r="45" spans="1:18" ht="20.100000000000001" customHeight="1" x14ac:dyDescent="0.2">
      <c r="D45" s="138" t="s">
        <v>445</v>
      </c>
      <c r="M45" s="138" t="s">
        <v>446</v>
      </c>
    </row>
    <row r="46" spans="1:18" ht="20.100000000000001" customHeight="1" x14ac:dyDescent="0.2">
      <c r="D46" s="119" t="s">
        <v>325</v>
      </c>
      <c r="E46" s="119" t="s">
        <v>290</v>
      </c>
      <c r="F46" s="119" t="s">
        <v>291</v>
      </c>
      <c r="G46" s="119" t="s">
        <v>265</v>
      </c>
      <c r="H46" s="119" t="s">
        <v>292</v>
      </c>
      <c r="M46" s="119" t="s">
        <v>325</v>
      </c>
      <c r="N46" s="119" t="s">
        <v>290</v>
      </c>
      <c r="O46" s="119" t="s">
        <v>291</v>
      </c>
      <c r="P46" s="119" t="s">
        <v>265</v>
      </c>
      <c r="Q46" s="119" t="s">
        <v>292</v>
      </c>
    </row>
    <row r="47" spans="1:18" ht="20.100000000000001" customHeight="1" x14ac:dyDescent="0.2">
      <c r="A47" s="79" t="s">
        <v>1</v>
      </c>
      <c r="D47" s="15" t="str">
        <f>INDEX(X_Table_Swine_Stage1MMS_Drylot,2,1)</f>
        <v>Drylot (feed pad)</v>
      </c>
      <c r="E47" s="15" cm="1">
        <f t="array" aca="1" ref="E47" ca="1">MMS_Swine_LeachingAndRunoff_Equations.VEERG_4_5_1_7__1_AnnualEmissionsFromLeachingAndRunoffFromMMS(E28,$I$41,$I$42)</f>
        <v>6.9654514285714269E-5</v>
      </c>
      <c r="F47" s="15" cm="1">
        <f t="array" aca="1" ref="F47" ca="1">MMS_Swine_LeachingAndRunoff_Equations.VEERG_4_5_1_7__1_AnnualEmissionsFromLeachingAndRunoffFromMMS(F28,$I$41,$I$42)</f>
        <v>7.4197200000000009E-5</v>
      </c>
      <c r="G47" s="15" cm="1">
        <f t="array" aca="1" ref="G47" ca="1">MMS_Swine_LeachingAndRunoff_Equations.VEERG_4_5_1_7__1_AnnualEmissionsFromLeachingAndRunoffFromMMS(G28,$I$41,$I$42)</f>
        <v>6.9654514285714269E-5</v>
      </c>
      <c r="H47" s="15" cm="1">
        <f t="array" aca="1" ref="H47" ca="1">MMS_Swine_LeachingAndRunoff_Equations.VEERG_4_5_1_7__1_AnnualEmissionsFromLeachingAndRunoffFromMMS(H28,$I$41,$I$42)</f>
        <v>4.7243931428571419E-5</v>
      </c>
      <c r="I47" s="16" t="str">
        <f>$E$38</f>
        <v>t N2O</v>
      </c>
      <c r="M47" s="15" t="str">
        <f>INDEX(X_Table_Swine_Stage1MMS_Drylot,2,1)</f>
        <v>Drylot (feed pad)</v>
      </c>
      <c r="N47" s="15" cm="1">
        <f t="array" aca="1" ref="N47" ca="1">MMS_Swine_LeachingAndRunoff_Equations.VEERG_4_5_1_7__1_AnnualEmissionsFromLeachingAndRunoffFromMMS(N28,$I$41,$I$42)</f>
        <v>6.9654514285714269E-5</v>
      </c>
      <c r="O47" s="15" cm="1">
        <f t="array" aca="1" ref="O47" ca="1">MMS_Swine_LeachingAndRunoff_Equations.VEERG_4_5_1_7__1_AnnualEmissionsFromLeachingAndRunoffFromMMS(O28,$I$41,$I$42)</f>
        <v>7.4197200000000009E-5</v>
      </c>
      <c r="P47" s="15" cm="1">
        <f t="array" aca="1" ref="P47" ca="1">MMS_Swine_LeachingAndRunoff_Equations.VEERG_4_5_1_7__1_AnnualEmissionsFromLeachingAndRunoffFromMMS(P28,$I$41,$I$42)</f>
        <v>6.9654514285714269E-5</v>
      </c>
      <c r="Q47" s="15" cm="1">
        <f t="array" aca="1" ref="Q47" ca="1">MMS_Swine_LeachingAndRunoff_Equations.VEERG_4_5_1_7__1_AnnualEmissionsFromLeachingAndRunoffFromMMS(Q28,$I$41,$I$42)</f>
        <v>4.7243931428571419E-5</v>
      </c>
      <c r="R47" s="16" t="str">
        <f>$E$38</f>
        <v>t N2O</v>
      </c>
    </row>
    <row r="48" spans="1:18" ht="20.100000000000001" customHeight="1" x14ac:dyDescent="0.2">
      <c r="A48" s="5" t="str">
        <f>HYPERLINK("#'Constants - Swine'!A1", "Constants - Swine")</f>
        <v>Constants - Swine</v>
      </c>
    </row>
    <row r="49" spans="1:16" ht="20.100000000000001" customHeight="1" x14ac:dyDescent="0.2">
      <c r="A49" s="5" t="str">
        <f>HYPERLINK("#'Constants - Common livestock'!A1", "Constants - Common Livestock")</f>
        <v>Constants - Common Livestock</v>
      </c>
      <c r="D49" s="84" t="s">
        <v>447</v>
      </c>
      <c r="E49" s="85">
        <f ca="1">SUM(E47:H47)</f>
        <v>2.6075015999999998E-4</v>
      </c>
      <c r="F49" s="94" t="str">
        <f>$E$38</f>
        <v>t N2O</v>
      </c>
      <c r="M49" s="84" t="s">
        <v>447</v>
      </c>
      <c r="N49" s="85">
        <f ca="1">SUM(N47:Q47)</f>
        <v>2.6075015999999998E-4</v>
      </c>
      <c r="O49" s="94" t="str">
        <f>$E$38</f>
        <v>t N2O</v>
      </c>
    </row>
    <row r="50" spans="1:16" ht="20.100000000000001" customHeight="1" x14ac:dyDescent="0.2">
      <c r="A50" s="5" t="str">
        <f>HYPERLINK("#'Constants - Electricity'!A1", "Constants - Electricity")</f>
        <v>Constants - Electricity</v>
      </c>
    </row>
    <row r="51" spans="1:16" ht="20.100000000000001" customHeight="1" x14ac:dyDescent="0.2">
      <c r="A51" s="5" t="str">
        <f>HYPERLINK("#'Constants - Fertiliser'!A1", "Constants - Fertiliser")</f>
        <v>Constants - Fertiliser</v>
      </c>
      <c r="D51" s="111" t="str" cm="1">
        <f t="array" ref="D51:E52">Common_Equations.Common_ConvertN2OToCO2e_Arguments()</f>
        <v>EN2O</v>
      </c>
      <c r="E51" s="112" t="str">
        <v>Nitrous oxide emissions (t N2O)</v>
      </c>
      <c r="F51" s="133"/>
      <c r="G51" s="15">
        <f ca="1">E49</f>
        <v>2.6075015999999998E-4</v>
      </c>
      <c r="M51" s="111" t="str" cm="1">
        <f t="array" ref="M51:N52">Common_Equations.Common_ConvertN2OToCO2e_Arguments()</f>
        <v>EN2O</v>
      </c>
      <c r="N51" s="112" t="str">
        <v>Nitrous oxide emissions (t N2O)</v>
      </c>
      <c r="O51" s="133"/>
      <c r="P51" s="15">
        <f ca="1">N49</f>
        <v>2.6075015999999998E-4</v>
      </c>
    </row>
    <row r="52" spans="1:16" ht="20.100000000000001" customHeight="1" x14ac:dyDescent="0.2">
      <c r="A52" s="5" t="str">
        <f>HYPERLINK("#'Constants - Fuel'!A1", "Constants - Fuel")</f>
        <v>Constants - Fuel</v>
      </c>
      <c r="D52" s="111" t="str">
        <v>GWPN2O</v>
      </c>
      <c r="E52" s="112" t="str">
        <v>Global warming potential for nitrous oxide (t CO2-e / t N2O)</v>
      </c>
      <c r="F52" s="133"/>
      <c r="G52" s="15">
        <f>Common_InputFunctions.Utility_LookupValueInTableNumber("N2O",Table_GWPData[Gas],Table_GWPData[CO2-e factor])</f>
        <v>265</v>
      </c>
      <c r="M52" s="111" t="str">
        <v>GWPN2O</v>
      </c>
      <c r="N52" s="112" t="str">
        <v>Global warming potential for nitrous oxide (t CO2-e / t N2O)</v>
      </c>
      <c r="O52" s="133"/>
      <c r="P52" s="15">
        <f>Common_InputFunctions.Utility_LookupValueInTableNumber("N2O",Table_GWPData[Gas],Table_GWPData[CO2-e factor])</f>
        <v>265</v>
      </c>
    </row>
    <row r="53" spans="1:16" ht="20.100000000000001" customHeight="1" x14ac:dyDescent="0.2">
      <c r="A53" s="5" t="str">
        <f>HYPERLINK("#'Constants - Scope 3'!A1", "Constants - Scope 3")</f>
        <v>Constants - Scope 3</v>
      </c>
    </row>
    <row r="54" spans="1:16" ht="20.100000000000001" customHeight="1" x14ac:dyDescent="0.2">
      <c r="A54" s="5" t="str">
        <f>HYPERLINK("#'Constants - Solid Waste'!A1", "Constants - Solid Waste")</f>
        <v>Constants - Solid Waste</v>
      </c>
      <c r="D54" s="82" t="s">
        <v>382</v>
      </c>
      <c r="E54" s="82" cm="1">
        <f t="array" aca="1" ref="E54" ca="1">Common_Equations.Common_ConvertN2OToCO2e(G51,G52)</f>
        <v>6.9098792399999998E-2</v>
      </c>
      <c r="F54" s="88" t="str" cm="1">
        <f t="array" ref="F54">Common_Equations.Common_ConvertN2OToCO2e_Unit()</f>
        <v>t CO2e</v>
      </c>
      <c r="M54" s="82" t="s">
        <v>382</v>
      </c>
      <c r="N54" s="82" cm="1">
        <f t="array" aca="1" ref="N54" ca="1">Common_Equations.Common_ConvertN2OToCO2e(P51,P52)</f>
        <v>6.9098792399999998E-2</v>
      </c>
      <c r="O54" s="88" t="str" cm="1">
        <f t="array" ref="O54">Common_Equations.Common_ConvertN2OToCO2e_Unit()</f>
        <v>t CO2e</v>
      </c>
    </row>
    <row r="55" spans="1:16" ht="20.100000000000001" customHeight="1" x14ac:dyDescent="0.2">
      <c r="A55" s="5" t="str">
        <f>HYPERLINK("#'Constants - Common'!A1", "Constants - Common")</f>
        <v>Constants - Common</v>
      </c>
    </row>
    <row r="56" spans="1:16" ht="20.100000000000001" customHeight="1" x14ac:dyDescent="0.2">
      <c r="A56" s="5" t="str">
        <f>HYPERLINK("#'Acknowledgements'!A1", "Acknowledgements")</f>
        <v>Acknowledgements</v>
      </c>
    </row>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C44A-A874-42C2-BA9B-4337830B37DD}">
  <sheetPr>
    <tabColor rgb="FF008000"/>
  </sheetPr>
  <dimension ref="A1:U278"/>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448</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MMS_Swine_ManureAppliedToSoils_Equations.VEERG_4_5_1_9__1_MassOfNitrogenAppliedToSoilsScope1_Title()</f>
        <v>Mass of nitrogen applied to soils for scope 1 emissions</v>
      </c>
    </row>
    <row r="6" spans="1:21" ht="20.100000000000001" customHeight="1" x14ac:dyDescent="0.2">
      <c r="D6" s="17" t="str" cm="1">
        <f t="array" ref="D6">MMS_Swine_ManureAppliedToSoils_Equations.VEERG_4_5_1_9__1_MassOfNitrogenAppliedToSoilsScope1_Source()</f>
        <v>VEERG 2026: 4.5.1.9, Equation (1)</v>
      </c>
    </row>
    <row r="7" spans="1:21" ht="20.100000000000001" customHeight="1" x14ac:dyDescent="0.2">
      <c r="D7" s="110" t="s">
        <v>321</v>
      </c>
      <c r="E7" s="110" t="str" cm="1">
        <f t="array" aca="1" ref="E7" ca="1">Common_InputFunctions.Utility_DisplayFunctionName(F134)</f>
        <v>=MMS_Swine_ManureAppliedToSoils_Equations.VEERG_4_5_1_9__1_MassOfNitrogenAppliedToSoilsScope1</v>
      </c>
    </row>
    <row r="8" spans="1:21" ht="20.100000000000001" customHeight="1" x14ac:dyDescent="0.2">
      <c r="A8" s="7" t="s">
        <v>0</v>
      </c>
    </row>
    <row r="9" spans="1:21" ht="20.100000000000001" customHeight="1" x14ac:dyDescent="0.2">
      <c r="A9" s="5" t="str">
        <f>HYPERLINK("#'Input - Enterprise'!A1", "Enterprise")</f>
        <v>Enterprise</v>
      </c>
      <c r="G9" s="126" t="s">
        <v>449</v>
      </c>
    </row>
    <row r="10" spans="1:21" ht="20.100000000000001" customHeight="1" x14ac:dyDescent="0.2">
      <c r="A10" s="5" t="str">
        <f>HYPERLINK("#'Input - Site'!A1", "Site")</f>
        <v>Site</v>
      </c>
      <c r="D10" s="75" t="s">
        <v>322</v>
      </c>
      <c r="E10" s="1" t="str" cm="1">
        <f t="array" ref="E10">MMS_Swine_ManureAppliedToSoils_Equations.VEERG_4_5_1_9__1_MassOfNitrogenAppliedToSoilsScope1_Variable()</f>
        <v>MNSoil_scope1</v>
      </c>
      <c r="G10" s="17" t="s">
        <v>450</v>
      </c>
    </row>
    <row r="11" spans="1:21" ht="20.100000000000001" customHeight="1" x14ac:dyDescent="0.2">
      <c r="A11" s="5" t="str">
        <f>HYPERLINK("#'Input - Swine'!A1", "Swine")</f>
        <v>Swine</v>
      </c>
      <c r="D11" s="75" t="s">
        <v>118</v>
      </c>
      <c r="E11" s="9" t="str" cm="1">
        <f t="array" ref="E11">MMS_Swine_ManureAppliedToSoils_Equations.VEERG_4_5_1_9__1_MassOfNitrogenAppliedToSoilsScope1_Unit()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7">Common_InputFunctions.Utility_DisplayArguments_1_2(MMS_Swine_ManureAppliedToSoils_Equations.VEERG_4_5_1_9__1_MassOfNitrogenAppliedToSoilsScope1_Arguments())</f>
        <v>MN_jmT2</v>
      </c>
      <c r="E13" s="112" t="str">
        <v>mass of N in MMS at treatment stage 2</v>
      </c>
      <c r="F13" s="113"/>
      <c r="G13" s="124" t="str" cm="1">
        <f t="array" ref="G13:H17">Common_InputFunctions.Utility_DisplayArguments_3_4(MMS_Swine_ManureAppliedToSoils_Equations.VEERG_4_5_1_9__1_MassOfNitrogenAppliedToSoilsScope1_Arguments())</f>
        <v>kg N</v>
      </c>
      <c r="H13" s="125" t="str">
        <v>Calculated from 4.5.1.3 (6)</v>
      </c>
      <c r="I13" s="139" t="str" cm="1">
        <f t="array" aca="1" ref="I13" ca="1">HYPERLINK(Common_InputFunctions.Utility_SourceHyperlink(D19), D19)</f>
        <v>M1_Table_MN_j_m_T-2</v>
      </c>
    </row>
    <row r="14" spans="1:21" ht="20.100000000000001" customHeight="1" x14ac:dyDescent="0.2">
      <c r="A14" s="5" t="str">
        <f>HYPERLINK("#'Input - Fuel'!A1", "Fuel")</f>
        <v>Fuel</v>
      </c>
      <c r="D14" s="111" t="str">
        <v>EF_mT2</v>
      </c>
      <c r="E14" s="112" t="str">
        <v>nitrous oxide emission factor for each MMS at treatment stage 2</v>
      </c>
      <c r="F14" s="113"/>
      <c r="G14" s="124" t="str">
        <v>kg N2O-N/kg N</v>
      </c>
      <c r="H14" s="125" t="str">
        <v>Constant</v>
      </c>
      <c r="I14" s="139" t="str" cm="1">
        <f t="array" aca="1" ref="I14" ca="1">HYPERLINK(Common_InputFunctions.Utility_SourceHyperlink(D120), D120)</f>
        <v>Table_EF_m_T</v>
      </c>
    </row>
    <row r="15" spans="1:21" ht="20.100000000000001" customHeight="1" x14ac:dyDescent="0.2">
      <c r="A15" s="5" t="str">
        <f>HYPERLINK("#'Input - Electricity'!A1", "Electricity")</f>
        <v>Electricity</v>
      </c>
      <c r="D15" s="111" t="str">
        <v>FracGASM_mT2</v>
      </c>
      <c r="E15" s="112" t="str">
        <v>fraction of animal waste N volatilised in each MMS at treatment stage 2</v>
      </c>
      <c r="F15" s="113"/>
      <c r="G15" s="124" t="str">
        <v>(kg NH3-N + NOx-N)/kg N</v>
      </c>
      <c r="H15" s="125" t="str">
        <v>Constant</v>
      </c>
      <c r="I15" s="139" t="str" cm="1">
        <f t="array" aca="1" ref="I15" ca="1">HYPERLINK(Common_InputFunctions.Utility_SourceHyperlink(D109), D109)</f>
        <v>Table_FracGASM_m_t</v>
      </c>
    </row>
    <row r="16" spans="1:21" ht="20.100000000000001" customHeight="1" x14ac:dyDescent="0.2">
      <c r="A16" s="5" t="str">
        <f>HYPERLINK("#'Input - Common farm inputs'!A1", "Common farm inputs")</f>
        <v>Common farm inputs</v>
      </c>
      <c r="D16" s="111" t="str">
        <v>MNLeach_jm5</v>
      </c>
      <c r="E16" s="112" t="str">
        <v>mass of N lost to leaching and runoff from drylot MMS</v>
      </c>
      <c r="F16" s="113"/>
      <c r="G16" s="124" t="str">
        <v>kg N</v>
      </c>
      <c r="H16" s="125" t="str">
        <v>Calculated from 4.5.1.7 (2)</v>
      </c>
      <c r="I16" s="139" t="str" cm="1">
        <f t="array" aca="1" ref="I16" ca="1">HYPERLINK(Common_InputFunctions.Utility_SourceHyperlink(D49), D49)</f>
        <v>M1_Table_MN_leach_j_m-5</v>
      </c>
    </row>
    <row r="17" spans="1:20" ht="20.100000000000001" customHeight="1" x14ac:dyDescent="0.2">
      <c r="A17" s="5" t="str">
        <f>HYPERLINK("#'Input - Livestock farm Inputs'!A1", "Livestock farm Inputs")</f>
        <v>Livestock farm Inputs</v>
      </c>
      <c r="D17" s="111" t="str">
        <v>PF</v>
      </c>
      <c r="E17" s="112" t="str">
        <v>fraction of manure applied to soil within the piggery boundary</v>
      </c>
      <c r="F17" s="113"/>
      <c r="G17" s="124" t="str">
        <v>fraction</v>
      </c>
      <c r="H17" s="123" t="str">
        <v>Input</v>
      </c>
      <c r="I17" s="139" t="str" cm="1">
        <f t="array" aca="1" ref="I17" ca="1">HYPERLINK(Common_InputFunctions.Utility_SourceHyperlink(D79), D79)</f>
        <v>M1_Table_PF</v>
      </c>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7" t="s">
        <v>417</v>
      </c>
      <c r="N19" s="117" t="s">
        <v>418</v>
      </c>
    </row>
    <row r="20" spans="1:20" ht="20.100000000000001" customHeight="1" x14ac:dyDescent="0.2">
      <c r="A20" s="5" t="str">
        <f>HYPERLINK("#'Input - Manure sent off-site'!A1", "Manure sent off-site")</f>
        <v>Manure sent off-site</v>
      </c>
      <c r="D20" s="118" t="s">
        <v>419</v>
      </c>
      <c r="N20" s="118" t="s">
        <v>420</v>
      </c>
    </row>
    <row r="21" spans="1:20" ht="20.100000000000001" customHeight="1" x14ac:dyDescent="0.2">
      <c r="A21" s="5" t="str">
        <f>HYPERLINK("#'Input - Data quality'!A1", "Data quality")</f>
        <v>Data quality</v>
      </c>
      <c r="D21" s="119" t="s">
        <v>325</v>
      </c>
      <c r="E21" s="119" t="s">
        <v>354</v>
      </c>
      <c r="F21" s="119" t="s">
        <v>290</v>
      </c>
      <c r="G21" s="119" t="s">
        <v>291</v>
      </c>
      <c r="H21" s="119" t="s">
        <v>265</v>
      </c>
      <c r="I21" s="119" t="s">
        <v>292</v>
      </c>
      <c r="N21" s="119" t="s">
        <v>325</v>
      </c>
      <c r="O21" s="119" t="s">
        <v>354</v>
      </c>
      <c r="P21" s="119" t="s">
        <v>290</v>
      </c>
      <c r="Q21" s="119" t="s">
        <v>291</v>
      </c>
      <c r="R21" s="119" t="s">
        <v>265</v>
      </c>
      <c r="S21" s="119" t="s">
        <v>292</v>
      </c>
    </row>
    <row r="22" spans="1:20" ht="20.100000000000001" customHeight="1" x14ac:dyDescent="0.2">
      <c r="A22" s="5" t="str">
        <f>HYPERLINK("#'Input - Fert Prod System'!A1", "Fert Prod System")</f>
        <v>Fert Prod System</v>
      </c>
      <c r="D22" s="111" t="str">
        <f>INDEX(X_Table_Swine_Stage1MMS_AnaerobicLagoon,2,1)</f>
        <v>Anaerobic lagoon</v>
      </c>
      <c r="E22" s="111" t="str">
        <f>INDEX(X_Table_Swine_Stage2MMS_From_AnaerobicLagoon,2,1)</f>
        <v>Digester / covered lagoons</v>
      </c>
      <c r="F22" s="15">
        <f ca="1">'4.5.1.3-4 Direct N2O'!F217</f>
        <v>18.133199999999995</v>
      </c>
      <c r="G22" s="15">
        <f ca="1">'4.5.1.3-4 Direct N2O'!G217</f>
        <v>24.144750000000002</v>
      </c>
      <c r="H22" s="15">
        <f ca="1">'4.5.1.3-4 Direct N2O'!H217</f>
        <v>22.666499999999992</v>
      </c>
      <c r="I22" s="15">
        <f ca="1">'4.5.1.3-4 Direct N2O'!I217</f>
        <v>15.373799999999996</v>
      </c>
      <c r="J22" s="16" t="str">
        <f>$G$13</f>
        <v>kg N</v>
      </c>
      <c r="N22" s="111" t="str">
        <f>INDEX(X_Table_Swine_Stage1MMS_AnaerobicLagoon,2,1)</f>
        <v>Anaerobic lagoon</v>
      </c>
      <c r="O22" s="111" t="str">
        <f>INDEX(X_Table_Swine_Stage2MMS_From_AnaerobicLagoon,2,1)</f>
        <v>Digester / covered lagoons</v>
      </c>
      <c r="P22" s="15">
        <f ca="1">'4.5.1.3-4 Direct N2O'!P217</f>
        <v>18.133199999999995</v>
      </c>
      <c r="Q22" s="15">
        <f ca="1">'4.5.1.3-4 Direct N2O'!Q217</f>
        <v>24.144750000000002</v>
      </c>
      <c r="R22" s="15">
        <f ca="1">'4.5.1.3-4 Direct N2O'!R217</f>
        <v>22.666499999999992</v>
      </c>
      <c r="S22" s="15">
        <f ca="1">'4.5.1.3-4 Direct N2O'!S217</f>
        <v>15.373799999999996</v>
      </c>
      <c r="T22" s="16" t="str">
        <f>$G$13</f>
        <v>kg N</v>
      </c>
    </row>
    <row r="23" spans="1:20" ht="20.100000000000001" customHeight="1" x14ac:dyDescent="0.2">
      <c r="A23" s="5" t="str">
        <f>HYPERLINK("#'Input - Fertiliser'!A1", "Fertiliser")</f>
        <v>Fertiliser</v>
      </c>
      <c r="D23" s="111"/>
      <c r="E23" s="111" t="str">
        <f>INDEX(X_Table_Swine_Stage2MMS_From_AnaerobicLagoon,3,1)</f>
        <v>Deep litter</v>
      </c>
      <c r="F23" s="15">
        <f ca="1">'4.5.1.3-4 Direct N2O'!F218</f>
        <v>18.133199999999995</v>
      </c>
      <c r="G23" s="15">
        <f ca="1">'4.5.1.3-4 Direct N2O'!G218</f>
        <v>24.144750000000002</v>
      </c>
      <c r="H23" s="15">
        <f ca="1">'4.5.1.3-4 Direct N2O'!H218</f>
        <v>22.666499999999992</v>
      </c>
      <c r="I23" s="15">
        <f ca="1">'4.5.1.3-4 Direct N2O'!I218</f>
        <v>15.373799999999996</v>
      </c>
      <c r="J23" s="16"/>
      <c r="N23" s="111"/>
      <c r="O23" s="111" t="str">
        <f>INDEX(X_Table_Swine_Stage2MMS_From_AnaerobicLagoon,3,1)</f>
        <v>Deep litter</v>
      </c>
      <c r="P23" s="15">
        <f ca="1">'4.5.1.3-4 Direct N2O'!P218</f>
        <v>18.133199999999995</v>
      </c>
      <c r="Q23" s="15">
        <f ca="1">'4.5.1.3-4 Direct N2O'!Q218</f>
        <v>24.144750000000002</v>
      </c>
      <c r="R23" s="15">
        <f ca="1">'4.5.1.3-4 Direct N2O'!R218</f>
        <v>22.666499999999992</v>
      </c>
      <c r="S23" s="15">
        <f ca="1">'4.5.1.3-4 Direct N2O'!S218</f>
        <v>15.373799999999996</v>
      </c>
      <c r="T23" s="16"/>
    </row>
    <row r="24" spans="1:20" ht="20.100000000000001" customHeight="1" x14ac:dyDescent="0.2">
      <c r="D24" s="111"/>
      <c r="E24" s="111" t="str">
        <f>INDEX(X_Table_Swine_Stage2MMS_From_AnaerobicLagoon,4,1)</f>
        <v>Pit storage</v>
      </c>
      <c r="F24" s="15">
        <f ca="1">'4.5.1.3-4 Direct N2O'!F219</f>
        <v>18.133199999999995</v>
      </c>
      <c r="G24" s="15">
        <f ca="1">'4.5.1.3-4 Direct N2O'!G219</f>
        <v>24.144750000000002</v>
      </c>
      <c r="H24" s="15">
        <f ca="1">'4.5.1.3-4 Direct N2O'!H219</f>
        <v>22.666499999999992</v>
      </c>
      <c r="I24" s="15">
        <f ca="1">'4.5.1.3-4 Direct N2O'!I219</f>
        <v>15.373799999999996</v>
      </c>
      <c r="J24" s="16"/>
      <c r="N24" s="111"/>
      <c r="O24" s="111" t="str">
        <f>INDEX(X_Table_Swine_Stage2MMS_From_AnaerobicLagoon,4,1)</f>
        <v>Pit storage</v>
      </c>
      <c r="P24" s="15">
        <f ca="1">'4.5.1.3-4 Direct N2O'!P219</f>
        <v>18.133199999999995</v>
      </c>
      <c r="Q24" s="15">
        <f ca="1">'4.5.1.3-4 Direct N2O'!Q219</f>
        <v>24.144750000000002</v>
      </c>
      <c r="R24" s="15">
        <f ca="1">'4.5.1.3-4 Direct N2O'!R219</f>
        <v>22.666499999999992</v>
      </c>
      <c r="S24" s="15">
        <f ca="1">'4.5.1.3-4 Direct N2O'!S219</f>
        <v>15.373799999999996</v>
      </c>
      <c r="T24" s="16"/>
    </row>
    <row r="25" spans="1:20" ht="20.100000000000001" customHeight="1" x14ac:dyDescent="0.2">
      <c r="D25" s="111"/>
      <c r="E25" s="111" t="str">
        <f>INDEX(X_Table_Swine_Stage2MMS_From_AnaerobicLagoon,5,1)</f>
        <v>Direct application</v>
      </c>
      <c r="F25" s="15">
        <f ca="1">'4.5.1.3-4 Direct N2O'!F220</f>
        <v>36.266399999999976</v>
      </c>
      <c r="G25" s="15">
        <f ca="1">'4.5.1.3-4 Direct N2O'!G220</f>
        <v>24.144750000000002</v>
      </c>
      <c r="H25" s="15">
        <f ca="1">'4.5.1.3-4 Direct N2O'!H220</f>
        <v>22.666499999999992</v>
      </c>
      <c r="I25" s="15">
        <f ca="1">'4.5.1.3-4 Direct N2O'!I220</f>
        <v>15.373799999999996</v>
      </c>
      <c r="J25" s="16"/>
      <c r="N25" s="111"/>
      <c r="O25" s="111" t="str">
        <f>INDEX(X_Table_Swine_Stage2MMS_From_AnaerobicLagoon,5,1)</f>
        <v>Direct application</v>
      </c>
      <c r="P25" s="15">
        <f ca="1">'4.5.1.3-4 Direct N2O'!P220</f>
        <v>36.266399999999976</v>
      </c>
      <c r="Q25" s="15">
        <f ca="1">'4.5.1.3-4 Direct N2O'!Q220</f>
        <v>24.144750000000002</v>
      </c>
      <c r="R25" s="15">
        <f ca="1">'4.5.1.3-4 Direct N2O'!R220</f>
        <v>22.666499999999992</v>
      </c>
      <c r="S25" s="15">
        <f ca="1">'4.5.1.3-4 Direct N2O'!S220</f>
        <v>15.373799999999996</v>
      </c>
      <c r="T25" s="16"/>
    </row>
    <row r="26" spans="1:20" ht="20.100000000000001" customHeight="1" x14ac:dyDescent="0.2">
      <c r="A26" s="6" t="s">
        <v>2</v>
      </c>
      <c r="D26" s="111" t="str">
        <f>INDEX(X_Table_Swine_Stage1MMS_Drylot,2,1)</f>
        <v>Drylot (feed pad)</v>
      </c>
      <c r="E26" s="111" t="str">
        <f>INDEX(X_Table_Swine_Stage2MMS_From_Drylot,2,1)</f>
        <v>Anaerobic lagoon</v>
      </c>
      <c r="F26" s="15">
        <f ca="1">'4.5.1.3-4 Direct N2O'!F221</f>
        <v>27.401279999999993</v>
      </c>
      <c r="G26" s="15">
        <f ca="1">'4.5.1.3-4 Direct N2O'!G221</f>
        <v>36.485400000000006</v>
      </c>
      <c r="H26" s="15">
        <f ca="1">'4.5.1.3-4 Direct N2O'!H221</f>
        <v>34.251599999999989</v>
      </c>
      <c r="I26" s="15">
        <f ca="1">'4.5.1.3-4 Direct N2O'!I221</f>
        <v>23.231519999999993</v>
      </c>
      <c r="J26" s="16"/>
      <c r="N26" s="111" t="str">
        <f>INDEX(X_Table_Swine_Stage1MMS_Drylot,2,1)</f>
        <v>Drylot (feed pad)</v>
      </c>
      <c r="O26" s="111" t="str">
        <f>INDEX(X_Table_Swine_Stage2MMS_From_Drylot,2,1)</f>
        <v>Anaerobic lagoon</v>
      </c>
      <c r="P26" s="15">
        <f ca="1">'4.5.1.3-4 Direct N2O'!P221</f>
        <v>27.401279999999993</v>
      </c>
      <c r="Q26" s="15">
        <f ca="1">'4.5.1.3-4 Direct N2O'!Q221</f>
        <v>36.485400000000006</v>
      </c>
      <c r="R26" s="15">
        <f ca="1">'4.5.1.3-4 Direct N2O'!R221</f>
        <v>34.251599999999989</v>
      </c>
      <c r="S26" s="15">
        <f ca="1">'4.5.1.3-4 Direct N2O'!S221</f>
        <v>23.231519999999993</v>
      </c>
      <c r="T26" s="16"/>
    </row>
    <row r="27" spans="1:20" ht="20.100000000000001" customHeight="1" x14ac:dyDescent="0.2">
      <c r="A27" s="5" t="str">
        <f>HYPERLINK("#'3.5.1.1-2 Enteric Methane'!A1", "3.5.1.1-2 Enteric Methane")</f>
        <v>3.5.1.1-2 Enteric Methane</v>
      </c>
      <c r="D27" s="111"/>
      <c r="E27" s="111" t="str">
        <f>INDEX(X_Table_Swine_Stage2MMS_From_Drylot,3,1)</f>
        <v>Digester / covered lagoons</v>
      </c>
      <c r="F27" s="15">
        <f ca="1">'4.5.1.3-4 Direct N2O'!F222</f>
        <v>27.401279999999993</v>
      </c>
      <c r="G27" s="15">
        <f ca="1">'4.5.1.3-4 Direct N2O'!G222</f>
        <v>36.485400000000006</v>
      </c>
      <c r="H27" s="15">
        <f ca="1">'4.5.1.3-4 Direct N2O'!H222</f>
        <v>34.251599999999989</v>
      </c>
      <c r="I27" s="15">
        <f ca="1">'4.5.1.3-4 Direct N2O'!I222</f>
        <v>23.231519999999993</v>
      </c>
      <c r="J27" s="16"/>
      <c r="N27" s="111"/>
      <c r="O27" s="111" t="str">
        <f>INDEX(X_Table_Swine_Stage2MMS_From_Drylot,3,1)</f>
        <v>Digester / covered lagoons</v>
      </c>
      <c r="P27" s="15">
        <f ca="1">'4.5.1.3-4 Direct N2O'!P222</f>
        <v>27.401279999999993</v>
      </c>
      <c r="Q27" s="15">
        <f ca="1">'4.5.1.3-4 Direct N2O'!Q222</f>
        <v>36.485400000000006</v>
      </c>
      <c r="R27" s="15">
        <f ca="1">'4.5.1.3-4 Direct N2O'!R222</f>
        <v>34.251599999999989</v>
      </c>
      <c r="S27" s="15">
        <f ca="1">'4.5.1.3-4 Direct N2O'!S222</f>
        <v>23.231519999999993</v>
      </c>
      <c r="T27" s="16"/>
    </row>
    <row r="28" spans="1:20" ht="20.100000000000001" customHeight="1" x14ac:dyDescent="0.2">
      <c r="A28" s="5" t="str">
        <f>HYPERLINK("#'4.5.1.1-2 Methane'!A1", "4.5.1.1-2 Manure Methane")</f>
        <v>4.5.1.1-2 Manure Methane</v>
      </c>
      <c r="D28" s="111"/>
      <c r="E28" s="111" t="str">
        <f>INDEX(X_Table_Swine_Stage2MMS_From_Drylot,4,1)</f>
        <v>Deep litter</v>
      </c>
      <c r="F28" s="15">
        <f ca="1">'4.5.1.3-4 Direct N2O'!F223</f>
        <v>27.401279999999993</v>
      </c>
      <c r="G28" s="15">
        <f ca="1">'4.5.1.3-4 Direct N2O'!G223</f>
        <v>36.485400000000006</v>
      </c>
      <c r="H28" s="15">
        <f ca="1">'4.5.1.3-4 Direct N2O'!H223</f>
        <v>34.251599999999989</v>
      </c>
      <c r="I28" s="15">
        <f ca="1">'4.5.1.3-4 Direct N2O'!I223</f>
        <v>23.231519999999993</v>
      </c>
      <c r="J28" s="16"/>
      <c r="N28" s="111"/>
      <c r="O28" s="111" t="str">
        <f>INDEX(X_Table_Swine_Stage2MMS_From_Drylot,4,1)</f>
        <v>Deep litter</v>
      </c>
      <c r="P28" s="15">
        <f ca="1">'4.5.1.3-4 Direct N2O'!P223</f>
        <v>27.401279999999993</v>
      </c>
      <c r="Q28" s="15">
        <f ca="1">'4.5.1.3-4 Direct N2O'!Q223</f>
        <v>36.485400000000006</v>
      </c>
      <c r="R28" s="15">
        <f ca="1">'4.5.1.3-4 Direct N2O'!R223</f>
        <v>34.251599999999989</v>
      </c>
      <c r="S28" s="15">
        <f ca="1">'4.5.1.3-4 Direct N2O'!S223</f>
        <v>23.231519999999993</v>
      </c>
      <c r="T28" s="16"/>
    </row>
    <row r="29" spans="1:20" ht="20.100000000000001" customHeight="1" x14ac:dyDescent="0.2">
      <c r="A29" s="5" t="str">
        <f>HYPERLINK("#'4.5.1.3-4 Direct N2O'!A1", "4.5.1.3-4 Manure Direct N2O")</f>
        <v>4.5.1.3-4 Manure Direct N2O</v>
      </c>
      <c r="D29" s="111"/>
      <c r="E29" s="111" t="str">
        <f>INDEX(X_Table_Swine_Stage2MMS_From_Drylot,5,1)</f>
        <v>Pit storage</v>
      </c>
      <c r="F29" s="15">
        <f ca="1">'4.5.1.3-4 Direct N2O'!F224</f>
        <v>27.401279999999993</v>
      </c>
      <c r="G29" s="15">
        <f ca="1">'4.5.1.3-4 Direct N2O'!G224</f>
        <v>36.485400000000006</v>
      </c>
      <c r="H29" s="15">
        <f ca="1">'4.5.1.3-4 Direct N2O'!H224</f>
        <v>34.251599999999989</v>
      </c>
      <c r="I29" s="15">
        <f ca="1">'4.5.1.3-4 Direct N2O'!I224</f>
        <v>23.231519999999993</v>
      </c>
      <c r="J29" s="16"/>
      <c r="N29" s="111"/>
      <c r="O29" s="111" t="str">
        <f>INDEX(X_Table_Swine_Stage2MMS_From_Drylot,5,1)</f>
        <v>Pit storage</v>
      </c>
      <c r="P29" s="15">
        <f ca="1">'4.5.1.3-4 Direct N2O'!P224</f>
        <v>27.401279999999993</v>
      </c>
      <c r="Q29" s="15">
        <f ca="1">'4.5.1.3-4 Direct N2O'!Q224</f>
        <v>36.485400000000006</v>
      </c>
      <c r="R29" s="15">
        <f ca="1">'4.5.1.3-4 Direct N2O'!R224</f>
        <v>34.251599999999989</v>
      </c>
      <c r="S29" s="15">
        <f ca="1">'4.5.1.3-4 Direct N2O'!S224</f>
        <v>23.231519999999993</v>
      </c>
      <c r="T29" s="16"/>
    </row>
    <row r="30" spans="1:20" ht="20.100000000000001" customHeight="1" x14ac:dyDescent="0.2">
      <c r="A30" s="5" t="str">
        <f>HYPERLINK("#'4.5.1.5-6 Atmos Dep'!A1", "4.5.1.5-6 Manure Atmos Dep")</f>
        <v>4.5.1.5-6 Manure Atmos Dep</v>
      </c>
      <c r="D30" s="111"/>
      <c r="E30" s="111" t="str">
        <f>INDEX(X_Table_Swine_Stage2MMS_From_Drylot,6,1)</f>
        <v>Direct application</v>
      </c>
      <c r="F30" s="15">
        <f ca="1">'4.5.1.3-4 Direct N2O'!F225</f>
        <v>27.401279999999986</v>
      </c>
      <c r="G30" s="15">
        <f ca="1">'4.5.1.3-4 Direct N2O'!G225</f>
        <v>0</v>
      </c>
      <c r="H30" s="15">
        <f ca="1">'4.5.1.3-4 Direct N2O'!H225</f>
        <v>0</v>
      </c>
      <c r="I30" s="15">
        <f ca="1">'4.5.1.3-4 Direct N2O'!I225</f>
        <v>0</v>
      </c>
      <c r="J30" s="16"/>
      <c r="N30" s="111"/>
      <c r="O30" s="111" t="str">
        <f>INDEX(X_Table_Swine_Stage2MMS_From_Drylot,6,1)</f>
        <v>Direct application</v>
      </c>
      <c r="P30" s="15">
        <f ca="1">'4.5.1.3-4 Direct N2O'!P225</f>
        <v>27.401279999999986</v>
      </c>
      <c r="Q30" s="15">
        <f ca="1">'4.5.1.3-4 Direct N2O'!Q225</f>
        <v>0</v>
      </c>
      <c r="R30" s="15">
        <f ca="1">'4.5.1.3-4 Direct N2O'!R225</f>
        <v>0</v>
      </c>
      <c r="S30" s="15">
        <f ca="1">'4.5.1.3-4 Direct N2O'!S225</f>
        <v>0</v>
      </c>
      <c r="T30" s="16"/>
    </row>
    <row r="31" spans="1:20" ht="20.100000000000001" customHeight="1" x14ac:dyDescent="0.2">
      <c r="A31" s="5" t="str">
        <f>HYPERLINK("#'4.5.1.7-8 Leaching and runoff'!A1", "4.5.1.7-8 Manure Leaching and runoff")</f>
        <v>4.5.1.7-8 Manure Leaching and runoff</v>
      </c>
      <c r="D31" s="111" t="str">
        <f>INDEX(X_Table_Swine_Stage1MMS_DigesterCoveredLagoons,2,1)</f>
        <v>Digester / covered lagoons</v>
      </c>
      <c r="E31" s="111" t="str">
        <f>INDEX(X_Table_Swine_Stage2MMS_From_DigesterCoveredLagoons,2,1)</f>
        <v>Anaerobic lagoon</v>
      </c>
      <c r="F31" s="15">
        <f ca="1">'4.5.1.3-4 Direct N2O'!F226</f>
        <v>40.295999999999992</v>
      </c>
      <c r="G31" s="15">
        <f ca="1">'4.5.1.3-4 Direct N2O'!G226</f>
        <v>53.655000000000008</v>
      </c>
      <c r="H31" s="15">
        <f ca="1">'4.5.1.3-4 Direct N2O'!H226</f>
        <v>50.36999999999999</v>
      </c>
      <c r="I31" s="15">
        <f ca="1">'4.5.1.3-4 Direct N2O'!I226</f>
        <v>34.163999999999994</v>
      </c>
      <c r="J31" s="16"/>
      <c r="N31" s="111" t="str">
        <f>INDEX(X_Table_Swine_Stage1MMS_DigesterCoveredLagoons,2,1)</f>
        <v>Digester / covered lagoons</v>
      </c>
      <c r="O31" s="111" t="str">
        <f>INDEX(X_Table_Swine_Stage2MMS_From_DigesterCoveredLagoons,2,1)</f>
        <v>Anaerobic lagoon</v>
      </c>
      <c r="P31" s="15">
        <f ca="1">'4.5.1.3-4 Direct N2O'!P226</f>
        <v>40.295999999999992</v>
      </c>
      <c r="Q31" s="15">
        <f ca="1">'4.5.1.3-4 Direct N2O'!Q226</f>
        <v>53.655000000000008</v>
      </c>
      <c r="R31" s="15">
        <f ca="1">'4.5.1.3-4 Direct N2O'!R226</f>
        <v>50.36999999999999</v>
      </c>
      <c r="S31" s="15">
        <f ca="1">'4.5.1.3-4 Direct N2O'!S226</f>
        <v>34.163999999999994</v>
      </c>
      <c r="T31" s="16"/>
    </row>
    <row r="32" spans="1:20" ht="20.100000000000001" customHeight="1" x14ac:dyDescent="0.2">
      <c r="A32" s="116" t="str">
        <f>HYPERLINK("#'4.5.1.9 Manure applied to soils'!A1", "4.5.1.9 Manure applied to soils")</f>
        <v>4.5.1.9 Manure applied to soils</v>
      </c>
      <c r="D32" s="111"/>
      <c r="E32" s="111" t="str">
        <f>INDEX(X_Table_Swine_Stage2MMS_From_DigesterCoveredLagoons,3,1)</f>
        <v>Deep litter</v>
      </c>
      <c r="F32" s="15">
        <f ca="1">'4.5.1.3-4 Direct N2O'!F227</f>
        <v>40.295999999999992</v>
      </c>
      <c r="G32" s="15">
        <f ca="1">'4.5.1.3-4 Direct N2O'!G227</f>
        <v>53.655000000000008</v>
      </c>
      <c r="H32" s="15">
        <f ca="1">'4.5.1.3-4 Direct N2O'!H227</f>
        <v>50.36999999999999</v>
      </c>
      <c r="I32" s="15">
        <f ca="1">'4.5.1.3-4 Direct N2O'!I227</f>
        <v>34.163999999999994</v>
      </c>
      <c r="J32" s="16"/>
      <c r="N32" s="111"/>
      <c r="O32" s="111" t="str">
        <f>INDEX(X_Table_Swine_Stage2MMS_From_DigesterCoveredLagoons,3,1)</f>
        <v>Deep litter</v>
      </c>
      <c r="P32" s="15">
        <f ca="1">'4.5.1.3-4 Direct N2O'!P227</f>
        <v>40.295999999999992</v>
      </c>
      <c r="Q32" s="15">
        <f ca="1">'4.5.1.3-4 Direct N2O'!Q227</f>
        <v>53.655000000000008</v>
      </c>
      <c r="R32" s="15">
        <f ca="1">'4.5.1.3-4 Direct N2O'!R227</f>
        <v>50.36999999999999</v>
      </c>
      <c r="S32" s="15">
        <f ca="1">'4.5.1.3-4 Direct N2O'!S227</f>
        <v>34.163999999999994</v>
      </c>
      <c r="T32" s="16"/>
    </row>
    <row r="33" spans="1:20" ht="20.100000000000001" customHeight="1" x14ac:dyDescent="0.2">
      <c r="A33" s="5" t="str">
        <f>HYPERLINK("#'8.1.1.1-2 Transport fuel'!A1", "8.1.1.1-2 Transport fuel")</f>
        <v>8.1.1.1-2 Transport fuel</v>
      </c>
      <c r="D33" s="111"/>
      <c r="E33" s="111" t="str">
        <f>INDEX(X_Table_Swine_Stage2MMS_From_DigesterCoveredLagoons,4,1)</f>
        <v>Pit storage</v>
      </c>
      <c r="F33" s="15">
        <f ca="1">'4.5.1.3-4 Direct N2O'!F228</f>
        <v>40.295999999999992</v>
      </c>
      <c r="G33" s="15">
        <f ca="1">'4.5.1.3-4 Direct N2O'!G228</f>
        <v>53.655000000000008</v>
      </c>
      <c r="H33" s="15">
        <f ca="1">'4.5.1.3-4 Direct N2O'!H228</f>
        <v>50.36999999999999</v>
      </c>
      <c r="I33" s="15">
        <f ca="1">'4.5.1.3-4 Direct N2O'!I228</f>
        <v>34.163999999999994</v>
      </c>
      <c r="J33" s="16"/>
      <c r="N33" s="111"/>
      <c r="O33" s="111" t="str">
        <f>INDEX(X_Table_Swine_Stage2MMS_From_DigesterCoveredLagoons,4,1)</f>
        <v>Pit storage</v>
      </c>
      <c r="P33" s="15">
        <f ca="1">'4.5.1.3-4 Direct N2O'!P228</f>
        <v>40.295999999999992</v>
      </c>
      <c r="Q33" s="15">
        <f ca="1">'4.5.1.3-4 Direct N2O'!Q228</f>
        <v>53.655000000000008</v>
      </c>
      <c r="R33" s="15">
        <f ca="1">'4.5.1.3-4 Direct N2O'!R228</f>
        <v>50.36999999999999</v>
      </c>
      <c r="S33" s="15">
        <f ca="1">'4.5.1.3-4 Direct N2O'!S228</f>
        <v>34.163999999999994</v>
      </c>
      <c r="T33" s="16"/>
    </row>
    <row r="34" spans="1:20" ht="20.100000000000001" customHeight="1" x14ac:dyDescent="0.2">
      <c r="A34" s="5" t="str">
        <f>HYPERLINK("#'8.2.1.1-2 Stationary fuel'!A1", "8.2.1.1-2 Stationary fuel")</f>
        <v>8.2.1.1-2 Stationary fuel</v>
      </c>
      <c r="D34" s="111"/>
      <c r="E34" s="111" t="str">
        <f>INDEX(X_Table_Swine_Stage2MMS_From_DigesterCoveredLagoons,5,1)</f>
        <v>Direct application</v>
      </c>
      <c r="F34" s="15">
        <f ca="1">'4.5.1.3-4 Direct N2O'!F229</f>
        <v>80.59199999999997</v>
      </c>
      <c r="G34" s="15">
        <f ca="1">'4.5.1.3-4 Direct N2O'!G229</f>
        <v>53.655000000000008</v>
      </c>
      <c r="H34" s="15">
        <f ca="1">'4.5.1.3-4 Direct N2O'!H229</f>
        <v>50.36999999999999</v>
      </c>
      <c r="I34" s="15">
        <f ca="1">'4.5.1.3-4 Direct N2O'!I229</f>
        <v>34.163999999999994</v>
      </c>
      <c r="J34" s="16"/>
      <c r="N34" s="111"/>
      <c r="O34" s="111" t="str">
        <f>INDEX(X_Table_Swine_Stage2MMS_From_DigesterCoveredLagoons,5,1)</f>
        <v>Direct application</v>
      </c>
      <c r="P34" s="15">
        <f ca="1">'4.5.1.3-4 Direct N2O'!P229</f>
        <v>80.59199999999997</v>
      </c>
      <c r="Q34" s="15">
        <f ca="1">'4.5.1.3-4 Direct N2O'!Q229</f>
        <v>53.655000000000008</v>
      </c>
      <c r="R34" s="15">
        <f ca="1">'4.5.1.3-4 Direct N2O'!R229</f>
        <v>50.36999999999999</v>
      </c>
      <c r="S34" s="15">
        <f ca="1">'4.5.1.3-4 Direct N2O'!S229</f>
        <v>34.163999999999994</v>
      </c>
      <c r="T34" s="16"/>
    </row>
    <row r="35" spans="1:20" ht="20.100000000000001" customHeight="1" x14ac:dyDescent="0.2">
      <c r="A35" s="5" t="str">
        <f>HYPERLINK("#'10.1.1-2 Solid waste treatment'!A1", "10.1.1.1-2 Solid waste")</f>
        <v>10.1.1.1-2 Solid waste</v>
      </c>
      <c r="D35" s="111" t="str">
        <f>INDEX(X_Table_Swine_Stage1MMS_DeepLitter,2,1)</f>
        <v>Deep litter</v>
      </c>
      <c r="E35" s="111" t="str">
        <f>INDEX(X_Table_Swine_Stage2MMS_From_DeepLitter,2,1)</f>
        <v>Anaerobic lagoon</v>
      </c>
      <c r="F35" s="15">
        <f ca="1">'4.5.1.3-4 Direct N2O'!F230</f>
        <v>34.856039999999993</v>
      </c>
      <c r="G35" s="15">
        <f ca="1">'4.5.1.3-4 Direct N2O'!G230</f>
        <v>46.411575000000006</v>
      </c>
      <c r="H35" s="15">
        <f ca="1">'4.5.1.3-4 Direct N2O'!H230</f>
        <v>43.570049999999988</v>
      </c>
      <c r="I35" s="15">
        <f ca="1">'4.5.1.3-4 Direct N2O'!I230</f>
        <v>29.551859999999994</v>
      </c>
      <c r="J35" s="16"/>
      <c r="N35" s="111" t="str">
        <f>INDEX(X_Table_Swine_Stage1MMS_DeepLitter,2,1)</f>
        <v>Deep litter</v>
      </c>
      <c r="O35" s="111" t="str">
        <f>INDEX(X_Table_Swine_Stage2MMS_From_DeepLitter,2,1)</f>
        <v>Anaerobic lagoon</v>
      </c>
      <c r="P35" s="15">
        <f ca="1">'4.5.1.3-4 Direct N2O'!P230</f>
        <v>34.856039999999993</v>
      </c>
      <c r="Q35" s="15">
        <f ca="1">'4.5.1.3-4 Direct N2O'!Q230</f>
        <v>46.411575000000006</v>
      </c>
      <c r="R35" s="15">
        <f ca="1">'4.5.1.3-4 Direct N2O'!R230</f>
        <v>43.570049999999988</v>
      </c>
      <c r="S35" s="15">
        <f ca="1">'4.5.1.3-4 Direct N2O'!S230</f>
        <v>29.551859999999994</v>
      </c>
      <c r="T35" s="16"/>
    </row>
    <row r="36" spans="1:20" ht="20.100000000000001" customHeight="1" x14ac:dyDescent="0.2">
      <c r="A36" s="5" t="str">
        <f>HYPERLINK("#'14.1.1-2 Purchased electricity'!A1", "14.1.1-2 Purchased electricity")</f>
        <v>14.1.1-2 Purchased electricity</v>
      </c>
      <c r="D36" s="111"/>
      <c r="E36" s="111" t="str">
        <f>INDEX(X_Table_Swine_Stage2MMS_From_DeepLitter,3,1)</f>
        <v>Digester / covered lagoons</v>
      </c>
      <c r="F36" s="15">
        <f ca="1">'4.5.1.3-4 Direct N2O'!F231</f>
        <v>34.856039999999993</v>
      </c>
      <c r="G36" s="15">
        <f ca="1">'4.5.1.3-4 Direct N2O'!G231</f>
        <v>46.411575000000006</v>
      </c>
      <c r="H36" s="15">
        <f ca="1">'4.5.1.3-4 Direct N2O'!H231</f>
        <v>43.570049999999988</v>
      </c>
      <c r="I36" s="15">
        <f ca="1">'4.5.1.3-4 Direct N2O'!I231</f>
        <v>29.551859999999994</v>
      </c>
      <c r="J36" s="16"/>
      <c r="N36" s="111"/>
      <c r="O36" s="111" t="str">
        <f>INDEX(X_Table_Swine_Stage2MMS_From_DeepLitter,3,1)</f>
        <v>Digester / covered lagoons</v>
      </c>
      <c r="P36" s="15">
        <f ca="1">'4.5.1.3-4 Direct N2O'!P231</f>
        <v>34.856039999999993</v>
      </c>
      <c r="Q36" s="15">
        <f ca="1">'4.5.1.3-4 Direct N2O'!Q231</f>
        <v>46.411575000000006</v>
      </c>
      <c r="R36" s="15">
        <f ca="1">'4.5.1.3-4 Direct N2O'!R231</f>
        <v>43.570049999999988</v>
      </c>
      <c r="S36" s="15">
        <f ca="1">'4.5.1.3-4 Direct N2O'!S231</f>
        <v>29.551859999999994</v>
      </c>
      <c r="T36" s="16"/>
    </row>
    <row r="37" spans="1:20" ht="20.100000000000001" customHeight="1" x14ac:dyDescent="0.2">
      <c r="A37" s="5" t="str">
        <f>HYPERLINK("#'15 Scope 3'!A1", "15 Scope 3")</f>
        <v>15 Scope 3</v>
      </c>
      <c r="D37" s="111"/>
      <c r="E37" s="111" t="str">
        <f>INDEX(X_Table_Swine_Stage2MMS_From_DeepLitter,4,1)</f>
        <v>Pit storage</v>
      </c>
      <c r="F37" s="15">
        <f ca="1">'4.5.1.3-4 Direct N2O'!F232</f>
        <v>34.856039999999993</v>
      </c>
      <c r="G37" s="15">
        <f ca="1">'4.5.1.3-4 Direct N2O'!G232</f>
        <v>46.411575000000006</v>
      </c>
      <c r="H37" s="15">
        <f ca="1">'4.5.1.3-4 Direct N2O'!H232</f>
        <v>43.570049999999988</v>
      </c>
      <c r="I37" s="15">
        <f ca="1">'4.5.1.3-4 Direct N2O'!I232</f>
        <v>29.551859999999994</v>
      </c>
      <c r="J37" s="16"/>
      <c r="N37" s="111"/>
      <c r="O37" s="111" t="str">
        <f>INDEX(X_Table_Swine_Stage2MMS_From_DeepLitter,4,1)</f>
        <v>Pit storage</v>
      </c>
      <c r="P37" s="15">
        <f ca="1">'4.5.1.3-4 Direct N2O'!P232</f>
        <v>34.856039999999993</v>
      </c>
      <c r="Q37" s="15">
        <f ca="1">'4.5.1.3-4 Direct N2O'!Q232</f>
        <v>46.411575000000006</v>
      </c>
      <c r="R37" s="15">
        <f ca="1">'4.5.1.3-4 Direct N2O'!R232</f>
        <v>43.570049999999988</v>
      </c>
      <c r="S37" s="15">
        <f ca="1">'4.5.1.3-4 Direct N2O'!S232</f>
        <v>29.551859999999994</v>
      </c>
      <c r="T37" s="16"/>
    </row>
    <row r="38" spans="1:20" ht="20.100000000000001" customHeight="1" x14ac:dyDescent="0.2">
      <c r="A38" s="5" t="str">
        <f>HYPERLINK("#'Calcs - Manure sent off-site'!A1", "Calcs - Manure sent off-site")</f>
        <v>Calcs - Manure sent off-site</v>
      </c>
      <c r="D38" s="111"/>
      <c r="E38" s="111" t="str">
        <f>INDEX(X_Table_Swine_Stage2MMS_From_DeepLitter,5,1)</f>
        <v>Direct application</v>
      </c>
      <c r="F38" s="15">
        <f ca="1">'4.5.1.3-4 Direct N2O'!F233</f>
        <v>69.712079999999972</v>
      </c>
      <c r="G38" s="15">
        <f ca="1">'4.5.1.3-4 Direct N2O'!G233</f>
        <v>46.411575000000006</v>
      </c>
      <c r="H38" s="15">
        <f ca="1">'4.5.1.3-4 Direct N2O'!H233</f>
        <v>43.570049999999988</v>
      </c>
      <c r="I38" s="15">
        <f ca="1">'4.5.1.3-4 Direct N2O'!I233</f>
        <v>29.551859999999994</v>
      </c>
      <c r="J38" s="16"/>
      <c r="N38" s="111"/>
      <c r="O38" s="111" t="str">
        <f>INDEX(X_Table_Swine_Stage2MMS_From_DeepLitter,5,1)</f>
        <v>Direct application</v>
      </c>
      <c r="P38" s="15">
        <f ca="1">'4.5.1.3-4 Direct N2O'!P233</f>
        <v>69.712079999999972</v>
      </c>
      <c r="Q38" s="15">
        <f ca="1">'4.5.1.3-4 Direct N2O'!Q233</f>
        <v>46.411575000000006</v>
      </c>
      <c r="R38" s="15">
        <f ca="1">'4.5.1.3-4 Direct N2O'!R233</f>
        <v>43.570049999999988</v>
      </c>
      <c r="S38" s="15">
        <f ca="1">'4.5.1.3-4 Direct N2O'!S233</f>
        <v>29.551859999999994</v>
      </c>
      <c r="T38" s="16"/>
    </row>
    <row r="39" spans="1:20" ht="20.100000000000001" customHeight="1" x14ac:dyDescent="0.2">
      <c r="A39" s="5" t="str">
        <f>HYPERLINK("#'5.1.1.1-2 Inorganic fert N2O'!A1", "5.1.1.1-2 Inorganic fert N2O")</f>
        <v>5.1.1.1-2 Inorganic fert N2O</v>
      </c>
      <c r="D39" s="111" t="str">
        <f>INDEX(X_Table_Swine_Stage1MMS_PitStorage,2,1)</f>
        <v>Pit storage</v>
      </c>
      <c r="E39" s="111" t="str">
        <f>INDEX(X_Table_Swine_Stage2MMS_From_PitStorage,2,1)</f>
        <v>Anaerobic lagoon</v>
      </c>
      <c r="F39" s="15">
        <f ca="1">'4.5.1.3-4 Direct N2O'!F234</f>
        <v>30.141407999999998</v>
      </c>
      <c r="G39" s="15">
        <f ca="1">'4.5.1.3-4 Direct N2O'!G234</f>
        <v>40.133940000000003</v>
      </c>
      <c r="H39" s="15">
        <f ca="1">'4.5.1.3-4 Direct N2O'!H234</f>
        <v>37.676759999999994</v>
      </c>
      <c r="I39" s="15">
        <f ca="1">'4.5.1.3-4 Direct N2O'!I234</f>
        <v>25.554671999999997</v>
      </c>
      <c r="J39" s="16"/>
      <c r="N39" s="111" t="str">
        <f>INDEX(X_Table_Swine_Stage1MMS_PitStorage,2,1)</f>
        <v>Pit storage</v>
      </c>
      <c r="O39" s="111" t="str">
        <f>INDEX(X_Table_Swine_Stage2MMS_From_PitStorage,2,1)</f>
        <v>Anaerobic lagoon</v>
      </c>
      <c r="P39" s="15">
        <f ca="1">'4.5.1.3-4 Direct N2O'!P234</f>
        <v>30.141407999999998</v>
      </c>
      <c r="Q39" s="15">
        <f ca="1">'4.5.1.3-4 Direct N2O'!Q234</f>
        <v>40.133940000000003</v>
      </c>
      <c r="R39" s="15">
        <f ca="1">'4.5.1.3-4 Direct N2O'!R234</f>
        <v>37.676759999999994</v>
      </c>
      <c r="S39" s="15">
        <f ca="1">'4.5.1.3-4 Direct N2O'!S234</f>
        <v>25.554671999999997</v>
      </c>
      <c r="T39" s="16"/>
    </row>
    <row r="40" spans="1:20" ht="20.100000000000001" customHeight="1" x14ac:dyDescent="0.2">
      <c r="A40" s="5" t="str">
        <f>HYPERLINK("#'5.1.1.3-4 Inorganic fert CO2'!A1", "5.1.1.3-4 Inorganic fert CO2")</f>
        <v>5.1.1.3-4 Inorganic fert CO2</v>
      </c>
      <c r="D40" s="111"/>
      <c r="E40" s="111" t="str">
        <f>INDEX(X_Table_Swine_Stage2MMS_From_PitStorage,3,1)</f>
        <v>Digester / covered lagoons</v>
      </c>
      <c r="F40" s="15">
        <f ca="1">'4.5.1.3-4 Direct N2O'!F235</f>
        <v>30.141407999999998</v>
      </c>
      <c r="G40" s="15">
        <f ca="1">'4.5.1.3-4 Direct N2O'!G235</f>
        <v>40.133940000000003</v>
      </c>
      <c r="H40" s="15">
        <f ca="1">'4.5.1.3-4 Direct N2O'!H235</f>
        <v>37.676759999999994</v>
      </c>
      <c r="I40" s="15">
        <f ca="1">'4.5.1.3-4 Direct N2O'!I235</f>
        <v>25.554671999999997</v>
      </c>
      <c r="J40" s="16"/>
      <c r="N40" s="111"/>
      <c r="O40" s="111" t="str">
        <f>INDEX(X_Table_Swine_Stage2MMS_From_PitStorage,3,1)</f>
        <v>Digester / covered lagoons</v>
      </c>
      <c r="P40" s="15">
        <f ca="1">'4.5.1.3-4 Direct N2O'!P235</f>
        <v>30.141407999999998</v>
      </c>
      <c r="Q40" s="15">
        <f ca="1">'4.5.1.3-4 Direct N2O'!Q235</f>
        <v>40.133940000000003</v>
      </c>
      <c r="R40" s="15">
        <f ca="1">'4.5.1.3-4 Direct N2O'!R235</f>
        <v>37.676759999999994</v>
      </c>
      <c r="S40" s="15">
        <f ca="1">'4.5.1.3-4 Direct N2O'!S235</f>
        <v>25.554671999999997</v>
      </c>
      <c r="T40" s="16"/>
    </row>
    <row r="41" spans="1:20" ht="20.100000000000001" customHeight="1" x14ac:dyDescent="0.2">
      <c r="A41" s="5" t="str">
        <f>HYPERLINK("#'5.2.1.1-2 Organic Fert N2O'!A1", "5.2.1.1-2 Organic Fert N2O")</f>
        <v>5.2.1.1-2 Organic Fert N2O</v>
      </c>
      <c r="D41" s="111"/>
      <c r="E41" s="111" t="str">
        <f>INDEX(X_Table_Swine_Stage2MMS_From_PitStorage,4,1)</f>
        <v>Deep litter</v>
      </c>
      <c r="F41" s="15">
        <f ca="1">'4.5.1.3-4 Direct N2O'!F236</f>
        <v>30.141407999999998</v>
      </c>
      <c r="G41" s="15">
        <f ca="1">'4.5.1.3-4 Direct N2O'!G236</f>
        <v>40.133940000000003</v>
      </c>
      <c r="H41" s="15">
        <f ca="1">'4.5.1.3-4 Direct N2O'!H236</f>
        <v>37.676759999999994</v>
      </c>
      <c r="I41" s="15">
        <f ca="1">'4.5.1.3-4 Direct N2O'!I236</f>
        <v>25.554671999999997</v>
      </c>
      <c r="J41" s="16"/>
      <c r="N41" s="111"/>
      <c r="O41" s="111" t="str">
        <f>INDEX(X_Table_Swine_Stage2MMS_From_PitStorage,4,1)</f>
        <v>Deep litter</v>
      </c>
      <c r="P41" s="15">
        <f ca="1">'4.5.1.3-4 Direct N2O'!P236</f>
        <v>30.141407999999998</v>
      </c>
      <c r="Q41" s="15">
        <f ca="1">'4.5.1.3-4 Direct N2O'!Q236</f>
        <v>40.133940000000003</v>
      </c>
      <c r="R41" s="15">
        <f ca="1">'4.5.1.3-4 Direct N2O'!R236</f>
        <v>37.676759999999994</v>
      </c>
      <c r="S41" s="15">
        <f ca="1">'4.5.1.3-4 Direct N2O'!S236</f>
        <v>25.554671999999997</v>
      </c>
      <c r="T41" s="16"/>
    </row>
    <row r="42" spans="1:20" ht="20.100000000000001" customHeight="1" x14ac:dyDescent="0.2">
      <c r="A42" s="5" t="str">
        <f>HYPERLINK("#'5.3.1.1-2 Lime CO2'!A1", "5.3.1.1-2 Lime CO2")</f>
        <v>5.3.1.1-2 Lime CO2</v>
      </c>
      <c r="D42" s="111"/>
      <c r="E42" s="111" t="str">
        <f>INDEX(X_Table_Swine_Stage2MMS_From_PitStorage,5,1)</f>
        <v>Direct application</v>
      </c>
      <c r="F42" s="15">
        <f ca="1">'4.5.1.3-4 Direct N2O'!F237</f>
        <v>60.282815999999976</v>
      </c>
      <c r="G42" s="15">
        <f ca="1">'4.5.1.3-4 Direct N2O'!G237</f>
        <v>40.133940000000003</v>
      </c>
      <c r="H42" s="15">
        <f ca="1">'4.5.1.3-4 Direct N2O'!H237</f>
        <v>37.676759999999994</v>
      </c>
      <c r="I42" s="15">
        <f ca="1">'4.5.1.3-4 Direct N2O'!I237</f>
        <v>25.554671999999997</v>
      </c>
      <c r="J42" s="16"/>
      <c r="N42" s="111"/>
      <c r="O42" s="111" t="str">
        <f>INDEX(X_Table_Swine_Stage2MMS_From_PitStorage,5,1)</f>
        <v>Direct application</v>
      </c>
      <c r="P42" s="15">
        <f ca="1">'4.5.1.3-4 Direct N2O'!P237</f>
        <v>60.282815999999976</v>
      </c>
      <c r="Q42" s="15">
        <f ca="1">'4.5.1.3-4 Direct N2O'!Q237</f>
        <v>40.133940000000003</v>
      </c>
      <c r="R42" s="15">
        <f ca="1">'4.5.1.3-4 Direct N2O'!R237</f>
        <v>37.676759999999994</v>
      </c>
      <c r="S42" s="15">
        <f ca="1">'4.5.1.3-4 Direct N2O'!S237</f>
        <v>25.554671999999997</v>
      </c>
      <c r="T42" s="16"/>
    </row>
    <row r="43" spans="1:20" ht="20.100000000000001" customHeight="1" x14ac:dyDescent="0.2">
      <c r="A43" s="5" t="str">
        <f>HYPERLINK("#'5.4.1.1-4 Atmos deposition'!A1", "5.4.1.1-4 Atmos deposition")</f>
        <v>5.4.1.1-4 Atmos deposition</v>
      </c>
      <c r="D43" s="111" t="s">
        <v>75</v>
      </c>
      <c r="E43" s="111" t="str">
        <f>INDEX(X_Table_Swine_Stage2MMS_From_SolidStorage,2,1)</f>
        <v>Anaerobic lagoon</v>
      </c>
      <c r="F43" s="15">
        <f ca="1">'4.5.1.3-4 Direct N2O'!F238</f>
        <v>106.78440000000003</v>
      </c>
      <c r="G43" s="15">
        <f ca="1">'4.5.1.3-4 Direct N2O'!G238</f>
        <v>113.74860000000007</v>
      </c>
      <c r="H43" s="15">
        <f ca="1">'4.5.1.3-4 Direct N2O'!H238</f>
        <v>106.78440000000003</v>
      </c>
      <c r="I43" s="15">
        <f ca="1">'4.5.1.3-4 Direct N2O'!I238</f>
        <v>72.427680000000038</v>
      </c>
      <c r="J43" s="16"/>
      <c r="N43" s="111" t="s">
        <v>75</v>
      </c>
      <c r="O43" s="111" t="str">
        <f>INDEX(X_Table_Swine_Stage2MMS_From_SolidStorage,2,1)</f>
        <v>Anaerobic lagoon</v>
      </c>
      <c r="P43" s="15">
        <f ca="1">'4.5.1.3-4 Direct N2O'!P238</f>
        <v>106.78440000000003</v>
      </c>
      <c r="Q43" s="15">
        <f ca="1">'4.5.1.3-4 Direct N2O'!Q238</f>
        <v>113.74860000000007</v>
      </c>
      <c r="R43" s="15">
        <f ca="1">'4.5.1.3-4 Direct N2O'!R238</f>
        <v>106.78440000000003</v>
      </c>
      <c r="S43" s="15">
        <f ca="1">'4.5.1.3-4 Direct N2O'!S238</f>
        <v>72.427680000000038</v>
      </c>
      <c r="T43" s="16"/>
    </row>
    <row r="44" spans="1:20" ht="20.100000000000001" customHeight="1" x14ac:dyDescent="0.2">
      <c r="A44" s="5" t="str">
        <f>HYPERLINK("#'5.5.1.1-2 Leaching and runoff'!A1", "5.5.1.1-2 Leaching and runoff")</f>
        <v>5.5.1.1-2 Leaching and runoff</v>
      </c>
      <c r="D44" s="111"/>
      <c r="E44" s="111" t="str">
        <f>INDEX(X_Table_Swine_Stage2MMS_From_SolidStorage,3,1)</f>
        <v>Digester / covered lagoons</v>
      </c>
      <c r="F44" s="15">
        <f ca="1">'4.5.1.3-4 Direct N2O'!F239</f>
        <v>106.78440000000003</v>
      </c>
      <c r="G44" s="15">
        <f ca="1">'4.5.1.3-4 Direct N2O'!G239</f>
        <v>113.74860000000007</v>
      </c>
      <c r="H44" s="15">
        <f ca="1">'4.5.1.3-4 Direct N2O'!H239</f>
        <v>106.78440000000003</v>
      </c>
      <c r="I44" s="15">
        <f ca="1">'4.5.1.3-4 Direct N2O'!I239</f>
        <v>72.427680000000038</v>
      </c>
      <c r="J44" s="16"/>
      <c r="N44" s="111"/>
      <c r="O44" s="111" t="str">
        <f>INDEX(X_Table_Swine_Stage2MMS_From_SolidStorage,3,1)</f>
        <v>Digester / covered lagoons</v>
      </c>
      <c r="P44" s="15">
        <f ca="1">'4.5.1.3-4 Direct N2O'!P239</f>
        <v>106.78440000000003</v>
      </c>
      <c r="Q44" s="15">
        <f ca="1">'4.5.1.3-4 Direct N2O'!Q239</f>
        <v>113.74860000000007</v>
      </c>
      <c r="R44" s="15">
        <f ca="1">'4.5.1.3-4 Direct N2O'!R239</f>
        <v>106.78440000000003</v>
      </c>
      <c r="S44" s="15">
        <f ca="1">'4.5.1.3-4 Direct N2O'!S239</f>
        <v>72.427680000000038</v>
      </c>
      <c r="T44" s="16"/>
    </row>
    <row r="45" spans="1:20" ht="20.100000000000001" customHeight="1" x14ac:dyDescent="0.2">
      <c r="D45" s="111"/>
      <c r="E45" s="111" t="str">
        <f>INDEX(X_Table_Swine_Stage2MMS_From_SolidStorage,4,1)</f>
        <v>Deep litter</v>
      </c>
      <c r="F45" s="15">
        <f ca="1">'4.5.1.3-4 Direct N2O'!F240</f>
        <v>106.78440000000003</v>
      </c>
      <c r="G45" s="15">
        <f ca="1">'4.5.1.3-4 Direct N2O'!G240</f>
        <v>113.74860000000007</v>
      </c>
      <c r="H45" s="15">
        <f ca="1">'4.5.1.3-4 Direct N2O'!H240</f>
        <v>106.78440000000003</v>
      </c>
      <c r="I45" s="15">
        <f ca="1">'4.5.1.3-4 Direct N2O'!I240</f>
        <v>72.427680000000038</v>
      </c>
      <c r="J45" s="16"/>
      <c r="N45" s="111"/>
      <c r="O45" s="111" t="str">
        <f>INDEX(X_Table_Swine_Stage2MMS_From_SolidStorage,4,1)</f>
        <v>Deep litter</v>
      </c>
      <c r="P45" s="15">
        <f ca="1">'4.5.1.3-4 Direct N2O'!P240</f>
        <v>106.78440000000003</v>
      </c>
      <c r="Q45" s="15">
        <f ca="1">'4.5.1.3-4 Direct N2O'!Q240</f>
        <v>113.74860000000007</v>
      </c>
      <c r="R45" s="15">
        <f ca="1">'4.5.1.3-4 Direct N2O'!R240</f>
        <v>106.78440000000003</v>
      </c>
      <c r="S45" s="15">
        <f ca="1">'4.5.1.3-4 Direct N2O'!S240</f>
        <v>72.427680000000038</v>
      </c>
      <c r="T45" s="16"/>
    </row>
    <row r="46" spans="1:20" ht="20.100000000000001" customHeight="1" x14ac:dyDescent="0.2">
      <c r="D46" s="111"/>
      <c r="E46" s="111" t="str">
        <f>INDEX(X_Table_Swine_Stage2MMS_From_SolidStorage,5,1)</f>
        <v>Pit storage</v>
      </c>
      <c r="F46" s="15">
        <f ca="1">'4.5.1.3-4 Direct N2O'!F241</f>
        <v>53.392200000000017</v>
      </c>
      <c r="G46" s="15">
        <f ca="1">'4.5.1.3-4 Direct N2O'!G241</f>
        <v>56.874300000000034</v>
      </c>
      <c r="H46" s="15">
        <f ca="1">'4.5.1.3-4 Direct N2O'!H241</f>
        <v>53.392200000000017</v>
      </c>
      <c r="I46" s="15">
        <f ca="1">'4.5.1.3-4 Direct N2O'!I241</f>
        <v>36.213840000000019</v>
      </c>
      <c r="J46" s="16"/>
      <c r="N46" s="111"/>
      <c r="O46" s="111" t="str">
        <f>INDEX(X_Table_Swine_Stage2MMS_From_SolidStorage,5,1)</f>
        <v>Pit storage</v>
      </c>
      <c r="P46" s="15">
        <f ca="1">'4.5.1.3-4 Direct N2O'!P241</f>
        <v>53.392200000000017</v>
      </c>
      <c r="Q46" s="15">
        <f ca="1">'4.5.1.3-4 Direct N2O'!Q241</f>
        <v>56.874300000000034</v>
      </c>
      <c r="R46" s="15">
        <f ca="1">'4.5.1.3-4 Direct N2O'!R241</f>
        <v>53.392200000000017</v>
      </c>
      <c r="S46" s="15">
        <f ca="1">'4.5.1.3-4 Direct N2O'!S241</f>
        <v>36.213840000000019</v>
      </c>
      <c r="T46" s="16"/>
    </row>
    <row r="47" spans="1:20" ht="20.100000000000001" customHeight="1" x14ac:dyDescent="0.2">
      <c r="A47" s="79" t="s">
        <v>1</v>
      </c>
      <c r="D47" s="111"/>
      <c r="E47" s="111" t="str">
        <f>INDEX(X_Table_Swine_Stage2MMS_From_SolidStorage,6,1)</f>
        <v>Direct application</v>
      </c>
      <c r="F47" s="15">
        <f ca="1">'4.5.1.3-4 Direct N2O'!F242</f>
        <v>160.17660000000001</v>
      </c>
      <c r="G47" s="15">
        <f ca="1">'4.5.1.3-4 Direct N2O'!G242</f>
        <v>170.62290000000004</v>
      </c>
      <c r="H47" s="15">
        <f ca="1">'4.5.1.3-4 Direct N2O'!H242</f>
        <v>160.17660000000001</v>
      </c>
      <c r="I47" s="15">
        <f ca="1">'4.5.1.3-4 Direct N2O'!I242</f>
        <v>108.64152000000003</v>
      </c>
      <c r="J47" s="16"/>
      <c r="N47" s="111"/>
      <c r="O47" s="111" t="str">
        <f>INDEX(X_Table_Swine_Stage2MMS_From_SolidStorage,6,1)</f>
        <v>Direct application</v>
      </c>
      <c r="P47" s="15">
        <f ca="1">'4.5.1.3-4 Direct N2O'!P242</f>
        <v>160.17660000000001</v>
      </c>
      <c r="Q47" s="15">
        <f ca="1">'4.5.1.3-4 Direct N2O'!Q242</f>
        <v>170.62290000000004</v>
      </c>
      <c r="R47" s="15">
        <f ca="1">'4.5.1.3-4 Direct N2O'!R242</f>
        <v>160.17660000000001</v>
      </c>
      <c r="S47" s="15">
        <f ca="1">'4.5.1.3-4 Direct N2O'!S242</f>
        <v>108.64152000000003</v>
      </c>
      <c r="T47" s="16"/>
    </row>
    <row r="48" spans="1:20" ht="20.100000000000001" customHeight="1" x14ac:dyDescent="0.2">
      <c r="A48" s="5" t="str">
        <f>HYPERLINK("#'Constants - Swine'!A1", "Constants - Swine")</f>
        <v>Constants - Swine</v>
      </c>
    </row>
    <row r="49" spans="1:20" ht="20.100000000000001" customHeight="1" x14ac:dyDescent="0.2">
      <c r="A49" s="5" t="str">
        <f>HYPERLINK("#'Constants - Common livestock'!A1", "Constants - Common Livestock")</f>
        <v>Constants - Common Livestock</v>
      </c>
      <c r="D49" s="117" t="s">
        <v>441</v>
      </c>
      <c r="N49" s="117" t="s">
        <v>441</v>
      </c>
    </row>
    <row r="50" spans="1:20" ht="20.100000000000001" customHeight="1" x14ac:dyDescent="0.2">
      <c r="A50" s="5" t="str">
        <f>HYPERLINK("#'Constants - Electricity'!A1", "Constants - Electricity")</f>
        <v>Constants - Electricity</v>
      </c>
      <c r="D50" s="118" t="s">
        <v>451</v>
      </c>
      <c r="N50" s="118" t="s">
        <v>451</v>
      </c>
    </row>
    <row r="51" spans="1:20" ht="20.100000000000001" customHeight="1" x14ac:dyDescent="0.2">
      <c r="A51" s="5" t="str">
        <f>HYPERLINK("#'Constants - Fertiliser'!A1", "Constants - Fertiliser")</f>
        <v>Constants - Fertiliser</v>
      </c>
      <c r="D51" s="119" t="s">
        <v>325</v>
      </c>
      <c r="E51" s="119" t="s">
        <v>354</v>
      </c>
      <c r="F51" s="119" t="s">
        <v>290</v>
      </c>
      <c r="G51" s="119" t="s">
        <v>291</v>
      </c>
      <c r="H51" s="119" t="s">
        <v>265</v>
      </c>
      <c r="I51" s="119" t="s">
        <v>292</v>
      </c>
      <c r="N51" s="119" t="s">
        <v>325</v>
      </c>
      <c r="O51" s="119" t="s">
        <v>354</v>
      </c>
      <c r="P51" s="119" t="s">
        <v>290</v>
      </c>
      <c r="Q51" s="119" t="s">
        <v>291</v>
      </c>
      <c r="R51" s="119" t="s">
        <v>265</v>
      </c>
      <c r="S51" s="119" t="s">
        <v>292</v>
      </c>
    </row>
    <row r="52" spans="1:20" ht="20.100000000000001" customHeight="1" x14ac:dyDescent="0.2">
      <c r="A52" s="5" t="str">
        <f>HYPERLINK("#'Constants - Fuel'!A1", "Constants - Fuel")</f>
        <v>Constants - Fuel</v>
      </c>
      <c r="D52" s="111" t="str">
        <f>INDEX(X_Table_Swine_Stage1MMS_AnaerobicLagoon,2,1)</f>
        <v>Anaerobic lagoon</v>
      </c>
      <c r="E52" s="111" t="str">
        <f>INDEX(X_Table_Swine_Stage2MMS_From_AnaerobicLagoon,2,1)</f>
        <v>Digester / covered lagoons</v>
      </c>
      <c r="F52" s="15">
        <v>0</v>
      </c>
      <c r="G52" s="15">
        <v>0</v>
      </c>
      <c r="H52" s="15">
        <v>0</v>
      </c>
      <c r="I52" s="15">
        <v>0</v>
      </c>
      <c r="J52" s="16" t="str">
        <f>$G$16</f>
        <v>kg N</v>
      </c>
      <c r="N52" s="111" t="str">
        <f>INDEX(X_Table_Swine_Stage1MMS_AnaerobicLagoon,2,1)</f>
        <v>Anaerobic lagoon</v>
      </c>
      <c r="O52" s="111" t="str">
        <f>INDEX(X_Table_Swine_Stage2MMS_From_AnaerobicLagoon,2,1)</f>
        <v>Digester / covered lagoons</v>
      </c>
      <c r="P52" s="15">
        <v>0</v>
      </c>
      <c r="Q52" s="15">
        <v>0</v>
      </c>
      <c r="R52" s="15">
        <v>0</v>
      </c>
      <c r="S52" s="15">
        <v>0</v>
      </c>
      <c r="T52" s="16" t="str">
        <f>$G$16</f>
        <v>kg N</v>
      </c>
    </row>
    <row r="53" spans="1:20" ht="20.100000000000001" customHeight="1" x14ac:dyDescent="0.2">
      <c r="A53" s="5" t="str">
        <f>HYPERLINK("#'Constants - Scope 3'!A1", "Constants - Scope 3")</f>
        <v>Constants - Scope 3</v>
      </c>
      <c r="D53" s="111"/>
      <c r="E53" s="111" t="str">
        <f>INDEX(X_Table_Swine_Stage2MMS_From_AnaerobicLagoon,3,1)</f>
        <v>Deep litter</v>
      </c>
      <c r="F53" s="15">
        <v>0</v>
      </c>
      <c r="G53" s="15">
        <v>0</v>
      </c>
      <c r="H53" s="15">
        <v>0</v>
      </c>
      <c r="I53" s="15">
        <v>0</v>
      </c>
      <c r="J53" s="16"/>
      <c r="N53" s="111"/>
      <c r="O53" s="111" t="str">
        <f>INDEX(X_Table_Swine_Stage2MMS_From_AnaerobicLagoon,3,1)</f>
        <v>Deep litter</v>
      </c>
      <c r="P53" s="15">
        <v>0</v>
      </c>
      <c r="Q53" s="15">
        <v>0</v>
      </c>
      <c r="R53" s="15">
        <v>0</v>
      </c>
      <c r="S53" s="15">
        <v>0</v>
      </c>
      <c r="T53" s="16"/>
    </row>
    <row r="54" spans="1:20" ht="20.100000000000001" customHeight="1" x14ac:dyDescent="0.2">
      <c r="A54" s="5" t="str">
        <f>HYPERLINK("#'Constants - Solid Waste'!A1", "Constants - Solid Waste")</f>
        <v>Constants - Solid Waste</v>
      </c>
      <c r="D54" s="111"/>
      <c r="E54" s="111" t="str">
        <f>INDEX(X_Table_Swine_Stage2MMS_From_AnaerobicLagoon,4,1)</f>
        <v>Pit storage</v>
      </c>
      <c r="F54" s="15">
        <v>0</v>
      </c>
      <c r="G54" s="15">
        <v>0</v>
      </c>
      <c r="H54" s="15">
        <v>0</v>
      </c>
      <c r="I54" s="15">
        <v>0</v>
      </c>
      <c r="J54" s="16"/>
      <c r="N54" s="111"/>
      <c r="O54" s="111" t="str">
        <f>INDEX(X_Table_Swine_Stage2MMS_From_AnaerobicLagoon,4,1)</f>
        <v>Pit storage</v>
      </c>
      <c r="P54" s="15">
        <v>0</v>
      </c>
      <c r="Q54" s="15">
        <v>0</v>
      </c>
      <c r="R54" s="15">
        <v>0</v>
      </c>
      <c r="S54" s="15">
        <v>0</v>
      </c>
      <c r="T54" s="16"/>
    </row>
    <row r="55" spans="1:20" ht="20.100000000000001" customHeight="1" x14ac:dyDescent="0.2">
      <c r="A55" s="5" t="str">
        <f>HYPERLINK("#'Constants - Common'!A1", "Constants - Common")</f>
        <v>Constants - Common</v>
      </c>
      <c r="D55" s="111"/>
      <c r="E55" s="111" t="str">
        <f>INDEX(X_Table_Swine_Stage2MMS_From_AnaerobicLagoon,5,1)</f>
        <v>Direct application</v>
      </c>
      <c r="F55" s="15">
        <v>0</v>
      </c>
      <c r="G55" s="15">
        <v>0</v>
      </c>
      <c r="H55" s="15">
        <v>0</v>
      </c>
      <c r="I55" s="15">
        <v>0</v>
      </c>
      <c r="J55" s="16"/>
      <c r="N55" s="111"/>
      <c r="O55" s="111" t="str">
        <f>INDEX(X_Table_Swine_Stage2MMS_From_AnaerobicLagoon,5,1)</f>
        <v>Direct application</v>
      </c>
      <c r="P55" s="15">
        <v>0</v>
      </c>
      <c r="Q55" s="15">
        <v>0</v>
      </c>
      <c r="R55" s="15">
        <v>0</v>
      </c>
      <c r="S55" s="15">
        <v>0</v>
      </c>
      <c r="T55" s="16"/>
    </row>
    <row r="56" spans="1:20" ht="20.100000000000001" customHeight="1" x14ac:dyDescent="0.2">
      <c r="A56" s="5" t="str">
        <f>HYPERLINK("#'Acknowledgements'!A1", "Acknowledgements")</f>
        <v>Acknowledgements</v>
      </c>
      <c r="D56" s="111" t="str">
        <f>INDEX(X_Table_Swine_Stage1MMS_Drylot,2,1)</f>
        <v>Drylot (feed pad)</v>
      </c>
      <c r="E56" s="111" t="str">
        <f>INDEX(X_Table_Swine_Stage2MMS_From_Drylot,2,1)</f>
        <v>Anaerobic lagoon</v>
      </c>
      <c r="F56" s="15">
        <f ca="1">INDEX(M1_Table_MN_leach_j_m5_Consumer_1,2,2)</f>
        <v>4.0295999999999994</v>
      </c>
      <c r="G56" s="15">
        <f ca="1">INDEX(M1_Table_MN_leach_j_m5_Consumer_1,2,3)</f>
        <v>4.2924000000000007</v>
      </c>
      <c r="H56" s="15">
        <f ca="1">INDEX(M1_Table_MN_leach_j_m5_Consumer_1,2,4)</f>
        <v>4.0295999999999994</v>
      </c>
      <c r="I56" s="15">
        <f ca="1">INDEX(M1_Table_MN_leach_j_m5_Consumer_1,2,5)</f>
        <v>2.7331199999999995</v>
      </c>
      <c r="J56" s="16"/>
      <c r="N56" s="111" t="str">
        <f>INDEX(X_Table_Swine_Stage1MMS_Drylot,2,1)</f>
        <v>Drylot (feed pad)</v>
      </c>
      <c r="O56" s="111" t="str">
        <f>INDEX(X_Table_Swine_Stage2MMS_From_Drylot,2,1)</f>
        <v>Anaerobic lagoon</v>
      </c>
      <c r="P56" s="15">
        <f ca="1">INDEX(M1_Table_MN_leach_j_m5,2,2)</f>
        <v>4.0295999999999994</v>
      </c>
      <c r="Q56" s="15">
        <f ca="1">INDEX(M1_Table_MN_leach_j_m5,2,3)</f>
        <v>4.2924000000000007</v>
      </c>
      <c r="R56" s="15">
        <f ca="1">INDEX(M1_Table_MN_leach_j_m5,2,4)</f>
        <v>4.0295999999999994</v>
      </c>
      <c r="S56" s="15">
        <f ca="1">INDEX(M1_Table_MN_leach_j_m5,2,5)</f>
        <v>2.7331199999999995</v>
      </c>
      <c r="T56" s="16"/>
    </row>
    <row r="57" spans="1:20" ht="20.100000000000001" customHeight="1" x14ac:dyDescent="0.2">
      <c r="D57" s="111"/>
      <c r="E57" s="111" t="str">
        <f>INDEX(X_Table_Swine_Stage2MMS_From_Drylot,3,1)</f>
        <v>Digester / covered lagoons</v>
      </c>
      <c r="F57" s="15">
        <f ca="1">INDEX(M1_Table_MN_leach_j_m5_Consumer_1,2,2)</f>
        <v>4.0295999999999994</v>
      </c>
      <c r="G57" s="15">
        <f ca="1">INDEX(M1_Table_MN_leach_j_m5_Consumer_1,2,3)</f>
        <v>4.2924000000000007</v>
      </c>
      <c r="H57" s="15">
        <f ca="1">INDEX(M1_Table_MN_leach_j_m5_Consumer_1,2,4)</f>
        <v>4.0295999999999994</v>
      </c>
      <c r="I57" s="15">
        <f ca="1">INDEX(M1_Table_MN_leach_j_m5_Consumer_1,2,5)</f>
        <v>2.7331199999999995</v>
      </c>
      <c r="J57" s="16"/>
      <c r="N57" s="111"/>
      <c r="O57" s="111" t="str">
        <f>INDEX(X_Table_Swine_Stage2MMS_From_Drylot,3,1)</f>
        <v>Digester / covered lagoons</v>
      </c>
      <c r="P57" s="15">
        <f ca="1">INDEX(M1_Table_MN_leach_j_m5,2,2)</f>
        <v>4.0295999999999994</v>
      </c>
      <c r="Q57" s="15">
        <f ca="1">INDEX(M1_Table_MN_leach_j_m5,2,3)</f>
        <v>4.2924000000000007</v>
      </c>
      <c r="R57" s="15">
        <f ca="1">INDEX(M1_Table_MN_leach_j_m5,2,4)</f>
        <v>4.0295999999999994</v>
      </c>
      <c r="S57" s="15">
        <f ca="1">INDEX(M1_Table_MN_leach_j_m5,2,5)</f>
        <v>2.7331199999999995</v>
      </c>
      <c r="T57" s="16"/>
    </row>
    <row r="58" spans="1:20" ht="20.100000000000001" customHeight="1" x14ac:dyDescent="0.2">
      <c r="D58" s="111"/>
      <c r="E58" s="111" t="str">
        <f>INDEX(X_Table_Swine_Stage2MMS_From_Drylot,4,1)</f>
        <v>Deep litter</v>
      </c>
      <c r="F58" s="15">
        <f ca="1">INDEX(M1_Table_MN_leach_j_m5_Consumer_1,2,2)</f>
        <v>4.0295999999999994</v>
      </c>
      <c r="G58" s="15">
        <f ca="1">INDEX(M1_Table_MN_leach_j_m5_Consumer_1,2,3)</f>
        <v>4.2924000000000007</v>
      </c>
      <c r="H58" s="15">
        <f ca="1">INDEX(M1_Table_MN_leach_j_m5_Consumer_1,2,4)</f>
        <v>4.0295999999999994</v>
      </c>
      <c r="I58" s="15">
        <f ca="1">INDEX(M1_Table_MN_leach_j_m5_Consumer_1,2,5)</f>
        <v>2.7331199999999995</v>
      </c>
      <c r="J58" s="16"/>
      <c r="N58" s="111"/>
      <c r="O58" s="111" t="str">
        <f>INDEX(X_Table_Swine_Stage2MMS_From_Drylot,4,1)</f>
        <v>Deep litter</v>
      </c>
      <c r="P58" s="15">
        <f ca="1">INDEX(M1_Table_MN_leach_j_m5,2,2)</f>
        <v>4.0295999999999994</v>
      </c>
      <c r="Q58" s="15">
        <f ca="1">INDEX(M1_Table_MN_leach_j_m5,2,3)</f>
        <v>4.2924000000000007</v>
      </c>
      <c r="R58" s="15">
        <f ca="1">INDEX(M1_Table_MN_leach_j_m5,2,4)</f>
        <v>4.0295999999999994</v>
      </c>
      <c r="S58" s="15">
        <f ca="1">INDEX(M1_Table_MN_leach_j_m5,2,5)</f>
        <v>2.7331199999999995</v>
      </c>
      <c r="T58" s="16"/>
    </row>
    <row r="59" spans="1:20" ht="20.100000000000001" customHeight="1" x14ac:dyDescent="0.2">
      <c r="D59" s="111"/>
      <c r="E59" s="111" t="str">
        <f>INDEX(X_Table_Swine_Stage2MMS_From_Drylot,5,1)</f>
        <v>Pit storage</v>
      </c>
      <c r="F59" s="15">
        <f ca="1">INDEX(M1_Table_MN_leach_j_m5_Consumer_1,2,2)</f>
        <v>4.0295999999999994</v>
      </c>
      <c r="G59" s="15">
        <f ca="1">INDEX(M1_Table_MN_leach_j_m5_Consumer_1,2,3)</f>
        <v>4.2924000000000007</v>
      </c>
      <c r="H59" s="15">
        <f ca="1">INDEX(M1_Table_MN_leach_j_m5_Consumer_1,2,4)</f>
        <v>4.0295999999999994</v>
      </c>
      <c r="I59" s="15">
        <f ca="1">INDEX(M1_Table_MN_leach_j_m5_Consumer_1,2,5)</f>
        <v>2.7331199999999995</v>
      </c>
      <c r="J59" s="16"/>
      <c r="N59" s="111"/>
      <c r="O59" s="111" t="str">
        <f>INDEX(X_Table_Swine_Stage2MMS_From_Drylot,5,1)</f>
        <v>Pit storage</v>
      </c>
      <c r="P59" s="15">
        <f ca="1">INDEX(M1_Table_MN_leach_j_m5,2,2)</f>
        <v>4.0295999999999994</v>
      </c>
      <c r="Q59" s="15">
        <f ca="1">INDEX(M1_Table_MN_leach_j_m5,2,3)</f>
        <v>4.2924000000000007</v>
      </c>
      <c r="R59" s="15">
        <f ca="1">INDEX(M1_Table_MN_leach_j_m5,2,4)</f>
        <v>4.0295999999999994</v>
      </c>
      <c r="S59" s="15">
        <f ca="1">INDEX(M1_Table_MN_leach_j_m5,2,5)</f>
        <v>2.7331199999999995</v>
      </c>
      <c r="T59" s="16"/>
    </row>
    <row r="60" spans="1:20" ht="20.100000000000001" customHeight="1" x14ac:dyDescent="0.2">
      <c r="D60" s="111"/>
      <c r="E60" s="111" t="str">
        <f>INDEX(X_Table_Swine_Stage2MMS_From_Drylot,6,1)</f>
        <v>Direct application</v>
      </c>
      <c r="F60" s="15">
        <v>0</v>
      </c>
      <c r="G60" s="15">
        <v>0</v>
      </c>
      <c r="H60" s="15">
        <v>0</v>
      </c>
      <c r="I60" s="15">
        <v>0</v>
      </c>
      <c r="J60" s="16"/>
      <c r="N60" s="111"/>
      <c r="O60" s="111" t="str">
        <f>INDEX(X_Table_Swine_Stage2MMS_From_Drylot,6,1)</f>
        <v>Direct application</v>
      </c>
      <c r="P60" s="15">
        <v>0</v>
      </c>
      <c r="Q60" s="15">
        <v>0</v>
      </c>
      <c r="R60" s="15">
        <v>0</v>
      </c>
      <c r="S60" s="15">
        <v>0</v>
      </c>
      <c r="T60" s="16"/>
    </row>
    <row r="61" spans="1:20" ht="20.100000000000001" customHeight="1" x14ac:dyDescent="0.2">
      <c r="D61" s="111" t="str">
        <f>INDEX(X_Table_Swine_Stage1MMS_DigesterCoveredLagoons,2,1)</f>
        <v>Digester / covered lagoons</v>
      </c>
      <c r="E61" s="111" t="str">
        <f>INDEX(X_Table_Swine_Stage2MMS_From_DigesterCoveredLagoons,2,1)</f>
        <v>Anaerobic lagoon</v>
      </c>
      <c r="F61" s="15">
        <v>0</v>
      </c>
      <c r="G61" s="15">
        <v>0</v>
      </c>
      <c r="H61" s="15">
        <v>0</v>
      </c>
      <c r="I61" s="15">
        <v>0</v>
      </c>
      <c r="J61" s="16"/>
      <c r="N61" s="111" t="str">
        <f>INDEX(X_Table_Swine_Stage1MMS_DigesterCoveredLagoons,2,1)</f>
        <v>Digester / covered lagoons</v>
      </c>
      <c r="O61" s="111" t="str">
        <f>INDEX(X_Table_Swine_Stage2MMS_From_DigesterCoveredLagoons,2,1)</f>
        <v>Anaerobic lagoon</v>
      </c>
      <c r="P61" s="15">
        <v>0</v>
      </c>
      <c r="Q61" s="15">
        <v>0</v>
      </c>
      <c r="R61" s="15">
        <v>0</v>
      </c>
      <c r="S61" s="15">
        <v>0</v>
      </c>
      <c r="T61" s="16"/>
    </row>
    <row r="62" spans="1:20" ht="20.100000000000001" customHeight="1" x14ac:dyDescent="0.2">
      <c r="D62" s="111"/>
      <c r="E62" s="111" t="str">
        <f>INDEX(X_Table_Swine_Stage2MMS_From_DigesterCoveredLagoons,3,1)</f>
        <v>Deep litter</v>
      </c>
      <c r="F62" s="15">
        <v>0</v>
      </c>
      <c r="G62" s="15">
        <v>0</v>
      </c>
      <c r="H62" s="15">
        <v>0</v>
      </c>
      <c r="I62" s="15">
        <v>0</v>
      </c>
      <c r="J62" s="16"/>
      <c r="N62" s="111"/>
      <c r="O62" s="111" t="str">
        <f>INDEX(X_Table_Swine_Stage2MMS_From_DigesterCoveredLagoons,3,1)</f>
        <v>Deep litter</v>
      </c>
      <c r="P62" s="15">
        <v>0</v>
      </c>
      <c r="Q62" s="15">
        <v>0</v>
      </c>
      <c r="R62" s="15">
        <v>0</v>
      </c>
      <c r="S62" s="15">
        <v>0</v>
      </c>
      <c r="T62" s="16"/>
    </row>
    <row r="63" spans="1:20" ht="20.100000000000001" customHeight="1" x14ac:dyDescent="0.2">
      <c r="D63" s="111"/>
      <c r="E63" s="111" t="str">
        <f>INDEX(X_Table_Swine_Stage2MMS_From_DigesterCoveredLagoons,4,1)</f>
        <v>Pit storage</v>
      </c>
      <c r="F63" s="15">
        <v>0</v>
      </c>
      <c r="G63" s="15">
        <v>0</v>
      </c>
      <c r="H63" s="15">
        <v>0</v>
      </c>
      <c r="I63" s="15">
        <v>0</v>
      </c>
      <c r="J63" s="16"/>
      <c r="N63" s="111"/>
      <c r="O63" s="111" t="str">
        <f>INDEX(X_Table_Swine_Stage2MMS_From_DigesterCoveredLagoons,4,1)</f>
        <v>Pit storage</v>
      </c>
      <c r="P63" s="15">
        <v>0</v>
      </c>
      <c r="Q63" s="15">
        <v>0</v>
      </c>
      <c r="R63" s="15">
        <v>0</v>
      </c>
      <c r="S63" s="15">
        <v>0</v>
      </c>
      <c r="T63" s="16"/>
    </row>
    <row r="64" spans="1:20" ht="20.100000000000001" customHeight="1" x14ac:dyDescent="0.2">
      <c r="D64" s="111"/>
      <c r="E64" s="111" t="str">
        <f>INDEX(X_Table_Swine_Stage2MMS_From_DigesterCoveredLagoons,5,1)</f>
        <v>Direct application</v>
      </c>
      <c r="F64" s="15">
        <v>0</v>
      </c>
      <c r="G64" s="15">
        <v>0</v>
      </c>
      <c r="H64" s="15">
        <v>0</v>
      </c>
      <c r="I64" s="15">
        <v>0</v>
      </c>
      <c r="J64" s="16"/>
      <c r="N64" s="111"/>
      <c r="O64" s="111" t="str">
        <f>INDEX(X_Table_Swine_Stage2MMS_From_DigesterCoveredLagoons,5,1)</f>
        <v>Direct application</v>
      </c>
      <c r="P64" s="15">
        <v>0</v>
      </c>
      <c r="Q64" s="15">
        <v>0</v>
      </c>
      <c r="R64" s="15">
        <v>0</v>
      </c>
      <c r="S64" s="15">
        <v>0</v>
      </c>
      <c r="T64" s="16"/>
    </row>
    <row r="65" spans="1:20" ht="20.100000000000001" customHeight="1" x14ac:dyDescent="0.2">
      <c r="D65" s="111" t="str">
        <f>INDEX(X_Table_Swine_Stage1MMS_DeepLitter,2,1)</f>
        <v>Deep litter</v>
      </c>
      <c r="E65" s="111" t="str">
        <f>INDEX(X_Table_Swine_Stage2MMS_From_DeepLitter,2,1)</f>
        <v>Anaerobic lagoon</v>
      </c>
      <c r="F65" s="15">
        <v>0</v>
      </c>
      <c r="G65" s="15">
        <v>0</v>
      </c>
      <c r="H65" s="15">
        <v>0</v>
      </c>
      <c r="I65" s="15">
        <v>0</v>
      </c>
      <c r="J65" s="16"/>
      <c r="N65" s="111" t="str">
        <f>INDEX(X_Table_Swine_Stage1MMS_DeepLitter,2,1)</f>
        <v>Deep litter</v>
      </c>
      <c r="O65" s="111" t="str">
        <f>INDEX(X_Table_Swine_Stage2MMS_From_DeepLitter,2,1)</f>
        <v>Anaerobic lagoon</v>
      </c>
      <c r="P65" s="15">
        <v>0</v>
      </c>
      <c r="Q65" s="15">
        <v>0</v>
      </c>
      <c r="R65" s="15">
        <v>0</v>
      </c>
      <c r="S65" s="15">
        <v>0</v>
      </c>
      <c r="T65" s="16"/>
    </row>
    <row r="66" spans="1:20" ht="20.100000000000001" customHeight="1" x14ac:dyDescent="0.2">
      <c r="D66" s="111"/>
      <c r="E66" s="111" t="str">
        <f>INDEX(X_Table_Swine_Stage2MMS_From_DeepLitter,3,1)</f>
        <v>Digester / covered lagoons</v>
      </c>
      <c r="F66" s="15">
        <v>0</v>
      </c>
      <c r="G66" s="15">
        <v>0</v>
      </c>
      <c r="H66" s="15">
        <v>0</v>
      </c>
      <c r="I66" s="15">
        <v>0</v>
      </c>
      <c r="J66" s="16"/>
      <c r="N66" s="111"/>
      <c r="O66" s="111" t="str">
        <f>INDEX(X_Table_Swine_Stage2MMS_From_DeepLitter,3,1)</f>
        <v>Digester / covered lagoons</v>
      </c>
      <c r="P66" s="15">
        <v>0</v>
      </c>
      <c r="Q66" s="15">
        <v>0</v>
      </c>
      <c r="R66" s="15">
        <v>0</v>
      </c>
      <c r="S66" s="15">
        <v>0</v>
      </c>
      <c r="T66" s="16"/>
    </row>
    <row r="67" spans="1:20" ht="20.100000000000001" customHeight="1" x14ac:dyDescent="0.2">
      <c r="A67" s="131" t="str">
        <f>HYPERLINK("#A1", "▲ Back to top")</f>
        <v>▲ Back to top</v>
      </c>
      <c r="D67" s="111"/>
      <c r="E67" s="111" t="str">
        <f>INDEX(X_Table_Swine_Stage2MMS_From_DeepLitter,4,1)</f>
        <v>Pit storage</v>
      </c>
      <c r="F67" s="15">
        <v>0</v>
      </c>
      <c r="G67" s="15">
        <v>0</v>
      </c>
      <c r="H67" s="15">
        <v>0</v>
      </c>
      <c r="I67" s="15">
        <v>0</v>
      </c>
      <c r="J67" s="16"/>
      <c r="N67" s="111"/>
      <c r="O67" s="111" t="str">
        <f>INDEX(X_Table_Swine_Stage2MMS_From_DeepLitter,4,1)</f>
        <v>Pit storage</v>
      </c>
      <c r="P67" s="15">
        <v>0</v>
      </c>
      <c r="Q67" s="15">
        <v>0</v>
      </c>
      <c r="R67" s="15">
        <v>0</v>
      </c>
      <c r="S67" s="15">
        <v>0</v>
      </c>
      <c r="T67" s="16"/>
    </row>
    <row r="68" spans="1:20" ht="20.100000000000001" customHeight="1" x14ac:dyDescent="0.2">
      <c r="D68" s="111"/>
      <c r="E68" s="111" t="str">
        <f>INDEX(X_Table_Swine_Stage2MMS_From_DeepLitter,5,1)</f>
        <v>Direct application</v>
      </c>
      <c r="F68" s="15">
        <v>0</v>
      </c>
      <c r="G68" s="15">
        <v>0</v>
      </c>
      <c r="H68" s="15">
        <v>0</v>
      </c>
      <c r="I68" s="15">
        <v>0</v>
      </c>
      <c r="J68" s="16"/>
      <c r="N68" s="111"/>
      <c r="O68" s="111" t="str">
        <f>INDEX(X_Table_Swine_Stage2MMS_From_DeepLitter,5,1)</f>
        <v>Direct application</v>
      </c>
      <c r="P68" s="15">
        <v>0</v>
      </c>
      <c r="Q68" s="15">
        <v>0</v>
      </c>
      <c r="R68" s="15">
        <v>0</v>
      </c>
      <c r="S68" s="15">
        <v>0</v>
      </c>
      <c r="T68" s="16"/>
    </row>
    <row r="69" spans="1:20" ht="20.100000000000001" customHeight="1" x14ac:dyDescent="0.2">
      <c r="D69" s="111" t="str">
        <f>INDEX(X_Table_Swine_Stage1MMS_PitStorage,2,1)</f>
        <v>Pit storage</v>
      </c>
      <c r="E69" s="111" t="str">
        <f>INDEX(X_Table_Swine_Stage2MMS_From_PitStorage,2,1)</f>
        <v>Anaerobic lagoon</v>
      </c>
      <c r="F69" s="15">
        <v>0</v>
      </c>
      <c r="G69" s="15">
        <v>0</v>
      </c>
      <c r="H69" s="15">
        <v>0</v>
      </c>
      <c r="I69" s="15">
        <v>0</v>
      </c>
      <c r="J69" s="16"/>
      <c r="N69" s="111" t="str">
        <f>INDEX(X_Table_Swine_Stage1MMS_PitStorage,2,1)</f>
        <v>Pit storage</v>
      </c>
      <c r="O69" s="111" t="str">
        <f>INDEX(X_Table_Swine_Stage2MMS_From_PitStorage,2,1)</f>
        <v>Anaerobic lagoon</v>
      </c>
      <c r="P69" s="15">
        <v>0</v>
      </c>
      <c r="Q69" s="15">
        <v>0</v>
      </c>
      <c r="R69" s="15">
        <v>0</v>
      </c>
      <c r="S69" s="15">
        <v>0</v>
      </c>
      <c r="T69" s="16"/>
    </row>
    <row r="70" spans="1:20" ht="20.100000000000001" customHeight="1" x14ac:dyDescent="0.2">
      <c r="D70" s="111"/>
      <c r="E70" s="111" t="str">
        <f>INDEX(X_Table_Swine_Stage2MMS_From_PitStorage,3,1)</f>
        <v>Digester / covered lagoons</v>
      </c>
      <c r="F70" s="15">
        <v>0</v>
      </c>
      <c r="G70" s="15">
        <v>0</v>
      </c>
      <c r="H70" s="15">
        <v>0</v>
      </c>
      <c r="I70" s="15">
        <v>0</v>
      </c>
      <c r="J70" s="16"/>
      <c r="N70" s="111"/>
      <c r="O70" s="111" t="str">
        <f>INDEX(X_Table_Swine_Stage2MMS_From_PitStorage,3,1)</f>
        <v>Digester / covered lagoons</v>
      </c>
      <c r="P70" s="15">
        <v>0</v>
      </c>
      <c r="Q70" s="15">
        <v>0</v>
      </c>
      <c r="R70" s="15">
        <v>0</v>
      </c>
      <c r="S70" s="15">
        <v>0</v>
      </c>
      <c r="T70" s="16"/>
    </row>
    <row r="71" spans="1:20" ht="20.100000000000001" customHeight="1" x14ac:dyDescent="0.2">
      <c r="D71" s="111"/>
      <c r="E71" s="111" t="str">
        <f>INDEX(X_Table_Swine_Stage2MMS_From_PitStorage,4,1)</f>
        <v>Deep litter</v>
      </c>
      <c r="F71" s="15">
        <v>0</v>
      </c>
      <c r="G71" s="15">
        <v>0</v>
      </c>
      <c r="H71" s="15">
        <v>0</v>
      </c>
      <c r="I71" s="15">
        <v>0</v>
      </c>
      <c r="J71" s="16"/>
      <c r="N71" s="111"/>
      <c r="O71" s="111" t="str">
        <f>INDEX(X_Table_Swine_Stage2MMS_From_PitStorage,4,1)</f>
        <v>Deep litter</v>
      </c>
      <c r="P71" s="15">
        <v>0</v>
      </c>
      <c r="Q71" s="15">
        <v>0</v>
      </c>
      <c r="R71" s="15">
        <v>0</v>
      </c>
      <c r="S71" s="15">
        <v>0</v>
      </c>
      <c r="T71" s="16"/>
    </row>
    <row r="72" spans="1:20" ht="20.100000000000001" customHeight="1" x14ac:dyDescent="0.2">
      <c r="D72" s="111"/>
      <c r="E72" s="111" t="str">
        <f>INDEX(X_Table_Swine_Stage2MMS_From_PitStorage,5,1)</f>
        <v>Direct application</v>
      </c>
      <c r="F72" s="15">
        <v>0</v>
      </c>
      <c r="G72" s="15">
        <v>0</v>
      </c>
      <c r="H72" s="15">
        <v>0</v>
      </c>
      <c r="I72" s="15">
        <v>0</v>
      </c>
      <c r="J72" s="16"/>
      <c r="N72" s="111"/>
      <c r="O72" s="111" t="str">
        <f>INDEX(X_Table_Swine_Stage2MMS_From_PitStorage,5,1)</f>
        <v>Direct application</v>
      </c>
      <c r="P72" s="15">
        <v>0</v>
      </c>
      <c r="Q72" s="15">
        <v>0</v>
      </c>
      <c r="R72" s="15">
        <v>0</v>
      </c>
      <c r="S72" s="15">
        <v>0</v>
      </c>
      <c r="T72" s="16"/>
    </row>
    <row r="73" spans="1:20" ht="20.100000000000001" customHeight="1" x14ac:dyDescent="0.2">
      <c r="D73" s="111" t="s">
        <v>75</v>
      </c>
      <c r="E73" s="111" t="str">
        <f>INDEX(X_Table_Swine_Stage2MMS_From_SolidStorage,2,1)</f>
        <v>Anaerobic lagoon</v>
      </c>
      <c r="F73" s="15">
        <v>0</v>
      </c>
      <c r="G73" s="15">
        <v>0</v>
      </c>
      <c r="H73" s="15">
        <v>0</v>
      </c>
      <c r="I73" s="15">
        <v>0</v>
      </c>
      <c r="J73" s="16"/>
      <c r="N73" s="111" t="s">
        <v>75</v>
      </c>
      <c r="O73" s="111" t="str">
        <f>INDEX(X_Table_Swine_Stage2MMS_From_SolidStorage,2,1)</f>
        <v>Anaerobic lagoon</v>
      </c>
      <c r="P73" s="15">
        <v>0</v>
      </c>
      <c r="Q73" s="15">
        <v>0</v>
      </c>
      <c r="R73" s="15">
        <v>0</v>
      </c>
      <c r="S73" s="15">
        <v>0</v>
      </c>
      <c r="T73" s="16"/>
    </row>
    <row r="74" spans="1:20" ht="20.100000000000001" customHeight="1" x14ac:dyDescent="0.2">
      <c r="D74" s="111"/>
      <c r="E74" s="111" t="str">
        <f>INDEX(X_Table_Swine_Stage2MMS_From_SolidStorage,3,1)</f>
        <v>Digester / covered lagoons</v>
      </c>
      <c r="F74" s="15">
        <v>0</v>
      </c>
      <c r="G74" s="15">
        <v>0</v>
      </c>
      <c r="H74" s="15">
        <v>0</v>
      </c>
      <c r="I74" s="15">
        <v>0</v>
      </c>
      <c r="J74" s="16"/>
      <c r="N74" s="111"/>
      <c r="O74" s="111" t="str">
        <f>INDEX(X_Table_Swine_Stage2MMS_From_SolidStorage,3,1)</f>
        <v>Digester / covered lagoons</v>
      </c>
      <c r="P74" s="15">
        <v>0</v>
      </c>
      <c r="Q74" s="15">
        <v>0</v>
      </c>
      <c r="R74" s="15">
        <v>0</v>
      </c>
      <c r="S74" s="15">
        <v>0</v>
      </c>
      <c r="T74" s="16"/>
    </row>
    <row r="75" spans="1:20" ht="20.100000000000001" customHeight="1" x14ac:dyDescent="0.2">
      <c r="D75" s="111"/>
      <c r="E75" s="111" t="str">
        <f>INDEX(X_Table_Swine_Stage2MMS_From_SolidStorage,4,1)</f>
        <v>Deep litter</v>
      </c>
      <c r="F75" s="15">
        <v>0</v>
      </c>
      <c r="G75" s="15">
        <v>0</v>
      </c>
      <c r="H75" s="15">
        <v>0</v>
      </c>
      <c r="I75" s="15">
        <v>0</v>
      </c>
      <c r="J75" s="16"/>
      <c r="N75" s="111"/>
      <c r="O75" s="111" t="str">
        <f>INDEX(X_Table_Swine_Stage2MMS_From_SolidStorage,4,1)</f>
        <v>Deep litter</v>
      </c>
      <c r="P75" s="15">
        <v>0</v>
      </c>
      <c r="Q75" s="15">
        <v>0</v>
      </c>
      <c r="R75" s="15">
        <v>0</v>
      </c>
      <c r="S75" s="15">
        <v>0</v>
      </c>
      <c r="T75" s="16"/>
    </row>
    <row r="76" spans="1:20" ht="20.100000000000001" customHeight="1" x14ac:dyDescent="0.2">
      <c r="D76" s="111"/>
      <c r="E76" s="111" t="str">
        <f>INDEX(X_Table_Swine_Stage2MMS_From_SolidStorage,5,1)</f>
        <v>Pit storage</v>
      </c>
      <c r="F76" s="15">
        <v>0</v>
      </c>
      <c r="G76" s="15">
        <v>0</v>
      </c>
      <c r="H76" s="15">
        <v>0</v>
      </c>
      <c r="I76" s="15">
        <v>0</v>
      </c>
      <c r="J76" s="16"/>
      <c r="N76" s="111"/>
      <c r="O76" s="111" t="str">
        <f>INDEX(X_Table_Swine_Stage2MMS_From_SolidStorage,5,1)</f>
        <v>Pit storage</v>
      </c>
      <c r="P76" s="15">
        <v>0</v>
      </c>
      <c r="Q76" s="15">
        <v>0</v>
      </c>
      <c r="R76" s="15">
        <v>0</v>
      </c>
      <c r="S76" s="15">
        <v>0</v>
      </c>
      <c r="T76" s="16"/>
    </row>
    <row r="77" spans="1:20" ht="20.100000000000001" customHeight="1" x14ac:dyDescent="0.2">
      <c r="D77" s="111"/>
      <c r="E77" s="111" t="str">
        <f>INDEX(X_Table_Swine_Stage2MMS_From_SolidStorage,6,1)</f>
        <v>Direct application</v>
      </c>
      <c r="F77" s="15">
        <v>0</v>
      </c>
      <c r="G77" s="15">
        <v>0</v>
      </c>
      <c r="H77" s="15">
        <v>0</v>
      </c>
      <c r="I77" s="15">
        <v>0</v>
      </c>
      <c r="J77" s="16"/>
      <c r="N77" s="111"/>
      <c r="O77" s="111" t="str">
        <f>INDEX(X_Table_Swine_Stage2MMS_From_SolidStorage,6,1)</f>
        <v>Direct application</v>
      </c>
      <c r="P77" s="15">
        <v>0</v>
      </c>
      <c r="Q77" s="15">
        <v>0</v>
      </c>
      <c r="R77" s="15">
        <v>0</v>
      </c>
      <c r="S77" s="15">
        <v>0</v>
      </c>
      <c r="T77" s="16"/>
    </row>
    <row r="79" spans="1:20" ht="20.100000000000001" customHeight="1" x14ac:dyDescent="0.2">
      <c r="D79" s="117" t="s">
        <v>452</v>
      </c>
    </row>
    <row r="80" spans="1:20" ht="20.100000000000001" customHeight="1" x14ac:dyDescent="0.2">
      <c r="D80" s="118" t="s">
        <v>453</v>
      </c>
    </row>
    <row r="81" spans="4:7" ht="20.100000000000001" customHeight="1" x14ac:dyDescent="0.2">
      <c r="D81" s="78" t="s">
        <v>325</v>
      </c>
      <c r="E81" s="78" t="s">
        <v>354</v>
      </c>
      <c r="F81" s="78" t="s">
        <v>454</v>
      </c>
    </row>
    <row r="82" spans="4:7" ht="20.100000000000001" customHeight="1" x14ac:dyDescent="0.2">
      <c r="D82" s="111" t="str">
        <f>INDEX(X_Table_Swine_Stage1MMS_AnaerobicLagoon,2,1)</f>
        <v>Anaerobic lagoon</v>
      </c>
      <c r="E82" s="111" t="str">
        <f>INDEX(X_Table_Swine_Stage2MMS_From_AnaerobicLagoon,2,1)</f>
        <v>Digester / covered lagoons</v>
      </c>
      <c r="F82" s="15" cm="1">
        <f t="array" aca="1" ref="F82:F85" ca="1">OFFSET(X_Table_Swine_Stage2MMS_From_AnaerobicLagoon_Destinations, 1,2,4,1)+OFFSET(X_Table_Swine_Stage2MMS_From_AnaerobicLagoon_Destinations, 1,3,4,1)</f>
        <v>0.75</v>
      </c>
      <c r="G82" s="16" t="str">
        <f>G17</f>
        <v>fraction</v>
      </c>
    </row>
    <row r="83" spans="4:7" ht="20.100000000000001" customHeight="1" x14ac:dyDescent="0.2">
      <c r="D83" s="111"/>
      <c r="E83" s="111" t="str">
        <f>INDEX(X_Table_Swine_Stage2MMS_From_AnaerobicLagoon,3,1)</f>
        <v>Deep litter</v>
      </c>
      <c r="F83" s="15">
        <f ca="1"/>
        <v>0.75</v>
      </c>
      <c r="G83" s="16"/>
    </row>
    <row r="84" spans="4:7" ht="20.100000000000001" customHeight="1" x14ac:dyDescent="0.2">
      <c r="D84" s="111"/>
      <c r="E84" s="111" t="str">
        <f>INDEX(X_Table_Swine_Stage2MMS_From_AnaerobicLagoon,4,1)</f>
        <v>Pit storage</v>
      </c>
      <c r="F84" s="15">
        <f ca="1"/>
        <v>0.75</v>
      </c>
      <c r="G84" s="16"/>
    </row>
    <row r="85" spans="4:7" ht="20.100000000000001" customHeight="1" x14ac:dyDescent="0.2">
      <c r="D85" s="111"/>
      <c r="E85" s="111" t="str">
        <f>INDEX(X_Table_Swine_Stage2MMS_From_AnaerobicLagoon,5,1)</f>
        <v>Direct application</v>
      </c>
      <c r="F85" s="15">
        <f ca="1"/>
        <v>1</v>
      </c>
    </row>
    <row r="86" spans="4:7" ht="20.100000000000001" customHeight="1" x14ac:dyDescent="0.2">
      <c r="D86" s="111" t="str">
        <f>INDEX(X_Table_Swine_Stage1MMS_Drylot,2,1)</f>
        <v>Drylot (feed pad)</v>
      </c>
      <c r="E86" s="111" t="str">
        <f>INDEX(X_Table_Swine_Stage2MMS_From_Drylot,2,1)</f>
        <v>Anaerobic lagoon</v>
      </c>
      <c r="F86" s="15" cm="1">
        <f t="array" aca="1" ref="F86:F90" ca="1">OFFSET(X_Table_Swine_Stage2MMS_From_Drylot_Destinations, 1,2,5,1)+OFFSET(X_Table_Swine_Stage2MMS_From_Drylot_Destinations, 1,3,5,1)</f>
        <v>0.75</v>
      </c>
      <c r="G86" s="16"/>
    </row>
    <row r="87" spans="4:7" ht="20.100000000000001" customHeight="1" x14ac:dyDescent="0.2">
      <c r="D87" s="111"/>
      <c r="E87" s="111" t="str">
        <f>INDEX(X_Table_Swine_Stage2MMS_From_Drylot,3,1)</f>
        <v>Digester / covered lagoons</v>
      </c>
      <c r="F87" s="15">
        <f ca="1"/>
        <v>0.75</v>
      </c>
      <c r="G87" s="16"/>
    </row>
    <row r="88" spans="4:7" ht="20.100000000000001" customHeight="1" x14ac:dyDescent="0.2">
      <c r="D88" s="111"/>
      <c r="E88" s="111" t="str">
        <f>INDEX(X_Table_Swine_Stage2MMS_From_Drylot,4,1)</f>
        <v>Deep litter</v>
      </c>
      <c r="F88" s="15">
        <f ca="1"/>
        <v>0.75</v>
      </c>
      <c r="G88" s="16"/>
    </row>
    <row r="89" spans="4:7" ht="20.100000000000001" customHeight="1" x14ac:dyDescent="0.2">
      <c r="D89" s="111"/>
      <c r="E89" s="111" t="str">
        <f>INDEX(X_Table_Swine_Stage2MMS_From_Drylot,5,1)</f>
        <v>Pit storage</v>
      </c>
      <c r="F89" s="15">
        <f ca="1"/>
        <v>0.75</v>
      </c>
      <c r="G89" s="16"/>
    </row>
    <row r="90" spans="4:7" ht="20.100000000000001" customHeight="1" x14ac:dyDescent="0.2">
      <c r="D90" s="111"/>
      <c r="E90" s="111" t="str">
        <f>INDEX(X_Table_Swine_Stage2MMS_From_Drylot,6,1)</f>
        <v>Direct application</v>
      </c>
      <c r="F90" s="15">
        <f ca="1"/>
        <v>1</v>
      </c>
    </row>
    <row r="91" spans="4:7" ht="20.100000000000001" customHeight="1" x14ac:dyDescent="0.2">
      <c r="D91" s="111" t="str">
        <f>INDEX(X_Table_Swine_Stage1MMS_DigesterCoveredLagoons,2,1)</f>
        <v>Digester / covered lagoons</v>
      </c>
      <c r="E91" s="111" t="str">
        <f>INDEX(X_Table_Swine_Stage2MMS_From_DigesterCoveredLagoons,2,1)</f>
        <v>Anaerobic lagoon</v>
      </c>
      <c r="F91" s="15" cm="1">
        <f t="array" aca="1" ref="F91:F94" ca="1">OFFSET(X_Table_Swine_Stage2MMS_From_DigesterCoveredLagoons_Destinations, 1,2,4,1)+OFFSET(X_Table_Swine_Stage2MMS_From_DigesterCoveredLagoons_Destinations, 1,3,4,1)</f>
        <v>0.75</v>
      </c>
      <c r="G91" s="16"/>
    </row>
    <row r="92" spans="4:7" ht="20.100000000000001" customHeight="1" x14ac:dyDescent="0.2">
      <c r="D92" s="111"/>
      <c r="E92" s="111" t="str">
        <f>INDEX(X_Table_Swine_Stage2MMS_From_DigesterCoveredLagoons,3,1)</f>
        <v>Deep litter</v>
      </c>
      <c r="F92" s="15">
        <f ca="1"/>
        <v>0.75</v>
      </c>
      <c r="G92" s="16"/>
    </row>
    <row r="93" spans="4:7" ht="20.100000000000001" customHeight="1" x14ac:dyDescent="0.2">
      <c r="D93" s="111"/>
      <c r="E93" s="111" t="str">
        <f>INDEX(X_Table_Swine_Stage2MMS_From_DigesterCoveredLagoons,4,1)</f>
        <v>Pit storage</v>
      </c>
      <c r="F93" s="15">
        <f ca="1"/>
        <v>0.75</v>
      </c>
      <c r="G93" s="16"/>
    </row>
    <row r="94" spans="4:7" ht="20.100000000000001" customHeight="1" x14ac:dyDescent="0.2">
      <c r="D94" s="111"/>
      <c r="E94" s="111" t="str">
        <f>INDEX(X_Table_Swine_Stage2MMS_From_DigesterCoveredLagoons,5,1)</f>
        <v>Direct application</v>
      </c>
      <c r="F94" s="15">
        <f ca="1"/>
        <v>1</v>
      </c>
    </row>
    <row r="95" spans="4:7" ht="20.100000000000001" customHeight="1" x14ac:dyDescent="0.2">
      <c r="D95" s="111" t="str">
        <f>INDEX(X_Table_Swine_Stage1MMS_DeepLitter,2,1)</f>
        <v>Deep litter</v>
      </c>
      <c r="E95" s="111" t="str">
        <f>INDEX(X_Table_Swine_Stage2MMS_From_DeepLitter,2,1)</f>
        <v>Anaerobic lagoon</v>
      </c>
      <c r="F95" s="15" cm="1">
        <f t="array" aca="1" ref="F95:F98" ca="1">OFFSET(X_Table_Swine_Stage2MMS_From_DeepLitter_Destinations, 1,2,4,1)+OFFSET(X_Table_Swine_Stage2MMS_From_DeepLitter_Destinations, 1,3,4,1)</f>
        <v>0.75</v>
      </c>
      <c r="G95" s="16"/>
    </row>
    <row r="96" spans="4:7" ht="20.100000000000001" customHeight="1" x14ac:dyDescent="0.2">
      <c r="D96" s="111"/>
      <c r="E96" s="111" t="str">
        <f>INDEX(X_Table_Swine_Stage2MMS_From_DeepLitter,3,1)</f>
        <v>Digester / covered lagoons</v>
      </c>
      <c r="F96" s="15">
        <f ca="1"/>
        <v>0.75</v>
      </c>
      <c r="G96" s="16"/>
    </row>
    <row r="97" spans="1:7" ht="20.100000000000001" customHeight="1" x14ac:dyDescent="0.2">
      <c r="A97" s="131" t="str">
        <f>HYPERLINK("#A1", "▲ Back to top")</f>
        <v>▲ Back to top</v>
      </c>
      <c r="D97" s="111"/>
      <c r="E97" s="111" t="str">
        <f>INDEX(X_Table_Swine_Stage2MMS_From_DeepLitter,4,1)</f>
        <v>Pit storage</v>
      </c>
      <c r="F97" s="15">
        <f ca="1"/>
        <v>0.75</v>
      </c>
      <c r="G97" s="16"/>
    </row>
    <row r="98" spans="1:7" ht="20.100000000000001" customHeight="1" x14ac:dyDescent="0.2">
      <c r="D98" s="111"/>
      <c r="E98" s="111" t="str">
        <f>INDEX(X_Table_Swine_Stage2MMS_From_DeepLitter,5,1)</f>
        <v>Direct application</v>
      </c>
      <c r="F98" s="15">
        <f ca="1"/>
        <v>1</v>
      </c>
    </row>
    <row r="99" spans="1:7" ht="20.100000000000001" customHeight="1" x14ac:dyDescent="0.2">
      <c r="D99" s="111" t="str">
        <f>INDEX(X_Table_Swine_Stage1MMS_PitStorage,2,1)</f>
        <v>Pit storage</v>
      </c>
      <c r="E99" s="111" t="str">
        <f>INDEX(X_Table_Swine_Stage2MMS_From_PitStorage,2,1)</f>
        <v>Anaerobic lagoon</v>
      </c>
      <c r="F99" s="15" cm="1">
        <f t="array" aca="1" ref="F99:F102" ca="1">OFFSET(X_Table_Swine_Stage2MMS_From_PitStorage_Destinations, 1,2,4,1)+OFFSET(X_Table_Swine_Stage2MMS_From_PitStorage_Destinations, 1,3,4,1)</f>
        <v>0.75</v>
      </c>
      <c r="G99" s="16"/>
    </row>
    <row r="100" spans="1:7" ht="20.100000000000001" customHeight="1" x14ac:dyDescent="0.2">
      <c r="D100" s="111"/>
      <c r="E100" s="111" t="str">
        <f>INDEX(X_Table_Swine_Stage2MMS_From_PitStorage,3,1)</f>
        <v>Digester / covered lagoons</v>
      </c>
      <c r="F100" s="15">
        <f ca="1"/>
        <v>0.75</v>
      </c>
      <c r="G100" s="16"/>
    </row>
    <row r="101" spans="1:7" ht="20.100000000000001" customHeight="1" x14ac:dyDescent="0.2">
      <c r="D101" s="111"/>
      <c r="E101" s="111" t="str">
        <f>INDEX(X_Table_Swine_Stage2MMS_From_PitStorage,4,1)</f>
        <v>Deep litter</v>
      </c>
      <c r="F101" s="15">
        <f ca="1"/>
        <v>0.75</v>
      </c>
      <c r="G101" s="16"/>
    </row>
    <row r="102" spans="1:7" ht="20.100000000000001" customHeight="1" x14ac:dyDescent="0.2">
      <c r="D102" s="111"/>
      <c r="E102" s="111" t="str">
        <f>INDEX(X_Table_Swine_Stage2MMS_From_PitStorage,5,1)</f>
        <v>Direct application</v>
      </c>
      <c r="F102" s="15">
        <f ca="1"/>
        <v>1</v>
      </c>
    </row>
    <row r="103" spans="1:7" ht="20.100000000000001" customHeight="1" x14ac:dyDescent="0.2">
      <c r="D103" s="111" t="s">
        <v>75</v>
      </c>
      <c r="E103" s="111" t="str">
        <f>INDEX(X_Table_Swine_Stage2MMS_From_SolidStorage,2,1)</f>
        <v>Anaerobic lagoon</v>
      </c>
      <c r="F103" s="15" cm="1">
        <f t="array" aca="1" ref="F103:F107" ca="1">OFFSET(X_Table_Swine_Stage2MMS_From_SolidStorage_Destinations, 1,2,5,1)+OFFSET(X_Table_Swine_Stage2MMS_From_SolidStorage_Destinations, 1,3,5,1)</f>
        <v>0.75</v>
      </c>
      <c r="G103" s="16"/>
    </row>
    <row r="104" spans="1:7" ht="20.100000000000001" customHeight="1" x14ac:dyDescent="0.2">
      <c r="D104" s="111"/>
      <c r="E104" s="111" t="str">
        <f>INDEX(X_Table_Swine_Stage2MMS_From_SolidStorage,3,1)</f>
        <v>Digester / covered lagoons</v>
      </c>
      <c r="F104" s="15">
        <f ca="1"/>
        <v>0.75</v>
      </c>
      <c r="G104" s="16"/>
    </row>
    <row r="105" spans="1:7" ht="20.100000000000001" customHeight="1" x14ac:dyDescent="0.2">
      <c r="D105" s="111"/>
      <c r="E105" s="111" t="str">
        <f>INDEX(X_Table_Swine_Stage2MMS_From_SolidStorage,4,1)</f>
        <v>Deep litter</v>
      </c>
      <c r="F105" s="15">
        <f ca="1"/>
        <v>0.75</v>
      </c>
      <c r="G105" s="16"/>
    </row>
    <row r="106" spans="1:7" ht="20.100000000000001" customHeight="1" x14ac:dyDescent="0.2">
      <c r="D106" s="111"/>
      <c r="E106" s="111" t="str">
        <f>INDEX(X_Table_Swine_Stage2MMS_From_SolidStorage,5,1)</f>
        <v>Pit storage</v>
      </c>
      <c r="F106" s="15">
        <f ca="1"/>
        <v>0.75</v>
      </c>
      <c r="G106" s="16"/>
    </row>
    <row r="107" spans="1:7" ht="20.100000000000001" customHeight="1" x14ac:dyDescent="0.2">
      <c r="D107" s="111"/>
      <c r="E107" s="111" t="str">
        <f>INDEX(X_Table_Swine_Stage2MMS_From_SolidStorage,6,1)</f>
        <v>Direct application</v>
      </c>
      <c r="F107" s="15">
        <f ca="1"/>
        <v>1</v>
      </c>
    </row>
    <row r="109" spans="1:7" ht="20.100000000000001" customHeight="1" x14ac:dyDescent="0.2">
      <c r="D109" s="117" t="s">
        <v>430</v>
      </c>
    </row>
    <row r="110" spans="1:7" ht="20.100000000000001" customHeight="1" x14ac:dyDescent="0.2">
      <c r="D110" s="118" t="s">
        <v>431</v>
      </c>
    </row>
    <row r="111" spans="1:7" ht="20.100000000000001" customHeight="1" x14ac:dyDescent="0.2">
      <c r="D111" s="119" t="s">
        <v>325</v>
      </c>
      <c r="E111" s="119" t="s">
        <v>409</v>
      </c>
    </row>
    <row r="112" spans="1:7" ht="20.100000000000001" customHeight="1" x14ac:dyDescent="0.2">
      <c r="D112" s="111" t="str">
        <f>INDEX(X_Table_Swine_Stage1MMS_AnaerobicLagoon,2,1)</f>
        <v>Anaerobic lagoon</v>
      </c>
      <c r="E112" s="15" cm="1">
        <f t="array" ref="E112">Common_InputFunctions.Utility_LookupValueInTableNumber(D112, Table_SourceData_Swine_FracGASM[NIR reference],Table_SourceData_Swine_FracGASM[FracGASMmT])</f>
        <v>0.55000000000000004</v>
      </c>
      <c r="F112" s="16" t="str">
        <f>G15</f>
        <v>(kg NH3-N + NOx-N)/kg N</v>
      </c>
    </row>
    <row r="113" spans="1:6" ht="20.100000000000001" customHeight="1" x14ac:dyDescent="0.2">
      <c r="D113" s="111" t="str">
        <f>INDEX(X_Table_Swine_Stage1MMS_Drylot,2,1)</f>
        <v>Drylot (feed pad)</v>
      </c>
      <c r="E113" s="15" cm="1">
        <f t="array" ref="E113">Common_InputFunctions.Utility_LookupValueInTableNumber(D113, Table_SourceData_Swine_FracGASM[NIR reference],Table_SourceData_Swine_FracGASM[FracGASMmT])</f>
        <v>0.3</v>
      </c>
    </row>
    <row r="114" spans="1:6" ht="20.100000000000001" customHeight="1" x14ac:dyDescent="0.2">
      <c r="D114" s="111" t="str">
        <f>INDEX(X_Table_Swine_Stage1MMS_DigesterCoveredLagoons,2,1)</f>
        <v>Digester / covered lagoons</v>
      </c>
      <c r="E114" s="15" cm="1">
        <f t="array" ref="E114">Common_InputFunctions.Utility_LookupValueInTableNumber(D114, Table_SourceData_Swine_FracGASM[NIR reference],Table_SourceData_Swine_FracGASM[FracGASMmT])</f>
        <v>0</v>
      </c>
    </row>
    <row r="115" spans="1:6" ht="20.100000000000001" customHeight="1" x14ac:dyDescent="0.2">
      <c r="D115" s="111" t="str">
        <f>INDEX(X_Table_Swine_Stage1MMS_DeepLitter,2,1)</f>
        <v>Deep litter</v>
      </c>
      <c r="E115" s="15" cm="1">
        <f t="array" ref="E115">Common_InputFunctions.Utility_LookupValueInTableNumber(D115, Table_SourceData_Swine_FracGASM[NIR reference],Table_SourceData_Swine_FracGASM[FracGASMmT])</f>
        <v>0.125</v>
      </c>
    </row>
    <row r="116" spans="1:6" ht="20.100000000000001" customHeight="1" x14ac:dyDescent="0.2">
      <c r="D116" s="111" t="str">
        <f>INDEX(X_Table_Swine_Stage1MMS_PitStorage,2,1)</f>
        <v>Pit storage</v>
      </c>
      <c r="E116" s="15" cm="1">
        <f t="array" ref="E116">Common_InputFunctions.Utility_LookupValueInTableNumber(D116, Table_SourceData_Swine_FracGASM[NIR reference],Table_SourceData_Swine_FracGASM[FracGASMmT])</f>
        <v>0.25</v>
      </c>
    </row>
    <row r="117" spans="1:6" ht="20.100000000000001" customHeight="1" x14ac:dyDescent="0.2">
      <c r="D117" s="111" t="s">
        <v>75</v>
      </c>
      <c r="E117" s="15" cm="1">
        <f t="array" ref="E117">Common_InputFunctions.Utility_LookupValueInTableNumber(D117, Table_SourceData_Swine_FracGASM[NIR reference],Table_SourceData_Swine_FracGASM[FracGASMmT])</f>
        <v>0.2</v>
      </c>
    </row>
    <row r="118" spans="1:6" ht="20.100000000000001" customHeight="1" x14ac:dyDescent="0.2">
      <c r="D118" s="111" t="str">
        <f>'Constants - Swine'!$D$47</f>
        <v>Direct application</v>
      </c>
      <c r="E118" s="15" cm="1">
        <f t="array" ref="E118">Common_InputFunctions.Utility_LookupValueInTableNumber(D118, Table_SourceData_Swine_FracGASM[NIR reference],Table_SourceData_Swine_FracGASM[FracGASMmT])</f>
        <v>0</v>
      </c>
    </row>
    <row r="120" spans="1:6" ht="20.100000000000001" customHeight="1" x14ac:dyDescent="0.2">
      <c r="D120" s="117" t="s">
        <v>455</v>
      </c>
    </row>
    <row r="121" spans="1:6" ht="20.100000000000001" customHeight="1" x14ac:dyDescent="0.2">
      <c r="D121" s="118" t="s">
        <v>456</v>
      </c>
    </row>
    <row r="122" spans="1:6" ht="20.100000000000001" customHeight="1" x14ac:dyDescent="0.2">
      <c r="D122" s="119" t="s">
        <v>359</v>
      </c>
      <c r="E122" s="119" t="s">
        <v>412</v>
      </c>
    </row>
    <row r="123" spans="1:6" ht="20.100000000000001" customHeight="1" x14ac:dyDescent="0.2">
      <c r="D123" s="111" t="str">
        <f>INDEX(X_Table_Swine_Stage1MMS_AnaerobicLagoon,2,1)</f>
        <v>Anaerobic lagoon</v>
      </c>
      <c r="E123" s="15" cm="1">
        <f t="array" ref="E123">Common_InputFunctions.Utility_LookupValueInTableNumber(D123, Table_SourceData_Swine_FracGASM28[NIR reference],Table_SourceData_Swine_FracGASM28[EFmT])</f>
        <v>0</v>
      </c>
      <c r="F123" s="16" t="str">
        <f>G14</f>
        <v>kg N2O-N/kg N</v>
      </c>
    </row>
    <row r="124" spans="1:6" ht="20.100000000000001" customHeight="1" x14ac:dyDescent="0.2">
      <c r="D124" s="111" t="str">
        <f>INDEX(X_Table_Swine_Stage1MMS_Drylot,2,1)</f>
        <v>Drylot (feed pad)</v>
      </c>
      <c r="E124" s="15" cm="1">
        <f t="array" ref="E124">Common_InputFunctions.Utility_LookupValueInTableNumber(D124, Table_SourceData_Swine_FracGASM28[NIR reference],Table_SourceData_Swine_FracGASM28[EFmT])</f>
        <v>0.02</v>
      </c>
    </row>
    <row r="125" spans="1:6" ht="20.100000000000001" customHeight="1" x14ac:dyDescent="0.2">
      <c r="D125" s="111" t="str">
        <f>INDEX(X_Table_Swine_Stage1MMS_DigesterCoveredLagoons,2,1)</f>
        <v>Digester / covered lagoons</v>
      </c>
      <c r="E125" s="15" cm="1">
        <f t="array" ref="E125">Common_InputFunctions.Utility_LookupValueInTableNumber(D125, Table_SourceData_Swine_FracGASM28[NIR reference],Table_SourceData_Swine_FracGASM28[EFmT])</f>
        <v>0</v>
      </c>
    </row>
    <row r="126" spans="1:6" ht="20.100000000000001" customHeight="1" x14ac:dyDescent="0.2">
      <c r="D126" s="111" t="str">
        <f>INDEX(X_Table_Swine_Stage1MMS_DeepLitter,2,1)</f>
        <v>Deep litter</v>
      </c>
      <c r="E126" s="15" cm="1">
        <f t="array" ref="E126">Common_InputFunctions.Utility_LookupValueInTableNumber(D126, Table_SourceData_Swine_FracGASM28[NIR reference],Table_SourceData_Swine_FracGASM28[EFmT])</f>
        <v>0.01</v>
      </c>
    </row>
    <row r="127" spans="1:6" ht="20.100000000000001" customHeight="1" x14ac:dyDescent="0.2">
      <c r="A127" s="131" t="str">
        <f>HYPERLINK("#A1", "▲ Back to top")</f>
        <v>▲ Back to top</v>
      </c>
      <c r="D127" s="111" t="str">
        <f>INDEX(X_Table_Swine_Stage1MMS_PitStorage,2,1)</f>
        <v>Pit storage</v>
      </c>
      <c r="E127" s="15" cm="1">
        <f t="array" ref="E127">Common_InputFunctions.Utility_LookupValueInTableNumber(D127, Table_SourceData_Swine_FracGASM28[NIR reference],Table_SourceData_Swine_FracGASM28[EFmT])</f>
        <v>2E-3</v>
      </c>
    </row>
    <row r="128" spans="1:6" ht="20.100000000000001" customHeight="1" x14ac:dyDescent="0.2">
      <c r="D128" s="111" t="s">
        <v>75</v>
      </c>
      <c r="E128" s="15" cm="1">
        <f t="array" ref="E128">Common_InputFunctions.Utility_LookupValueInTableNumber(D128, Table_SourceData_Swine_FracGASM28[NIR reference],Table_SourceData_Swine_FracGASM28[EFmT])</f>
        <v>5.0000000000000001E-3</v>
      </c>
    </row>
    <row r="129" spans="4:20" ht="20.100000000000001" customHeight="1" x14ac:dyDescent="0.2">
      <c r="D129" s="111" t="str">
        <f>'Constants - Swine'!$D$47</f>
        <v>Direct application</v>
      </c>
      <c r="E129" s="15" cm="1">
        <f t="array" ref="E129">Common_InputFunctions.Utility_LookupValueInTableNumber(D129, Table_SourceData_Swine_FracGASM28[NIR reference],Table_SourceData_Swine_FracGASM28[EFmT])</f>
        <v>0</v>
      </c>
    </row>
    <row r="131" spans="4:20" ht="20.100000000000001" customHeight="1" x14ac:dyDescent="0.2">
      <c r="D131" s="117" t="s">
        <v>457</v>
      </c>
      <c r="N131" s="117" t="s">
        <v>457</v>
      </c>
    </row>
    <row r="132" spans="4:20" ht="20.100000000000001" customHeight="1" x14ac:dyDescent="0.2">
      <c r="D132" s="118" t="s">
        <v>458</v>
      </c>
      <c r="N132" s="118" t="s">
        <v>458</v>
      </c>
    </row>
    <row r="133" spans="4:20" ht="20.100000000000001" customHeight="1" x14ac:dyDescent="0.2">
      <c r="D133" s="119" t="s">
        <v>325</v>
      </c>
      <c r="E133" s="119" t="s">
        <v>354</v>
      </c>
      <c r="F133" s="119" t="s">
        <v>290</v>
      </c>
      <c r="G133" s="119" t="s">
        <v>291</v>
      </c>
      <c r="H133" s="119" t="s">
        <v>265</v>
      </c>
      <c r="I133" s="119" t="s">
        <v>292</v>
      </c>
      <c r="N133" s="119" t="s">
        <v>325</v>
      </c>
      <c r="O133" s="119" t="s">
        <v>354</v>
      </c>
      <c r="P133" s="119" t="s">
        <v>290</v>
      </c>
      <c r="Q133" s="119" t="s">
        <v>291</v>
      </c>
      <c r="R133" s="119" t="s">
        <v>265</v>
      </c>
      <c r="S133" s="119" t="s">
        <v>292</v>
      </c>
    </row>
    <row r="134" spans="4:20" ht="20.100000000000001" customHeight="1" x14ac:dyDescent="0.2">
      <c r="D134" s="111" t="str">
        <f>INDEX(X_Table_Swine_Stage1MMS_AnaerobicLagoon,2,1)</f>
        <v>Anaerobic lagoon</v>
      </c>
      <c r="E134" s="111" t="str">
        <f>INDEX(X_Table_Swine_Stage2MMS_From_AnaerobicLagoon,2,1)</f>
        <v>Digester / covered lagoons</v>
      </c>
      <c r="F134" s="15" cm="1">
        <f t="array" aca="1" ref="F134" ca="1">MMS_Swine_ManureAppliedToSoils_Equations.VEERG_4_5_1_9__1_MassOfNitrogenAppliedToSoilsScope1(F22,_xlfn.XLOOKUP($E134,$D$123:$D$129,$E$123:$E$129), _xlfn.XLOOKUP($E134,$D$112:$D$118,$E$112:$E$118),F52,$F82)</f>
        <v>13.599899999999996</v>
      </c>
      <c r="G134" s="15" cm="1">
        <f t="array" aca="1" ref="G134" ca="1">MMS_Swine_ManureAppliedToSoils_Equations.VEERG_4_5_1_9__1_MassOfNitrogenAppliedToSoilsScope1(G22,_xlfn.XLOOKUP($E134,$D$123:$D$129,$E$123:$E$129), _xlfn.XLOOKUP($E134,$D$112:$D$118,$E$112:$E$118),G52,$F82)</f>
        <v>18.108562500000001</v>
      </c>
      <c r="H134" s="15" cm="1">
        <f t="array" aca="1" ref="H134" ca="1">MMS_Swine_ManureAppliedToSoils_Equations.VEERG_4_5_1_9__1_MassOfNitrogenAppliedToSoilsScope1(H22,_xlfn.XLOOKUP($E134,$D$123:$D$129,$E$123:$E$129), _xlfn.XLOOKUP($E134,$D$112:$D$118,$E$112:$E$118),H52,$F82)</f>
        <v>16.999874999999996</v>
      </c>
      <c r="I134" s="15" cm="1">
        <f t="array" aca="1" ref="I134" ca="1">MMS_Swine_ManureAppliedToSoils_Equations.VEERG_4_5_1_9__1_MassOfNitrogenAppliedToSoilsScope1(I22,_xlfn.XLOOKUP($E134,$D$123:$D$129,$E$123:$E$129), _xlfn.XLOOKUP($E134,$D$112:$D$118,$E$112:$E$118),I52,$F82)</f>
        <v>11.530349999999997</v>
      </c>
      <c r="J134" s="16" t="str">
        <f>$E$11</f>
        <v>kg N</v>
      </c>
      <c r="N134" s="111" t="str">
        <f>INDEX(X_Table_Swine_Stage1MMS_AnaerobicLagoon,2,1)</f>
        <v>Anaerobic lagoon</v>
      </c>
      <c r="O134" s="111" t="str">
        <f>INDEX(X_Table_Swine_Stage2MMS_From_AnaerobicLagoon,2,1)</f>
        <v>Digester / covered lagoons</v>
      </c>
      <c r="P134" s="15" cm="1">
        <f t="array" aca="1" ref="P134" ca="1">MMS_Swine_ManureAppliedToSoils_Equations.VEERG_4_5_1_9__1_MassOfNitrogenAppliedToSoilsScope1(P22,_xlfn.XLOOKUP($O134,$D$123:$D$129,$E$123:$E$129), _xlfn.XLOOKUP($O134,$D$112:$D$118,$E$112:$E$118),P52,$F82)</f>
        <v>13.599899999999996</v>
      </c>
      <c r="Q134" s="15" cm="1">
        <f t="array" aca="1" ref="Q134" ca="1">MMS_Swine_ManureAppliedToSoils_Equations.VEERG_4_5_1_9__1_MassOfNitrogenAppliedToSoilsScope1(Q22,_xlfn.XLOOKUP($O134,$D$123:$D$129,$E$123:$E$129), _xlfn.XLOOKUP($O134,$D$112:$D$118,$E$112:$E$118),Q52,$F82)</f>
        <v>18.108562500000001</v>
      </c>
      <c r="R134" s="15" cm="1">
        <f t="array" aca="1" ref="R134" ca="1">MMS_Swine_ManureAppliedToSoils_Equations.VEERG_4_5_1_9__1_MassOfNitrogenAppliedToSoilsScope1(R22,_xlfn.XLOOKUP($O134,$D$123:$D$129,$E$123:$E$129), _xlfn.XLOOKUP($O134,$D$112:$D$118,$E$112:$E$118),R52,$F82)</f>
        <v>16.999874999999996</v>
      </c>
      <c r="S134" s="15" cm="1">
        <f t="array" aca="1" ref="S134" ca="1">MMS_Swine_ManureAppliedToSoils_Equations.VEERG_4_5_1_9__1_MassOfNitrogenAppliedToSoilsScope1(S22,_xlfn.XLOOKUP($O134,$D$123:$D$129,$E$123:$E$129), _xlfn.XLOOKUP($O134,$D$112:$D$118,$E$112:$E$118),S52,$F82)</f>
        <v>11.530349999999997</v>
      </c>
      <c r="T134" s="16" t="str">
        <f t="shared" ref="T134" si="0">$E$11</f>
        <v>kg N</v>
      </c>
    </row>
    <row r="135" spans="4:20" ht="20.100000000000001" customHeight="1" x14ac:dyDescent="0.2">
      <c r="D135" s="111"/>
      <c r="E135" s="111" t="str">
        <f>INDEX(X_Table_Swine_Stage2MMS_From_AnaerobicLagoon,3,1)</f>
        <v>Deep litter</v>
      </c>
      <c r="F135" s="15" cm="1">
        <f t="array" aca="1" ref="F135" ca="1">MMS_Swine_ManureAppliedToSoils_Equations.VEERG_4_5_1_9__1_MassOfNitrogenAppliedToSoilsScope1(F23,_xlfn.XLOOKUP($E135,$D$123:$D$129,$E$123:$E$129), _xlfn.XLOOKUP($E135,$D$112:$D$118,$E$112:$E$118),F53,$F83)</f>
        <v>11.763913499999997</v>
      </c>
      <c r="G135" s="15" cm="1">
        <f t="array" aca="1" ref="G135" ca="1">MMS_Swine_ManureAppliedToSoils_Equations.VEERG_4_5_1_9__1_MassOfNitrogenAppliedToSoilsScope1(G23,_xlfn.XLOOKUP($E135,$D$123:$D$129,$E$123:$E$129), _xlfn.XLOOKUP($E135,$D$112:$D$118,$E$112:$E$118),G53,$F83)</f>
        <v>15.663906562499999</v>
      </c>
      <c r="H135" s="15" cm="1">
        <f t="array" aca="1" ref="H135" ca="1">MMS_Swine_ManureAppliedToSoils_Equations.VEERG_4_5_1_9__1_MassOfNitrogenAppliedToSoilsScope1(H23,_xlfn.XLOOKUP($E135,$D$123:$D$129,$E$123:$E$129), _xlfn.XLOOKUP($E135,$D$112:$D$118,$E$112:$E$118),H53,$F83)</f>
        <v>14.704891874999994</v>
      </c>
      <c r="I135" s="15" cm="1">
        <f t="array" aca="1" ref="I135" ca="1">MMS_Swine_ManureAppliedToSoils_Equations.VEERG_4_5_1_9__1_MassOfNitrogenAppliedToSoilsScope1(I23,_xlfn.XLOOKUP($E135,$D$123:$D$129,$E$123:$E$129), _xlfn.XLOOKUP($E135,$D$112:$D$118,$E$112:$E$118),I53,$F83)</f>
        <v>9.9737527499999974</v>
      </c>
      <c r="J135" s="16"/>
      <c r="N135" s="111"/>
      <c r="O135" s="111" t="str">
        <f>INDEX(X_Table_Swine_Stage2MMS_From_AnaerobicLagoon,3,1)</f>
        <v>Deep litter</v>
      </c>
      <c r="P135" s="15" cm="1">
        <f t="array" aca="1" ref="P135" ca="1">MMS_Swine_ManureAppliedToSoils_Equations.VEERG_4_5_1_9__1_MassOfNitrogenAppliedToSoilsScope1(P23,_xlfn.XLOOKUP($O135,$D$123:$D$129,$E$123:$E$129), _xlfn.XLOOKUP($O135,$D$112:$D$118,$E$112:$E$118),P53,$F83)</f>
        <v>11.763913499999997</v>
      </c>
      <c r="Q135" s="15" cm="1">
        <f t="array" aca="1" ref="Q135" ca="1">MMS_Swine_ManureAppliedToSoils_Equations.VEERG_4_5_1_9__1_MassOfNitrogenAppliedToSoilsScope1(Q23,_xlfn.XLOOKUP($O135,$D$123:$D$129,$E$123:$E$129), _xlfn.XLOOKUP($O135,$D$112:$D$118,$E$112:$E$118),Q53,$F83)</f>
        <v>15.663906562499999</v>
      </c>
      <c r="R135" s="15" cm="1">
        <f t="array" aca="1" ref="R135" ca="1">MMS_Swine_ManureAppliedToSoils_Equations.VEERG_4_5_1_9__1_MassOfNitrogenAppliedToSoilsScope1(R23,_xlfn.XLOOKUP($O135,$D$123:$D$129,$E$123:$E$129), _xlfn.XLOOKUP($O135,$D$112:$D$118,$E$112:$E$118),R53,$F83)</f>
        <v>14.704891874999994</v>
      </c>
      <c r="S135" s="15" cm="1">
        <f t="array" aca="1" ref="S135" ca="1">MMS_Swine_ManureAppliedToSoils_Equations.VEERG_4_5_1_9__1_MassOfNitrogenAppliedToSoilsScope1(S23,_xlfn.XLOOKUP($O135,$D$123:$D$129,$E$123:$E$129), _xlfn.XLOOKUP($O135,$D$112:$D$118,$E$112:$E$118),S53,$F83)</f>
        <v>9.9737527499999974</v>
      </c>
      <c r="T135" s="16"/>
    </row>
    <row r="136" spans="4:20" ht="20.100000000000001" customHeight="1" x14ac:dyDescent="0.2">
      <c r="D136" s="111"/>
      <c r="E136" s="111" t="str">
        <f>INDEX(X_Table_Swine_Stage2MMS_From_AnaerobicLagoon,4,1)</f>
        <v>Pit storage</v>
      </c>
      <c r="F136" s="15" cm="1">
        <f t="array" aca="1" ref="F136" ca="1">MMS_Swine_ManureAppliedToSoils_Equations.VEERG_4_5_1_9__1_MassOfNitrogenAppliedToSoilsScope1(F24,_xlfn.XLOOKUP($E136,$D$123:$D$129,$E$123:$E$129), _xlfn.XLOOKUP($E136,$D$112:$D$118,$E$112:$E$118),F54,$F84)</f>
        <v>10.172725199999997</v>
      </c>
      <c r="G136" s="15" cm="1">
        <f t="array" aca="1" ref="G136" ca="1">MMS_Swine_ManureAppliedToSoils_Equations.VEERG_4_5_1_9__1_MassOfNitrogenAppliedToSoilsScope1(G24,_xlfn.XLOOKUP($E136,$D$123:$D$129,$E$123:$E$129), _xlfn.XLOOKUP($E136,$D$112:$D$118,$E$112:$E$118),G54,$F84)</f>
        <v>13.545204750000002</v>
      </c>
      <c r="H136" s="15" cm="1">
        <f t="array" aca="1" ref="H136" ca="1">MMS_Swine_ManureAppliedToSoils_Equations.VEERG_4_5_1_9__1_MassOfNitrogenAppliedToSoilsScope1(H24,_xlfn.XLOOKUP($E136,$D$123:$D$129,$E$123:$E$129), _xlfn.XLOOKUP($E136,$D$112:$D$118,$E$112:$E$118),H54,$F84)</f>
        <v>12.715906499999996</v>
      </c>
      <c r="I136" s="15" cm="1">
        <f t="array" aca="1" ref="I136" ca="1">MMS_Swine_ManureAppliedToSoils_Equations.VEERG_4_5_1_9__1_MassOfNitrogenAppliedToSoilsScope1(I24,_xlfn.XLOOKUP($E136,$D$123:$D$129,$E$123:$E$129), _xlfn.XLOOKUP($E136,$D$112:$D$118,$E$112:$E$118),I54,$F84)</f>
        <v>8.6247017999999969</v>
      </c>
      <c r="J136" s="16"/>
      <c r="N136" s="111"/>
      <c r="O136" s="111" t="str">
        <f>INDEX(X_Table_Swine_Stage2MMS_From_AnaerobicLagoon,4,1)</f>
        <v>Pit storage</v>
      </c>
      <c r="P136" s="15" cm="1">
        <f t="array" aca="1" ref="P136" ca="1">MMS_Swine_ManureAppliedToSoils_Equations.VEERG_4_5_1_9__1_MassOfNitrogenAppliedToSoilsScope1(P24,_xlfn.XLOOKUP($O136,$D$123:$D$129,$E$123:$E$129), _xlfn.XLOOKUP($O136,$D$112:$D$118,$E$112:$E$118),P54,$F84)</f>
        <v>10.172725199999997</v>
      </c>
      <c r="Q136" s="15" cm="1">
        <f t="array" aca="1" ref="Q136" ca="1">MMS_Swine_ManureAppliedToSoils_Equations.VEERG_4_5_1_9__1_MassOfNitrogenAppliedToSoilsScope1(Q24,_xlfn.XLOOKUP($O136,$D$123:$D$129,$E$123:$E$129), _xlfn.XLOOKUP($O136,$D$112:$D$118,$E$112:$E$118),Q54,$F84)</f>
        <v>13.545204750000002</v>
      </c>
      <c r="R136" s="15" cm="1">
        <f t="array" aca="1" ref="R136" ca="1">MMS_Swine_ManureAppliedToSoils_Equations.VEERG_4_5_1_9__1_MassOfNitrogenAppliedToSoilsScope1(R24,_xlfn.XLOOKUP($O136,$D$123:$D$129,$E$123:$E$129), _xlfn.XLOOKUP($O136,$D$112:$D$118,$E$112:$E$118),R54,$F84)</f>
        <v>12.715906499999996</v>
      </c>
      <c r="S136" s="15" cm="1">
        <f t="array" aca="1" ref="S136" ca="1">MMS_Swine_ManureAppliedToSoils_Equations.VEERG_4_5_1_9__1_MassOfNitrogenAppliedToSoilsScope1(S24,_xlfn.XLOOKUP($O136,$D$123:$D$129,$E$123:$E$129), _xlfn.XLOOKUP($O136,$D$112:$D$118,$E$112:$E$118),S54,$F84)</f>
        <v>8.6247017999999969</v>
      </c>
      <c r="T136" s="16"/>
    </row>
    <row r="137" spans="4:20" ht="20.100000000000001" customHeight="1" x14ac:dyDescent="0.2">
      <c r="D137" s="111"/>
      <c r="E137" s="111" t="str">
        <f>INDEX(X_Table_Swine_Stage2MMS_From_AnaerobicLagoon,5,1)</f>
        <v>Direct application</v>
      </c>
      <c r="F137" s="15" cm="1">
        <f t="array" aca="1" ref="F137" ca="1">MMS_Swine_ManureAppliedToSoils_Equations.VEERG_4_5_1_9__1_MassOfNitrogenAppliedToSoilsScope1(F25,_xlfn.XLOOKUP($E137,$D$123:$D$129,$E$123:$E$129), _xlfn.XLOOKUP($E137,$D$112:$D$118,$E$112:$E$118),F55,$F85)</f>
        <v>36.266399999999976</v>
      </c>
      <c r="G137" s="15" cm="1">
        <f t="array" aca="1" ref="G137" ca="1">MMS_Swine_ManureAppliedToSoils_Equations.VEERG_4_5_1_9__1_MassOfNitrogenAppliedToSoilsScope1(G25,_xlfn.XLOOKUP($E137,$D$123:$D$129,$E$123:$E$129), _xlfn.XLOOKUP($E137,$D$112:$D$118,$E$112:$E$118),G55,$F85)</f>
        <v>24.144750000000002</v>
      </c>
      <c r="H137" s="15" cm="1">
        <f t="array" aca="1" ref="H137" ca="1">MMS_Swine_ManureAppliedToSoils_Equations.VEERG_4_5_1_9__1_MassOfNitrogenAppliedToSoilsScope1(H25,_xlfn.XLOOKUP($E137,$D$123:$D$129,$E$123:$E$129), _xlfn.XLOOKUP($E137,$D$112:$D$118,$E$112:$E$118),H55,$F85)</f>
        <v>22.666499999999992</v>
      </c>
      <c r="I137" s="15" cm="1">
        <f t="array" aca="1" ref="I137" ca="1">MMS_Swine_ManureAppliedToSoils_Equations.VEERG_4_5_1_9__1_MassOfNitrogenAppliedToSoilsScope1(I25,_xlfn.XLOOKUP($E137,$D$123:$D$129,$E$123:$E$129), _xlfn.XLOOKUP($E137,$D$112:$D$118,$E$112:$E$118),I55,$F85)</f>
        <v>15.373799999999996</v>
      </c>
      <c r="J137" s="16"/>
      <c r="N137" s="111"/>
      <c r="O137" s="111" t="str">
        <f>INDEX(X_Table_Swine_Stage2MMS_From_AnaerobicLagoon,5,1)</f>
        <v>Direct application</v>
      </c>
      <c r="P137" s="15" cm="1">
        <f t="array" aca="1" ref="P137" ca="1">MMS_Swine_ManureAppliedToSoils_Equations.VEERG_4_5_1_9__1_MassOfNitrogenAppliedToSoilsScope1(P25,_xlfn.XLOOKUP($O137,$D$123:$D$129,$E$123:$E$129), _xlfn.XLOOKUP($O137,$D$112:$D$118,$E$112:$E$118),P55,$F85)</f>
        <v>36.266399999999976</v>
      </c>
      <c r="Q137" s="15" cm="1">
        <f t="array" aca="1" ref="Q137" ca="1">MMS_Swine_ManureAppliedToSoils_Equations.VEERG_4_5_1_9__1_MassOfNitrogenAppliedToSoilsScope1(Q25,_xlfn.XLOOKUP($O137,$D$123:$D$129,$E$123:$E$129), _xlfn.XLOOKUP($O137,$D$112:$D$118,$E$112:$E$118),Q55,$F85)</f>
        <v>24.144750000000002</v>
      </c>
      <c r="R137" s="15" cm="1">
        <f t="array" aca="1" ref="R137" ca="1">MMS_Swine_ManureAppliedToSoils_Equations.VEERG_4_5_1_9__1_MassOfNitrogenAppliedToSoilsScope1(R25,_xlfn.XLOOKUP($O137,$D$123:$D$129,$E$123:$E$129), _xlfn.XLOOKUP($O137,$D$112:$D$118,$E$112:$E$118),R55,$F85)</f>
        <v>22.666499999999992</v>
      </c>
      <c r="S137" s="15" cm="1">
        <f t="array" aca="1" ref="S137" ca="1">MMS_Swine_ManureAppliedToSoils_Equations.VEERG_4_5_1_9__1_MassOfNitrogenAppliedToSoilsScope1(S25,_xlfn.XLOOKUP($O137,$D$123:$D$129,$E$123:$E$129), _xlfn.XLOOKUP($O137,$D$112:$D$118,$E$112:$E$118),S55,$F85)</f>
        <v>15.373799999999996</v>
      </c>
      <c r="T137" s="16"/>
    </row>
    <row r="138" spans="4:20" ht="20.100000000000001" customHeight="1" x14ac:dyDescent="0.2">
      <c r="D138" s="111" t="str">
        <f>INDEX(X_Table_Swine_Stage1MMS_Drylot,2,1)</f>
        <v>Drylot (feed pad)</v>
      </c>
      <c r="E138" s="111" t="str">
        <f>INDEX(X_Table_Swine_Stage2MMS_From_Drylot,2,1)</f>
        <v>Anaerobic lagoon</v>
      </c>
      <c r="F138" s="15" cm="1">
        <f t="array" aca="1" ref="F138" ca="1">MMS_Swine_ManureAppliedToSoils_Equations.VEERG_4_5_1_9__1_MassOfNitrogenAppliedToSoilsScope1(F26,_xlfn.XLOOKUP($E138,$D$123:$D$129,$E$123:$E$129), _xlfn.XLOOKUP($E138,$D$112:$D$118,$E$112:$E$118),F56,$F86)</f>
        <v>6.2257319999999963</v>
      </c>
      <c r="G138" s="15" cm="1">
        <f t="array" aca="1" ref="G138" ca="1">MMS_Swine_ManureAppliedToSoils_Equations.VEERG_4_5_1_9__1_MassOfNitrogenAppliedToSoilsScope1(G26,_xlfn.XLOOKUP($E138,$D$123:$D$129,$E$123:$E$129), _xlfn.XLOOKUP($E138,$D$112:$D$118,$E$112:$E$118),G56,$F86)</f>
        <v>9.0945225000000001</v>
      </c>
      <c r="H138" s="15" cm="1">
        <f t="array" aca="1" ref="H138" ca="1">MMS_Swine_ManureAppliedToSoils_Equations.VEERG_4_5_1_9__1_MassOfNitrogenAppliedToSoilsScope1(H26,_xlfn.XLOOKUP($E138,$D$123:$D$129,$E$123:$E$129), _xlfn.XLOOKUP($E138,$D$112:$D$118,$E$112:$E$118),H56,$F86)</f>
        <v>8.5377149999999951</v>
      </c>
      <c r="I138" s="15" cm="1">
        <f t="array" aca="1" ref="I138" ca="1">MMS_Swine_ManureAppliedToSoils_Equations.VEERG_4_5_1_9__1_MassOfNitrogenAppliedToSoilsScope1(I26,_xlfn.XLOOKUP($E138,$D$123:$D$129,$E$123:$E$129), _xlfn.XLOOKUP($E138,$D$112:$D$118,$E$112:$E$118),I56,$F86)</f>
        <v>5.790797999999997</v>
      </c>
      <c r="J138" s="16"/>
      <c r="N138" s="111" t="str">
        <f>INDEX(X_Table_Swine_Stage1MMS_Drylot,2,1)</f>
        <v>Drylot (feed pad)</v>
      </c>
      <c r="O138" s="111" t="str">
        <f>INDEX(X_Table_Swine_Stage2MMS_From_Drylot,2,1)</f>
        <v>Anaerobic lagoon</v>
      </c>
      <c r="P138" s="15" cm="1">
        <f t="array" aca="1" ref="P138" ca="1">MMS_Swine_ManureAppliedToSoils_Equations.VEERG_4_5_1_9__1_MassOfNitrogenAppliedToSoilsScope1(P26,_xlfn.XLOOKUP($O138,$D$123:$D$129,$E$123:$E$129), _xlfn.XLOOKUP($O138,$D$112:$D$118,$E$112:$E$118),P56,$F86)</f>
        <v>6.2257319999999963</v>
      </c>
      <c r="Q138" s="15" cm="1">
        <f t="array" aca="1" ref="Q138" ca="1">MMS_Swine_ManureAppliedToSoils_Equations.VEERG_4_5_1_9__1_MassOfNitrogenAppliedToSoilsScope1(Q26,_xlfn.XLOOKUP($O138,$D$123:$D$129,$E$123:$E$129), _xlfn.XLOOKUP($O138,$D$112:$D$118,$E$112:$E$118),Q56,$F86)</f>
        <v>9.0945225000000001</v>
      </c>
      <c r="R138" s="15" cm="1">
        <f t="array" aca="1" ref="R138" ca="1">MMS_Swine_ManureAppliedToSoils_Equations.VEERG_4_5_1_9__1_MassOfNitrogenAppliedToSoilsScope1(R26,_xlfn.XLOOKUP($O138,$D$123:$D$129,$E$123:$E$129), _xlfn.XLOOKUP($O138,$D$112:$D$118,$E$112:$E$118),R56,$F86)</f>
        <v>8.5377149999999951</v>
      </c>
      <c r="S138" s="15" cm="1">
        <f t="array" aca="1" ref="S138" ca="1">MMS_Swine_ManureAppliedToSoils_Equations.VEERG_4_5_1_9__1_MassOfNitrogenAppliedToSoilsScope1(S26,_xlfn.XLOOKUP($O138,$D$123:$D$129,$E$123:$E$129), _xlfn.XLOOKUP($O138,$D$112:$D$118,$E$112:$E$118),S56,$F86)</f>
        <v>5.790797999999997</v>
      </c>
      <c r="T138" s="16"/>
    </row>
    <row r="139" spans="4:20" ht="20.100000000000001" customHeight="1" x14ac:dyDescent="0.2">
      <c r="D139" s="111"/>
      <c r="E139" s="111" t="str">
        <f>INDEX(X_Table_Swine_Stage2MMS_From_Drylot,3,1)</f>
        <v>Digester / covered lagoons</v>
      </c>
      <c r="F139" s="15" cm="1">
        <f t="array" aca="1" ref="F139" ca="1">MMS_Swine_ManureAppliedToSoils_Equations.VEERG_4_5_1_9__1_MassOfNitrogenAppliedToSoilsScope1(F27,_xlfn.XLOOKUP($E139,$D$123:$D$129,$E$123:$E$129), _xlfn.XLOOKUP($E139,$D$112:$D$118,$E$112:$E$118),F57,$F87)</f>
        <v>17.528759999999995</v>
      </c>
      <c r="G139" s="15" cm="1">
        <f t="array" aca="1" ref="G139" ca="1">MMS_Swine_ManureAppliedToSoils_Equations.VEERG_4_5_1_9__1_MassOfNitrogenAppliedToSoilsScope1(G27,_xlfn.XLOOKUP($E139,$D$123:$D$129,$E$123:$E$129), _xlfn.XLOOKUP($E139,$D$112:$D$118,$E$112:$E$118),G57,$F87)</f>
        <v>24.144750000000002</v>
      </c>
      <c r="H139" s="15" cm="1">
        <f t="array" aca="1" ref="H139" ca="1">MMS_Swine_ManureAppliedToSoils_Equations.VEERG_4_5_1_9__1_MassOfNitrogenAppliedToSoilsScope1(H27,_xlfn.XLOOKUP($E139,$D$123:$D$129,$E$123:$E$129), _xlfn.XLOOKUP($E139,$D$112:$D$118,$E$112:$E$118),H57,$F87)</f>
        <v>22.666499999999992</v>
      </c>
      <c r="I139" s="15" cm="1">
        <f t="array" aca="1" ref="I139" ca="1">MMS_Swine_ManureAppliedToSoils_Equations.VEERG_4_5_1_9__1_MassOfNitrogenAppliedToSoilsScope1(I27,_xlfn.XLOOKUP($E139,$D$123:$D$129,$E$123:$E$129), _xlfn.XLOOKUP($E139,$D$112:$D$118,$E$112:$E$118),I57,$F87)</f>
        <v>15.373799999999996</v>
      </c>
      <c r="J139" s="16"/>
      <c r="N139" s="111"/>
      <c r="O139" s="111" t="str">
        <f>INDEX(X_Table_Swine_Stage2MMS_From_Drylot,3,1)</f>
        <v>Digester / covered lagoons</v>
      </c>
      <c r="P139" s="15" cm="1">
        <f t="array" aca="1" ref="P139" ca="1">MMS_Swine_ManureAppliedToSoils_Equations.VEERG_4_5_1_9__1_MassOfNitrogenAppliedToSoilsScope1(P27,_xlfn.XLOOKUP($O139,$D$123:$D$129,$E$123:$E$129), _xlfn.XLOOKUP($O139,$D$112:$D$118,$E$112:$E$118),P57,$F87)</f>
        <v>17.528759999999995</v>
      </c>
      <c r="Q139" s="15" cm="1">
        <f t="array" aca="1" ref="Q139" ca="1">MMS_Swine_ManureAppliedToSoils_Equations.VEERG_4_5_1_9__1_MassOfNitrogenAppliedToSoilsScope1(Q27,_xlfn.XLOOKUP($O139,$D$123:$D$129,$E$123:$E$129), _xlfn.XLOOKUP($O139,$D$112:$D$118,$E$112:$E$118),Q57,$F87)</f>
        <v>24.144750000000002</v>
      </c>
      <c r="R139" s="15" cm="1">
        <f t="array" aca="1" ref="R139" ca="1">MMS_Swine_ManureAppliedToSoils_Equations.VEERG_4_5_1_9__1_MassOfNitrogenAppliedToSoilsScope1(R27,_xlfn.XLOOKUP($O139,$D$123:$D$129,$E$123:$E$129), _xlfn.XLOOKUP($O139,$D$112:$D$118,$E$112:$E$118),R57,$F87)</f>
        <v>22.666499999999992</v>
      </c>
      <c r="S139" s="15" cm="1">
        <f t="array" aca="1" ref="S139" ca="1">MMS_Swine_ManureAppliedToSoils_Equations.VEERG_4_5_1_9__1_MassOfNitrogenAppliedToSoilsScope1(S27,_xlfn.XLOOKUP($O139,$D$123:$D$129,$E$123:$E$129), _xlfn.XLOOKUP($O139,$D$112:$D$118,$E$112:$E$118),S57,$F87)</f>
        <v>15.373799999999996</v>
      </c>
      <c r="T139" s="16"/>
    </row>
    <row r="140" spans="4:20" ht="20.100000000000001" customHeight="1" x14ac:dyDescent="0.2">
      <c r="D140" s="111"/>
      <c r="E140" s="111" t="str">
        <f>INDEX(X_Table_Swine_Stage2MMS_From_Drylot,4,1)</f>
        <v>Deep litter</v>
      </c>
      <c r="F140" s="15" cm="1">
        <f t="array" aca="1" ref="F140" ca="1">MMS_Swine_ManureAppliedToSoils_Equations.VEERG_4_5_1_9__1_MassOfNitrogenAppliedToSoilsScope1(F28,_xlfn.XLOOKUP($E140,$D$123:$D$129,$E$123:$E$129), _xlfn.XLOOKUP($E140,$D$112:$D$118,$E$112:$E$118),F58,$F88)</f>
        <v>14.754380399999995</v>
      </c>
      <c r="G140" s="15" cm="1">
        <f t="array" aca="1" ref="G140" ca="1">MMS_Swine_ManureAppliedToSoils_Equations.VEERG_4_5_1_9__1_MassOfNitrogenAppliedToSoilsScope1(G28,_xlfn.XLOOKUP($E140,$D$123:$D$129,$E$123:$E$129), _xlfn.XLOOKUP($E140,$D$112:$D$118,$E$112:$E$118),G58,$F88)</f>
        <v>20.450603250000004</v>
      </c>
      <c r="H140" s="15" cm="1">
        <f t="array" aca="1" ref="H140" ca="1">MMS_Swine_ManureAppliedToSoils_Equations.VEERG_4_5_1_9__1_MassOfNitrogenAppliedToSoilsScope1(H28,_xlfn.XLOOKUP($E140,$D$123:$D$129,$E$123:$E$129), _xlfn.XLOOKUP($E140,$D$112:$D$118,$E$112:$E$118),H58,$F88)</f>
        <v>19.198525499999995</v>
      </c>
      <c r="I140" s="15" cm="1">
        <f t="array" aca="1" ref="I140" ca="1">MMS_Swine_ManureAppliedToSoils_Equations.VEERG_4_5_1_9__1_MassOfNitrogenAppliedToSoilsScope1(I28,_xlfn.XLOOKUP($E140,$D$123:$D$129,$E$123:$E$129), _xlfn.XLOOKUP($E140,$D$112:$D$118,$E$112:$E$118),I58,$F88)</f>
        <v>13.021608599999993</v>
      </c>
      <c r="J140" s="16"/>
      <c r="N140" s="111"/>
      <c r="O140" s="111" t="str">
        <f>INDEX(X_Table_Swine_Stage2MMS_From_Drylot,4,1)</f>
        <v>Deep litter</v>
      </c>
      <c r="P140" s="15" cm="1">
        <f t="array" aca="1" ref="P140" ca="1">MMS_Swine_ManureAppliedToSoils_Equations.VEERG_4_5_1_9__1_MassOfNitrogenAppliedToSoilsScope1(P28,_xlfn.XLOOKUP($O140,$D$123:$D$129,$E$123:$E$129), _xlfn.XLOOKUP($O140,$D$112:$D$118,$E$112:$E$118),P58,$F88)</f>
        <v>14.754380399999995</v>
      </c>
      <c r="Q140" s="15" cm="1">
        <f t="array" aca="1" ref="Q140" ca="1">MMS_Swine_ManureAppliedToSoils_Equations.VEERG_4_5_1_9__1_MassOfNitrogenAppliedToSoilsScope1(Q28,_xlfn.XLOOKUP($O140,$D$123:$D$129,$E$123:$E$129), _xlfn.XLOOKUP($O140,$D$112:$D$118,$E$112:$E$118),Q58,$F88)</f>
        <v>20.450603250000004</v>
      </c>
      <c r="R140" s="15" cm="1">
        <f t="array" aca="1" ref="R140" ca="1">MMS_Swine_ManureAppliedToSoils_Equations.VEERG_4_5_1_9__1_MassOfNitrogenAppliedToSoilsScope1(R28,_xlfn.XLOOKUP($O140,$D$123:$D$129,$E$123:$E$129), _xlfn.XLOOKUP($O140,$D$112:$D$118,$E$112:$E$118),R58,$F88)</f>
        <v>19.198525499999995</v>
      </c>
      <c r="S140" s="15" cm="1">
        <f t="array" aca="1" ref="S140" ca="1">MMS_Swine_ManureAppliedToSoils_Equations.VEERG_4_5_1_9__1_MassOfNitrogenAppliedToSoilsScope1(S28,_xlfn.XLOOKUP($O140,$D$123:$D$129,$E$123:$E$129), _xlfn.XLOOKUP($O140,$D$112:$D$118,$E$112:$E$118),S58,$F88)</f>
        <v>13.021608599999993</v>
      </c>
      <c r="T140" s="16"/>
    </row>
    <row r="141" spans="4:20" ht="20.100000000000001" customHeight="1" x14ac:dyDescent="0.2">
      <c r="D141" s="111"/>
      <c r="E141" s="111" t="str">
        <f>INDEX(X_Table_Swine_Stage2MMS_From_Drylot,5,1)</f>
        <v>Pit storage</v>
      </c>
      <c r="F141" s="15" cm="1">
        <f t="array" aca="1" ref="F141" ca="1">MMS_Swine_ManureAppliedToSoils_Equations.VEERG_4_5_1_9__1_MassOfNitrogenAppliedToSoilsScope1(F29,_xlfn.XLOOKUP($E141,$D$123:$D$129,$E$123:$E$129), _xlfn.XLOOKUP($E141,$D$112:$D$118,$E$112:$E$118),F59,$F89)</f>
        <v>12.349918079999997</v>
      </c>
      <c r="G141" s="15" cm="1">
        <f t="array" aca="1" ref="G141" ca="1">MMS_Swine_ManureAppliedToSoils_Equations.VEERG_4_5_1_9__1_MassOfNitrogenAppliedToSoilsScope1(G29,_xlfn.XLOOKUP($E141,$D$123:$D$129,$E$123:$E$129), _xlfn.XLOOKUP($E141,$D$112:$D$118,$E$112:$E$118),G59,$F89)</f>
        <v>17.249009400000006</v>
      </c>
      <c r="H141" s="15" cm="1">
        <f t="array" aca="1" ref="H141" ca="1">MMS_Swine_ManureAppliedToSoils_Equations.VEERG_4_5_1_9__1_MassOfNitrogenAppliedToSoilsScope1(H29,_xlfn.XLOOKUP($E141,$D$123:$D$129,$E$123:$E$129), _xlfn.XLOOKUP($E141,$D$112:$D$118,$E$112:$E$118),H59,$F89)</f>
        <v>16.192947599999997</v>
      </c>
      <c r="I141" s="15" cm="1">
        <f t="array" aca="1" ref="I141" ca="1">MMS_Swine_ManureAppliedToSoils_Equations.VEERG_4_5_1_9__1_MassOfNitrogenAppliedToSoilsScope1(I29,_xlfn.XLOOKUP($E141,$D$123:$D$129,$E$123:$E$129), _xlfn.XLOOKUP($E141,$D$112:$D$118,$E$112:$E$118),I59,$F89)</f>
        <v>10.983042719999995</v>
      </c>
      <c r="J141" s="16"/>
      <c r="N141" s="111"/>
      <c r="O141" s="111" t="str">
        <f>INDEX(X_Table_Swine_Stage2MMS_From_Drylot,5,1)</f>
        <v>Pit storage</v>
      </c>
      <c r="P141" s="15" cm="1">
        <f t="array" aca="1" ref="P141" ca="1">MMS_Swine_ManureAppliedToSoils_Equations.VEERG_4_5_1_9__1_MassOfNitrogenAppliedToSoilsScope1(P29,_xlfn.XLOOKUP($O141,$D$123:$D$129,$E$123:$E$129), _xlfn.XLOOKUP($O141,$D$112:$D$118,$E$112:$E$118),P59,$F89)</f>
        <v>12.349918079999997</v>
      </c>
      <c r="Q141" s="15" cm="1">
        <f t="array" aca="1" ref="Q141" ca="1">MMS_Swine_ManureAppliedToSoils_Equations.VEERG_4_5_1_9__1_MassOfNitrogenAppliedToSoilsScope1(Q29,_xlfn.XLOOKUP($O141,$D$123:$D$129,$E$123:$E$129), _xlfn.XLOOKUP($O141,$D$112:$D$118,$E$112:$E$118),Q59,$F89)</f>
        <v>17.249009400000006</v>
      </c>
      <c r="R141" s="15" cm="1">
        <f t="array" aca="1" ref="R141" ca="1">MMS_Swine_ManureAppliedToSoils_Equations.VEERG_4_5_1_9__1_MassOfNitrogenAppliedToSoilsScope1(R29,_xlfn.XLOOKUP($O141,$D$123:$D$129,$E$123:$E$129), _xlfn.XLOOKUP($O141,$D$112:$D$118,$E$112:$E$118),R59,$F89)</f>
        <v>16.192947599999997</v>
      </c>
      <c r="S141" s="15" cm="1">
        <f t="array" aca="1" ref="S141" ca="1">MMS_Swine_ManureAppliedToSoils_Equations.VEERG_4_5_1_9__1_MassOfNitrogenAppliedToSoilsScope1(S29,_xlfn.XLOOKUP($O141,$D$123:$D$129,$E$123:$E$129), _xlfn.XLOOKUP($O141,$D$112:$D$118,$E$112:$E$118),S59,$F89)</f>
        <v>10.983042719999995</v>
      </c>
      <c r="T141" s="16"/>
    </row>
    <row r="142" spans="4:20" ht="20.100000000000001" customHeight="1" x14ac:dyDescent="0.2">
      <c r="D142" s="111"/>
      <c r="E142" s="111" t="str">
        <f>INDEX(X_Table_Swine_Stage2MMS_From_Drylot,6,1)</f>
        <v>Direct application</v>
      </c>
      <c r="F142" s="15" cm="1">
        <f t="array" aca="1" ref="F142" ca="1">MMS_Swine_ManureAppliedToSoils_Equations.VEERG_4_5_1_9__1_MassOfNitrogenAppliedToSoilsScope1(F30,_xlfn.XLOOKUP($E142,$D$123:$D$129,$E$123:$E$129), _xlfn.XLOOKUP($E142,$D$112:$D$118,$E$112:$E$118),F60,$F90)</f>
        <v>27.401279999999986</v>
      </c>
      <c r="G142" s="15" cm="1">
        <f t="array" aca="1" ref="G142" ca="1">MMS_Swine_ManureAppliedToSoils_Equations.VEERG_4_5_1_9__1_MassOfNitrogenAppliedToSoilsScope1(G30,_xlfn.XLOOKUP($E142,$D$123:$D$129,$E$123:$E$129), _xlfn.XLOOKUP($E142,$D$112:$D$118,$E$112:$E$118),G60,$F90)</f>
        <v>0</v>
      </c>
      <c r="H142" s="15" cm="1">
        <f t="array" aca="1" ref="H142" ca="1">MMS_Swine_ManureAppliedToSoils_Equations.VEERG_4_5_1_9__1_MassOfNitrogenAppliedToSoilsScope1(H30,_xlfn.XLOOKUP($E142,$D$123:$D$129,$E$123:$E$129), _xlfn.XLOOKUP($E142,$D$112:$D$118,$E$112:$E$118),H60,$F90)</f>
        <v>0</v>
      </c>
      <c r="I142" s="15" cm="1">
        <f t="array" aca="1" ref="I142" ca="1">MMS_Swine_ManureAppliedToSoils_Equations.VEERG_4_5_1_9__1_MassOfNitrogenAppliedToSoilsScope1(I30,_xlfn.XLOOKUP($E142,$D$123:$D$129,$E$123:$E$129), _xlfn.XLOOKUP($E142,$D$112:$D$118,$E$112:$E$118),I60,$F90)</f>
        <v>0</v>
      </c>
      <c r="J142" s="16"/>
      <c r="N142" s="111"/>
      <c r="O142" s="111" t="str">
        <f>INDEX(X_Table_Swine_Stage2MMS_From_Drylot,6,1)</f>
        <v>Direct application</v>
      </c>
      <c r="P142" s="15" cm="1">
        <f t="array" aca="1" ref="P142" ca="1">MMS_Swine_ManureAppliedToSoils_Equations.VEERG_4_5_1_9__1_MassOfNitrogenAppliedToSoilsScope1(P30,_xlfn.XLOOKUP($O142,$D$123:$D$129,$E$123:$E$129), _xlfn.XLOOKUP($O142,$D$112:$D$118,$E$112:$E$118),P60,$F90)</f>
        <v>27.401279999999986</v>
      </c>
      <c r="Q142" s="15" cm="1">
        <f t="array" aca="1" ref="Q142" ca="1">MMS_Swine_ManureAppliedToSoils_Equations.VEERG_4_5_1_9__1_MassOfNitrogenAppliedToSoilsScope1(Q30,_xlfn.XLOOKUP($O142,$D$123:$D$129,$E$123:$E$129), _xlfn.XLOOKUP($O142,$D$112:$D$118,$E$112:$E$118),Q60,$F90)</f>
        <v>0</v>
      </c>
      <c r="R142" s="15" cm="1">
        <f t="array" aca="1" ref="R142" ca="1">MMS_Swine_ManureAppliedToSoils_Equations.VEERG_4_5_1_9__1_MassOfNitrogenAppliedToSoilsScope1(R30,_xlfn.XLOOKUP($O142,$D$123:$D$129,$E$123:$E$129), _xlfn.XLOOKUP($O142,$D$112:$D$118,$E$112:$E$118),R60,$F90)</f>
        <v>0</v>
      </c>
      <c r="S142" s="15" cm="1">
        <f t="array" aca="1" ref="S142" ca="1">MMS_Swine_ManureAppliedToSoils_Equations.VEERG_4_5_1_9__1_MassOfNitrogenAppliedToSoilsScope1(S30,_xlfn.XLOOKUP($O142,$D$123:$D$129,$E$123:$E$129), _xlfn.XLOOKUP($O142,$D$112:$D$118,$E$112:$E$118),S60,$F90)</f>
        <v>0</v>
      </c>
      <c r="T142" s="16"/>
    </row>
    <row r="143" spans="4:20" ht="20.100000000000001" customHeight="1" x14ac:dyDescent="0.2">
      <c r="D143" s="111" t="str">
        <f>INDEX(X_Table_Swine_Stage1MMS_DigesterCoveredLagoons,2,1)</f>
        <v>Digester / covered lagoons</v>
      </c>
      <c r="E143" s="111" t="str">
        <f>INDEX(X_Table_Swine_Stage2MMS_From_DigesterCoveredLagoons,2,1)</f>
        <v>Anaerobic lagoon</v>
      </c>
      <c r="F143" s="15" cm="1">
        <f t="array" aca="1" ref="F143" ca="1">MMS_Swine_ManureAppliedToSoils_Equations.VEERG_4_5_1_9__1_MassOfNitrogenAppliedToSoilsScope1(F31,_xlfn.XLOOKUP($E143,$D$123:$D$129,$E$123:$E$129), _xlfn.XLOOKUP($E143,$D$112:$D$118,$E$112:$E$118),F61,$F91)</f>
        <v>13.599899999999996</v>
      </c>
      <c r="G143" s="15" cm="1">
        <f t="array" aca="1" ref="G143" ca="1">MMS_Swine_ManureAppliedToSoils_Equations.VEERG_4_5_1_9__1_MassOfNitrogenAppliedToSoilsScope1(G31,_xlfn.XLOOKUP($E143,$D$123:$D$129,$E$123:$E$129), _xlfn.XLOOKUP($E143,$D$112:$D$118,$E$112:$E$118),G61,$F91)</f>
        <v>18.108562500000001</v>
      </c>
      <c r="H143" s="15" cm="1">
        <f t="array" aca="1" ref="H143" ca="1">MMS_Swine_ManureAppliedToSoils_Equations.VEERG_4_5_1_9__1_MassOfNitrogenAppliedToSoilsScope1(H31,_xlfn.XLOOKUP($E143,$D$123:$D$129,$E$123:$E$129), _xlfn.XLOOKUP($E143,$D$112:$D$118,$E$112:$E$118),H61,$F91)</f>
        <v>16.999874999999996</v>
      </c>
      <c r="I143" s="15" cm="1">
        <f t="array" aca="1" ref="I143" ca="1">MMS_Swine_ManureAppliedToSoils_Equations.VEERG_4_5_1_9__1_MassOfNitrogenAppliedToSoilsScope1(I31,_xlfn.XLOOKUP($E143,$D$123:$D$129,$E$123:$E$129), _xlfn.XLOOKUP($E143,$D$112:$D$118,$E$112:$E$118),I61,$F91)</f>
        <v>11.530349999999997</v>
      </c>
      <c r="J143" s="16"/>
      <c r="N143" s="111" t="str">
        <f>INDEX(X_Table_Swine_Stage1MMS_DigesterCoveredLagoons,2,1)</f>
        <v>Digester / covered lagoons</v>
      </c>
      <c r="O143" s="111" t="str">
        <f>INDEX(X_Table_Swine_Stage2MMS_From_DigesterCoveredLagoons,2,1)</f>
        <v>Anaerobic lagoon</v>
      </c>
      <c r="P143" s="15" cm="1">
        <f t="array" aca="1" ref="P143" ca="1">MMS_Swine_ManureAppliedToSoils_Equations.VEERG_4_5_1_9__1_MassOfNitrogenAppliedToSoilsScope1(P31,_xlfn.XLOOKUP($O143,$D$123:$D$129,$E$123:$E$129), _xlfn.XLOOKUP($O143,$D$112:$D$118,$E$112:$E$118),P61,$F91)</f>
        <v>13.599899999999996</v>
      </c>
      <c r="Q143" s="15" cm="1">
        <f t="array" aca="1" ref="Q143" ca="1">MMS_Swine_ManureAppliedToSoils_Equations.VEERG_4_5_1_9__1_MassOfNitrogenAppliedToSoilsScope1(Q31,_xlfn.XLOOKUP($O143,$D$123:$D$129,$E$123:$E$129), _xlfn.XLOOKUP($O143,$D$112:$D$118,$E$112:$E$118),Q61,$F91)</f>
        <v>18.108562500000001</v>
      </c>
      <c r="R143" s="15" cm="1">
        <f t="array" aca="1" ref="R143" ca="1">MMS_Swine_ManureAppliedToSoils_Equations.VEERG_4_5_1_9__1_MassOfNitrogenAppliedToSoilsScope1(R31,_xlfn.XLOOKUP($O143,$D$123:$D$129,$E$123:$E$129), _xlfn.XLOOKUP($O143,$D$112:$D$118,$E$112:$E$118),R61,$F91)</f>
        <v>16.999874999999996</v>
      </c>
      <c r="S143" s="15" cm="1">
        <f t="array" aca="1" ref="S143" ca="1">MMS_Swine_ManureAppliedToSoils_Equations.VEERG_4_5_1_9__1_MassOfNitrogenAppliedToSoilsScope1(S31,_xlfn.XLOOKUP($O143,$D$123:$D$129,$E$123:$E$129), _xlfn.XLOOKUP($O143,$D$112:$D$118,$E$112:$E$118),S61,$F91)</f>
        <v>11.530349999999997</v>
      </c>
      <c r="T143" s="16"/>
    </row>
    <row r="144" spans="4:20" ht="20.100000000000001" customHeight="1" x14ac:dyDescent="0.2">
      <c r="D144" s="111"/>
      <c r="E144" s="111" t="str">
        <f>INDEX(X_Table_Swine_Stage2MMS_From_DigesterCoveredLagoons,3,1)</f>
        <v>Deep litter</v>
      </c>
      <c r="F144" s="15" cm="1">
        <f t="array" aca="1" ref="F144" ca="1">MMS_Swine_ManureAppliedToSoils_Equations.VEERG_4_5_1_9__1_MassOfNitrogenAppliedToSoilsScope1(F32,_xlfn.XLOOKUP($E144,$D$123:$D$129,$E$123:$E$129), _xlfn.XLOOKUP($E144,$D$112:$D$118,$E$112:$E$118),F62,$F92)</f>
        <v>26.142029999999995</v>
      </c>
      <c r="G144" s="15" cm="1">
        <f t="array" aca="1" ref="G144" ca="1">MMS_Swine_ManureAppliedToSoils_Equations.VEERG_4_5_1_9__1_MassOfNitrogenAppliedToSoilsScope1(G32,_xlfn.XLOOKUP($E144,$D$123:$D$129,$E$123:$E$129), _xlfn.XLOOKUP($E144,$D$112:$D$118,$E$112:$E$118),G62,$F92)</f>
        <v>34.808681250000006</v>
      </c>
      <c r="H144" s="15" cm="1">
        <f t="array" aca="1" ref="H144" ca="1">MMS_Swine_ManureAppliedToSoils_Equations.VEERG_4_5_1_9__1_MassOfNitrogenAppliedToSoilsScope1(H32,_xlfn.XLOOKUP($E144,$D$123:$D$129,$E$123:$E$129), _xlfn.XLOOKUP($E144,$D$112:$D$118,$E$112:$E$118),H62,$F92)</f>
        <v>32.677537499999993</v>
      </c>
      <c r="I144" s="15" cm="1">
        <f t="array" aca="1" ref="I144" ca="1">MMS_Swine_ManureAppliedToSoils_Equations.VEERG_4_5_1_9__1_MassOfNitrogenAppliedToSoilsScope1(I32,_xlfn.XLOOKUP($E144,$D$123:$D$129,$E$123:$E$129), _xlfn.XLOOKUP($E144,$D$112:$D$118,$E$112:$E$118),I62,$F92)</f>
        <v>22.163894999999997</v>
      </c>
      <c r="J144" s="16"/>
      <c r="N144" s="111"/>
      <c r="O144" s="111" t="str">
        <f>INDEX(X_Table_Swine_Stage2MMS_From_DigesterCoveredLagoons,3,1)</f>
        <v>Deep litter</v>
      </c>
      <c r="P144" s="15" cm="1">
        <f t="array" aca="1" ref="P144" ca="1">MMS_Swine_ManureAppliedToSoils_Equations.VEERG_4_5_1_9__1_MassOfNitrogenAppliedToSoilsScope1(P32,_xlfn.XLOOKUP($O144,$D$123:$D$129,$E$123:$E$129), _xlfn.XLOOKUP($O144,$D$112:$D$118,$E$112:$E$118),P62,$F92)</f>
        <v>26.142029999999995</v>
      </c>
      <c r="Q144" s="15" cm="1">
        <f t="array" aca="1" ref="Q144" ca="1">MMS_Swine_ManureAppliedToSoils_Equations.VEERG_4_5_1_9__1_MassOfNitrogenAppliedToSoilsScope1(Q32,_xlfn.XLOOKUP($O144,$D$123:$D$129,$E$123:$E$129), _xlfn.XLOOKUP($O144,$D$112:$D$118,$E$112:$E$118),Q62,$F92)</f>
        <v>34.808681250000006</v>
      </c>
      <c r="R144" s="15" cm="1">
        <f t="array" aca="1" ref="R144" ca="1">MMS_Swine_ManureAppliedToSoils_Equations.VEERG_4_5_1_9__1_MassOfNitrogenAppliedToSoilsScope1(R32,_xlfn.XLOOKUP($O144,$D$123:$D$129,$E$123:$E$129), _xlfn.XLOOKUP($O144,$D$112:$D$118,$E$112:$E$118),R62,$F92)</f>
        <v>32.677537499999993</v>
      </c>
      <c r="S144" s="15" cm="1">
        <f t="array" aca="1" ref="S144" ca="1">MMS_Swine_ManureAppliedToSoils_Equations.VEERG_4_5_1_9__1_MassOfNitrogenAppliedToSoilsScope1(S32,_xlfn.XLOOKUP($O144,$D$123:$D$129,$E$123:$E$129), _xlfn.XLOOKUP($O144,$D$112:$D$118,$E$112:$E$118),S62,$F92)</f>
        <v>22.163894999999997</v>
      </c>
      <c r="T144" s="16"/>
    </row>
    <row r="145" spans="1:20" ht="20.100000000000001" customHeight="1" x14ac:dyDescent="0.2">
      <c r="D145" s="111"/>
      <c r="E145" s="111" t="str">
        <f>INDEX(X_Table_Swine_Stage2MMS_From_DigesterCoveredLagoons,4,1)</f>
        <v>Pit storage</v>
      </c>
      <c r="F145" s="15" cm="1">
        <f t="array" aca="1" ref="F145" ca="1">MMS_Swine_ManureAppliedToSoils_Equations.VEERG_4_5_1_9__1_MassOfNitrogenAppliedToSoilsScope1(F33,_xlfn.XLOOKUP($E145,$D$123:$D$129,$E$123:$E$129), _xlfn.XLOOKUP($E145,$D$112:$D$118,$E$112:$E$118),F63,$F93)</f>
        <v>22.606055999999995</v>
      </c>
      <c r="G145" s="15" cm="1">
        <f t="array" aca="1" ref="G145" ca="1">MMS_Swine_ManureAppliedToSoils_Equations.VEERG_4_5_1_9__1_MassOfNitrogenAppliedToSoilsScope1(G33,_xlfn.XLOOKUP($E145,$D$123:$D$129,$E$123:$E$129), _xlfn.XLOOKUP($E145,$D$112:$D$118,$E$112:$E$118),G63,$F93)</f>
        <v>30.100455000000004</v>
      </c>
      <c r="H145" s="15" cm="1">
        <f t="array" aca="1" ref="H145" ca="1">MMS_Swine_ManureAppliedToSoils_Equations.VEERG_4_5_1_9__1_MassOfNitrogenAppliedToSoilsScope1(H33,_xlfn.XLOOKUP($E145,$D$123:$D$129,$E$123:$E$129), _xlfn.XLOOKUP($E145,$D$112:$D$118,$E$112:$E$118),H63,$F93)</f>
        <v>28.257569999999994</v>
      </c>
      <c r="I145" s="15" cm="1">
        <f t="array" aca="1" ref="I145" ca="1">MMS_Swine_ManureAppliedToSoils_Equations.VEERG_4_5_1_9__1_MassOfNitrogenAppliedToSoilsScope1(I33,_xlfn.XLOOKUP($E145,$D$123:$D$129,$E$123:$E$129), _xlfn.XLOOKUP($E145,$D$112:$D$118,$E$112:$E$118),I63,$F93)</f>
        <v>19.166003999999997</v>
      </c>
      <c r="J145" s="16"/>
      <c r="N145" s="111"/>
      <c r="O145" s="111" t="str">
        <f>INDEX(X_Table_Swine_Stage2MMS_From_DigesterCoveredLagoons,4,1)</f>
        <v>Pit storage</v>
      </c>
      <c r="P145" s="15" cm="1">
        <f t="array" aca="1" ref="P145" ca="1">MMS_Swine_ManureAppliedToSoils_Equations.VEERG_4_5_1_9__1_MassOfNitrogenAppliedToSoilsScope1(P33,_xlfn.XLOOKUP($O145,$D$123:$D$129,$E$123:$E$129), _xlfn.XLOOKUP($O145,$D$112:$D$118,$E$112:$E$118),P63,$F93)</f>
        <v>22.606055999999995</v>
      </c>
      <c r="Q145" s="15" cm="1">
        <f t="array" aca="1" ref="Q145" ca="1">MMS_Swine_ManureAppliedToSoils_Equations.VEERG_4_5_1_9__1_MassOfNitrogenAppliedToSoilsScope1(Q33,_xlfn.XLOOKUP($O145,$D$123:$D$129,$E$123:$E$129), _xlfn.XLOOKUP($O145,$D$112:$D$118,$E$112:$E$118),Q63,$F93)</f>
        <v>30.100455000000004</v>
      </c>
      <c r="R145" s="15" cm="1">
        <f t="array" aca="1" ref="R145" ca="1">MMS_Swine_ManureAppliedToSoils_Equations.VEERG_4_5_1_9__1_MassOfNitrogenAppliedToSoilsScope1(R33,_xlfn.XLOOKUP($O145,$D$123:$D$129,$E$123:$E$129), _xlfn.XLOOKUP($O145,$D$112:$D$118,$E$112:$E$118),R63,$F93)</f>
        <v>28.257569999999994</v>
      </c>
      <c r="S145" s="15" cm="1">
        <f t="array" aca="1" ref="S145" ca="1">MMS_Swine_ManureAppliedToSoils_Equations.VEERG_4_5_1_9__1_MassOfNitrogenAppliedToSoilsScope1(S33,_xlfn.XLOOKUP($O145,$D$123:$D$129,$E$123:$E$129), _xlfn.XLOOKUP($O145,$D$112:$D$118,$E$112:$E$118),S63,$F93)</f>
        <v>19.166003999999997</v>
      </c>
      <c r="T145" s="16"/>
    </row>
    <row r="146" spans="1:20" ht="20.100000000000001" customHeight="1" x14ac:dyDescent="0.2">
      <c r="D146" s="111"/>
      <c r="E146" s="111" t="str">
        <f>INDEX(X_Table_Swine_Stage2MMS_From_DigesterCoveredLagoons,5,1)</f>
        <v>Direct application</v>
      </c>
      <c r="F146" s="15" cm="1">
        <f t="array" aca="1" ref="F146" ca="1">MMS_Swine_ManureAppliedToSoils_Equations.VEERG_4_5_1_9__1_MassOfNitrogenAppliedToSoilsScope1(F34,_xlfn.XLOOKUP($E146,$D$123:$D$129,$E$123:$E$129), _xlfn.XLOOKUP($E146,$D$112:$D$118,$E$112:$E$118),F64,$F94)</f>
        <v>80.59199999999997</v>
      </c>
      <c r="G146" s="15" cm="1">
        <f t="array" aca="1" ref="G146" ca="1">MMS_Swine_ManureAppliedToSoils_Equations.VEERG_4_5_1_9__1_MassOfNitrogenAppliedToSoilsScope1(G34,_xlfn.XLOOKUP($E146,$D$123:$D$129,$E$123:$E$129), _xlfn.XLOOKUP($E146,$D$112:$D$118,$E$112:$E$118),G64,$F94)</f>
        <v>53.655000000000008</v>
      </c>
      <c r="H146" s="15" cm="1">
        <f t="array" aca="1" ref="H146" ca="1">MMS_Swine_ManureAppliedToSoils_Equations.VEERG_4_5_1_9__1_MassOfNitrogenAppliedToSoilsScope1(H34,_xlfn.XLOOKUP($E146,$D$123:$D$129,$E$123:$E$129), _xlfn.XLOOKUP($E146,$D$112:$D$118,$E$112:$E$118),H64,$F94)</f>
        <v>50.36999999999999</v>
      </c>
      <c r="I146" s="15" cm="1">
        <f t="array" aca="1" ref="I146" ca="1">MMS_Swine_ManureAppliedToSoils_Equations.VEERG_4_5_1_9__1_MassOfNitrogenAppliedToSoilsScope1(I34,_xlfn.XLOOKUP($E146,$D$123:$D$129,$E$123:$E$129), _xlfn.XLOOKUP($E146,$D$112:$D$118,$E$112:$E$118),I64,$F94)</f>
        <v>34.163999999999994</v>
      </c>
      <c r="J146" s="16"/>
      <c r="N146" s="111"/>
      <c r="O146" s="111" t="str">
        <f>INDEX(X_Table_Swine_Stage2MMS_From_DigesterCoveredLagoons,5,1)</f>
        <v>Direct application</v>
      </c>
      <c r="P146" s="15" cm="1">
        <f t="array" aca="1" ref="P146" ca="1">MMS_Swine_ManureAppliedToSoils_Equations.VEERG_4_5_1_9__1_MassOfNitrogenAppliedToSoilsScope1(P34,_xlfn.XLOOKUP($O146,$D$123:$D$129,$E$123:$E$129), _xlfn.XLOOKUP($O146,$D$112:$D$118,$E$112:$E$118),P64,$F94)</f>
        <v>80.59199999999997</v>
      </c>
      <c r="Q146" s="15" cm="1">
        <f t="array" aca="1" ref="Q146" ca="1">MMS_Swine_ManureAppliedToSoils_Equations.VEERG_4_5_1_9__1_MassOfNitrogenAppliedToSoilsScope1(Q34,_xlfn.XLOOKUP($O146,$D$123:$D$129,$E$123:$E$129), _xlfn.XLOOKUP($O146,$D$112:$D$118,$E$112:$E$118),Q64,$F94)</f>
        <v>53.655000000000008</v>
      </c>
      <c r="R146" s="15" cm="1">
        <f t="array" aca="1" ref="R146" ca="1">MMS_Swine_ManureAppliedToSoils_Equations.VEERG_4_5_1_9__1_MassOfNitrogenAppliedToSoilsScope1(R34,_xlfn.XLOOKUP($O146,$D$123:$D$129,$E$123:$E$129), _xlfn.XLOOKUP($O146,$D$112:$D$118,$E$112:$E$118),R64,$F94)</f>
        <v>50.36999999999999</v>
      </c>
      <c r="S146" s="15" cm="1">
        <f t="array" aca="1" ref="S146" ca="1">MMS_Swine_ManureAppliedToSoils_Equations.VEERG_4_5_1_9__1_MassOfNitrogenAppliedToSoilsScope1(S34,_xlfn.XLOOKUP($O146,$D$123:$D$129,$E$123:$E$129), _xlfn.XLOOKUP($O146,$D$112:$D$118,$E$112:$E$118),S64,$F94)</f>
        <v>34.163999999999994</v>
      </c>
      <c r="T146" s="16"/>
    </row>
    <row r="147" spans="1:20" ht="20.100000000000001" customHeight="1" x14ac:dyDescent="0.2">
      <c r="D147" s="111" t="str">
        <f>INDEX(X_Table_Swine_Stage1MMS_DeepLitter,2,1)</f>
        <v>Deep litter</v>
      </c>
      <c r="E147" s="111" t="str">
        <f>INDEX(X_Table_Swine_Stage2MMS_From_DeepLitter,2,1)</f>
        <v>Anaerobic lagoon</v>
      </c>
      <c r="F147" s="15" cm="1">
        <f t="array" aca="1" ref="F147" ca="1">MMS_Swine_ManureAppliedToSoils_Equations.VEERG_4_5_1_9__1_MassOfNitrogenAppliedToSoilsScope1(F35,_xlfn.XLOOKUP($E147,$D$123:$D$129,$E$123:$E$129), _xlfn.XLOOKUP($E147,$D$112:$D$118,$E$112:$E$118),F65,$F95)</f>
        <v>11.763913499999997</v>
      </c>
      <c r="G147" s="15" cm="1">
        <f t="array" aca="1" ref="G147" ca="1">MMS_Swine_ManureAppliedToSoils_Equations.VEERG_4_5_1_9__1_MassOfNitrogenAppliedToSoilsScope1(G35,_xlfn.XLOOKUP($E147,$D$123:$D$129,$E$123:$E$129), _xlfn.XLOOKUP($E147,$D$112:$D$118,$E$112:$E$118),G65,$F95)</f>
        <v>15.663906562499999</v>
      </c>
      <c r="H147" s="15" cm="1">
        <f t="array" aca="1" ref="H147" ca="1">MMS_Swine_ManureAppliedToSoils_Equations.VEERG_4_5_1_9__1_MassOfNitrogenAppliedToSoilsScope1(H35,_xlfn.XLOOKUP($E147,$D$123:$D$129,$E$123:$E$129), _xlfn.XLOOKUP($E147,$D$112:$D$118,$E$112:$E$118),H65,$F95)</f>
        <v>14.704891874999994</v>
      </c>
      <c r="I147" s="15" cm="1">
        <f t="array" aca="1" ref="I147" ca="1">MMS_Swine_ManureAppliedToSoils_Equations.VEERG_4_5_1_9__1_MassOfNitrogenAppliedToSoilsScope1(I35,_xlfn.XLOOKUP($E147,$D$123:$D$129,$E$123:$E$129), _xlfn.XLOOKUP($E147,$D$112:$D$118,$E$112:$E$118),I65,$F95)</f>
        <v>9.9737527499999974</v>
      </c>
      <c r="J147" s="16"/>
      <c r="N147" s="111" t="str">
        <f>INDEX(X_Table_Swine_Stage1MMS_DeepLitter,2,1)</f>
        <v>Deep litter</v>
      </c>
      <c r="O147" s="111" t="str">
        <f>INDEX(X_Table_Swine_Stage2MMS_From_DeepLitter,2,1)</f>
        <v>Anaerobic lagoon</v>
      </c>
      <c r="P147" s="15" cm="1">
        <f t="array" aca="1" ref="P147" ca="1">MMS_Swine_ManureAppliedToSoils_Equations.VEERG_4_5_1_9__1_MassOfNitrogenAppliedToSoilsScope1(P35,_xlfn.XLOOKUP($O147,$D$123:$D$129,$E$123:$E$129), _xlfn.XLOOKUP($O147,$D$112:$D$118,$E$112:$E$118),P65,$F95)</f>
        <v>11.763913499999997</v>
      </c>
      <c r="Q147" s="15" cm="1">
        <f t="array" aca="1" ref="Q147" ca="1">MMS_Swine_ManureAppliedToSoils_Equations.VEERG_4_5_1_9__1_MassOfNitrogenAppliedToSoilsScope1(Q35,_xlfn.XLOOKUP($O147,$D$123:$D$129,$E$123:$E$129), _xlfn.XLOOKUP($O147,$D$112:$D$118,$E$112:$E$118),Q65,$F95)</f>
        <v>15.663906562499999</v>
      </c>
      <c r="R147" s="15" cm="1">
        <f t="array" aca="1" ref="R147" ca="1">MMS_Swine_ManureAppliedToSoils_Equations.VEERG_4_5_1_9__1_MassOfNitrogenAppliedToSoilsScope1(R35,_xlfn.XLOOKUP($O147,$D$123:$D$129,$E$123:$E$129), _xlfn.XLOOKUP($O147,$D$112:$D$118,$E$112:$E$118),R65,$F95)</f>
        <v>14.704891874999994</v>
      </c>
      <c r="S147" s="15" cm="1">
        <f t="array" aca="1" ref="S147" ca="1">MMS_Swine_ManureAppliedToSoils_Equations.VEERG_4_5_1_9__1_MassOfNitrogenAppliedToSoilsScope1(S35,_xlfn.XLOOKUP($O147,$D$123:$D$129,$E$123:$E$129), _xlfn.XLOOKUP($O147,$D$112:$D$118,$E$112:$E$118),S65,$F95)</f>
        <v>9.9737527499999974</v>
      </c>
      <c r="T147" s="16"/>
    </row>
    <row r="148" spans="1:20" ht="20.100000000000001" customHeight="1" x14ac:dyDescent="0.2">
      <c r="D148" s="111"/>
      <c r="E148" s="111" t="str">
        <f>INDEX(X_Table_Swine_Stage2MMS_From_DeepLitter,3,1)</f>
        <v>Digester / covered lagoons</v>
      </c>
      <c r="F148" s="15" cm="1">
        <f t="array" aca="1" ref="F148" ca="1">MMS_Swine_ManureAppliedToSoils_Equations.VEERG_4_5_1_9__1_MassOfNitrogenAppliedToSoilsScope1(F36,_xlfn.XLOOKUP($E148,$D$123:$D$129,$E$123:$E$129), _xlfn.XLOOKUP($E148,$D$112:$D$118,$E$112:$E$118),F66,$F96)</f>
        <v>26.142029999999995</v>
      </c>
      <c r="G148" s="15" cm="1">
        <f t="array" aca="1" ref="G148" ca="1">MMS_Swine_ManureAppliedToSoils_Equations.VEERG_4_5_1_9__1_MassOfNitrogenAppliedToSoilsScope1(G36,_xlfn.XLOOKUP($E148,$D$123:$D$129,$E$123:$E$129), _xlfn.XLOOKUP($E148,$D$112:$D$118,$E$112:$E$118),G66,$F96)</f>
        <v>34.808681250000006</v>
      </c>
      <c r="H148" s="15" cm="1">
        <f t="array" aca="1" ref="H148" ca="1">MMS_Swine_ManureAppliedToSoils_Equations.VEERG_4_5_1_9__1_MassOfNitrogenAppliedToSoilsScope1(H36,_xlfn.XLOOKUP($E148,$D$123:$D$129,$E$123:$E$129), _xlfn.XLOOKUP($E148,$D$112:$D$118,$E$112:$E$118),H66,$F96)</f>
        <v>32.677537499999993</v>
      </c>
      <c r="I148" s="15" cm="1">
        <f t="array" aca="1" ref="I148" ca="1">MMS_Swine_ManureAppliedToSoils_Equations.VEERG_4_5_1_9__1_MassOfNitrogenAppliedToSoilsScope1(I36,_xlfn.XLOOKUP($E148,$D$123:$D$129,$E$123:$E$129), _xlfn.XLOOKUP($E148,$D$112:$D$118,$E$112:$E$118),I66,$F96)</f>
        <v>22.163894999999997</v>
      </c>
      <c r="J148" s="16"/>
      <c r="N148" s="111"/>
      <c r="O148" s="111" t="str">
        <f>INDEX(X_Table_Swine_Stage2MMS_From_DeepLitter,3,1)</f>
        <v>Digester / covered lagoons</v>
      </c>
      <c r="P148" s="15" cm="1">
        <f t="array" aca="1" ref="P148" ca="1">MMS_Swine_ManureAppliedToSoils_Equations.VEERG_4_5_1_9__1_MassOfNitrogenAppliedToSoilsScope1(P36,_xlfn.XLOOKUP($O148,$D$123:$D$129,$E$123:$E$129), _xlfn.XLOOKUP($O148,$D$112:$D$118,$E$112:$E$118),P66,$F96)</f>
        <v>26.142029999999995</v>
      </c>
      <c r="Q148" s="15" cm="1">
        <f t="array" aca="1" ref="Q148" ca="1">MMS_Swine_ManureAppliedToSoils_Equations.VEERG_4_5_1_9__1_MassOfNitrogenAppliedToSoilsScope1(Q36,_xlfn.XLOOKUP($O148,$D$123:$D$129,$E$123:$E$129), _xlfn.XLOOKUP($O148,$D$112:$D$118,$E$112:$E$118),Q66,$F96)</f>
        <v>34.808681250000006</v>
      </c>
      <c r="R148" s="15" cm="1">
        <f t="array" aca="1" ref="R148" ca="1">MMS_Swine_ManureAppliedToSoils_Equations.VEERG_4_5_1_9__1_MassOfNitrogenAppliedToSoilsScope1(R36,_xlfn.XLOOKUP($O148,$D$123:$D$129,$E$123:$E$129), _xlfn.XLOOKUP($O148,$D$112:$D$118,$E$112:$E$118),R66,$F96)</f>
        <v>32.677537499999993</v>
      </c>
      <c r="S148" s="15" cm="1">
        <f t="array" aca="1" ref="S148" ca="1">MMS_Swine_ManureAppliedToSoils_Equations.VEERG_4_5_1_9__1_MassOfNitrogenAppliedToSoilsScope1(S36,_xlfn.XLOOKUP($O148,$D$123:$D$129,$E$123:$E$129), _xlfn.XLOOKUP($O148,$D$112:$D$118,$E$112:$E$118),S66,$F96)</f>
        <v>22.163894999999997</v>
      </c>
      <c r="T148" s="16"/>
    </row>
    <row r="149" spans="1:20" ht="20.100000000000001" customHeight="1" x14ac:dyDescent="0.2">
      <c r="D149" s="111"/>
      <c r="E149" s="111" t="str">
        <f>INDEX(X_Table_Swine_Stage2MMS_From_DeepLitter,4,1)</f>
        <v>Pit storage</v>
      </c>
      <c r="F149" s="15" cm="1">
        <f t="array" aca="1" ref="F149" ca="1">MMS_Swine_ManureAppliedToSoils_Equations.VEERG_4_5_1_9__1_MassOfNitrogenAppliedToSoilsScope1(F37,_xlfn.XLOOKUP($E149,$D$123:$D$129,$E$123:$E$129), _xlfn.XLOOKUP($E149,$D$112:$D$118,$E$112:$E$118),F67,$F97)</f>
        <v>19.554238439999999</v>
      </c>
      <c r="G149" s="15" cm="1">
        <f t="array" aca="1" ref="G149" ca="1">MMS_Swine_ManureAppliedToSoils_Equations.VEERG_4_5_1_9__1_MassOfNitrogenAppliedToSoilsScope1(G37,_xlfn.XLOOKUP($E149,$D$123:$D$129,$E$123:$E$129), _xlfn.XLOOKUP($E149,$D$112:$D$118,$E$112:$E$118),G67,$F97)</f>
        <v>26.036893575000004</v>
      </c>
      <c r="H149" s="15" cm="1">
        <f t="array" aca="1" ref="H149" ca="1">MMS_Swine_ManureAppliedToSoils_Equations.VEERG_4_5_1_9__1_MassOfNitrogenAppliedToSoilsScope1(H37,_xlfn.XLOOKUP($E149,$D$123:$D$129,$E$123:$E$129), _xlfn.XLOOKUP($E149,$D$112:$D$118,$E$112:$E$118),H67,$F97)</f>
        <v>24.442798049999993</v>
      </c>
      <c r="I149" s="15" cm="1">
        <f t="array" aca="1" ref="I149" ca="1">MMS_Swine_ManureAppliedToSoils_Equations.VEERG_4_5_1_9__1_MassOfNitrogenAppliedToSoilsScope1(I37,_xlfn.XLOOKUP($E149,$D$123:$D$129,$E$123:$E$129), _xlfn.XLOOKUP($E149,$D$112:$D$118,$E$112:$E$118),I67,$F97)</f>
        <v>16.578593459999997</v>
      </c>
      <c r="J149" s="16"/>
      <c r="N149" s="111"/>
      <c r="O149" s="111" t="str">
        <f>INDEX(X_Table_Swine_Stage2MMS_From_DeepLitter,4,1)</f>
        <v>Pit storage</v>
      </c>
      <c r="P149" s="15" cm="1">
        <f t="array" aca="1" ref="P149" ca="1">MMS_Swine_ManureAppliedToSoils_Equations.VEERG_4_5_1_9__1_MassOfNitrogenAppliedToSoilsScope1(P37,_xlfn.XLOOKUP($O149,$D$123:$D$129,$E$123:$E$129), _xlfn.XLOOKUP($O149,$D$112:$D$118,$E$112:$E$118),P67,$F97)</f>
        <v>19.554238439999999</v>
      </c>
      <c r="Q149" s="15" cm="1">
        <f t="array" aca="1" ref="Q149" ca="1">MMS_Swine_ManureAppliedToSoils_Equations.VEERG_4_5_1_9__1_MassOfNitrogenAppliedToSoilsScope1(Q37,_xlfn.XLOOKUP($O149,$D$123:$D$129,$E$123:$E$129), _xlfn.XLOOKUP($O149,$D$112:$D$118,$E$112:$E$118),Q67,$F97)</f>
        <v>26.036893575000004</v>
      </c>
      <c r="R149" s="15" cm="1">
        <f t="array" aca="1" ref="R149" ca="1">MMS_Swine_ManureAppliedToSoils_Equations.VEERG_4_5_1_9__1_MassOfNitrogenAppliedToSoilsScope1(R37,_xlfn.XLOOKUP($O149,$D$123:$D$129,$E$123:$E$129), _xlfn.XLOOKUP($O149,$D$112:$D$118,$E$112:$E$118),R67,$F97)</f>
        <v>24.442798049999993</v>
      </c>
      <c r="S149" s="15" cm="1">
        <f t="array" aca="1" ref="S149" ca="1">MMS_Swine_ManureAppliedToSoils_Equations.VEERG_4_5_1_9__1_MassOfNitrogenAppliedToSoilsScope1(S37,_xlfn.XLOOKUP($O149,$D$123:$D$129,$E$123:$E$129), _xlfn.XLOOKUP($O149,$D$112:$D$118,$E$112:$E$118),S67,$F97)</f>
        <v>16.578593459999997</v>
      </c>
      <c r="T149" s="16"/>
    </row>
    <row r="150" spans="1:20" ht="20.100000000000001" customHeight="1" x14ac:dyDescent="0.2">
      <c r="D150" s="111"/>
      <c r="E150" s="111" t="str">
        <f>INDEX(X_Table_Swine_Stage2MMS_From_DeepLitter,5,1)</f>
        <v>Direct application</v>
      </c>
      <c r="F150" s="15" cm="1">
        <f t="array" aca="1" ref="F150" ca="1">MMS_Swine_ManureAppliedToSoils_Equations.VEERG_4_5_1_9__1_MassOfNitrogenAppliedToSoilsScope1(F38,_xlfn.XLOOKUP($E150,$D$123:$D$129,$E$123:$E$129), _xlfn.XLOOKUP($E150,$D$112:$D$118,$E$112:$E$118),F68,$F98)</f>
        <v>69.712079999999972</v>
      </c>
      <c r="G150" s="15" cm="1">
        <f t="array" aca="1" ref="G150" ca="1">MMS_Swine_ManureAppliedToSoils_Equations.VEERG_4_5_1_9__1_MassOfNitrogenAppliedToSoilsScope1(G38,_xlfn.XLOOKUP($E150,$D$123:$D$129,$E$123:$E$129), _xlfn.XLOOKUP($E150,$D$112:$D$118,$E$112:$E$118),G68,$F98)</f>
        <v>46.411575000000006</v>
      </c>
      <c r="H150" s="15" cm="1">
        <f t="array" aca="1" ref="H150" ca="1">MMS_Swine_ManureAppliedToSoils_Equations.VEERG_4_5_1_9__1_MassOfNitrogenAppliedToSoilsScope1(H38,_xlfn.XLOOKUP($E150,$D$123:$D$129,$E$123:$E$129), _xlfn.XLOOKUP($E150,$D$112:$D$118,$E$112:$E$118),H68,$F98)</f>
        <v>43.570049999999988</v>
      </c>
      <c r="I150" s="15" cm="1">
        <f t="array" aca="1" ref="I150" ca="1">MMS_Swine_ManureAppliedToSoils_Equations.VEERG_4_5_1_9__1_MassOfNitrogenAppliedToSoilsScope1(I38,_xlfn.XLOOKUP($E150,$D$123:$D$129,$E$123:$E$129), _xlfn.XLOOKUP($E150,$D$112:$D$118,$E$112:$E$118),I68,$F98)</f>
        <v>29.551859999999994</v>
      </c>
      <c r="J150" s="16"/>
      <c r="N150" s="111"/>
      <c r="O150" s="111" t="str">
        <f>INDEX(X_Table_Swine_Stage2MMS_From_DeepLitter,5,1)</f>
        <v>Direct application</v>
      </c>
      <c r="P150" s="15" cm="1">
        <f t="array" aca="1" ref="P150" ca="1">MMS_Swine_ManureAppliedToSoils_Equations.VEERG_4_5_1_9__1_MassOfNitrogenAppliedToSoilsScope1(P38,_xlfn.XLOOKUP($O150,$D$123:$D$129,$E$123:$E$129), _xlfn.XLOOKUP($O150,$D$112:$D$118,$E$112:$E$118),P68,$F98)</f>
        <v>69.712079999999972</v>
      </c>
      <c r="Q150" s="15" cm="1">
        <f t="array" aca="1" ref="Q150" ca="1">MMS_Swine_ManureAppliedToSoils_Equations.VEERG_4_5_1_9__1_MassOfNitrogenAppliedToSoilsScope1(Q38,_xlfn.XLOOKUP($O150,$D$123:$D$129,$E$123:$E$129), _xlfn.XLOOKUP($O150,$D$112:$D$118,$E$112:$E$118),Q68,$F98)</f>
        <v>46.411575000000006</v>
      </c>
      <c r="R150" s="15" cm="1">
        <f t="array" aca="1" ref="R150" ca="1">MMS_Swine_ManureAppliedToSoils_Equations.VEERG_4_5_1_9__1_MassOfNitrogenAppliedToSoilsScope1(R38,_xlfn.XLOOKUP($O150,$D$123:$D$129,$E$123:$E$129), _xlfn.XLOOKUP($O150,$D$112:$D$118,$E$112:$E$118),R68,$F98)</f>
        <v>43.570049999999988</v>
      </c>
      <c r="S150" s="15" cm="1">
        <f t="array" aca="1" ref="S150" ca="1">MMS_Swine_ManureAppliedToSoils_Equations.VEERG_4_5_1_9__1_MassOfNitrogenAppliedToSoilsScope1(S38,_xlfn.XLOOKUP($O150,$D$123:$D$129,$E$123:$E$129), _xlfn.XLOOKUP($O150,$D$112:$D$118,$E$112:$E$118),S68,$F98)</f>
        <v>29.551859999999994</v>
      </c>
      <c r="T150" s="16"/>
    </row>
    <row r="151" spans="1:20" ht="20.100000000000001" customHeight="1" x14ac:dyDescent="0.2">
      <c r="D151" s="111" t="str">
        <f>INDEX(X_Table_Swine_Stage1MMS_PitStorage,2,1)</f>
        <v>Pit storage</v>
      </c>
      <c r="E151" s="111" t="str">
        <f>INDEX(X_Table_Swine_Stage2MMS_From_PitStorage,2,1)</f>
        <v>Anaerobic lagoon</v>
      </c>
      <c r="F151" s="15" cm="1">
        <f t="array" aca="1" ref="F151" ca="1">MMS_Swine_ManureAppliedToSoils_Equations.VEERG_4_5_1_9__1_MassOfNitrogenAppliedToSoilsScope1(F39,_xlfn.XLOOKUP($E151,$D$123:$D$129,$E$123:$E$129), _xlfn.XLOOKUP($E151,$D$112:$D$118,$E$112:$E$118),F69,$F99)</f>
        <v>10.172725199999999</v>
      </c>
      <c r="G151" s="15" cm="1">
        <f t="array" aca="1" ref="G151" ca="1">MMS_Swine_ManureAppliedToSoils_Equations.VEERG_4_5_1_9__1_MassOfNitrogenAppliedToSoilsScope1(G39,_xlfn.XLOOKUP($E151,$D$123:$D$129,$E$123:$E$129), _xlfn.XLOOKUP($E151,$D$112:$D$118,$E$112:$E$118),G69,$F99)</f>
        <v>13.54520475</v>
      </c>
      <c r="H151" s="15" cm="1">
        <f t="array" aca="1" ref="H151" ca="1">MMS_Swine_ManureAppliedToSoils_Equations.VEERG_4_5_1_9__1_MassOfNitrogenAppliedToSoilsScope1(H39,_xlfn.XLOOKUP($E151,$D$123:$D$129,$E$123:$E$129), _xlfn.XLOOKUP($E151,$D$112:$D$118,$E$112:$E$118),H69,$F99)</f>
        <v>12.715906499999997</v>
      </c>
      <c r="I151" s="15" cm="1">
        <f t="array" aca="1" ref="I151" ca="1">MMS_Swine_ManureAppliedToSoils_Equations.VEERG_4_5_1_9__1_MassOfNitrogenAppliedToSoilsScope1(I39,_xlfn.XLOOKUP($E151,$D$123:$D$129,$E$123:$E$129), _xlfn.XLOOKUP($E151,$D$112:$D$118,$E$112:$E$118),I69,$F99)</f>
        <v>8.6247017999999969</v>
      </c>
      <c r="J151" s="16"/>
      <c r="N151" s="111" t="str">
        <f>INDEX(X_Table_Swine_Stage1MMS_PitStorage,2,1)</f>
        <v>Pit storage</v>
      </c>
      <c r="O151" s="111" t="str">
        <f>INDEX(X_Table_Swine_Stage2MMS_From_PitStorage,2,1)</f>
        <v>Anaerobic lagoon</v>
      </c>
      <c r="P151" s="15" cm="1">
        <f t="array" aca="1" ref="P151" ca="1">MMS_Swine_ManureAppliedToSoils_Equations.VEERG_4_5_1_9__1_MassOfNitrogenAppliedToSoilsScope1(P39,_xlfn.XLOOKUP($O151,$D$123:$D$129,$E$123:$E$129), _xlfn.XLOOKUP($O151,$D$112:$D$118,$E$112:$E$118),P69,$F99)</f>
        <v>10.172725199999999</v>
      </c>
      <c r="Q151" s="15" cm="1">
        <f t="array" aca="1" ref="Q151" ca="1">MMS_Swine_ManureAppliedToSoils_Equations.VEERG_4_5_1_9__1_MassOfNitrogenAppliedToSoilsScope1(Q39,_xlfn.XLOOKUP($O151,$D$123:$D$129,$E$123:$E$129), _xlfn.XLOOKUP($O151,$D$112:$D$118,$E$112:$E$118),Q69,$F99)</f>
        <v>13.54520475</v>
      </c>
      <c r="R151" s="15" cm="1">
        <f t="array" aca="1" ref="R151" ca="1">MMS_Swine_ManureAppliedToSoils_Equations.VEERG_4_5_1_9__1_MassOfNitrogenAppliedToSoilsScope1(R39,_xlfn.XLOOKUP($O151,$D$123:$D$129,$E$123:$E$129), _xlfn.XLOOKUP($O151,$D$112:$D$118,$E$112:$E$118),R69,$F99)</f>
        <v>12.715906499999997</v>
      </c>
      <c r="S151" s="15" cm="1">
        <f t="array" aca="1" ref="S151" ca="1">MMS_Swine_ManureAppliedToSoils_Equations.VEERG_4_5_1_9__1_MassOfNitrogenAppliedToSoilsScope1(S39,_xlfn.XLOOKUP($O151,$D$123:$D$129,$E$123:$E$129), _xlfn.XLOOKUP($O151,$D$112:$D$118,$E$112:$E$118),S69,$F99)</f>
        <v>8.6247017999999969</v>
      </c>
      <c r="T151" s="16"/>
    </row>
    <row r="152" spans="1:20" ht="20.100000000000001" customHeight="1" x14ac:dyDescent="0.2">
      <c r="D152" s="111"/>
      <c r="E152" s="111" t="str">
        <f>INDEX(X_Table_Swine_Stage2MMS_From_PitStorage,3,1)</f>
        <v>Digester / covered lagoons</v>
      </c>
      <c r="F152" s="15" cm="1">
        <f t="array" aca="1" ref="F152" ca="1">MMS_Swine_ManureAppliedToSoils_Equations.VEERG_4_5_1_9__1_MassOfNitrogenAppliedToSoilsScope1(F40,_xlfn.XLOOKUP($E152,$D$123:$D$129,$E$123:$E$129), _xlfn.XLOOKUP($E152,$D$112:$D$118,$E$112:$E$118),F70,$F100)</f>
        <v>22.606055999999999</v>
      </c>
      <c r="G152" s="15" cm="1">
        <f t="array" aca="1" ref="G152" ca="1">MMS_Swine_ManureAppliedToSoils_Equations.VEERG_4_5_1_9__1_MassOfNitrogenAppliedToSoilsScope1(G40,_xlfn.XLOOKUP($E152,$D$123:$D$129,$E$123:$E$129), _xlfn.XLOOKUP($E152,$D$112:$D$118,$E$112:$E$118),G70,$F100)</f>
        <v>30.100455000000004</v>
      </c>
      <c r="H152" s="15" cm="1">
        <f t="array" aca="1" ref="H152" ca="1">MMS_Swine_ManureAppliedToSoils_Equations.VEERG_4_5_1_9__1_MassOfNitrogenAppliedToSoilsScope1(H40,_xlfn.XLOOKUP($E152,$D$123:$D$129,$E$123:$E$129), _xlfn.XLOOKUP($E152,$D$112:$D$118,$E$112:$E$118),H70,$F100)</f>
        <v>28.257569999999994</v>
      </c>
      <c r="I152" s="15" cm="1">
        <f t="array" aca="1" ref="I152" ca="1">MMS_Swine_ManureAppliedToSoils_Equations.VEERG_4_5_1_9__1_MassOfNitrogenAppliedToSoilsScope1(I40,_xlfn.XLOOKUP($E152,$D$123:$D$129,$E$123:$E$129), _xlfn.XLOOKUP($E152,$D$112:$D$118,$E$112:$E$118),I70,$F100)</f>
        <v>19.166003999999997</v>
      </c>
      <c r="J152" s="16"/>
      <c r="N152" s="111"/>
      <c r="O152" s="111" t="str">
        <f>INDEX(X_Table_Swine_Stage2MMS_From_PitStorage,3,1)</f>
        <v>Digester / covered lagoons</v>
      </c>
      <c r="P152" s="15" cm="1">
        <f t="array" aca="1" ref="P152" ca="1">MMS_Swine_ManureAppliedToSoils_Equations.VEERG_4_5_1_9__1_MassOfNitrogenAppliedToSoilsScope1(P40,_xlfn.XLOOKUP($O152,$D$123:$D$129,$E$123:$E$129), _xlfn.XLOOKUP($O152,$D$112:$D$118,$E$112:$E$118),P70,$F100)</f>
        <v>22.606055999999999</v>
      </c>
      <c r="Q152" s="15" cm="1">
        <f t="array" aca="1" ref="Q152" ca="1">MMS_Swine_ManureAppliedToSoils_Equations.VEERG_4_5_1_9__1_MassOfNitrogenAppliedToSoilsScope1(Q40,_xlfn.XLOOKUP($O152,$D$123:$D$129,$E$123:$E$129), _xlfn.XLOOKUP($O152,$D$112:$D$118,$E$112:$E$118),Q70,$F100)</f>
        <v>30.100455000000004</v>
      </c>
      <c r="R152" s="15" cm="1">
        <f t="array" aca="1" ref="R152" ca="1">MMS_Swine_ManureAppliedToSoils_Equations.VEERG_4_5_1_9__1_MassOfNitrogenAppliedToSoilsScope1(R40,_xlfn.XLOOKUP($O152,$D$123:$D$129,$E$123:$E$129), _xlfn.XLOOKUP($O152,$D$112:$D$118,$E$112:$E$118),R70,$F100)</f>
        <v>28.257569999999994</v>
      </c>
      <c r="S152" s="15" cm="1">
        <f t="array" aca="1" ref="S152" ca="1">MMS_Swine_ManureAppliedToSoils_Equations.VEERG_4_5_1_9__1_MassOfNitrogenAppliedToSoilsScope1(S40,_xlfn.XLOOKUP($O152,$D$123:$D$129,$E$123:$E$129), _xlfn.XLOOKUP($O152,$D$112:$D$118,$E$112:$E$118),S70,$F100)</f>
        <v>19.166003999999997</v>
      </c>
      <c r="T152" s="16"/>
    </row>
    <row r="153" spans="1:20" ht="20.100000000000001" customHeight="1" x14ac:dyDescent="0.2">
      <c r="D153" s="111"/>
      <c r="E153" s="111" t="str">
        <f>INDEX(X_Table_Swine_Stage2MMS_From_PitStorage,4,1)</f>
        <v>Deep litter</v>
      </c>
      <c r="F153" s="15" cm="1">
        <f t="array" aca="1" ref="F153" ca="1">MMS_Swine_ManureAppliedToSoils_Equations.VEERG_4_5_1_9__1_MassOfNitrogenAppliedToSoilsScope1(F41,_xlfn.XLOOKUP($E153,$D$123:$D$129,$E$123:$E$129), _xlfn.XLOOKUP($E153,$D$112:$D$118,$E$112:$E$118),F71,$F101)</f>
        <v>19.554238439999999</v>
      </c>
      <c r="G153" s="15" cm="1">
        <f t="array" aca="1" ref="G153" ca="1">MMS_Swine_ManureAppliedToSoils_Equations.VEERG_4_5_1_9__1_MassOfNitrogenAppliedToSoilsScope1(G41,_xlfn.XLOOKUP($E153,$D$123:$D$129,$E$123:$E$129), _xlfn.XLOOKUP($E153,$D$112:$D$118,$E$112:$E$118),G71,$F101)</f>
        <v>26.036893575000001</v>
      </c>
      <c r="H153" s="15" cm="1">
        <f t="array" aca="1" ref="H153" ca="1">MMS_Swine_ManureAppliedToSoils_Equations.VEERG_4_5_1_9__1_MassOfNitrogenAppliedToSoilsScope1(H41,_xlfn.XLOOKUP($E153,$D$123:$D$129,$E$123:$E$129), _xlfn.XLOOKUP($E153,$D$112:$D$118,$E$112:$E$118),H71,$F101)</f>
        <v>24.442798049999993</v>
      </c>
      <c r="I153" s="15" cm="1">
        <f t="array" aca="1" ref="I153" ca="1">MMS_Swine_ManureAppliedToSoils_Equations.VEERG_4_5_1_9__1_MassOfNitrogenAppliedToSoilsScope1(I41,_xlfn.XLOOKUP($E153,$D$123:$D$129,$E$123:$E$129), _xlfn.XLOOKUP($E153,$D$112:$D$118,$E$112:$E$118),I71,$F101)</f>
        <v>16.578593459999997</v>
      </c>
      <c r="J153" s="16"/>
      <c r="N153" s="111"/>
      <c r="O153" s="111" t="str">
        <f>INDEX(X_Table_Swine_Stage2MMS_From_PitStorage,4,1)</f>
        <v>Deep litter</v>
      </c>
      <c r="P153" s="15" cm="1">
        <f t="array" aca="1" ref="P153" ca="1">MMS_Swine_ManureAppliedToSoils_Equations.VEERG_4_5_1_9__1_MassOfNitrogenAppliedToSoilsScope1(P41,_xlfn.XLOOKUP($O153,$D$123:$D$129,$E$123:$E$129), _xlfn.XLOOKUP($O153,$D$112:$D$118,$E$112:$E$118),P71,$F101)</f>
        <v>19.554238439999999</v>
      </c>
      <c r="Q153" s="15" cm="1">
        <f t="array" aca="1" ref="Q153" ca="1">MMS_Swine_ManureAppliedToSoils_Equations.VEERG_4_5_1_9__1_MassOfNitrogenAppliedToSoilsScope1(Q41,_xlfn.XLOOKUP($O153,$D$123:$D$129,$E$123:$E$129), _xlfn.XLOOKUP($O153,$D$112:$D$118,$E$112:$E$118),Q71,$F101)</f>
        <v>26.036893575000001</v>
      </c>
      <c r="R153" s="15" cm="1">
        <f t="array" aca="1" ref="R153" ca="1">MMS_Swine_ManureAppliedToSoils_Equations.VEERG_4_5_1_9__1_MassOfNitrogenAppliedToSoilsScope1(R41,_xlfn.XLOOKUP($O153,$D$123:$D$129,$E$123:$E$129), _xlfn.XLOOKUP($O153,$D$112:$D$118,$E$112:$E$118),R71,$F101)</f>
        <v>24.442798049999993</v>
      </c>
      <c r="S153" s="15" cm="1">
        <f t="array" aca="1" ref="S153" ca="1">MMS_Swine_ManureAppliedToSoils_Equations.VEERG_4_5_1_9__1_MassOfNitrogenAppliedToSoilsScope1(S41,_xlfn.XLOOKUP($O153,$D$123:$D$129,$E$123:$E$129), _xlfn.XLOOKUP($O153,$D$112:$D$118,$E$112:$E$118),S71,$F101)</f>
        <v>16.578593459999997</v>
      </c>
      <c r="T153" s="16"/>
    </row>
    <row r="154" spans="1:20" ht="20.100000000000001" customHeight="1" x14ac:dyDescent="0.2">
      <c r="D154" s="111"/>
      <c r="E154" s="111" t="str">
        <f>INDEX(X_Table_Swine_Stage2MMS_From_PitStorage,5,1)</f>
        <v>Direct application</v>
      </c>
      <c r="F154" s="15" cm="1">
        <f t="array" aca="1" ref="F154" ca="1">MMS_Swine_ManureAppliedToSoils_Equations.VEERG_4_5_1_9__1_MassOfNitrogenAppliedToSoilsScope1(F42,_xlfn.XLOOKUP($E154,$D$123:$D$129,$E$123:$E$129), _xlfn.XLOOKUP($E154,$D$112:$D$118,$E$112:$E$118),F72,$F102)</f>
        <v>60.282815999999976</v>
      </c>
      <c r="G154" s="15" cm="1">
        <f t="array" aca="1" ref="G154" ca="1">MMS_Swine_ManureAppliedToSoils_Equations.VEERG_4_5_1_9__1_MassOfNitrogenAppliedToSoilsScope1(G42,_xlfn.XLOOKUP($E154,$D$123:$D$129,$E$123:$E$129), _xlfn.XLOOKUP($E154,$D$112:$D$118,$E$112:$E$118),G72,$F102)</f>
        <v>40.133940000000003</v>
      </c>
      <c r="H154" s="15" cm="1">
        <f t="array" aca="1" ref="H154" ca="1">MMS_Swine_ManureAppliedToSoils_Equations.VEERG_4_5_1_9__1_MassOfNitrogenAppliedToSoilsScope1(H42,_xlfn.XLOOKUP($E154,$D$123:$D$129,$E$123:$E$129), _xlfn.XLOOKUP($E154,$D$112:$D$118,$E$112:$E$118),H72,$F102)</f>
        <v>37.676759999999994</v>
      </c>
      <c r="I154" s="15" cm="1">
        <f t="array" aca="1" ref="I154" ca="1">MMS_Swine_ManureAppliedToSoils_Equations.VEERG_4_5_1_9__1_MassOfNitrogenAppliedToSoilsScope1(I42,_xlfn.XLOOKUP($E154,$D$123:$D$129,$E$123:$E$129), _xlfn.XLOOKUP($E154,$D$112:$D$118,$E$112:$E$118),I72,$F102)</f>
        <v>25.554671999999997</v>
      </c>
      <c r="J154" s="16"/>
      <c r="N154" s="111"/>
      <c r="O154" s="111" t="str">
        <f>INDEX(X_Table_Swine_Stage2MMS_From_PitStorage,5,1)</f>
        <v>Direct application</v>
      </c>
      <c r="P154" s="15" cm="1">
        <f t="array" aca="1" ref="P154" ca="1">MMS_Swine_ManureAppliedToSoils_Equations.VEERG_4_5_1_9__1_MassOfNitrogenAppliedToSoilsScope1(P42,_xlfn.XLOOKUP($O154,$D$123:$D$129,$E$123:$E$129), _xlfn.XLOOKUP($O154,$D$112:$D$118,$E$112:$E$118),P72,$F102)</f>
        <v>60.282815999999976</v>
      </c>
      <c r="Q154" s="15" cm="1">
        <f t="array" aca="1" ref="Q154" ca="1">MMS_Swine_ManureAppliedToSoils_Equations.VEERG_4_5_1_9__1_MassOfNitrogenAppliedToSoilsScope1(Q42,_xlfn.XLOOKUP($O154,$D$123:$D$129,$E$123:$E$129), _xlfn.XLOOKUP($O154,$D$112:$D$118,$E$112:$E$118),Q72,$F102)</f>
        <v>40.133940000000003</v>
      </c>
      <c r="R154" s="15" cm="1">
        <f t="array" aca="1" ref="R154" ca="1">MMS_Swine_ManureAppliedToSoils_Equations.VEERG_4_5_1_9__1_MassOfNitrogenAppliedToSoilsScope1(R42,_xlfn.XLOOKUP($O154,$D$123:$D$129,$E$123:$E$129), _xlfn.XLOOKUP($O154,$D$112:$D$118,$E$112:$E$118),R72,$F102)</f>
        <v>37.676759999999994</v>
      </c>
      <c r="S154" s="15" cm="1">
        <f t="array" aca="1" ref="S154" ca="1">MMS_Swine_ManureAppliedToSoils_Equations.VEERG_4_5_1_9__1_MassOfNitrogenAppliedToSoilsScope1(S42,_xlfn.XLOOKUP($O154,$D$123:$D$129,$E$123:$E$129), _xlfn.XLOOKUP($O154,$D$112:$D$118,$E$112:$E$118),S72,$F102)</f>
        <v>25.554671999999997</v>
      </c>
      <c r="T154" s="16"/>
    </row>
    <row r="155" spans="1:20" ht="20.100000000000001" customHeight="1" x14ac:dyDescent="0.2">
      <c r="D155" s="111" t="s">
        <v>75</v>
      </c>
      <c r="E155" s="111" t="str">
        <f>INDEX(X_Table_Swine_Stage2MMS_From_SolidStorage,2,1)</f>
        <v>Anaerobic lagoon</v>
      </c>
      <c r="F155" s="15" cm="1">
        <f t="array" aca="1" ref="F155" ca="1">MMS_Swine_ManureAppliedToSoils_Equations.VEERG_4_5_1_9__1_MassOfNitrogenAppliedToSoilsScope1(F43,_xlfn.XLOOKUP($E155,$D$123:$D$129,$E$123:$E$129), _xlfn.XLOOKUP($E155,$D$112:$D$118,$E$112:$E$118),F73,$F103)</f>
        <v>36.039735000000007</v>
      </c>
      <c r="G155" s="15" cm="1">
        <f t="array" aca="1" ref="G155" ca="1">MMS_Swine_ManureAppliedToSoils_Equations.VEERG_4_5_1_9__1_MassOfNitrogenAppliedToSoilsScope1(G43,_xlfn.XLOOKUP($E155,$D$123:$D$129,$E$123:$E$129), _xlfn.XLOOKUP($E155,$D$112:$D$118,$E$112:$E$118),G73,$F103)</f>
        <v>38.390152500000021</v>
      </c>
      <c r="H155" s="15" cm="1">
        <f t="array" aca="1" ref="H155" ca="1">MMS_Swine_ManureAppliedToSoils_Equations.VEERG_4_5_1_9__1_MassOfNitrogenAppliedToSoilsScope1(H43,_xlfn.XLOOKUP($E155,$D$123:$D$129,$E$123:$E$129), _xlfn.XLOOKUP($E155,$D$112:$D$118,$E$112:$E$118),H73,$F103)</f>
        <v>36.039735000000007</v>
      </c>
      <c r="I155" s="15" cm="1">
        <f t="array" aca="1" ref="I155" ca="1">MMS_Swine_ManureAppliedToSoils_Equations.VEERG_4_5_1_9__1_MassOfNitrogenAppliedToSoilsScope1(I43,_xlfn.XLOOKUP($E155,$D$123:$D$129,$E$123:$E$129), _xlfn.XLOOKUP($E155,$D$112:$D$118,$E$112:$E$118),I73,$F103)</f>
        <v>24.44434200000001</v>
      </c>
      <c r="J155" s="16"/>
      <c r="N155" s="111" t="s">
        <v>75</v>
      </c>
      <c r="O155" s="111" t="str">
        <f>INDEX(X_Table_Swine_Stage2MMS_From_SolidStorage,2,1)</f>
        <v>Anaerobic lagoon</v>
      </c>
      <c r="P155" s="15" cm="1">
        <f t="array" aca="1" ref="P155" ca="1">MMS_Swine_ManureAppliedToSoils_Equations.VEERG_4_5_1_9__1_MassOfNitrogenAppliedToSoilsScope1(P43,_xlfn.XLOOKUP($O155,$D$123:$D$129,$E$123:$E$129), _xlfn.XLOOKUP($O155,$D$112:$D$118,$E$112:$E$118),P73,$F103)</f>
        <v>36.039735000000007</v>
      </c>
      <c r="Q155" s="15" cm="1">
        <f t="array" aca="1" ref="Q155" ca="1">MMS_Swine_ManureAppliedToSoils_Equations.VEERG_4_5_1_9__1_MassOfNitrogenAppliedToSoilsScope1(Q43,_xlfn.XLOOKUP($O155,$D$123:$D$129,$E$123:$E$129), _xlfn.XLOOKUP($O155,$D$112:$D$118,$E$112:$E$118),Q73,$F103)</f>
        <v>38.390152500000021</v>
      </c>
      <c r="R155" s="15" cm="1">
        <f t="array" aca="1" ref="R155" ca="1">MMS_Swine_ManureAppliedToSoils_Equations.VEERG_4_5_1_9__1_MassOfNitrogenAppliedToSoilsScope1(R43,_xlfn.XLOOKUP($O155,$D$123:$D$129,$E$123:$E$129), _xlfn.XLOOKUP($O155,$D$112:$D$118,$E$112:$E$118),R73,$F103)</f>
        <v>36.039735000000007</v>
      </c>
      <c r="S155" s="15" cm="1">
        <f t="array" aca="1" ref="S155" ca="1">MMS_Swine_ManureAppliedToSoils_Equations.VEERG_4_5_1_9__1_MassOfNitrogenAppliedToSoilsScope1(S43,_xlfn.XLOOKUP($O155,$D$123:$D$129,$E$123:$E$129), _xlfn.XLOOKUP($O155,$D$112:$D$118,$E$112:$E$118),S73,$F103)</f>
        <v>24.44434200000001</v>
      </c>
      <c r="T155" s="16"/>
    </row>
    <row r="156" spans="1:20" ht="20.100000000000001" customHeight="1" x14ac:dyDescent="0.2">
      <c r="D156" s="111"/>
      <c r="E156" s="111" t="str">
        <f>INDEX(X_Table_Swine_Stage2MMS_From_SolidStorage,3,1)</f>
        <v>Digester / covered lagoons</v>
      </c>
      <c r="F156" s="15" cm="1">
        <f t="array" aca="1" ref="F156" ca="1">MMS_Swine_ManureAppliedToSoils_Equations.VEERG_4_5_1_9__1_MassOfNitrogenAppliedToSoilsScope1(F44,_xlfn.XLOOKUP($E156,$D$123:$D$129,$E$123:$E$129), _xlfn.XLOOKUP($E156,$D$112:$D$118,$E$112:$E$118),F74,$F104)</f>
        <v>80.088300000000032</v>
      </c>
      <c r="G156" s="15" cm="1">
        <f t="array" aca="1" ref="G156" ca="1">MMS_Swine_ManureAppliedToSoils_Equations.VEERG_4_5_1_9__1_MassOfNitrogenAppliedToSoilsScope1(G44,_xlfn.XLOOKUP($E156,$D$123:$D$129,$E$123:$E$129), _xlfn.XLOOKUP($E156,$D$112:$D$118,$E$112:$E$118),G74,$F104)</f>
        <v>85.31145000000005</v>
      </c>
      <c r="H156" s="15" cm="1">
        <f t="array" aca="1" ref="H156" ca="1">MMS_Swine_ManureAppliedToSoils_Equations.VEERG_4_5_1_9__1_MassOfNitrogenAppliedToSoilsScope1(H44,_xlfn.XLOOKUP($E156,$D$123:$D$129,$E$123:$E$129), _xlfn.XLOOKUP($E156,$D$112:$D$118,$E$112:$E$118),H74,$F104)</f>
        <v>80.088300000000032</v>
      </c>
      <c r="I156" s="15" cm="1">
        <f t="array" aca="1" ref="I156" ca="1">MMS_Swine_ManureAppliedToSoils_Equations.VEERG_4_5_1_9__1_MassOfNitrogenAppliedToSoilsScope1(I44,_xlfn.XLOOKUP($E156,$D$123:$D$129,$E$123:$E$129), _xlfn.XLOOKUP($E156,$D$112:$D$118,$E$112:$E$118),I74,$F104)</f>
        <v>54.320760000000028</v>
      </c>
      <c r="J156" s="16"/>
      <c r="N156" s="111"/>
      <c r="O156" s="111" t="str">
        <f>INDEX(X_Table_Swine_Stage2MMS_From_SolidStorage,3,1)</f>
        <v>Digester / covered lagoons</v>
      </c>
      <c r="P156" s="15" cm="1">
        <f t="array" aca="1" ref="P156" ca="1">MMS_Swine_ManureAppliedToSoils_Equations.VEERG_4_5_1_9__1_MassOfNitrogenAppliedToSoilsScope1(P44,_xlfn.XLOOKUP($O156,$D$123:$D$129,$E$123:$E$129), _xlfn.XLOOKUP($O156,$D$112:$D$118,$E$112:$E$118),P74,$F104)</f>
        <v>80.088300000000032</v>
      </c>
      <c r="Q156" s="15" cm="1">
        <f t="array" aca="1" ref="Q156" ca="1">MMS_Swine_ManureAppliedToSoils_Equations.VEERG_4_5_1_9__1_MassOfNitrogenAppliedToSoilsScope1(Q44,_xlfn.XLOOKUP($O156,$D$123:$D$129,$E$123:$E$129), _xlfn.XLOOKUP($O156,$D$112:$D$118,$E$112:$E$118),Q74,$F104)</f>
        <v>85.31145000000005</v>
      </c>
      <c r="R156" s="15" cm="1">
        <f t="array" aca="1" ref="R156" ca="1">MMS_Swine_ManureAppliedToSoils_Equations.VEERG_4_5_1_9__1_MassOfNitrogenAppliedToSoilsScope1(R44,_xlfn.XLOOKUP($O156,$D$123:$D$129,$E$123:$E$129), _xlfn.XLOOKUP($O156,$D$112:$D$118,$E$112:$E$118),R74,$F104)</f>
        <v>80.088300000000032</v>
      </c>
      <c r="S156" s="15" cm="1">
        <f t="array" aca="1" ref="S156" ca="1">MMS_Swine_ManureAppliedToSoils_Equations.VEERG_4_5_1_9__1_MassOfNitrogenAppliedToSoilsScope1(S44,_xlfn.XLOOKUP($O156,$D$123:$D$129,$E$123:$E$129), _xlfn.XLOOKUP($O156,$D$112:$D$118,$E$112:$E$118),S74,$F104)</f>
        <v>54.320760000000028</v>
      </c>
      <c r="T156" s="16"/>
    </row>
    <row r="157" spans="1:20" ht="20.100000000000001" customHeight="1" x14ac:dyDescent="0.2">
      <c r="A157" s="131" t="str">
        <f>HYPERLINK("#A1", "▲ Back to top")</f>
        <v>▲ Back to top</v>
      </c>
      <c r="D157" s="111"/>
      <c r="E157" s="111" t="str">
        <f>INDEX(X_Table_Swine_Stage2MMS_From_SolidStorage,4,1)</f>
        <v>Deep litter</v>
      </c>
      <c r="F157" s="15" cm="1">
        <f t="array" aca="1" ref="F157" ca="1">MMS_Swine_ManureAppliedToSoils_Equations.VEERG_4_5_1_9__1_MassOfNitrogenAppliedToSoilsScope1(F45,_xlfn.XLOOKUP($E157,$D$123:$D$129,$E$123:$E$129), _xlfn.XLOOKUP($E157,$D$112:$D$118,$E$112:$E$118),F75,$F105)</f>
        <v>69.276379500000019</v>
      </c>
      <c r="G157" s="15" cm="1">
        <f t="array" aca="1" ref="G157" ca="1">MMS_Swine_ManureAppliedToSoils_Equations.VEERG_4_5_1_9__1_MassOfNitrogenAppliedToSoilsScope1(G45,_xlfn.XLOOKUP($E157,$D$123:$D$129,$E$123:$E$129), _xlfn.XLOOKUP($E157,$D$112:$D$118,$E$112:$E$118),G75,$F105)</f>
        <v>73.794404250000042</v>
      </c>
      <c r="H157" s="15" cm="1">
        <f t="array" aca="1" ref="H157" ca="1">MMS_Swine_ManureAppliedToSoils_Equations.VEERG_4_5_1_9__1_MassOfNitrogenAppliedToSoilsScope1(H45,_xlfn.XLOOKUP($E157,$D$123:$D$129,$E$123:$E$129), _xlfn.XLOOKUP($E157,$D$112:$D$118,$E$112:$E$118),H75,$F105)</f>
        <v>69.276379500000019</v>
      </c>
      <c r="I157" s="15" cm="1">
        <f t="array" aca="1" ref="I157" ca="1">MMS_Swine_ManureAppliedToSoils_Equations.VEERG_4_5_1_9__1_MassOfNitrogenAppliedToSoilsScope1(I45,_xlfn.XLOOKUP($E157,$D$123:$D$129,$E$123:$E$129), _xlfn.XLOOKUP($E157,$D$112:$D$118,$E$112:$E$118),I75,$F105)</f>
        <v>46.987457400000025</v>
      </c>
      <c r="J157" s="16"/>
      <c r="N157" s="111"/>
      <c r="O157" s="111" t="str">
        <f>INDEX(X_Table_Swine_Stage2MMS_From_SolidStorage,4,1)</f>
        <v>Deep litter</v>
      </c>
      <c r="P157" s="15" cm="1">
        <f t="array" aca="1" ref="P157" ca="1">MMS_Swine_ManureAppliedToSoils_Equations.VEERG_4_5_1_9__1_MassOfNitrogenAppliedToSoilsScope1(P45,_xlfn.XLOOKUP($O157,$D$123:$D$129,$E$123:$E$129), _xlfn.XLOOKUP($O157,$D$112:$D$118,$E$112:$E$118),P75,$F105)</f>
        <v>69.276379500000019</v>
      </c>
      <c r="Q157" s="15" cm="1">
        <f t="array" aca="1" ref="Q157" ca="1">MMS_Swine_ManureAppliedToSoils_Equations.VEERG_4_5_1_9__1_MassOfNitrogenAppliedToSoilsScope1(Q45,_xlfn.XLOOKUP($O157,$D$123:$D$129,$E$123:$E$129), _xlfn.XLOOKUP($O157,$D$112:$D$118,$E$112:$E$118),Q75,$F105)</f>
        <v>73.794404250000042</v>
      </c>
      <c r="R157" s="15" cm="1">
        <f t="array" aca="1" ref="R157" ca="1">MMS_Swine_ManureAppliedToSoils_Equations.VEERG_4_5_1_9__1_MassOfNitrogenAppliedToSoilsScope1(R45,_xlfn.XLOOKUP($O157,$D$123:$D$129,$E$123:$E$129), _xlfn.XLOOKUP($O157,$D$112:$D$118,$E$112:$E$118),R75,$F105)</f>
        <v>69.276379500000019</v>
      </c>
      <c r="S157" s="15" cm="1">
        <f t="array" aca="1" ref="S157" ca="1">MMS_Swine_ManureAppliedToSoils_Equations.VEERG_4_5_1_9__1_MassOfNitrogenAppliedToSoilsScope1(S45,_xlfn.XLOOKUP($O157,$D$123:$D$129,$E$123:$E$129), _xlfn.XLOOKUP($O157,$D$112:$D$118,$E$112:$E$118),S75,$F105)</f>
        <v>46.987457400000025</v>
      </c>
      <c r="T157" s="16"/>
    </row>
    <row r="158" spans="1:20" ht="20.100000000000001" customHeight="1" x14ac:dyDescent="0.2">
      <c r="D158" s="111"/>
      <c r="E158" s="111" t="str">
        <f>INDEX(X_Table_Swine_Stage2MMS_From_SolidStorage,5,1)</f>
        <v>Pit storage</v>
      </c>
      <c r="F158" s="15" cm="1">
        <f t="array" aca="1" ref="F158" ca="1">MMS_Swine_ManureAppliedToSoils_Equations.VEERG_4_5_1_9__1_MassOfNitrogenAppliedToSoilsScope1(F46,_xlfn.XLOOKUP($E158,$D$123:$D$129,$E$123:$E$129), _xlfn.XLOOKUP($E158,$D$112:$D$118,$E$112:$E$118),F76,$F106)</f>
        <v>29.953024200000009</v>
      </c>
      <c r="G158" s="15" cm="1">
        <f t="array" aca="1" ref="G158" ca="1">MMS_Swine_ManureAppliedToSoils_Equations.VEERG_4_5_1_9__1_MassOfNitrogenAppliedToSoilsScope1(G46,_xlfn.XLOOKUP($E158,$D$123:$D$129,$E$123:$E$129), _xlfn.XLOOKUP($E158,$D$112:$D$118,$E$112:$E$118),G76,$F106)</f>
        <v>31.906482300000018</v>
      </c>
      <c r="H158" s="15" cm="1">
        <f t="array" aca="1" ref="H158" ca="1">MMS_Swine_ManureAppliedToSoils_Equations.VEERG_4_5_1_9__1_MassOfNitrogenAppliedToSoilsScope1(H46,_xlfn.XLOOKUP($E158,$D$123:$D$129,$E$123:$E$129), _xlfn.XLOOKUP($E158,$D$112:$D$118,$E$112:$E$118),H76,$F106)</f>
        <v>29.953024200000009</v>
      </c>
      <c r="I158" s="15" cm="1">
        <f t="array" aca="1" ref="I158" ca="1">MMS_Swine_ManureAppliedToSoils_Equations.VEERG_4_5_1_9__1_MassOfNitrogenAppliedToSoilsScope1(I46,_xlfn.XLOOKUP($E158,$D$123:$D$129,$E$123:$E$129), _xlfn.XLOOKUP($E158,$D$112:$D$118,$E$112:$E$118),I76,$F106)</f>
        <v>20.31596424000001</v>
      </c>
      <c r="J158" s="16"/>
      <c r="N158" s="111"/>
      <c r="O158" s="111" t="str">
        <f>INDEX(X_Table_Swine_Stage2MMS_From_SolidStorage,5,1)</f>
        <v>Pit storage</v>
      </c>
      <c r="P158" s="15" cm="1">
        <f t="array" aca="1" ref="P158" ca="1">MMS_Swine_ManureAppliedToSoils_Equations.VEERG_4_5_1_9__1_MassOfNitrogenAppliedToSoilsScope1(P46,_xlfn.XLOOKUP($O158,$D$123:$D$129,$E$123:$E$129), _xlfn.XLOOKUP($O158,$D$112:$D$118,$E$112:$E$118),P76,$F106)</f>
        <v>29.953024200000009</v>
      </c>
      <c r="Q158" s="15" cm="1">
        <f t="array" aca="1" ref="Q158" ca="1">MMS_Swine_ManureAppliedToSoils_Equations.VEERG_4_5_1_9__1_MassOfNitrogenAppliedToSoilsScope1(Q46,_xlfn.XLOOKUP($O158,$D$123:$D$129,$E$123:$E$129), _xlfn.XLOOKUP($O158,$D$112:$D$118,$E$112:$E$118),Q76,$F106)</f>
        <v>31.906482300000018</v>
      </c>
      <c r="R158" s="15" cm="1">
        <f t="array" aca="1" ref="R158" ca="1">MMS_Swine_ManureAppliedToSoils_Equations.VEERG_4_5_1_9__1_MassOfNitrogenAppliedToSoilsScope1(R46,_xlfn.XLOOKUP($O158,$D$123:$D$129,$E$123:$E$129), _xlfn.XLOOKUP($O158,$D$112:$D$118,$E$112:$E$118),R76,$F106)</f>
        <v>29.953024200000009</v>
      </c>
      <c r="S158" s="15" cm="1">
        <f t="array" aca="1" ref="S158" ca="1">MMS_Swine_ManureAppliedToSoils_Equations.VEERG_4_5_1_9__1_MassOfNitrogenAppliedToSoilsScope1(S46,_xlfn.XLOOKUP($O158,$D$123:$D$129,$E$123:$E$129), _xlfn.XLOOKUP($O158,$D$112:$D$118,$E$112:$E$118),S76,$F106)</f>
        <v>20.31596424000001</v>
      </c>
      <c r="T158" s="16"/>
    </row>
    <row r="159" spans="1:20" ht="20.100000000000001" customHeight="1" x14ac:dyDescent="0.2">
      <c r="D159" s="111"/>
      <c r="E159" s="111" t="str">
        <f>INDEX(X_Table_Swine_Stage2MMS_From_SolidStorage,6,1)</f>
        <v>Direct application</v>
      </c>
      <c r="F159" s="15" cm="1">
        <f t="array" aca="1" ref="F159" ca="1">MMS_Swine_ManureAppliedToSoils_Equations.VEERG_4_5_1_9__1_MassOfNitrogenAppliedToSoilsScope1(F47,_xlfn.XLOOKUP($E159,$D$123:$D$129,$E$123:$E$129), _xlfn.XLOOKUP($E159,$D$112:$D$118,$E$112:$E$118),F77,$F107)</f>
        <v>160.17660000000001</v>
      </c>
      <c r="G159" s="15" cm="1">
        <f t="array" aca="1" ref="G159" ca="1">MMS_Swine_ManureAppliedToSoils_Equations.VEERG_4_5_1_9__1_MassOfNitrogenAppliedToSoilsScope1(G47,_xlfn.XLOOKUP($E159,$D$123:$D$129,$E$123:$E$129), _xlfn.XLOOKUP($E159,$D$112:$D$118,$E$112:$E$118),G77,$F107)</f>
        <v>170.62290000000004</v>
      </c>
      <c r="H159" s="15" cm="1">
        <f t="array" aca="1" ref="H159" ca="1">MMS_Swine_ManureAppliedToSoils_Equations.VEERG_4_5_1_9__1_MassOfNitrogenAppliedToSoilsScope1(H47,_xlfn.XLOOKUP($E159,$D$123:$D$129,$E$123:$E$129), _xlfn.XLOOKUP($E159,$D$112:$D$118,$E$112:$E$118),H77,$F107)</f>
        <v>160.17660000000001</v>
      </c>
      <c r="I159" s="15" cm="1">
        <f t="array" aca="1" ref="I159" ca="1">MMS_Swine_ManureAppliedToSoils_Equations.VEERG_4_5_1_9__1_MassOfNitrogenAppliedToSoilsScope1(I47,_xlfn.XLOOKUP($E159,$D$123:$D$129,$E$123:$E$129), _xlfn.XLOOKUP($E159,$D$112:$D$118,$E$112:$E$118),I77,$F107)</f>
        <v>108.64152000000003</v>
      </c>
      <c r="J159" s="16"/>
      <c r="N159" s="111"/>
      <c r="O159" s="111" t="str">
        <f>INDEX(X_Table_Swine_Stage2MMS_From_SolidStorage,6,1)</f>
        <v>Direct application</v>
      </c>
      <c r="P159" s="15" cm="1">
        <f t="array" aca="1" ref="P159" ca="1">MMS_Swine_ManureAppliedToSoils_Equations.VEERG_4_5_1_9__1_MassOfNitrogenAppliedToSoilsScope1(P47,_xlfn.XLOOKUP($O159,$D$123:$D$129,$E$123:$E$129), _xlfn.XLOOKUP($O159,$D$112:$D$118,$E$112:$E$118),P77,$F107)</f>
        <v>160.17660000000001</v>
      </c>
      <c r="Q159" s="15" cm="1">
        <f t="array" aca="1" ref="Q159" ca="1">MMS_Swine_ManureAppliedToSoils_Equations.VEERG_4_5_1_9__1_MassOfNitrogenAppliedToSoilsScope1(Q47,_xlfn.XLOOKUP($O159,$D$123:$D$129,$E$123:$E$129), _xlfn.XLOOKUP($O159,$D$112:$D$118,$E$112:$E$118),Q77,$F107)</f>
        <v>170.62290000000004</v>
      </c>
      <c r="R159" s="15" cm="1">
        <f t="array" aca="1" ref="R159" ca="1">MMS_Swine_ManureAppliedToSoils_Equations.VEERG_4_5_1_9__1_MassOfNitrogenAppliedToSoilsScope1(R47,_xlfn.XLOOKUP($O159,$D$123:$D$129,$E$123:$E$129), _xlfn.XLOOKUP($O159,$D$112:$D$118,$E$112:$E$118),R77,$F107)</f>
        <v>160.17660000000001</v>
      </c>
      <c r="S159" s="15" cm="1">
        <f t="array" aca="1" ref="S159" ca="1">MMS_Swine_ManureAppliedToSoils_Equations.VEERG_4_5_1_9__1_MassOfNitrogenAppliedToSoilsScope1(S47,_xlfn.XLOOKUP($O159,$D$123:$D$129,$E$123:$E$129), _xlfn.XLOOKUP($O159,$D$112:$D$118,$E$112:$E$118),S77,$F107)</f>
        <v>108.64152000000003</v>
      </c>
      <c r="T159" s="16"/>
    </row>
    <row r="161" spans="3:21" ht="20.100000000000001" customHeight="1" x14ac:dyDescent="0.2">
      <c r="D161" s="84" t="s">
        <v>459</v>
      </c>
      <c r="E161" s="85">
        <f ca="1">SUM(F134:I159)</f>
        <v>3256.7704915650011</v>
      </c>
      <c r="F161" s="94" t="str">
        <f>$E$11</f>
        <v>kg N</v>
      </c>
      <c r="N161" s="84" t="s">
        <v>459</v>
      </c>
      <c r="O161" s="85">
        <f ca="1">SUM(P134:S159)</f>
        <v>3256.7704915650011</v>
      </c>
      <c r="P161" s="94" t="str">
        <f>$E$11</f>
        <v>kg N</v>
      </c>
    </row>
    <row r="164" spans="3:21" ht="20.100000000000001" customHeight="1" x14ac:dyDescent="0.2">
      <c r="C164" s="82"/>
      <c r="D164" s="82"/>
      <c r="E164" s="82"/>
      <c r="F164" s="82"/>
      <c r="G164" s="82"/>
      <c r="H164" s="82"/>
      <c r="I164" s="82"/>
      <c r="J164" s="82"/>
      <c r="K164" s="82"/>
      <c r="M164" s="82"/>
      <c r="N164" s="82"/>
      <c r="O164" s="82"/>
      <c r="P164" s="82"/>
      <c r="Q164" s="82"/>
      <c r="R164" s="82"/>
      <c r="S164" s="82"/>
      <c r="T164" s="82"/>
      <c r="U164" s="82"/>
    </row>
    <row r="165" spans="3:21" ht="20.100000000000001" customHeight="1" x14ac:dyDescent="0.2">
      <c r="D165" s="2" t="str" cm="1">
        <f t="array" ref="D165">MMS_Swine_ManureAppliedToSoils_Equations.VEERG_4_5_1_9__2_MassOfNitrogenAppliedToSoilsScope3_Title()</f>
        <v>Mass of nitrogen applied to soils for scope 3 emissions</v>
      </c>
    </row>
    <row r="166" spans="3:21" ht="20.100000000000001" customHeight="1" x14ac:dyDescent="0.2">
      <c r="D166" s="17" t="str" cm="1">
        <f t="array" ref="D166">MMS_Swine_ManureAppliedToSoils_Equations.VEERG_4_5_1_9__2_MassOfNitrogenAppliedToSoilsScope3_Source()</f>
        <v>VEERG 2026: 4.5.1.9, Equation (2)</v>
      </c>
    </row>
    <row r="167" spans="3:21" ht="20.100000000000001" customHeight="1" x14ac:dyDescent="0.2">
      <c r="D167" s="110" t="s">
        <v>321</v>
      </c>
      <c r="E167" s="110" t="str" cm="1">
        <f t="array" aca="1" ref="E167" ca="1">Common_InputFunctions.Utility_DisplayFunctionName(F182)</f>
        <v>=MMS_Swine_ManureAppliedToSoils_Equations.VEERG_4_5_1_9__2_MassOfNitrogenAppliedToSoilsScope3</v>
      </c>
    </row>
    <row r="170" spans="3:21" ht="20.100000000000001" customHeight="1" x14ac:dyDescent="0.2">
      <c r="D170" s="75" t="s">
        <v>322</v>
      </c>
      <c r="E170" s="1" t="str" cm="1">
        <f t="array" ref="E170">MMS_Swine_ManureAppliedToSoils_Equations.VEERG_4_5_1_9__2_MassOfNitrogenAppliedToSoilsScope3_Variable()</f>
        <v>MNSoil_scope3</v>
      </c>
    </row>
    <row r="171" spans="3:21" ht="20.100000000000001" customHeight="1" x14ac:dyDescent="0.2">
      <c r="D171" s="75" t="s">
        <v>118</v>
      </c>
      <c r="E171" s="9" t="str" cm="1">
        <f t="array" ref="E171">MMS_Swine_ManureAppliedToSoils_Equations.VEERG_4_5_1_9__2_MassOfNitrogenAppliedToSoilsScope3_Unit()</f>
        <v>kg N</v>
      </c>
    </row>
    <row r="173" spans="3:21" ht="20.100000000000001" customHeight="1" x14ac:dyDescent="0.2">
      <c r="D173" s="127" t="str" cm="1">
        <f t="array" ref="D173:E177">Common_InputFunctions.Utility_DisplayArguments_1_2(MMS_Swine_ManureAppliedToSoils_Equations.VEERG_4_5_1_9__2_MassOfNitrogenAppliedToSoilsScope3_Arguments())</f>
        <v>MN_jmT2</v>
      </c>
      <c r="E173" s="128" t="str">
        <v>mass of N in MMS at treatment stage 2</v>
      </c>
      <c r="F173" s="129"/>
      <c r="G173" s="127" t="str" cm="1">
        <f t="array" ref="G173:H177">Common_InputFunctions.Utility_DisplayArguments_3_4(MMS_Swine_ManureAppliedToSoils_Equations.VEERG_4_5_1_9__2_MassOfNitrogenAppliedToSoilsScope3_Arguments())</f>
        <v>kg N</v>
      </c>
      <c r="H173" s="125" t="str">
        <v>Calculated from 4.5.1.3 (6)</v>
      </c>
      <c r="I173" s="115" t="str" cm="1">
        <f t="array" aca="1" ref="I173" ca="1">HYPERLINK(Common_InputFunctions.Utility_SourceHyperlink(D19), D19)</f>
        <v>M1_Table_MN_j_m_T-2</v>
      </c>
    </row>
    <row r="174" spans="3:21" ht="20.100000000000001" customHeight="1" x14ac:dyDescent="0.2">
      <c r="D174" s="127" t="str">
        <v>EF_mT2</v>
      </c>
      <c r="E174" s="128" t="str">
        <v>nitrous oxide emission factor for each MMS at treatment stage 2</v>
      </c>
      <c r="F174" s="129"/>
      <c r="G174" s="127" t="str">
        <v>kg N2O-N/kg N</v>
      </c>
      <c r="H174" s="125" t="str">
        <v>Constant</v>
      </c>
      <c r="I174" s="115" t="str" cm="1">
        <f t="array" aca="1" ref="I174" ca="1">HYPERLINK(Common_InputFunctions.Utility_SourceHyperlink(D120), D120)</f>
        <v>Table_EF_m_T</v>
      </c>
    </row>
    <row r="175" spans="3:21" ht="20.100000000000001" customHeight="1" x14ac:dyDescent="0.2">
      <c r="D175" s="127" t="str">
        <v>FracGASM_mT2</v>
      </c>
      <c r="E175" s="128" t="str">
        <v>fraction of animal waste N volatilised in each MMS at treatment stage 2</v>
      </c>
      <c r="F175" s="129"/>
      <c r="G175" s="127" t="str">
        <v>(kg NH3-N + NOx-N)/kg N</v>
      </c>
      <c r="H175" s="125" t="str">
        <v>Constant</v>
      </c>
      <c r="I175" s="115" t="str" cm="1">
        <f t="array" aca="1" ref="I175" ca="1">HYPERLINK(Common_InputFunctions.Utility_SourceHyperlink(D109), D109)</f>
        <v>Table_FracGASM_m_t</v>
      </c>
    </row>
    <row r="176" spans="3:21" ht="20.100000000000001" customHeight="1" x14ac:dyDescent="0.2">
      <c r="D176" s="127" t="str">
        <v>MNLeach_jm5</v>
      </c>
      <c r="E176" s="128" t="str">
        <v>mass of N lost to leaching and runoff from drylot MMS</v>
      </c>
      <c r="F176" s="129"/>
      <c r="G176" s="127" t="str">
        <v>kg N</v>
      </c>
      <c r="H176" s="125" t="str">
        <v>Calculated from 4.5.1.7 (2)</v>
      </c>
      <c r="I176" s="115" t="str" cm="1">
        <f t="array" aca="1" ref="I176" ca="1">HYPERLINK(Common_InputFunctions.Utility_SourceHyperlink(D49), D49)</f>
        <v>M1_Table_MN_leach_j_m-5</v>
      </c>
    </row>
    <row r="177" spans="1:20" ht="20.100000000000001" customHeight="1" x14ac:dyDescent="0.2">
      <c r="D177" s="127" t="str">
        <v>PF</v>
      </c>
      <c r="E177" s="128" t="str">
        <v>fraction of manure applied to soil within the piggery boundary</v>
      </c>
      <c r="F177" s="129"/>
      <c r="G177" s="127" t="str">
        <v>fraction</v>
      </c>
      <c r="H177" s="123" t="str">
        <v>Input</v>
      </c>
      <c r="I177" s="115" t="str" cm="1">
        <f t="array" aca="1" ref="I177" ca="1">HYPERLINK(Common_InputFunctions.Utility_SourceHyperlink(D79), D79)</f>
        <v>M1_Table_PF</v>
      </c>
    </row>
    <row r="179" spans="1:20" ht="20.100000000000001" customHeight="1" x14ac:dyDescent="0.2">
      <c r="D179" s="117" t="s">
        <v>460</v>
      </c>
      <c r="N179" s="117" t="s">
        <v>460</v>
      </c>
    </row>
    <row r="180" spans="1:20" ht="20.100000000000001" customHeight="1" x14ac:dyDescent="0.2">
      <c r="D180" s="118" t="s">
        <v>461</v>
      </c>
      <c r="N180" s="118" t="s">
        <v>461</v>
      </c>
    </row>
    <row r="181" spans="1:20" ht="20.100000000000001" customHeight="1" x14ac:dyDescent="0.2">
      <c r="D181" s="119" t="s">
        <v>325</v>
      </c>
      <c r="E181" s="119" t="s">
        <v>354</v>
      </c>
      <c r="F181" s="119" t="s">
        <v>290</v>
      </c>
      <c r="G181" s="119" t="s">
        <v>291</v>
      </c>
      <c r="H181" s="119" t="s">
        <v>265</v>
      </c>
      <c r="I181" s="119" t="s">
        <v>292</v>
      </c>
      <c r="N181" s="119" t="s">
        <v>325</v>
      </c>
      <c r="O181" s="119" t="s">
        <v>354</v>
      </c>
      <c r="P181" s="119" t="s">
        <v>290</v>
      </c>
      <c r="Q181" s="119" t="s">
        <v>291</v>
      </c>
      <c r="R181" s="119" t="s">
        <v>265</v>
      </c>
      <c r="S181" s="119" t="s">
        <v>292</v>
      </c>
    </row>
    <row r="182" spans="1:20" ht="20.100000000000001" customHeight="1" x14ac:dyDescent="0.2">
      <c r="D182" s="111" t="str">
        <f>INDEX(X_Table_Swine_Stage1MMS_AnaerobicLagoon,2,1)</f>
        <v>Anaerobic lagoon</v>
      </c>
      <c r="E182" s="111" t="str">
        <f>INDEX(X_Table_Swine_Stage2MMS_From_AnaerobicLagoon,2,1)</f>
        <v>Digester / covered lagoons</v>
      </c>
      <c r="F182" s="15" cm="1">
        <f t="array" aca="1" ref="F182" ca="1">MMS_Swine_ManureAppliedToSoils_Equations.VEERG_4_5_1_9__2_MassOfNitrogenAppliedToSoilsScope3(F22,_xlfn.XLOOKUP($E182,$D$123:$D$129,$E$123:$E$129), _xlfn.XLOOKUP($E182,$D$112:$D$118,$E$112:$E$118),F52,$F82)</f>
        <v>4.5332999999999988</v>
      </c>
      <c r="G182" s="15" cm="1">
        <f t="array" aca="1" ref="G182" ca="1">MMS_Swine_ManureAppliedToSoils_Equations.VEERG_4_5_1_9__2_MassOfNitrogenAppliedToSoilsScope3(G22,_xlfn.XLOOKUP($E182,$D$123:$D$129,$E$123:$E$129), _xlfn.XLOOKUP($E182,$D$112:$D$118,$E$112:$E$118),G52,$F82)</f>
        <v>6.0361875000000005</v>
      </c>
      <c r="H182" s="15" cm="1">
        <f t="array" aca="1" ref="H182" ca="1">MMS_Swine_ManureAppliedToSoils_Equations.VEERG_4_5_1_9__2_MassOfNitrogenAppliedToSoilsScope3(H22,_xlfn.XLOOKUP($E182,$D$123:$D$129,$E$123:$E$129), _xlfn.XLOOKUP($E182,$D$112:$D$118,$E$112:$E$118),H52,$F82)</f>
        <v>5.666624999999998</v>
      </c>
      <c r="I182" s="15" cm="1">
        <f t="array" aca="1" ref="I182" ca="1">MMS_Swine_ManureAppliedToSoils_Equations.VEERG_4_5_1_9__2_MassOfNitrogenAppliedToSoilsScope3(I22,_xlfn.XLOOKUP($E182,$D$123:$D$129,$E$123:$E$129), _xlfn.XLOOKUP($E182,$D$112:$D$118,$E$112:$E$118),I52,$F82)</f>
        <v>3.8434499999999989</v>
      </c>
      <c r="J182" s="16" t="str">
        <f>$E$171</f>
        <v>kg N</v>
      </c>
      <c r="N182" s="111" t="str">
        <f>INDEX(X_Table_Swine_Stage1MMS_AnaerobicLagoon,2,1)</f>
        <v>Anaerobic lagoon</v>
      </c>
      <c r="O182" s="111" t="str">
        <f>INDEX(X_Table_Swine_Stage2MMS_From_AnaerobicLagoon,2,1)</f>
        <v>Digester / covered lagoons</v>
      </c>
      <c r="P182" s="15" cm="1">
        <f t="array" aca="1" ref="P182" ca="1">MMS_Swine_ManureAppliedToSoils_Equations.VEERG_4_5_1_9__2_MassOfNitrogenAppliedToSoilsScope3(P22,_xlfn.XLOOKUP($O182,$D$123:$D$129,$E$123:$E$129), _xlfn.XLOOKUP($O182,$D$112:$D$118,$E$112:$E$118),P52,$F82)</f>
        <v>4.5332999999999988</v>
      </c>
      <c r="Q182" s="15" cm="1">
        <f t="array" aca="1" ref="Q182" ca="1">MMS_Swine_ManureAppliedToSoils_Equations.VEERG_4_5_1_9__2_MassOfNitrogenAppliedToSoilsScope3(Q22,_xlfn.XLOOKUP($O182,$D$123:$D$129,$E$123:$E$129), _xlfn.XLOOKUP($O182,$D$112:$D$118,$E$112:$E$118),Q52,$F82)</f>
        <v>6.0361875000000005</v>
      </c>
      <c r="R182" s="15" cm="1">
        <f t="array" aca="1" ref="R182" ca="1">MMS_Swine_ManureAppliedToSoils_Equations.VEERG_4_5_1_9__2_MassOfNitrogenAppliedToSoilsScope3(R22,_xlfn.XLOOKUP($O182,$D$123:$D$129,$E$123:$E$129), _xlfn.XLOOKUP($O182,$D$112:$D$118,$E$112:$E$118),R52,$F82)</f>
        <v>5.666624999999998</v>
      </c>
      <c r="S182" s="15" cm="1">
        <f t="array" aca="1" ref="S182" ca="1">MMS_Swine_ManureAppliedToSoils_Equations.VEERG_4_5_1_9__2_MassOfNitrogenAppliedToSoilsScope3(S22,_xlfn.XLOOKUP($O182,$D$123:$D$129,$E$123:$E$129), _xlfn.XLOOKUP($O182,$D$112:$D$118,$E$112:$E$118),S52,$F82)</f>
        <v>3.8434499999999989</v>
      </c>
      <c r="T182" s="16" t="str">
        <f>$E$171</f>
        <v>kg N</v>
      </c>
    </row>
    <row r="183" spans="1:20" ht="20.100000000000001" customHeight="1" x14ac:dyDescent="0.2">
      <c r="D183" s="111"/>
      <c r="E183" s="111" t="str">
        <f>INDEX(X_Table_Swine_Stage2MMS_From_AnaerobicLagoon,3,1)</f>
        <v>Deep litter</v>
      </c>
      <c r="F183" s="15" cm="1">
        <f t="array" aca="1" ref="F183" ca="1">MMS_Swine_ManureAppliedToSoils_Equations.VEERG_4_5_1_9__2_MassOfNitrogenAppliedToSoilsScope3(F23,_xlfn.XLOOKUP($E183,$D$123:$D$129,$E$123:$E$129), _xlfn.XLOOKUP($E183,$D$112:$D$118,$E$112:$E$118),F53,$F83)</f>
        <v>3.9213044999999989</v>
      </c>
      <c r="G183" s="15" cm="1">
        <f t="array" aca="1" ref="G183" ca="1">MMS_Swine_ManureAppliedToSoils_Equations.VEERG_4_5_1_9__2_MassOfNitrogenAppliedToSoilsScope3(G23,_xlfn.XLOOKUP($E183,$D$123:$D$129,$E$123:$E$129), _xlfn.XLOOKUP($E183,$D$112:$D$118,$E$112:$E$118),G53,$F83)</f>
        <v>5.2213021875000001</v>
      </c>
      <c r="H183" s="15" cm="1">
        <f t="array" aca="1" ref="H183" ca="1">MMS_Swine_ManureAppliedToSoils_Equations.VEERG_4_5_1_9__2_MassOfNitrogenAppliedToSoilsScope3(H23,_xlfn.XLOOKUP($E183,$D$123:$D$129,$E$123:$E$129), _xlfn.XLOOKUP($E183,$D$112:$D$118,$E$112:$E$118),H53,$F83)</f>
        <v>4.9016306249999984</v>
      </c>
      <c r="I183" s="15" cm="1">
        <f t="array" aca="1" ref="I183" ca="1">MMS_Swine_ManureAppliedToSoils_Equations.VEERG_4_5_1_9__2_MassOfNitrogenAppliedToSoilsScope3(I23,_xlfn.XLOOKUP($E183,$D$123:$D$129,$E$123:$E$129), _xlfn.XLOOKUP($E183,$D$112:$D$118,$E$112:$E$118),I53,$F83)</f>
        <v>3.3245842499999991</v>
      </c>
      <c r="J183" s="16"/>
      <c r="N183" s="111"/>
      <c r="O183" s="111" t="str">
        <f>INDEX(X_Table_Swine_Stage2MMS_From_AnaerobicLagoon,3,1)</f>
        <v>Deep litter</v>
      </c>
      <c r="P183" s="15" cm="1">
        <f t="array" aca="1" ref="P183" ca="1">MMS_Swine_ManureAppliedToSoils_Equations.VEERG_4_5_1_9__2_MassOfNitrogenAppliedToSoilsScope3(P23,_xlfn.XLOOKUP($O183,$D$123:$D$129,$E$123:$E$129), _xlfn.XLOOKUP($O183,$D$112:$D$118,$E$112:$E$118),P53,$F83)</f>
        <v>3.9213044999999989</v>
      </c>
      <c r="Q183" s="15" cm="1">
        <f t="array" aca="1" ref="Q183" ca="1">MMS_Swine_ManureAppliedToSoils_Equations.VEERG_4_5_1_9__2_MassOfNitrogenAppliedToSoilsScope3(Q23,_xlfn.XLOOKUP($O183,$D$123:$D$129,$E$123:$E$129), _xlfn.XLOOKUP($O183,$D$112:$D$118,$E$112:$E$118),Q53,$F83)</f>
        <v>5.2213021875000001</v>
      </c>
      <c r="R183" s="15" cm="1">
        <f t="array" aca="1" ref="R183" ca="1">MMS_Swine_ManureAppliedToSoils_Equations.VEERG_4_5_1_9__2_MassOfNitrogenAppliedToSoilsScope3(R23,_xlfn.XLOOKUP($O183,$D$123:$D$129,$E$123:$E$129), _xlfn.XLOOKUP($O183,$D$112:$D$118,$E$112:$E$118),R53,$F83)</f>
        <v>4.9016306249999984</v>
      </c>
      <c r="S183" s="15" cm="1">
        <f t="array" aca="1" ref="S183" ca="1">MMS_Swine_ManureAppliedToSoils_Equations.VEERG_4_5_1_9__2_MassOfNitrogenAppliedToSoilsScope3(S23,_xlfn.XLOOKUP($O183,$D$123:$D$129,$E$123:$E$129), _xlfn.XLOOKUP($O183,$D$112:$D$118,$E$112:$E$118),S53,$F83)</f>
        <v>3.3245842499999991</v>
      </c>
      <c r="T183" s="16"/>
    </row>
    <row r="184" spans="1:20" ht="20.100000000000001" customHeight="1" x14ac:dyDescent="0.2">
      <c r="D184" s="111"/>
      <c r="E184" s="111" t="str">
        <f>INDEX(X_Table_Swine_Stage2MMS_From_AnaerobicLagoon,4,1)</f>
        <v>Pit storage</v>
      </c>
      <c r="F184" s="15" cm="1">
        <f t="array" aca="1" ref="F184" ca="1">MMS_Swine_ManureAppliedToSoils_Equations.VEERG_4_5_1_9__2_MassOfNitrogenAppliedToSoilsScope3(F24,_xlfn.XLOOKUP($E184,$D$123:$D$129,$E$123:$E$129), _xlfn.XLOOKUP($E184,$D$112:$D$118,$E$112:$E$118),F54,$F84)</f>
        <v>3.3909083999999989</v>
      </c>
      <c r="G184" s="15" cm="1">
        <f t="array" aca="1" ref="G184" ca="1">MMS_Swine_ManureAppliedToSoils_Equations.VEERG_4_5_1_9__2_MassOfNitrogenAppliedToSoilsScope3(G24,_xlfn.XLOOKUP($E184,$D$123:$D$129,$E$123:$E$129), _xlfn.XLOOKUP($E184,$D$112:$D$118,$E$112:$E$118),G54,$F84)</f>
        <v>4.5150682500000006</v>
      </c>
      <c r="H184" s="15" cm="1">
        <f t="array" aca="1" ref="H184" ca="1">MMS_Swine_ManureAppliedToSoils_Equations.VEERG_4_5_1_9__2_MassOfNitrogenAppliedToSoilsScope3(H24,_xlfn.XLOOKUP($E184,$D$123:$D$129,$E$123:$E$129), _xlfn.XLOOKUP($E184,$D$112:$D$118,$E$112:$E$118),H54,$F84)</f>
        <v>4.2386354999999982</v>
      </c>
      <c r="I184" s="15" cm="1">
        <f t="array" aca="1" ref="I184" ca="1">MMS_Swine_ManureAppliedToSoils_Equations.VEERG_4_5_1_9__2_MassOfNitrogenAppliedToSoilsScope3(I24,_xlfn.XLOOKUP($E184,$D$123:$D$129,$E$123:$E$129), _xlfn.XLOOKUP($E184,$D$112:$D$118,$E$112:$E$118),I54,$F84)</f>
        <v>2.8749005999999993</v>
      </c>
      <c r="J184" s="16"/>
      <c r="N184" s="111"/>
      <c r="O184" s="111" t="str">
        <f>INDEX(X_Table_Swine_Stage2MMS_From_AnaerobicLagoon,4,1)</f>
        <v>Pit storage</v>
      </c>
      <c r="P184" s="15" cm="1">
        <f t="array" aca="1" ref="P184" ca="1">MMS_Swine_ManureAppliedToSoils_Equations.VEERG_4_5_1_9__2_MassOfNitrogenAppliedToSoilsScope3(P24,_xlfn.XLOOKUP($O184,$D$123:$D$129,$E$123:$E$129), _xlfn.XLOOKUP($O184,$D$112:$D$118,$E$112:$E$118),P54,$F84)</f>
        <v>3.3909083999999989</v>
      </c>
      <c r="Q184" s="15" cm="1">
        <f t="array" aca="1" ref="Q184" ca="1">MMS_Swine_ManureAppliedToSoils_Equations.VEERG_4_5_1_9__2_MassOfNitrogenAppliedToSoilsScope3(Q24,_xlfn.XLOOKUP($O184,$D$123:$D$129,$E$123:$E$129), _xlfn.XLOOKUP($O184,$D$112:$D$118,$E$112:$E$118),Q54,$F84)</f>
        <v>4.5150682500000006</v>
      </c>
      <c r="R184" s="15" cm="1">
        <f t="array" aca="1" ref="R184" ca="1">MMS_Swine_ManureAppliedToSoils_Equations.VEERG_4_5_1_9__2_MassOfNitrogenAppliedToSoilsScope3(R24,_xlfn.XLOOKUP($O184,$D$123:$D$129,$E$123:$E$129), _xlfn.XLOOKUP($O184,$D$112:$D$118,$E$112:$E$118),R54,$F84)</f>
        <v>4.2386354999999982</v>
      </c>
      <c r="S184" s="15" cm="1">
        <f t="array" aca="1" ref="S184" ca="1">MMS_Swine_ManureAppliedToSoils_Equations.VEERG_4_5_1_9__2_MassOfNitrogenAppliedToSoilsScope3(S24,_xlfn.XLOOKUP($O184,$D$123:$D$129,$E$123:$E$129), _xlfn.XLOOKUP($O184,$D$112:$D$118,$E$112:$E$118),S54,$F84)</f>
        <v>2.8749005999999993</v>
      </c>
      <c r="T184" s="16"/>
    </row>
    <row r="185" spans="1:20" ht="20.100000000000001" customHeight="1" x14ac:dyDescent="0.2">
      <c r="D185" s="111"/>
      <c r="E185" s="111" t="str">
        <f>INDEX(X_Table_Swine_Stage2MMS_From_AnaerobicLagoon,5,1)</f>
        <v>Direct application</v>
      </c>
      <c r="F185" s="15" cm="1">
        <f t="array" aca="1" ref="F185" ca="1">MMS_Swine_ManureAppliedToSoils_Equations.VEERG_4_5_1_9__2_MassOfNitrogenAppliedToSoilsScope3(F25,_xlfn.XLOOKUP($E185,$D$123:$D$129,$E$123:$E$129), _xlfn.XLOOKUP($E185,$D$112:$D$118,$E$112:$E$118),F55,$F85)</f>
        <v>0</v>
      </c>
      <c r="G185" s="15" cm="1">
        <f t="array" aca="1" ref="G185" ca="1">MMS_Swine_ManureAppliedToSoils_Equations.VEERG_4_5_1_9__2_MassOfNitrogenAppliedToSoilsScope3(G25,_xlfn.XLOOKUP($E185,$D$123:$D$129,$E$123:$E$129), _xlfn.XLOOKUP($E185,$D$112:$D$118,$E$112:$E$118),G55,$F85)</f>
        <v>0</v>
      </c>
      <c r="H185" s="15" cm="1">
        <f t="array" aca="1" ref="H185" ca="1">MMS_Swine_ManureAppliedToSoils_Equations.VEERG_4_5_1_9__2_MassOfNitrogenAppliedToSoilsScope3(H25,_xlfn.XLOOKUP($E185,$D$123:$D$129,$E$123:$E$129), _xlfn.XLOOKUP($E185,$D$112:$D$118,$E$112:$E$118),H55,$F85)</f>
        <v>0</v>
      </c>
      <c r="I185" s="15" cm="1">
        <f t="array" aca="1" ref="I185" ca="1">MMS_Swine_ManureAppliedToSoils_Equations.VEERG_4_5_1_9__2_MassOfNitrogenAppliedToSoilsScope3(I25,_xlfn.XLOOKUP($E185,$D$123:$D$129,$E$123:$E$129), _xlfn.XLOOKUP($E185,$D$112:$D$118,$E$112:$E$118),I55,$F85)</f>
        <v>0</v>
      </c>
      <c r="J185" s="16"/>
      <c r="N185" s="111"/>
      <c r="O185" s="111" t="str">
        <f>INDEX(X_Table_Swine_Stage2MMS_From_AnaerobicLagoon,5,1)</f>
        <v>Direct application</v>
      </c>
      <c r="P185" s="15" cm="1">
        <f t="array" aca="1" ref="P185" ca="1">MMS_Swine_ManureAppliedToSoils_Equations.VEERG_4_5_1_9__2_MassOfNitrogenAppliedToSoilsScope3(P25,_xlfn.XLOOKUP($O185,$D$123:$D$129,$E$123:$E$129), _xlfn.XLOOKUP($O185,$D$112:$D$118,$E$112:$E$118),P55,$F85)</f>
        <v>0</v>
      </c>
      <c r="Q185" s="15" cm="1">
        <f t="array" aca="1" ref="Q185" ca="1">MMS_Swine_ManureAppliedToSoils_Equations.VEERG_4_5_1_9__2_MassOfNitrogenAppliedToSoilsScope3(Q25,_xlfn.XLOOKUP($O185,$D$123:$D$129,$E$123:$E$129), _xlfn.XLOOKUP($O185,$D$112:$D$118,$E$112:$E$118),Q55,$F85)</f>
        <v>0</v>
      </c>
      <c r="R185" s="15" cm="1">
        <f t="array" aca="1" ref="R185" ca="1">MMS_Swine_ManureAppliedToSoils_Equations.VEERG_4_5_1_9__2_MassOfNitrogenAppliedToSoilsScope3(R25,_xlfn.XLOOKUP($O185,$D$123:$D$129,$E$123:$E$129), _xlfn.XLOOKUP($O185,$D$112:$D$118,$E$112:$E$118),R55,$F85)</f>
        <v>0</v>
      </c>
      <c r="S185" s="15" cm="1">
        <f t="array" aca="1" ref="S185" ca="1">MMS_Swine_ManureAppliedToSoils_Equations.VEERG_4_5_1_9__2_MassOfNitrogenAppliedToSoilsScope3(S25,_xlfn.XLOOKUP($O185,$D$123:$D$129,$E$123:$E$129), _xlfn.XLOOKUP($O185,$D$112:$D$118,$E$112:$E$118),S55,$F85)</f>
        <v>0</v>
      </c>
      <c r="T185" s="16"/>
    </row>
    <row r="186" spans="1:20" ht="20.100000000000001" customHeight="1" x14ac:dyDescent="0.2">
      <c r="D186" s="111" t="str">
        <f>INDEX(X_Table_Swine_Stage1MMS_Drylot,2,1)</f>
        <v>Drylot (feed pad)</v>
      </c>
      <c r="E186" s="111" t="str">
        <f>INDEX(X_Table_Swine_Stage2MMS_From_Drylot,2,1)</f>
        <v>Anaerobic lagoon</v>
      </c>
      <c r="F186" s="15" cm="1">
        <f t="array" aca="1" ref="F186" ca="1">MMS_Swine_ManureAppliedToSoils_Equations.VEERG_4_5_1_9__2_MassOfNitrogenAppliedToSoilsScope3(F26,_xlfn.XLOOKUP($E186,$D$123:$D$129,$E$123:$E$129), _xlfn.XLOOKUP($E186,$D$112:$D$118,$E$112:$E$118),F56,$F86)</f>
        <v>2.0752439999999988</v>
      </c>
      <c r="G186" s="15" cm="1">
        <f t="array" aca="1" ref="G186" ca="1">MMS_Swine_ManureAppliedToSoils_Equations.VEERG_4_5_1_9__2_MassOfNitrogenAppliedToSoilsScope3(G26,_xlfn.XLOOKUP($E186,$D$123:$D$129,$E$123:$E$129), _xlfn.XLOOKUP($E186,$D$112:$D$118,$E$112:$E$118),G56,$F86)</f>
        <v>3.0315075</v>
      </c>
      <c r="H186" s="15" cm="1">
        <f t="array" aca="1" ref="H186" ca="1">MMS_Swine_ManureAppliedToSoils_Equations.VEERG_4_5_1_9__2_MassOfNitrogenAppliedToSoilsScope3(H26,_xlfn.XLOOKUP($E186,$D$123:$D$129,$E$123:$E$129), _xlfn.XLOOKUP($E186,$D$112:$D$118,$E$112:$E$118),H56,$F86)</f>
        <v>2.8459049999999984</v>
      </c>
      <c r="I186" s="15" cm="1">
        <f t="array" aca="1" ref="I186" ca="1">MMS_Swine_ManureAppliedToSoils_Equations.VEERG_4_5_1_9__2_MassOfNitrogenAppliedToSoilsScope3(I26,_xlfn.XLOOKUP($E186,$D$123:$D$129,$E$123:$E$129), _xlfn.XLOOKUP($E186,$D$112:$D$118,$E$112:$E$118),I56,$F86)</f>
        <v>1.9302659999999991</v>
      </c>
      <c r="J186" s="16"/>
      <c r="N186" s="111" t="str">
        <f>INDEX(X_Table_Swine_Stage1MMS_Drylot,2,1)</f>
        <v>Drylot (feed pad)</v>
      </c>
      <c r="O186" s="111" t="str">
        <f>INDEX(X_Table_Swine_Stage2MMS_From_Drylot,2,1)</f>
        <v>Anaerobic lagoon</v>
      </c>
      <c r="P186" s="15" cm="1">
        <f t="array" aca="1" ref="P186" ca="1">MMS_Swine_ManureAppliedToSoils_Equations.VEERG_4_5_1_9__2_MassOfNitrogenAppliedToSoilsScope3(P26,_xlfn.XLOOKUP($O186,$D$123:$D$129,$E$123:$E$129), _xlfn.XLOOKUP($O186,$D$112:$D$118,$E$112:$E$118),P56,$F86)</f>
        <v>2.0752439999999988</v>
      </c>
      <c r="Q186" s="15" cm="1">
        <f t="array" aca="1" ref="Q186" ca="1">MMS_Swine_ManureAppliedToSoils_Equations.VEERG_4_5_1_9__2_MassOfNitrogenAppliedToSoilsScope3(Q26,_xlfn.XLOOKUP($O186,$D$123:$D$129,$E$123:$E$129), _xlfn.XLOOKUP($O186,$D$112:$D$118,$E$112:$E$118),Q56,$F86)</f>
        <v>3.0315075</v>
      </c>
      <c r="R186" s="15" cm="1">
        <f t="array" aca="1" ref="R186" ca="1">MMS_Swine_ManureAppliedToSoils_Equations.VEERG_4_5_1_9__2_MassOfNitrogenAppliedToSoilsScope3(R26,_xlfn.XLOOKUP($O186,$D$123:$D$129,$E$123:$E$129), _xlfn.XLOOKUP($O186,$D$112:$D$118,$E$112:$E$118),R56,$F86)</f>
        <v>2.8459049999999984</v>
      </c>
      <c r="S186" s="15" cm="1">
        <f t="array" aca="1" ref="S186" ca="1">MMS_Swine_ManureAppliedToSoils_Equations.VEERG_4_5_1_9__2_MassOfNitrogenAppliedToSoilsScope3(S26,_xlfn.XLOOKUP($O186,$D$123:$D$129,$E$123:$E$129), _xlfn.XLOOKUP($O186,$D$112:$D$118,$E$112:$E$118),S56,$F86)</f>
        <v>1.9302659999999991</v>
      </c>
      <c r="T186" s="16"/>
    </row>
    <row r="187" spans="1:20" ht="20.100000000000001" customHeight="1" x14ac:dyDescent="0.2">
      <c r="A187" s="131" t="str">
        <f>HYPERLINK("#A1", "▲ Back to top")</f>
        <v>▲ Back to top</v>
      </c>
      <c r="D187" s="111"/>
      <c r="E187" s="111" t="str">
        <f>INDEX(X_Table_Swine_Stage2MMS_From_Drylot,3,1)</f>
        <v>Digester / covered lagoons</v>
      </c>
      <c r="F187" s="15" cm="1">
        <f t="array" aca="1" ref="F187" ca="1">MMS_Swine_ManureAppliedToSoils_Equations.VEERG_4_5_1_9__2_MassOfNitrogenAppliedToSoilsScope3(F27,_xlfn.XLOOKUP($E187,$D$123:$D$129,$E$123:$E$129), _xlfn.XLOOKUP($E187,$D$112:$D$118,$E$112:$E$118),F57,$F87)</f>
        <v>5.8429199999999986</v>
      </c>
      <c r="G187" s="15" cm="1">
        <f t="array" aca="1" ref="G187" ca="1">MMS_Swine_ManureAppliedToSoils_Equations.VEERG_4_5_1_9__2_MassOfNitrogenAppliedToSoilsScope3(G27,_xlfn.XLOOKUP($E187,$D$123:$D$129,$E$123:$E$129), _xlfn.XLOOKUP($E187,$D$112:$D$118,$E$112:$E$118),G57,$F87)</f>
        <v>8.0482500000000012</v>
      </c>
      <c r="H187" s="15" cm="1">
        <f t="array" aca="1" ref="H187" ca="1">MMS_Swine_ManureAppliedToSoils_Equations.VEERG_4_5_1_9__2_MassOfNitrogenAppliedToSoilsScope3(H27,_xlfn.XLOOKUP($E187,$D$123:$D$129,$E$123:$E$129), _xlfn.XLOOKUP($E187,$D$112:$D$118,$E$112:$E$118),H57,$F87)</f>
        <v>7.5554999999999977</v>
      </c>
      <c r="I187" s="15" cm="1">
        <f t="array" aca="1" ref="I187" ca="1">MMS_Swine_ManureAppliedToSoils_Equations.VEERG_4_5_1_9__2_MassOfNitrogenAppliedToSoilsScope3(I27,_xlfn.XLOOKUP($E187,$D$123:$D$129,$E$123:$E$129), _xlfn.XLOOKUP($E187,$D$112:$D$118,$E$112:$E$118),I57,$F87)</f>
        <v>5.1245999999999983</v>
      </c>
      <c r="J187" s="16"/>
      <c r="N187" s="111"/>
      <c r="O187" s="111" t="str">
        <f>INDEX(X_Table_Swine_Stage2MMS_From_Drylot,3,1)</f>
        <v>Digester / covered lagoons</v>
      </c>
      <c r="P187" s="15" cm="1">
        <f t="array" aca="1" ref="P187" ca="1">MMS_Swine_ManureAppliedToSoils_Equations.VEERG_4_5_1_9__2_MassOfNitrogenAppliedToSoilsScope3(P27,_xlfn.XLOOKUP($O187,$D$123:$D$129,$E$123:$E$129), _xlfn.XLOOKUP($O187,$D$112:$D$118,$E$112:$E$118),P57,$F87)</f>
        <v>5.8429199999999986</v>
      </c>
      <c r="Q187" s="15" cm="1">
        <f t="array" aca="1" ref="Q187" ca="1">MMS_Swine_ManureAppliedToSoils_Equations.VEERG_4_5_1_9__2_MassOfNitrogenAppliedToSoilsScope3(Q27,_xlfn.XLOOKUP($O187,$D$123:$D$129,$E$123:$E$129), _xlfn.XLOOKUP($O187,$D$112:$D$118,$E$112:$E$118),Q57,$F87)</f>
        <v>8.0482500000000012</v>
      </c>
      <c r="R187" s="15" cm="1">
        <f t="array" aca="1" ref="R187" ca="1">MMS_Swine_ManureAppliedToSoils_Equations.VEERG_4_5_1_9__2_MassOfNitrogenAppliedToSoilsScope3(R27,_xlfn.XLOOKUP($O187,$D$123:$D$129,$E$123:$E$129), _xlfn.XLOOKUP($O187,$D$112:$D$118,$E$112:$E$118),R57,$F87)</f>
        <v>7.5554999999999977</v>
      </c>
      <c r="S187" s="15" cm="1">
        <f t="array" aca="1" ref="S187" ca="1">MMS_Swine_ManureAppliedToSoils_Equations.VEERG_4_5_1_9__2_MassOfNitrogenAppliedToSoilsScope3(S27,_xlfn.XLOOKUP($O187,$D$123:$D$129,$E$123:$E$129), _xlfn.XLOOKUP($O187,$D$112:$D$118,$E$112:$E$118),S57,$F87)</f>
        <v>5.1245999999999983</v>
      </c>
      <c r="T187" s="16"/>
    </row>
    <row r="188" spans="1:20" ht="20.100000000000001" customHeight="1" x14ac:dyDescent="0.2">
      <c r="D188" s="111"/>
      <c r="E188" s="111" t="str">
        <f>INDEX(X_Table_Swine_Stage2MMS_From_Drylot,4,1)</f>
        <v>Deep litter</v>
      </c>
      <c r="F188" s="15" cm="1">
        <f t="array" aca="1" ref="F188" ca="1">MMS_Swine_ManureAppliedToSoils_Equations.VEERG_4_5_1_9__2_MassOfNitrogenAppliedToSoilsScope3(F28,_xlfn.XLOOKUP($E188,$D$123:$D$129,$E$123:$E$129), _xlfn.XLOOKUP($E188,$D$112:$D$118,$E$112:$E$118),F58,$F88)</f>
        <v>4.9181267999999987</v>
      </c>
      <c r="G188" s="15" cm="1">
        <f t="array" aca="1" ref="G188" ca="1">MMS_Swine_ManureAppliedToSoils_Equations.VEERG_4_5_1_9__2_MassOfNitrogenAppliedToSoilsScope3(G28,_xlfn.XLOOKUP($E188,$D$123:$D$129,$E$123:$E$129), _xlfn.XLOOKUP($E188,$D$112:$D$118,$E$112:$E$118),G58,$F88)</f>
        <v>6.816867750000001</v>
      </c>
      <c r="H188" s="15" cm="1">
        <f t="array" aca="1" ref="H188" ca="1">MMS_Swine_ManureAppliedToSoils_Equations.VEERG_4_5_1_9__2_MassOfNitrogenAppliedToSoilsScope3(H28,_xlfn.XLOOKUP($E188,$D$123:$D$129,$E$123:$E$129), _xlfn.XLOOKUP($E188,$D$112:$D$118,$E$112:$E$118),H58,$F88)</f>
        <v>6.3995084999999978</v>
      </c>
      <c r="I188" s="15" cm="1">
        <f t="array" aca="1" ref="I188" ca="1">MMS_Swine_ManureAppliedToSoils_Equations.VEERG_4_5_1_9__2_MassOfNitrogenAppliedToSoilsScope3(I28,_xlfn.XLOOKUP($E188,$D$123:$D$129,$E$123:$E$129), _xlfn.XLOOKUP($E188,$D$112:$D$118,$E$112:$E$118),I58,$F88)</f>
        <v>4.3405361999999981</v>
      </c>
      <c r="J188" s="16"/>
      <c r="N188" s="111"/>
      <c r="O188" s="111" t="str">
        <f>INDEX(X_Table_Swine_Stage2MMS_From_Drylot,4,1)</f>
        <v>Deep litter</v>
      </c>
      <c r="P188" s="15" cm="1">
        <f t="array" aca="1" ref="P188" ca="1">MMS_Swine_ManureAppliedToSoils_Equations.VEERG_4_5_1_9__2_MassOfNitrogenAppliedToSoilsScope3(P28,_xlfn.XLOOKUP($O188,$D$123:$D$129,$E$123:$E$129), _xlfn.XLOOKUP($O188,$D$112:$D$118,$E$112:$E$118),P58,$F88)</f>
        <v>4.9181267999999987</v>
      </c>
      <c r="Q188" s="15" cm="1">
        <f t="array" aca="1" ref="Q188" ca="1">MMS_Swine_ManureAppliedToSoils_Equations.VEERG_4_5_1_9__2_MassOfNitrogenAppliedToSoilsScope3(Q28,_xlfn.XLOOKUP($O188,$D$123:$D$129,$E$123:$E$129), _xlfn.XLOOKUP($O188,$D$112:$D$118,$E$112:$E$118),Q58,$F88)</f>
        <v>6.816867750000001</v>
      </c>
      <c r="R188" s="15" cm="1">
        <f t="array" aca="1" ref="R188" ca="1">MMS_Swine_ManureAppliedToSoils_Equations.VEERG_4_5_1_9__2_MassOfNitrogenAppliedToSoilsScope3(R28,_xlfn.XLOOKUP($O188,$D$123:$D$129,$E$123:$E$129), _xlfn.XLOOKUP($O188,$D$112:$D$118,$E$112:$E$118),R58,$F88)</f>
        <v>6.3995084999999978</v>
      </c>
      <c r="S188" s="15" cm="1">
        <f t="array" aca="1" ref="S188" ca="1">MMS_Swine_ManureAppliedToSoils_Equations.VEERG_4_5_1_9__2_MassOfNitrogenAppliedToSoilsScope3(S28,_xlfn.XLOOKUP($O188,$D$123:$D$129,$E$123:$E$129), _xlfn.XLOOKUP($O188,$D$112:$D$118,$E$112:$E$118),S58,$F88)</f>
        <v>4.3405361999999981</v>
      </c>
      <c r="T188" s="16"/>
    </row>
    <row r="189" spans="1:20" ht="20.100000000000001" customHeight="1" x14ac:dyDescent="0.2">
      <c r="D189" s="111"/>
      <c r="E189" s="111" t="str">
        <f>INDEX(X_Table_Swine_Stage2MMS_From_Drylot,5,1)</f>
        <v>Pit storage</v>
      </c>
      <c r="F189" s="15" cm="1">
        <f t="array" aca="1" ref="F189" ca="1">MMS_Swine_ManureAppliedToSoils_Equations.VEERG_4_5_1_9__2_MassOfNitrogenAppliedToSoilsScope3(F29,_xlfn.XLOOKUP($E189,$D$123:$D$129,$E$123:$E$129), _xlfn.XLOOKUP($E189,$D$112:$D$118,$E$112:$E$118),F59,$F89)</f>
        <v>4.1166393599999989</v>
      </c>
      <c r="G189" s="15" cm="1">
        <f t="array" aca="1" ref="G189" ca="1">MMS_Swine_ManureAppliedToSoils_Equations.VEERG_4_5_1_9__2_MassOfNitrogenAppliedToSoilsScope3(G29,_xlfn.XLOOKUP($E189,$D$123:$D$129,$E$123:$E$129), _xlfn.XLOOKUP($E189,$D$112:$D$118,$E$112:$E$118),G59,$F89)</f>
        <v>5.7496698000000013</v>
      </c>
      <c r="H189" s="15" cm="1">
        <f t="array" aca="1" ref="H189" ca="1">MMS_Swine_ManureAppliedToSoils_Equations.VEERG_4_5_1_9__2_MassOfNitrogenAppliedToSoilsScope3(H29,_xlfn.XLOOKUP($E189,$D$123:$D$129,$E$123:$E$129), _xlfn.XLOOKUP($E189,$D$112:$D$118,$E$112:$E$118),H59,$F89)</f>
        <v>5.3976491999999983</v>
      </c>
      <c r="I189" s="15" cm="1">
        <f t="array" aca="1" ref="I189" ca="1">MMS_Swine_ManureAppliedToSoils_Equations.VEERG_4_5_1_9__2_MassOfNitrogenAppliedToSoilsScope3(I29,_xlfn.XLOOKUP($E189,$D$123:$D$129,$E$123:$E$129), _xlfn.XLOOKUP($E189,$D$112:$D$118,$E$112:$E$118),I59,$F89)</f>
        <v>3.6610142399999983</v>
      </c>
      <c r="J189" s="16"/>
      <c r="N189" s="111"/>
      <c r="O189" s="111" t="str">
        <f>INDEX(X_Table_Swine_Stage2MMS_From_Drylot,5,1)</f>
        <v>Pit storage</v>
      </c>
      <c r="P189" s="15" cm="1">
        <f t="array" aca="1" ref="P189" ca="1">MMS_Swine_ManureAppliedToSoils_Equations.VEERG_4_5_1_9__2_MassOfNitrogenAppliedToSoilsScope3(P29,_xlfn.XLOOKUP($O189,$D$123:$D$129,$E$123:$E$129), _xlfn.XLOOKUP($O189,$D$112:$D$118,$E$112:$E$118),P59,$F89)</f>
        <v>4.1166393599999989</v>
      </c>
      <c r="Q189" s="15" cm="1">
        <f t="array" aca="1" ref="Q189" ca="1">MMS_Swine_ManureAppliedToSoils_Equations.VEERG_4_5_1_9__2_MassOfNitrogenAppliedToSoilsScope3(Q29,_xlfn.XLOOKUP($O189,$D$123:$D$129,$E$123:$E$129), _xlfn.XLOOKUP($O189,$D$112:$D$118,$E$112:$E$118),Q59,$F89)</f>
        <v>5.7496698000000013</v>
      </c>
      <c r="R189" s="15" cm="1">
        <f t="array" aca="1" ref="R189" ca="1">MMS_Swine_ManureAppliedToSoils_Equations.VEERG_4_5_1_9__2_MassOfNitrogenAppliedToSoilsScope3(R29,_xlfn.XLOOKUP($O189,$D$123:$D$129,$E$123:$E$129), _xlfn.XLOOKUP($O189,$D$112:$D$118,$E$112:$E$118),R59,$F89)</f>
        <v>5.3976491999999983</v>
      </c>
      <c r="S189" s="15" cm="1">
        <f t="array" aca="1" ref="S189" ca="1">MMS_Swine_ManureAppliedToSoils_Equations.VEERG_4_5_1_9__2_MassOfNitrogenAppliedToSoilsScope3(S29,_xlfn.XLOOKUP($O189,$D$123:$D$129,$E$123:$E$129), _xlfn.XLOOKUP($O189,$D$112:$D$118,$E$112:$E$118),S59,$F89)</f>
        <v>3.6610142399999983</v>
      </c>
      <c r="T189" s="16"/>
    </row>
    <row r="190" spans="1:20" ht="20.100000000000001" customHeight="1" x14ac:dyDescent="0.2">
      <c r="D190" s="111"/>
      <c r="E190" s="111" t="str">
        <f>INDEX(X_Table_Swine_Stage2MMS_From_Drylot,6,1)</f>
        <v>Direct application</v>
      </c>
      <c r="F190" s="15" cm="1">
        <f t="array" aca="1" ref="F190" ca="1">MMS_Swine_ManureAppliedToSoils_Equations.VEERG_4_5_1_9__2_MassOfNitrogenAppliedToSoilsScope3(F30,_xlfn.XLOOKUP($E190,$D$123:$D$129,$E$123:$E$129), _xlfn.XLOOKUP($E190,$D$112:$D$118,$E$112:$E$118),F60,$F90)</f>
        <v>0</v>
      </c>
      <c r="G190" s="15" cm="1">
        <f t="array" aca="1" ref="G190" ca="1">MMS_Swine_ManureAppliedToSoils_Equations.VEERG_4_5_1_9__2_MassOfNitrogenAppliedToSoilsScope3(G30,_xlfn.XLOOKUP($E190,$D$123:$D$129,$E$123:$E$129), _xlfn.XLOOKUP($E190,$D$112:$D$118,$E$112:$E$118),G60,$F90)</f>
        <v>0</v>
      </c>
      <c r="H190" s="15" cm="1">
        <f t="array" aca="1" ref="H190" ca="1">MMS_Swine_ManureAppliedToSoils_Equations.VEERG_4_5_1_9__2_MassOfNitrogenAppliedToSoilsScope3(H30,_xlfn.XLOOKUP($E190,$D$123:$D$129,$E$123:$E$129), _xlfn.XLOOKUP($E190,$D$112:$D$118,$E$112:$E$118),H60,$F90)</f>
        <v>0</v>
      </c>
      <c r="I190" s="15" cm="1">
        <f t="array" aca="1" ref="I190" ca="1">MMS_Swine_ManureAppliedToSoils_Equations.VEERG_4_5_1_9__2_MassOfNitrogenAppliedToSoilsScope3(I30,_xlfn.XLOOKUP($E190,$D$123:$D$129,$E$123:$E$129), _xlfn.XLOOKUP($E190,$D$112:$D$118,$E$112:$E$118),I60,$F90)</f>
        <v>0</v>
      </c>
      <c r="J190" s="16"/>
      <c r="N190" s="111"/>
      <c r="O190" s="111" t="str">
        <f>INDEX(X_Table_Swine_Stage2MMS_From_Drylot,6,1)</f>
        <v>Direct application</v>
      </c>
      <c r="P190" s="15" cm="1">
        <f t="array" aca="1" ref="P190" ca="1">MMS_Swine_ManureAppliedToSoils_Equations.VEERG_4_5_1_9__2_MassOfNitrogenAppliedToSoilsScope3(P30,_xlfn.XLOOKUP($O190,$D$123:$D$129,$E$123:$E$129), _xlfn.XLOOKUP($O190,$D$112:$D$118,$E$112:$E$118),P60,$F90)</f>
        <v>0</v>
      </c>
      <c r="Q190" s="15" cm="1">
        <f t="array" aca="1" ref="Q190" ca="1">MMS_Swine_ManureAppliedToSoils_Equations.VEERG_4_5_1_9__2_MassOfNitrogenAppliedToSoilsScope3(Q30,_xlfn.XLOOKUP($O190,$D$123:$D$129,$E$123:$E$129), _xlfn.XLOOKUP($O190,$D$112:$D$118,$E$112:$E$118),Q60,$F90)</f>
        <v>0</v>
      </c>
      <c r="R190" s="15" cm="1">
        <f t="array" aca="1" ref="R190" ca="1">MMS_Swine_ManureAppliedToSoils_Equations.VEERG_4_5_1_9__2_MassOfNitrogenAppliedToSoilsScope3(R30,_xlfn.XLOOKUP($O190,$D$123:$D$129,$E$123:$E$129), _xlfn.XLOOKUP($O190,$D$112:$D$118,$E$112:$E$118),R60,$F90)</f>
        <v>0</v>
      </c>
      <c r="S190" s="15" cm="1">
        <f t="array" aca="1" ref="S190" ca="1">MMS_Swine_ManureAppliedToSoils_Equations.VEERG_4_5_1_9__2_MassOfNitrogenAppliedToSoilsScope3(S30,_xlfn.XLOOKUP($O190,$D$123:$D$129,$E$123:$E$129), _xlfn.XLOOKUP($O190,$D$112:$D$118,$E$112:$E$118),S60,$F90)</f>
        <v>0</v>
      </c>
      <c r="T190" s="16"/>
    </row>
    <row r="191" spans="1:20" ht="20.100000000000001" customHeight="1" x14ac:dyDescent="0.2">
      <c r="D191" s="111" t="str">
        <f>INDEX(X_Table_Swine_Stage1MMS_DigesterCoveredLagoons,2,1)</f>
        <v>Digester / covered lagoons</v>
      </c>
      <c r="E191" s="111" t="str">
        <f>INDEX(X_Table_Swine_Stage2MMS_From_DigesterCoveredLagoons,2,1)</f>
        <v>Anaerobic lagoon</v>
      </c>
      <c r="F191" s="15" cm="1">
        <f t="array" aca="1" ref="F191" ca="1">MMS_Swine_ManureAppliedToSoils_Equations.VEERG_4_5_1_9__2_MassOfNitrogenAppliedToSoilsScope3(F31,_xlfn.XLOOKUP($E191,$D$123:$D$129,$E$123:$E$129), _xlfn.XLOOKUP($E191,$D$112:$D$118,$E$112:$E$118),F61,$F91)</f>
        <v>4.5332999999999988</v>
      </c>
      <c r="G191" s="15" cm="1">
        <f t="array" aca="1" ref="G191" ca="1">MMS_Swine_ManureAppliedToSoils_Equations.VEERG_4_5_1_9__2_MassOfNitrogenAppliedToSoilsScope3(G31,_xlfn.XLOOKUP($E191,$D$123:$D$129,$E$123:$E$129), _xlfn.XLOOKUP($E191,$D$112:$D$118,$E$112:$E$118),G61,$F91)</f>
        <v>6.0361875000000005</v>
      </c>
      <c r="H191" s="15" cm="1">
        <f t="array" aca="1" ref="H191" ca="1">MMS_Swine_ManureAppliedToSoils_Equations.VEERG_4_5_1_9__2_MassOfNitrogenAppliedToSoilsScope3(H31,_xlfn.XLOOKUP($E191,$D$123:$D$129,$E$123:$E$129), _xlfn.XLOOKUP($E191,$D$112:$D$118,$E$112:$E$118),H61,$F91)</f>
        <v>5.666624999999998</v>
      </c>
      <c r="I191" s="15" cm="1">
        <f t="array" aca="1" ref="I191" ca="1">MMS_Swine_ManureAppliedToSoils_Equations.VEERG_4_5_1_9__2_MassOfNitrogenAppliedToSoilsScope3(I31,_xlfn.XLOOKUP($E191,$D$123:$D$129,$E$123:$E$129), _xlfn.XLOOKUP($E191,$D$112:$D$118,$E$112:$E$118),I61,$F91)</f>
        <v>3.8434499999999989</v>
      </c>
      <c r="J191" s="16"/>
      <c r="N191" s="111" t="str">
        <f>INDEX(X_Table_Swine_Stage1MMS_DigesterCoveredLagoons,2,1)</f>
        <v>Digester / covered lagoons</v>
      </c>
      <c r="O191" s="111" t="str">
        <f>INDEX(X_Table_Swine_Stage2MMS_From_DigesterCoveredLagoons,2,1)</f>
        <v>Anaerobic lagoon</v>
      </c>
      <c r="P191" s="15" cm="1">
        <f t="array" aca="1" ref="P191" ca="1">MMS_Swine_ManureAppliedToSoils_Equations.VEERG_4_5_1_9__2_MassOfNitrogenAppliedToSoilsScope3(P31,_xlfn.XLOOKUP($O191,$D$123:$D$129,$E$123:$E$129), _xlfn.XLOOKUP($O191,$D$112:$D$118,$E$112:$E$118),P61,$F91)</f>
        <v>4.5332999999999988</v>
      </c>
      <c r="Q191" s="15" cm="1">
        <f t="array" aca="1" ref="Q191" ca="1">MMS_Swine_ManureAppliedToSoils_Equations.VEERG_4_5_1_9__2_MassOfNitrogenAppliedToSoilsScope3(Q31,_xlfn.XLOOKUP($O191,$D$123:$D$129,$E$123:$E$129), _xlfn.XLOOKUP($O191,$D$112:$D$118,$E$112:$E$118),Q61,$F91)</f>
        <v>6.0361875000000005</v>
      </c>
      <c r="R191" s="15" cm="1">
        <f t="array" aca="1" ref="R191" ca="1">MMS_Swine_ManureAppliedToSoils_Equations.VEERG_4_5_1_9__2_MassOfNitrogenAppliedToSoilsScope3(R31,_xlfn.XLOOKUP($O191,$D$123:$D$129,$E$123:$E$129), _xlfn.XLOOKUP($O191,$D$112:$D$118,$E$112:$E$118),R61,$F91)</f>
        <v>5.666624999999998</v>
      </c>
      <c r="S191" s="15" cm="1">
        <f t="array" aca="1" ref="S191" ca="1">MMS_Swine_ManureAppliedToSoils_Equations.VEERG_4_5_1_9__2_MassOfNitrogenAppliedToSoilsScope3(S31,_xlfn.XLOOKUP($O191,$D$123:$D$129,$E$123:$E$129), _xlfn.XLOOKUP($O191,$D$112:$D$118,$E$112:$E$118),S61,$F91)</f>
        <v>3.8434499999999989</v>
      </c>
      <c r="T191" s="16"/>
    </row>
    <row r="192" spans="1:20" ht="20.100000000000001" customHeight="1" x14ac:dyDescent="0.2">
      <c r="D192" s="111"/>
      <c r="E192" s="111" t="str">
        <f>INDEX(X_Table_Swine_Stage2MMS_From_DigesterCoveredLagoons,3,1)</f>
        <v>Deep litter</v>
      </c>
      <c r="F192" s="15" cm="1">
        <f t="array" aca="1" ref="F192" ca="1">MMS_Swine_ManureAppliedToSoils_Equations.VEERG_4_5_1_9__2_MassOfNitrogenAppliedToSoilsScope3(F32,_xlfn.XLOOKUP($E192,$D$123:$D$129,$E$123:$E$129), _xlfn.XLOOKUP($E192,$D$112:$D$118,$E$112:$E$118),F62,$F92)</f>
        <v>8.7140099999999983</v>
      </c>
      <c r="G192" s="15" cm="1">
        <f t="array" aca="1" ref="G192" ca="1">MMS_Swine_ManureAppliedToSoils_Equations.VEERG_4_5_1_9__2_MassOfNitrogenAppliedToSoilsScope3(G32,_xlfn.XLOOKUP($E192,$D$123:$D$129,$E$123:$E$129), _xlfn.XLOOKUP($E192,$D$112:$D$118,$E$112:$E$118),G62,$F92)</f>
        <v>11.602893750000002</v>
      </c>
      <c r="H192" s="15" cm="1">
        <f t="array" aca="1" ref="H192" ca="1">MMS_Swine_ManureAppliedToSoils_Equations.VEERG_4_5_1_9__2_MassOfNitrogenAppliedToSoilsScope3(H32,_xlfn.XLOOKUP($E192,$D$123:$D$129,$E$123:$E$129), _xlfn.XLOOKUP($E192,$D$112:$D$118,$E$112:$E$118),H62,$F92)</f>
        <v>10.892512499999997</v>
      </c>
      <c r="I192" s="15" cm="1">
        <f t="array" aca="1" ref="I192" ca="1">MMS_Swine_ManureAppliedToSoils_Equations.VEERG_4_5_1_9__2_MassOfNitrogenAppliedToSoilsScope3(I32,_xlfn.XLOOKUP($E192,$D$123:$D$129,$E$123:$E$129), _xlfn.XLOOKUP($E192,$D$112:$D$118,$E$112:$E$118),I62,$F92)</f>
        <v>7.3879649999999986</v>
      </c>
      <c r="J192" s="16"/>
      <c r="N192" s="111"/>
      <c r="O192" s="111" t="str">
        <f>INDEX(X_Table_Swine_Stage2MMS_From_DigesterCoveredLagoons,3,1)</f>
        <v>Deep litter</v>
      </c>
      <c r="P192" s="15" cm="1">
        <f t="array" aca="1" ref="P192" ca="1">MMS_Swine_ManureAppliedToSoils_Equations.VEERG_4_5_1_9__2_MassOfNitrogenAppliedToSoilsScope3(P32,_xlfn.XLOOKUP($O192,$D$123:$D$129,$E$123:$E$129), _xlfn.XLOOKUP($O192,$D$112:$D$118,$E$112:$E$118),P62,$F92)</f>
        <v>8.7140099999999983</v>
      </c>
      <c r="Q192" s="15" cm="1">
        <f t="array" aca="1" ref="Q192" ca="1">MMS_Swine_ManureAppliedToSoils_Equations.VEERG_4_5_1_9__2_MassOfNitrogenAppliedToSoilsScope3(Q32,_xlfn.XLOOKUP($O192,$D$123:$D$129,$E$123:$E$129), _xlfn.XLOOKUP($O192,$D$112:$D$118,$E$112:$E$118),Q62,$F92)</f>
        <v>11.602893750000002</v>
      </c>
      <c r="R192" s="15" cm="1">
        <f t="array" aca="1" ref="R192" ca="1">MMS_Swine_ManureAppliedToSoils_Equations.VEERG_4_5_1_9__2_MassOfNitrogenAppliedToSoilsScope3(R32,_xlfn.XLOOKUP($O192,$D$123:$D$129,$E$123:$E$129), _xlfn.XLOOKUP($O192,$D$112:$D$118,$E$112:$E$118),R62,$F92)</f>
        <v>10.892512499999997</v>
      </c>
      <c r="S192" s="15" cm="1">
        <f t="array" aca="1" ref="S192" ca="1">MMS_Swine_ManureAppliedToSoils_Equations.VEERG_4_5_1_9__2_MassOfNitrogenAppliedToSoilsScope3(S32,_xlfn.XLOOKUP($O192,$D$123:$D$129,$E$123:$E$129), _xlfn.XLOOKUP($O192,$D$112:$D$118,$E$112:$E$118),S62,$F92)</f>
        <v>7.3879649999999986</v>
      </c>
      <c r="T192" s="16"/>
    </row>
    <row r="193" spans="4:20" ht="20.100000000000001" customHeight="1" x14ac:dyDescent="0.2">
      <c r="D193" s="111"/>
      <c r="E193" s="111" t="str">
        <f>INDEX(X_Table_Swine_Stage2MMS_From_DigesterCoveredLagoons,4,1)</f>
        <v>Pit storage</v>
      </c>
      <c r="F193" s="15" cm="1">
        <f t="array" aca="1" ref="F193" ca="1">MMS_Swine_ManureAppliedToSoils_Equations.VEERG_4_5_1_9__2_MassOfNitrogenAppliedToSoilsScope3(F33,_xlfn.XLOOKUP($E193,$D$123:$D$129,$E$123:$E$129), _xlfn.XLOOKUP($E193,$D$112:$D$118,$E$112:$E$118),F63,$F93)</f>
        <v>7.5353519999999987</v>
      </c>
      <c r="G193" s="15" cm="1">
        <f t="array" aca="1" ref="G193" ca="1">MMS_Swine_ManureAppliedToSoils_Equations.VEERG_4_5_1_9__2_MassOfNitrogenAppliedToSoilsScope3(G33,_xlfn.XLOOKUP($E193,$D$123:$D$129,$E$123:$E$129), _xlfn.XLOOKUP($E193,$D$112:$D$118,$E$112:$E$118),G63,$F93)</f>
        <v>10.033485000000001</v>
      </c>
      <c r="H193" s="15" cm="1">
        <f t="array" aca="1" ref="H193" ca="1">MMS_Swine_ManureAppliedToSoils_Equations.VEERG_4_5_1_9__2_MassOfNitrogenAppliedToSoilsScope3(H33,_xlfn.XLOOKUP($E193,$D$123:$D$129,$E$123:$E$129), _xlfn.XLOOKUP($E193,$D$112:$D$118,$E$112:$E$118),H63,$F93)</f>
        <v>9.4191899999999986</v>
      </c>
      <c r="I193" s="15" cm="1">
        <f t="array" aca="1" ref="I193" ca="1">MMS_Swine_ManureAppliedToSoils_Equations.VEERG_4_5_1_9__2_MassOfNitrogenAppliedToSoilsScope3(I33,_xlfn.XLOOKUP($E193,$D$123:$D$129,$E$123:$E$129), _xlfn.XLOOKUP($E193,$D$112:$D$118,$E$112:$E$118),I63,$F93)</f>
        <v>6.3886679999999991</v>
      </c>
      <c r="J193" s="16"/>
      <c r="N193" s="111"/>
      <c r="O193" s="111" t="str">
        <f>INDEX(X_Table_Swine_Stage2MMS_From_DigesterCoveredLagoons,4,1)</f>
        <v>Pit storage</v>
      </c>
      <c r="P193" s="15" cm="1">
        <f t="array" aca="1" ref="P193" ca="1">MMS_Swine_ManureAppliedToSoils_Equations.VEERG_4_5_1_9__2_MassOfNitrogenAppliedToSoilsScope3(P33,_xlfn.XLOOKUP($O193,$D$123:$D$129,$E$123:$E$129), _xlfn.XLOOKUP($O193,$D$112:$D$118,$E$112:$E$118),P63,$F93)</f>
        <v>7.5353519999999987</v>
      </c>
      <c r="Q193" s="15" cm="1">
        <f t="array" aca="1" ref="Q193" ca="1">MMS_Swine_ManureAppliedToSoils_Equations.VEERG_4_5_1_9__2_MassOfNitrogenAppliedToSoilsScope3(Q33,_xlfn.XLOOKUP($O193,$D$123:$D$129,$E$123:$E$129), _xlfn.XLOOKUP($O193,$D$112:$D$118,$E$112:$E$118),Q63,$F93)</f>
        <v>10.033485000000001</v>
      </c>
      <c r="R193" s="15" cm="1">
        <f t="array" aca="1" ref="R193" ca="1">MMS_Swine_ManureAppliedToSoils_Equations.VEERG_4_5_1_9__2_MassOfNitrogenAppliedToSoilsScope3(R33,_xlfn.XLOOKUP($O193,$D$123:$D$129,$E$123:$E$129), _xlfn.XLOOKUP($O193,$D$112:$D$118,$E$112:$E$118),R63,$F93)</f>
        <v>9.4191899999999986</v>
      </c>
      <c r="S193" s="15" cm="1">
        <f t="array" aca="1" ref="S193" ca="1">MMS_Swine_ManureAppliedToSoils_Equations.VEERG_4_5_1_9__2_MassOfNitrogenAppliedToSoilsScope3(S33,_xlfn.XLOOKUP($O193,$D$123:$D$129,$E$123:$E$129), _xlfn.XLOOKUP($O193,$D$112:$D$118,$E$112:$E$118),S63,$F93)</f>
        <v>6.3886679999999991</v>
      </c>
      <c r="T193" s="16"/>
    </row>
    <row r="194" spans="4:20" ht="20.100000000000001" customHeight="1" x14ac:dyDescent="0.2">
      <c r="D194" s="111"/>
      <c r="E194" s="111" t="str">
        <f>INDEX(X_Table_Swine_Stage2MMS_From_DigesterCoveredLagoons,5,1)</f>
        <v>Direct application</v>
      </c>
      <c r="F194" s="15" cm="1">
        <f t="array" aca="1" ref="F194" ca="1">MMS_Swine_ManureAppliedToSoils_Equations.VEERG_4_5_1_9__2_MassOfNitrogenAppliedToSoilsScope3(F34,_xlfn.XLOOKUP($E194,$D$123:$D$129,$E$123:$E$129), _xlfn.XLOOKUP($E194,$D$112:$D$118,$E$112:$E$118),F64,$F94)</f>
        <v>0</v>
      </c>
      <c r="G194" s="15" cm="1">
        <f t="array" aca="1" ref="G194" ca="1">MMS_Swine_ManureAppliedToSoils_Equations.VEERG_4_5_1_9__2_MassOfNitrogenAppliedToSoilsScope3(G34,_xlfn.XLOOKUP($E194,$D$123:$D$129,$E$123:$E$129), _xlfn.XLOOKUP($E194,$D$112:$D$118,$E$112:$E$118),G64,$F94)</f>
        <v>0</v>
      </c>
      <c r="H194" s="15" cm="1">
        <f t="array" aca="1" ref="H194" ca="1">MMS_Swine_ManureAppliedToSoils_Equations.VEERG_4_5_1_9__2_MassOfNitrogenAppliedToSoilsScope3(H34,_xlfn.XLOOKUP($E194,$D$123:$D$129,$E$123:$E$129), _xlfn.XLOOKUP($E194,$D$112:$D$118,$E$112:$E$118),H64,$F94)</f>
        <v>0</v>
      </c>
      <c r="I194" s="15" cm="1">
        <f t="array" aca="1" ref="I194" ca="1">MMS_Swine_ManureAppliedToSoils_Equations.VEERG_4_5_1_9__2_MassOfNitrogenAppliedToSoilsScope3(I34,_xlfn.XLOOKUP($E194,$D$123:$D$129,$E$123:$E$129), _xlfn.XLOOKUP($E194,$D$112:$D$118,$E$112:$E$118),I64,$F94)</f>
        <v>0</v>
      </c>
      <c r="J194" s="16"/>
      <c r="N194" s="111"/>
      <c r="O194" s="111" t="str">
        <f>INDEX(X_Table_Swine_Stage2MMS_From_DigesterCoveredLagoons,5,1)</f>
        <v>Direct application</v>
      </c>
      <c r="P194" s="15" cm="1">
        <f t="array" aca="1" ref="P194" ca="1">MMS_Swine_ManureAppliedToSoils_Equations.VEERG_4_5_1_9__2_MassOfNitrogenAppliedToSoilsScope3(P34,_xlfn.XLOOKUP($O194,$D$123:$D$129,$E$123:$E$129), _xlfn.XLOOKUP($O194,$D$112:$D$118,$E$112:$E$118),P64,$F94)</f>
        <v>0</v>
      </c>
      <c r="Q194" s="15" cm="1">
        <f t="array" aca="1" ref="Q194" ca="1">MMS_Swine_ManureAppliedToSoils_Equations.VEERG_4_5_1_9__2_MassOfNitrogenAppliedToSoilsScope3(Q34,_xlfn.XLOOKUP($O194,$D$123:$D$129,$E$123:$E$129), _xlfn.XLOOKUP($O194,$D$112:$D$118,$E$112:$E$118),Q64,$F94)</f>
        <v>0</v>
      </c>
      <c r="R194" s="15" cm="1">
        <f t="array" aca="1" ref="R194" ca="1">MMS_Swine_ManureAppliedToSoils_Equations.VEERG_4_5_1_9__2_MassOfNitrogenAppliedToSoilsScope3(R34,_xlfn.XLOOKUP($O194,$D$123:$D$129,$E$123:$E$129), _xlfn.XLOOKUP($O194,$D$112:$D$118,$E$112:$E$118),R64,$F94)</f>
        <v>0</v>
      </c>
      <c r="S194" s="15" cm="1">
        <f t="array" aca="1" ref="S194" ca="1">MMS_Swine_ManureAppliedToSoils_Equations.VEERG_4_5_1_9__2_MassOfNitrogenAppliedToSoilsScope3(S34,_xlfn.XLOOKUP($O194,$D$123:$D$129,$E$123:$E$129), _xlfn.XLOOKUP($O194,$D$112:$D$118,$E$112:$E$118),S64,$F94)</f>
        <v>0</v>
      </c>
      <c r="T194" s="16"/>
    </row>
    <row r="195" spans="4:20" ht="20.100000000000001" customHeight="1" x14ac:dyDescent="0.2">
      <c r="D195" s="111" t="str">
        <f>INDEX(X_Table_Swine_Stage1MMS_DeepLitter,2,1)</f>
        <v>Deep litter</v>
      </c>
      <c r="E195" s="111" t="str">
        <f>INDEX(X_Table_Swine_Stage2MMS_From_DeepLitter,2,1)</f>
        <v>Anaerobic lagoon</v>
      </c>
      <c r="F195" s="15" cm="1">
        <f t="array" aca="1" ref="F195" ca="1">MMS_Swine_ManureAppliedToSoils_Equations.VEERG_4_5_1_9__2_MassOfNitrogenAppliedToSoilsScope3(F35,_xlfn.XLOOKUP($E195,$D$123:$D$129,$E$123:$E$129), _xlfn.XLOOKUP($E195,$D$112:$D$118,$E$112:$E$118),F65,$F95)</f>
        <v>3.9213044999999989</v>
      </c>
      <c r="G195" s="15" cm="1">
        <f t="array" aca="1" ref="G195" ca="1">MMS_Swine_ManureAppliedToSoils_Equations.VEERG_4_5_1_9__2_MassOfNitrogenAppliedToSoilsScope3(G35,_xlfn.XLOOKUP($E195,$D$123:$D$129,$E$123:$E$129), _xlfn.XLOOKUP($E195,$D$112:$D$118,$E$112:$E$118),G65,$F95)</f>
        <v>5.2213021875000001</v>
      </c>
      <c r="H195" s="15" cm="1">
        <f t="array" aca="1" ref="H195" ca="1">MMS_Swine_ManureAppliedToSoils_Equations.VEERG_4_5_1_9__2_MassOfNitrogenAppliedToSoilsScope3(H35,_xlfn.XLOOKUP($E195,$D$123:$D$129,$E$123:$E$129), _xlfn.XLOOKUP($E195,$D$112:$D$118,$E$112:$E$118),H65,$F95)</f>
        <v>4.9016306249999984</v>
      </c>
      <c r="I195" s="15" cm="1">
        <f t="array" aca="1" ref="I195" ca="1">MMS_Swine_ManureAppliedToSoils_Equations.VEERG_4_5_1_9__2_MassOfNitrogenAppliedToSoilsScope3(I35,_xlfn.XLOOKUP($E195,$D$123:$D$129,$E$123:$E$129), _xlfn.XLOOKUP($E195,$D$112:$D$118,$E$112:$E$118),I65,$F95)</f>
        <v>3.3245842499999991</v>
      </c>
      <c r="J195" s="16"/>
      <c r="N195" s="111" t="str">
        <f>INDEX(X_Table_Swine_Stage1MMS_DeepLitter,2,1)</f>
        <v>Deep litter</v>
      </c>
      <c r="O195" s="111" t="str">
        <f>INDEX(X_Table_Swine_Stage2MMS_From_DeepLitter,2,1)</f>
        <v>Anaerobic lagoon</v>
      </c>
      <c r="P195" s="15" cm="1">
        <f t="array" aca="1" ref="P195" ca="1">MMS_Swine_ManureAppliedToSoils_Equations.VEERG_4_5_1_9__2_MassOfNitrogenAppliedToSoilsScope3(P35,_xlfn.XLOOKUP($O195,$D$123:$D$129,$E$123:$E$129), _xlfn.XLOOKUP($O195,$D$112:$D$118,$E$112:$E$118),P65,$F95)</f>
        <v>3.9213044999999989</v>
      </c>
      <c r="Q195" s="15" cm="1">
        <f t="array" aca="1" ref="Q195" ca="1">MMS_Swine_ManureAppliedToSoils_Equations.VEERG_4_5_1_9__2_MassOfNitrogenAppliedToSoilsScope3(Q35,_xlfn.XLOOKUP($O195,$D$123:$D$129,$E$123:$E$129), _xlfn.XLOOKUP($O195,$D$112:$D$118,$E$112:$E$118),Q65,$F95)</f>
        <v>5.2213021875000001</v>
      </c>
      <c r="R195" s="15" cm="1">
        <f t="array" aca="1" ref="R195" ca="1">MMS_Swine_ManureAppliedToSoils_Equations.VEERG_4_5_1_9__2_MassOfNitrogenAppliedToSoilsScope3(R35,_xlfn.XLOOKUP($O195,$D$123:$D$129,$E$123:$E$129), _xlfn.XLOOKUP($O195,$D$112:$D$118,$E$112:$E$118),R65,$F95)</f>
        <v>4.9016306249999984</v>
      </c>
      <c r="S195" s="15" cm="1">
        <f t="array" aca="1" ref="S195" ca="1">MMS_Swine_ManureAppliedToSoils_Equations.VEERG_4_5_1_9__2_MassOfNitrogenAppliedToSoilsScope3(S35,_xlfn.XLOOKUP($O195,$D$123:$D$129,$E$123:$E$129), _xlfn.XLOOKUP($O195,$D$112:$D$118,$E$112:$E$118),S65,$F95)</f>
        <v>3.3245842499999991</v>
      </c>
      <c r="T195" s="16"/>
    </row>
    <row r="196" spans="4:20" ht="20.100000000000001" customHeight="1" x14ac:dyDescent="0.2">
      <c r="D196" s="111"/>
      <c r="E196" s="111" t="str">
        <f>INDEX(X_Table_Swine_Stage2MMS_From_DeepLitter,3,1)</f>
        <v>Digester / covered lagoons</v>
      </c>
      <c r="F196" s="15" cm="1">
        <f t="array" aca="1" ref="F196" ca="1">MMS_Swine_ManureAppliedToSoils_Equations.VEERG_4_5_1_9__2_MassOfNitrogenAppliedToSoilsScope3(F36,_xlfn.XLOOKUP($E196,$D$123:$D$129,$E$123:$E$129), _xlfn.XLOOKUP($E196,$D$112:$D$118,$E$112:$E$118),F66,$F96)</f>
        <v>8.7140099999999983</v>
      </c>
      <c r="G196" s="15" cm="1">
        <f t="array" aca="1" ref="G196" ca="1">MMS_Swine_ManureAppliedToSoils_Equations.VEERG_4_5_1_9__2_MassOfNitrogenAppliedToSoilsScope3(G36,_xlfn.XLOOKUP($E196,$D$123:$D$129,$E$123:$E$129), _xlfn.XLOOKUP($E196,$D$112:$D$118,$E$112:$E$118),G66,$F96)</f>
        <v>11.602893750000002</v>
      </c>
      <c r="H196" s="15" cm="1">
        <f t="array" aca="1" ref="H196" ca="1">MMS_Swine_ManureAppliedToSoils_Equations.VEERG_4_5_1_9__2_MassOfNitrogenAppliedToSoilsScope3(H36,_xlfn.XLOOKUP($E196,$D$123:$D$129,$E$123:$E$129), _xlfn.XLOOKUP($E196,$D$112:$D$118,$E$112:$E$118),H66,$F96)</f>
        <v>10.892512499999997</v>
      </c>
      <c r="I196" s="15" cm="1">
        <f t="array" aca="1" ref="I196" ca="1">MMS_Swine_ManureAppliedToSoils_Equations.VEERG_4_5_1_9__2_MassOfNitrogenAppliedToSoilsScope3(I36,_xlfn.XLOOKUP($E196,$D$123:$D$129,$E$123:$E$129), _xlfn.XLOOKUP($E196,$D$112:$D$118,$E$112:$E$118),I66,$F96)</f>
        <v>7.3879649999999986</v>
      </c>
      <c r="J196" s="16"/>
      <c r="N196" s="111"/>
      <c r="O196" s="111" t="str">
        <f>INDEX(X_Table_Swine_Stage2MMS_From_DeepLitter,3,1)</f>
        <v>Digester / covered lagoons</v>
      </c>
      <c r="P196" s="15" cm="1">
        <f t="array" aca="1" ref="P196" ca="1">MMS_Swine_ManureAppliedToSoils_Equations.VEERG_4_5_1_9__2_MassOfNitrogenAppliedToSoilsScope3(P36,_xlfn.XLOOKUP($O196,$D$123:$D$129,$E$123:$E$129), _xlfn.XLOOKUP($O196,$D$112:$D$118,$E$112:$E$118),P66,$F96)</f>
        <v>8.7140099999999983</v>
      </c>
      <c r="Q196" s="15" cm="1">
        <f t="array" aca="1" ref="Q196" ca="1">MMS_Swine_ManureAppliedToSoils_Equations.VEERG_4_5_1_9__2_MassOfNitrogenAppliedToSoilsScope3(Q36,_xlfn.XLOOKUP($O196,$D$123:$D$129,$E$123:$E$129), _xlfn.XLOOKUP($O196,$D$112:$D$118,$E$112:$E$118),Q66,$F96)</f>
        <v>11.602893750000002</v>
      </c>
      <c r="R196" s="15" cm="1">
        <f t="array" aca="1" ref="R196" ca="1">MMS_Swine_ManureAppliedToSoils_Equations.VEERG_4_5_1_9__2_MassOfNitrogenAppliedToSoilsScope3(R36,_xlfn.XLOOKUP($O196,$D$123:$D$129,$E$123:$E$129), _xlfn.XLOOKUP($O196,$D$112:$D$118,$E$112:$E$118),R66,$F96)</f>
        <v>10.892512499999997</v>
      </c>
      <c r="S196" s="15" cm="1">
        <f t="array" aca="1" ref="S196" ca="1">MMS_Swine_ManureAppliedToSoils_Equations.VEERG_4_5_1_9__2_MassOfNitrogenAppliedToSoilsScope3(S36,_xlfn.XLOOKUP($O196,$D$123:$D$129,$E$123:$E$129), _xlfn.XLOOKUP($O196,$D$112:$D$118,$E$112:$E$118),S66,$F96)</f>
        <v>7.3879649999999986</v>
      </c>
      <c r="T196" s="16"/>
    </row>
    <row r="197" spans="4:20" ht="20.100000000000001" customHeight="1" x14ac:dyDescent="0.2">
      <c r="D197" s="111"/>
      <c r="E197" s="111" t="str">
        <f>INDEX(X_Table_Swine_Stage2MMS_From_DeepLitter,4,1)</f>
        <v>Pit storage</v>
      </c>
      <c r="F197" s="15" cm="1">
        <f t="array" aca="1" ref="F197" ca="1">MMS_Swine_ManureAppliedToSoils_Equations.VEERG_4_5_1_9__2_MassOfNitrogenAppliedToSoilsScope3(F37,_xlfn.XLOOKUP($E197,$D$123:$D$129,$E$123:$E$129), _xlfn.XLOOKUP($E197,$D$112:$D$118,$E$112:$E$118),F67,$F97)</f>
        <v>6.518079479999999</v>
      </c>
      <c r="G197" s="15" cm="1">
        <f t="array" aca="1" ref="G197" ca="1">MMS_Swine_ManureAppliedToSoils_Equations.VEERG_4_5_1_9__2_MassOfNitrogenAppliedToSoilsScope3(G37,_xlfn.XLOOKUP($E197,$D$123:$D$129,$E$123:$E$129), _xlfn.XLOOKUP($E197,$D$112:$D$118,$E$112:$E$118),G67,$F97)</f>
        <v>8.6789645250000014</v>
      </c>
      <c r="H197" s="15" cm="1">
        <f t="array" aca="1" ref="H197" ca="1">MMS_Swine_ManureAppliedToSoils_Equations.VEERG_4_5_1_9__2_MassOfNitrogenAppliedToSoilsScope3(H37,_xlfn.XLOOKUP($E197,$D$123:$D$129,$E$123:$E$129), _xlfn.XLOOKUP($E197,$D$112:$D$118,$E$112:$E$118),H67,$F97)</f>
        <v>8.1475993499999984</v>
      </c>
      <c r="I197" s="15" cm="1">
        <f t="array" aca="1" ref="I197" ca="1">MMS_Swine_ManureAppliedToSoils_Equations.VEERG_4_5_1_9__2_MassOfNitrogenAppliedToSoilsScope3(I37,_xlfn.XLOOKUP($E197,$D$123:$D$129,$E$123:$E$129), _xlfn.XLOOKUP($E197,$D$112:$D$118,$E$112:$E$118),I67,$F97)</f>
        <v>5.5261978199999993</v>
      </c>
      <c r="J197" s="16"/>
      <c r="N197" s="111"/>
      <c r="O197" s="111" t="str">
        <f>INDEX(X_Table_Swine_Stage2MMS_From_DeepLitter,4,1)</f>
        <v>Pit storage</v>
      </c>
      <c r="P197" s="15" cm="1">
        <f t="array" aca="1" ref="P197" ca="1">MMS_Swine_ManureAppliedToSoils_Equations.VEERG_4_5_1_9__2_MassOfNitrogenAppliedToSoilsScope3(P37,_xlfn.XLOOKUP($O197,$D$123:$D$129,$E$123:$E$129), _xlfn.XLOOKUP($O197,$D$112:$D$118,$E$112:$E$118),P67,$F97)</f>
        <v>6.518079479999999</v>
      </c>
      <c r="Q197" s="15" cm="1">
        <f t="array" aca="1" ref="Q197" ca="1">MMS_Swine_ManureAppliedToSoils_Equations.VEERG_4_5_1_9__2_MassOfNitrogenAppliedToSoilsScope3(Q37,_xlfn.XLOOKUP($O197,$D$123:$D$129,$E$123:$E$129), _xlfn.XLOOKUP($O197,$D$112:$D$118,$E$112:$E$118),Q67,$F97)</f>
        <v>8.6789645250000014</v>
      </c>
      <c r="R197" s="15" cm="1">
        <f t="array" aca="1" ref="R197" ca="1">MMS_Swine_ManureAppliedToSoils_Equations.VEERG_4_5_1_9__2_MassOfNitrogenAppliedToSoilsScope3(R37,_xlfn.XLOOKUP($O197,$D$123:$D$129,$E$123:$E$129), _xlfn.XLOOKUP($O197,$D$112:$D$118,$E$112:$E$118),R67,$F97)</f>
        <v>8.1475993499999984</v>
      </c>
      <c r="S197" s="15" cm="1">
        <f t="array" aca="1" ref="S197" ca="1">MMS_Swine_ManureAppliedToSoils_Equations.VEERG_4_5_1_9__2_MassOfNitrogenAppliedToSoilsScope3(S37,_xlfn.XLOOKUP($O197,$D$123:$D$129,$E$123:$E$129), _xlfn.XLOOKUP($O197,$D$112:$D$118,$E$112:$E$118),S67,$F97)</f>
        <v>5.5261978199999993</v>
      </c>
      <c r="T197" s="16"/>
    </row>
    <row r="198" spans="4:20" ht="20.100000000000001" customHeight="1" x14ac:dyDescent="0.2">
      <c r="D198" s="111"/>
      <c r="E198" s="111" t="str">
        <f>INDEX(X_Table_Swine_Stage2MMS_From_DeepLitter,5,1)</f>
        <v>Direct application</v>
      </c>
      <c r="F198" s="15" cm="1">
        <f t="array" aca="1" ref="F198" ca="1">MMS_Swine_ManureAppliedToSoils_Equations.VEERG_4_5_1_9__2_MassOfNitrogenAppliedToSoilsScope3(F38,_xlfn.XLOOKUP($E198,$D$123:$D$129,$E$123:$E$129), _xlfn.XLOOKUP($E198,$D$112:$D$118,$E$112:$E$118),F68,$F98)</f>
        <v>0</v>
      </c>
      <c r="G198" s="15" cm="1">
        <f t="array" aca="1" ref="G198" ca="1">MMS_Swine_ManureAppliedToSoils_Equations.VEERG_4_5_1_9__2_MassOfNitrogenAppliedToSoilsScope3(G38,_xlfn.XLOOKUP($E198,$D$123:$D$129,$E$123:$E$129), _xlfn.XLOOKUP($E198,$D$112:$D$118,$E$112:$E$118),G68,$F98)</f>
        <v>0</v>
      </c>
      <c r="H198" s="15" cm="1">
        <f t="array" aca="1" ref="H198" ca="1">MMS_Swine_ManureAppliedToSoils_Equations.VEERG_4_5_1_9__2_MassOfNitrogenAppliedToSoilsScope3(H38,_xlfn.XLOOKUP($E198,$D$123:$D$129,$E$123:$E$129), _xlfn.XLOOKUP($E198,$D$112:$D$118,$E$112:$E$118),H68,$F98)</f>
        <v>0</v>
      </c>
      <c r="I198" s="15" cm="1">
        <f t="array" aca="1" ref="I198" ca="1">MMS_Swine_ManureAppliedToSoils_Equations.VEERG_4_5_1_9__2_MassOfNitrogenAppliedToSoilsScope3(I38,_xlfn.XLOOKUP($E198,$D$123:$D$129,$E$123:$E$129), _xlfn.XLOOKUP($E198,$D$112:$D$118,$E$112:$E$118),I68,$F98)</f>
        <v>0</v>
      </c>
      <c r="J198" s="16"/>
      <c r="N198" s="111"/>
      <c r="O198" s="111" t="str">
        <f>INDEX(X_Table_Swine_Stage2MMS_From_DeepLitter,5,1)</f>
        <v>Direct application</v>
      </c>
      <c r="P198" s="15" cm="1">
        <f t="array" aca="1" ref="P198" ca="1">MMS_Swine_ManureAppliedToSoils_Equations.VEERG_4_5_1_9__2_MassOfNitrogenAppliedToSoilsScope3(P38,_xlfn.XLOOKUP($O198,$D$123:$D$129,$E$123:$E$129), _xlfn.XLOOKUP($O198,$D$112:$D$118,$E$112:$E$118),P68,$F98)</f>
        <v>0</v>
      </c>
      <c r="Q198" s="15" cm="1">
        <f t="array" aca="1" ref="Q198" ca="1">MMS_Swine_ManureAppliedToSoils_Equations.VEERG_4_5_1_9__2_MassOfNitrogenAppliedToSoilsScope3(Q38,_xlfn.XLOOKUP($O198,$D$123:$D$129,$E$123:$E$129), _xlfn.XLOOKUP($O198,$D$112:$D$118,$E$112:$E$118),Q68,$F98)</f>
        <v>0</v>
      </c>
      <c r="R198" s="15" cm="1">
        <f t="array" aca="1" ref="R198" ca="1">MMS_Swine_ManureAppliedToSoils_Equations.VEERG_4_5_1_9__2_MassOfNitrogenAppliedToSoilsScope3(R38,_xlfn.XLOOKUP($O198,$D$123:$D$129,$E$123:$E$129), _xlfn.XLOOKUP($O198,$D$112:$D$118,$E$112:$E$118),R68,$F98)</f>
        <v>0</v>
      </c>
      <c r="S198" s="15" cm="1">
        <f t="array" aca="1" ref="S198" ca="1">MMS_Swine_ManureAppliedToSoils_Equations.VEERG_4_5_1_9__2_MassOfNitrogenAppliedToSoilsScope3(S38,_xlfn.XLOOKUP($O198,$D$123:$D$129,$E$123:$E$129), _xlfn.XLOOKUP($O198,$D$112:$D$118,$E$112:$E$118),S68,$F98)</f>
        <v>0</v>
      </c>
      <c r="T198" s="16"/>
    </row>
    <row r="199" spans="4:20" ht="20.100000000000001" customHeight="1" x14ac:dyDescent="0.2">
      <c r="D199" s="111" t="str">
        <f>INDEX(X_Table_Swine_Stage1MMS_PitStorage,2,1)</f>
        <v>Pit storage</v>
      </c>
      <c r="E199" s="111" t="str">
        <f>INDEX(X_Table_Swine_Stage2MMS_From_PitStorage,2,1)</f>
        <v>Anaerobic lagoon</v>
      </c>
      <c r="F199" s="15" cm="1">
        <f t="array" aca="1" ref="F199" ca="1">MMS_Swine_ManureAppliedToSoils_Equations.VEERG_4_5_1_9__2_MassOfNitrogenAppliedToSoilsScope3(F39,_xlfn.XLOOKUP($E199,$D$123:$D$129,$E$123:$E$129), _xlfn.XLOOKUP($E199,$D$112:$D$118,$E$112:$E$118),F69,$F99)</f>
        <v>3.3909083999999994</v>
      </c>
      <c r="G199" s="15" cm="1">
        <f t="array" aca="1" ref="G199" ca="1">MMS_Swine_ManureAppliedToSoils_Equations.VEERG_4_5_1_9__2_MassOfNitrogenAppliedToSoilsScope3(G39,_xlfn.XLOOKUP($E199,$D$123:$D$129,$E$123:$E$129), _xlfn.XLOOKUP($E199,$D$112:$D$118,$E$112:$E$118),G69,$F99)</f>
        <v>4.5150682499999997</v>
      </c>
      <c r="H199" s="15" cm="1">
        <f t="array" aca="1" ref="H199" ca="1">MMS_Swine_ManureAppliedToSoils_Equations.VEERG_4_5_1_9__2_MassOfNitrogenAppliedToSoilsScope3(H39,_xlfn.XLOOKUP($E199,$D$123:$D$129,$E$123:$E$129), _xlfn.XLOOKUP($E199,$D$112:$D$118,$E$112:$E$118),H69,$F99)</f>
        <v>4.2386354999999991</v>
      </c>
      <c r="I199" s="15" cm="1">
        <f t="array" aca="1" ref="I199" ca="1">MMS_Swine_ManureAppliedToSoils_Equations.VEERG_4_5_1_9__2_MassOfNitrogenAppliedToSoilsScope3(I39,_xlfn.XLOOKUP($E199,$D$123:$D$129,$E$123:$E$129), _xlfn.XLOOKUP($E199,$D$112:$D$118,$E$112:$E$118),I69,$F99)</f>
        <v>2.8749005999999993</v>
      </c>
      <c r="J199" s="16"/>
      <c r="N199" s="111" t="str">
        <f>INDEX(X_Table_Swine_Stage1MMS_PitStorage,2,1)</f>
        <v>Pit storage</v>
      </c>
      <c r="O199" s="111" t="str">
        <f>INDEX(X_Table_Swine_Stage2MMS_From_PitStorage,2,1)</f>
        <v>Anaerobic lagoon</v>
      </c>
      <c r="P199" s="15" cm="1">
        <f t="array" aca="1" ref="P199" ca="1">MMS_Swine_ManureAppliedToSoils_Equations.VEERG_4_5_1_9__2_MassOfNitrogenAppliedToSoilsScope3(P39,_xlfn.XLOOKUP($O199,$D$123:$D$129,$E$123:$E$129), _xlfn.XLOOKUP($O199,$D$112:$D$118,$E$112:$E$118),P69,$F99)</f>
        <v>3.3909083999999994</v>
      </c>
      <c r="Q199" s="15" cm="1">
        <f t="array" aca="1" ref="Q199" ca="1">MMS_Swine_ManureAppliedToSoils_Equations.VEERG_4_5_1_9__2_MassOfNitrogenAppliedToSoilsScope3(Q39,_xlfn.XLOOKUP($O199,$D$123:$D$129,$E$123:$E$129), _xlfn.XLOOKUP($O199,$D$112:$D$118,$E$112:$E$118),Q69,$F99)</f>
        <v>4.5150682499999997</v>
      </c>
      <c r="R199" s="15" cm="1">
        <f t="array" aca="1" ref="R199" ca="1">MMS_Swine_ManureAppliedToSoils_Equations.VEERG_4_5_1_9__2_MassOfNitrogenAppliedToSoilsScope3(R39,_xlfn.XLOOKUP($O199,$D$123:$D$129,$E$123:$E$129), _xlfn.XLOOKUP($O199,$D$112:$D$118,$E$112:$E$118),R69,$F99)</f>
        <v>4.2386354999999991</v>
      </c>
      <c r="S199" s="15" cm="1">
        <f t="array" aca="1" ref="S199" ca="1">MMS_Swine_ManureAppliedToSoils_Equations.VEERG_4_5_1_9__2_MassOfNitrogenAppliedToSoilsScope3(S39,_xlfn.XLOOKUP($O199,$D$123:$D$129,$E$123:$E$129), _xlfn.XLOOKUP($O199,$D$112:$D$118,$E$112:$E$118),S69,$F99)</f>
        <v>2.8749005999999993</v>
      </c>
      <c r="T199" s="16"/>
    </row>
    <row r="200" spans="4:20" ht="20.100000000000001" customHeight="1" x14ac:dyDescent="0.2">
      <c r="D200" s="111"/>
      <c r="E200" s="111" t="str">
        <f>INDEX(X_Table_Swine_Stage2MMS_From_PitStorage,3,1)</f>
        <v>Digester / covered lagoons</v>
      </c>
      <c r="F200" s="15" cm="1">
        <f t="array" aca="1" ref="F200" ca="1">MMS_Swine_ManureAppliedToSoils_Equations.VEERG_4_5_1_9__2_MassOfNitrogenAppliedToSoilsScope3(F40,_xlfn.XLOOKUP($E200,$D$123:$D$129,$E$123:$E$129), _xlfn.XLOOKUP($E200,$D$112:$D$118,$E$112:$E$118),F70,$F100)</f>
        <v>7.5353519999999996</v>
      </c>
      <c r="G200" s="15" cm="1">
        <f t="array" aca="1" ref="G200" ca="1">MMS_Swine_ManureAppliedToSoils_Equations.VEERG_4_5_1_9__2_MassOfNitrogenAppliedToSoilsScope3(G40,_xlfn.XLOOKUP($E200,$D$123:$D$129,$E$123:$E$129), _xlfn.XLOOKUP($E200,$D$112:$D$118,$E$112:$E$118),G70,$F100)</f>
        <v>10.033485000000001</v>
      </c>
      <c r="H200" s="15" cm="1">
        <f t="array" aca="1" ref="H200" ca="1">MMS_Swine_ManureAppliedToSoils_Equations.VEERG_4_5_1_9__2_MassOfNitrogenAppliedToSoilsScope3(H40,_xlfn.XLOOKUP($E200,$D$123:$D$129,$E$123:$E$129), _xlfn.XLOOKUP($E200,$D$112:$D$118,$E$112:$E$118),H70,$F100)</f>
        <v>9.4191899999999986</v>
      </c>
      <c r="I200" s="15" cm="1">
        <f t="array" aca="1" ref="I200" ca="1">MMS_Swine_ManureAppliedToSoils_Equations.VEERG_4_5_1_9__2_MassOfNitrogenAppliedToSoilsScope3(I40,_xlfn.XLOOKUP($E200,$D$123:$D$129,$E$123:$E$129), _xlfn.XLOOKUP($E200,$D$112:$D$118,$E$112:$E$118),I70,$F100)</f>
        <v>6.3886679999999991</v>
      </c>
      <c r="J200" s="16"/>
      <c r="N200" s="111"/>
      <c r="O200" s="111" t="str">
        <f>INDEX(X_Table_Swine_Stage2MMS_From_PitStorage,3,1)</f>
        <v>Digester / covered lagoons</v>
      </c>
      <c r="P200" s="15" cm="1">
        <f t="array" aca="1" ref="P200" ca="1">MMS_Swine_ManureAppliedToSoils_Equations.VEERG_4_5_1_9__2_MassOfNitrogenAppliedToSoilsScope3(P40,_xlfn.XLOOKUP($O200,$D$123:$D$129,$E$123:$E$129), _xlfn.XLOOKUP($O200,$D$112:$D$118,$E$112:$E$118),P70,$F100)</f>
        <v>7.5353519999999996</v>
      </c>
      <c r="Q200" s="15" cm="1">
        <f t="array" aca="1" ref="Q200" ca="1">MMS_Swine_ManureAppliedToSoils_Equations.VEERG_4_5_1_9__2_MassOfNitrogenAppliedToSoilsScope3(Q40,_xlfn.XLOOKUP($O200,$D$123:$D$129,$E$123:$E$129), _xlfn.XLOOKUP($O200,$D$112:$D$118,$E$112:$E$118),Q70,$F100)</f>
        <v>10.033485000000001</v>
      </c>
      <c r="R200" s="15" cm="1">
        <f t="array" aca="1" ref="R200" ca="1">MMS_Swine_ManureAppliedToSoils_Equations.VEERG_4_5_1_9__2_MassOfNitrogenAppliedToSoilsScope3(R40,_xlfn.XLOOKUP($O200,$D$123:$D$129,$E$123:$E$129), _xlfn.XLOOKUP($O200,$D$112:$D$118,$E$112:$E$118),R70,$F100)</f>
        <v>9.4191899999999986</v>
      </c>
      <c r="S200" s="15" cm="1">
        <f t="array" aca="1" ref="S200" ca="1">MMS_Swine_ManureAppliedToSoils_Equations.VEERG_4_5_1_9__2_MassOfNitrogenAppliedToSoilsScope3(S40,_xlfn.XLOOKUP($O200,$D$123:$D$129,$E$123:$E$129), _xlfn.XLOOKUP($O200,$D$112:$D$118,$E$112:$E$118),S70,$F100)</f>
        <v>6.3886679999999991</v>
      </c>
      <c r="T200" s="16"/>
    </row>
    <row r="201" spans="4:20" ht="20.100000000000001" customHeight="1" x14ac:dyDescent="0.2">
      <c r="D201" s="111"/>
      <c r="E201" s="111" t="str">
        <f>INDEX(X_Table_Swine_Stage2MMS_From_PitStorage,4,1)</f>
        <v>Deep litter</v>
      </c>
      <c r="F201" s="15" cm="1">
        <f t="array" aca="1" ref="F201" ca="1">MMS_Swine_ManureAppliedToSoils_Equations.VEERG_4_5_1_9__2_MassOfNitrogenAppliedToSoilsScope3(F41,_xlfn.XLOOKUP($E201,$D$123:$D$129,$E$123:$E$129), _xlfn.XLOOKUP($E201,$D$112:$D$118,$E$112:$E$118),F71,$F101)</f>
        <v>6.5180794799999999</v>
      </c>
      <c r="G201" s="15" cm="1">
        <f t="array" aca="1" ref="G201" ca="1">MMS_Swine_ManureAppliedToSoils_Equations.VEERG_4_5_1_9__2_MassOfNitrogenAppliedToSoilsScope3(G41,_xlfn.XLOOKUP($E201,$D$123:$D$129,$E$123:$E$129), _xlfn.XLOOKUP($E201,$D$112:$D$118,$E$112:$E$118),G71,$F101)</f>
        <v>8.6789645249999996</v>
      </c>
      <c r="H201" s="15" cm="1">
        <f t="array" aca="1" ref="H201" ca="1">MMS_Swine_ManureAppliedToSoils_Equations.VEERG_4_5_1_9__2_MassOfNitrogenAppliedToSoilsScope3(H41,_xlfn.XLOOKUP($E201,$D$123:$D$129,$E$123:$E$129), _xlfn.XLOOKUP($E201,$D$112:$D$118,$E$112:$E$118),H71,$F101)</f>
        <v>8.1475993499999984</v>
      </c>
      <c r="I201" s="15" cm="1">
        <f t="array" aca="1" ref="I201" ca="1">MMS_Swine_ManureAppliedToSoils_Equations.VEERG_4_5_1_9__2_MassOfNitrogenAppliedToSoilsScope3(I41,_xlfn.XLOOKUP($E201,$D$123:$D$129,$E$123:$E$129), _xlfn.XLOOKUP($E201,$D$112:$D$118,$E$112:$E$118),I71,$F101)</f>
        <v>5.5261978199999993</v>
      </c>
      <c r="J201" s="16"/>
      <c r="N201" s="111"/>
      <c r="O201" s="111" t="str">
        <f>INDEX(X_Table_Swine_Stage2MMS_From_PitStorage,4,1)</f>
        <v>Deep litter</v>
      </c>
      <c r="P201" s="15" cm="1">
        <f t="array" aca="1" ref="P201" ca="1">MMS_Swine_ManureAppliedToSoils_Equations.VEERG_4_5_1_9__2_MassOfNitrogenAppliedToSoilsScope3(P41,_xlfn.XLOOKUP($O201,$D$123:$D$129,$E$123:$E$129), _xlfn.XLOOKUP($O201,$D$112:$D$118,$E$112:$E$118),P71,$F101)</f>
        <v>6.5180794799999999</v>
      </c>
      <c r="Q201" s="15" cm="1">
        <f t="array" aca="1" ref="Q201" ca="1">MMS_Swine_ManureAppliedToSoils_Equations.VEERG_4_5_1_9__2_MassOfNitrogenAppliedToSoilsScope3(Q41,_xlfn.XLOOKUP($O201,$D$123:$D$129,$E$123:$E$129), _xlfn.XLOOKUP($O201,$D$112:$D$118,$E$112:$E$118),Q71,$F101)</f>
        <v>8.6789645249999996</v>
      </c>
      <c r="R201" s="15" cm="1">
        <f t="array" aca="1" ref="R201" ca="1">MMS_Swine_ManureAppliedToSoils_Equations.VEERG_4_5_1_9__2_MassOfNitrogenAppliedToSoilsScope3(R41,_xlfn.XLOOKUP($O201,$D$123:$D$129,$E$123:$E$129), _xlfn.XLOOKUP($O201,$D$112:$D$118,$E$112:$E$118),R71,$F101)</f>
        <v>8.1475993499999984</v>
      </c>
      <c r="S201" s="15" cm="1">
        <f t="array" aca="1" ref="S201" ca="1">MMS_Swine_ManureAppliedToSoils_Equations.VEERG_4_5_1_9__2_MassOfNitrogenAppliedToSoilsScope3(S41,_xlfn.XLOOKUP($O201,$D$123:$D$129,$E$123:$E$129), _xlfn.XLOOKUP($O201,$D$112:$D$118,$E$112:$E$118),S71,$F101)</f>
        <v>5.5261978199999993</v>
      </c>
      <c r="T201" s="16"/>
    </row>
    <row r="202" spans="4:20" ht="20.100000000000001" customHeight="1" x14ac:dyDescent="0.2">
      <c r="D202" s="111"/>
      <c r="E202" s="111" t="str">
        <f>INDEX(X_Table_Swine_Stage2MMS_From_PitStorage,5,1)</f>
        <v>Direct application</v>
      </c>
      <c r="F202" s="15" cm="1">
        <f t="array" aca="1" ref="F202" ca="1">MMS_Swine_ManureAppliedToSoils_Equations.VEERG_4_5_1_9__2_MassOfNitrogenAppliedToSoilsScope3(F42,_xlfn.XLOOKUP($E202,$D$123:$D$129,$E$123:$E$129), _xlfn.XLOOKUP($E202,$D$112:$D$118,$E$112:$E$118),F72,$F102)</f>
        <v>0</v>
      </c>
      <c r="G202" s="15" cm="1">
        <f t="array" aca="1" ref="G202" ca="1">MMS_Swine_ManureAppliedToSoils_Equations.VEERG_4_5_1_9__2_MassOfNitrogenAppliedToSoilsScope3(G42,_xlfn.XLOOKUP($E202,$D$123:$D$129,$E$123:$E$129), _xlfn.XLOOKUP($E202,$D$112:$D$118,$E$112:$E$118),G72,$F102)</f>
        <v>0</v>
      </c>
      <c r="H202" s="15" cm="1">
        <f t="array" aca="1" ref="H202" ca="1">MMS_Swine_ManureAppliedToSoils_Equations.VEERG_4_5_1_9__2_MassOfNitrogenAppliedToSoilsScope3(H42,_xlfn.XLOOKUP($E202,$D$123:$D$129,$E$123:$E$129), _xlfn.XLOOKUP($E202,$D$112:$D$118,$E$112:$E$118),H72,$F102)</f>
        <v>0</v>
      </c>
      <c r="I202" s="15" cm="1">
        <f t="array" aca="1" ref="I202" ca="1">MMS_Swine_ManureAppliedToSoils_Equations.VEERG_4_5_1_9__2_MassOfNitrogenAppliedToSoilsScope3(I42,_xlfn.XLOOKUP($E202,$D$123:$D$129,$E$123:$E$129), _xlfn.XLOOKUP($E202,$D$112:$D$118,$E$112:$E$118),I72,$F102)</f>
        <v>0</v>
      </c>
      <c r="J202" s="16"/>
      <c r="N202" s="111"/>
      <c r="O202" s="111" t="str">
        <f>INDEX(X_Table_Swine_Stage2MMS_From_PitStorage,5,1)</f>
        <v>Direct application</v>
      </c>
      <c r="P202" s="15" cm="1">
        <f t="array" aca="1" ref="P202" ca="1">MMS_Swine_ManureAppliedToSoils_Equations.VEERG_4_5_1_9__2_MassOfNitrogenAppliedToSoilsScope3(P42,_xlfn.XLOOKUP($O202,$D$123:$D$129,$E$123:$E$129), _xlfn.XLOOKUP($O202,$D$112:$D$118,$E$112:$E$118),P72,$F102)</f>
        <v>0</v>
      </c>
      <c r="Q202" s="15" cm="1">
        <f t="array" aca="1" ref="Q202" ca="1">MMS_Swine_ManureAppliedToSoils_Equations.VEERG_4_5_1_9__2_MassOfNitrogenAppliedToSoilsScope3(Q42,_xlfn.XLOOKUP($O202,$D$123:$D$129,$E$123:$E$129), _xlfn.XLOOKUP($O202,$D$112:$D$118,$E$112:$E$118),Q72,$F102)</f>
        <v>0</v>
      </c>
      <c r="R202" s="15" cm="1">
        <f t="array" aca="1" ref="R202" ca="1">MMS_Swine_ManureAppliedToSoils_Equations.VEERG_4_5_1_9__2_MassOfNitrogenAppliedToSoilsScope3(R42,_xlfn.XLOOKUP($O202,$D$123:$D$129,$E$123:$E$129), _xlfn.XLOOKUP($O202,$D$112:$D$118,$E$112:$E$118),R72,$F102)</f>
        <v>0</v>
      </c>
      <c r="S202" s="15" cm="1">
        <f t="array" aca="1" ref="S202" ca="1">MMS_Swine_ManureAppliedToSoils_Equations.VEERG_4_5_1_9__2_MassOfNitrogenAppliedToSoilsScope3(S42,_xlfn.XLOOKUP($O202,$D$123:$D$129,$E$123:$E$129), _xlfn.XLOOKUP($O202,$D$112:$D$118,$E$112:$E$118),S72,$F102)</f>
        <v>0</v>
      </c>
      <c r="T202" s="16"/>
    </row>
    <row r="203" spans="4:20" ht="20.100000000000001" customHeight="1" x14ac:dyDescent="0.2">
      <c r="D203" s="111" t="s">
        <v>75</v>
      </c>
      <c r="E203" s="111" t="str">
        <f>INDEX(X_Table_Swine_Stage2MMS_From_SolidStorage,2,1)</f>
        <v>Anaerobic lagoon</v>
      </c>
      <c r="F203" s="15" cm="1">
        <f t="array" aca="1" ref="F203" ca="1">MMS_Swine_ManureAppliedToSoils_Equations.VEERG_4_5_1_9__2_MassOfNitrogenAppliedToSoilsScope3(F43,_xlfn.XLOOKUP($E203,$D$123:$D$129,$E$123:$E$129), _xlfn.XLOOKUP($E203,$D$112:$D$118,$E$112:$E$118),F73,$F103)</f>
        <v>12.013245000000003</v>
      </c>
      <c r="G203" s="15" cm="1">
        <f t="array" aca="1" ref="G203" ca="1">MMS_Swine_ManureAppliedToSoils_Equations.VEERG_4_5_1_9__2_MassOfNitrogenAppliedToSoilsScope3(G43,_xlfn.XLOOKUP($E203,$D$123:$D$129,$E$123:$E$129), _xlfn.XLOOKUP($E203,$D$112:$D$118,$E$112:$E$118),G73,$F103)</f>
        <v>12.796717500000007</v>
      </c>
      <c r="H203" s="15" cm="1">
        <f t="array" aca="1" ref="H203" ca="1">MMS_Swine_ManureAppliedToSoils_Equations.VEERG_4_5_1_9__2_MassOfNitrogenAppliedToSoilsScope3(H43,_xlfn.XLOOKUP($E203,$D$123:$D$129,$E$123:$E$129), _xlfn.XLOOKUP($E203,$D$112:$D$118,$E$112:$E$118),H73,$F103)</f>
        <v>12.013245000000003</v>
      </c>
      <c r="I203" s="15" cm="1">
        <f t="array" aca="1" ref="I203" ca="1">MMS_Swine_ManureAppliedToSoils_Equations.VEERG_4_5_1_9__2_MassOfNitrogenAppliedToSoilsScope3(I43,_xlfn.XLOOKUP($E203,$D$123:$D$129,$E$123:$E$129), _xlfn.XLOOKUP($E203,$D$112:$D$118,$E$112:$E$118),I73,$F103)</f>
        <v>8.1481140000000032</v>
      </c>
      <c r="J203" s="16"/>
      <c r="N203" s="111" t="s">
        <v>75</v>
      </c>
      <c r="O203" s="111" t="str">
        <f>INDEX(X_Table_Swine_Stage2MMS_From_SolidStorage,2,1)</f>
        <v>Anaerobic lagoon</v>
      </c>
      <c r="P203" s="15" cm="1">
        <f t="array" aca="1" ref="P203" ca="1">MMS_Swine_ManureAppliedToSoils_Equations.VEERG_4_5_1_9__2_MassOfNitrogenAppliedToSoilsScope3(P43,_xlfn.XLOOKUP($O203,$D$123:$D$129,$E$123:$E$129), _xlfn.XLOOKUP($O203,$D$112:$D$118,$E$112:$E$118),P73,$F103)</f>
        <v>12.013245000000003</v>
      </c>
      <c r="Q203" s="15" cm="1">
        <f t="array" aca="1" ref="Q203" ca="1">MMS_Swine_ManureAppliedToSoils_Equations.VEERG_4_5_1_9__2_MassOfNitrogenAppliedToSoilsScope3(Q43,_xlfn.XLOOKUP($O203,$D$123:$D$129,$E$123:$E$129), _xlfn.XLOOKUP($O203,$D$112:$D$118,$E$112:$E$118),Q73,$F103)</f>
        <v>12.796717500000007</v>
      </c>
      <c r="R203" s="15" cm="1">
        <f t="array" aca="1" ref="R203" ca="1">MMS_Swine_ManureAppliedToSoils_Equations.VEERG_4_5_1_9__2_MassOfNitrogenAppliedToSoilsScope3(R43,_xlfn.XLOOKUP($O203,$D$123:$D$129,$E$123:$E$129), _xlfn.XLOOKUP($O203,$D$112:$D$118,$E$112:$E$118),R73,$F103)</f>
        <v>12.013245000000003</v>
      </c>
      <c r="S203" s="15" cm="1">
        <f t="array" aca="1" ref="S203" ca="1">MMS_Swine_ManureAppliedToSoils_Equations.VEERG_4_5_1_9__2_MassOfNitrogenAppliedToSoilsScope3(S43,_xlfn.XLOOKUP($O203,$D$123:$D$129,$E$123:$E$129), _xlfn.XLOOKUP($O203,$D$112:$D$118,$E$112:$E$118),S73,$F103)</f>
        <v>8.1481140000000032</v>
      </c>
      <c r="T203" s="16"/>
    </row>
    <row r="204" spans="4:20" ht="20.100000000000001" customHeight="1" x14ac:dyDescent="0.2">
      <c r="D204" s="111"/>
      <c r="E204" s="111" t="str">
        <f>INDEX(X_Table_Swine_Stage2MMS_From_SolidStorage,3,1)</f>
        <v>Digester / covered lagoons</v>
      </c>
      <c r="F204" s="15" cm="1">
        <f t="array" aca="1" ref="F204" ca="1">MMS_Swine_ManureAppliedToSoils_Equations.VEERG_4_5_1_9__2_MassOfNitrogenAppliedToSoilsScope3(F44,_xlfn.XLOOKUP($E204,$D$123:$D$129,$E$123:$E$129), _xlfn.XLOOKUP($E204,$D$112:$D$118,$E$112:$E$118),F74,$F104)</f>
        <v>26.696100000000008</v>
      </c>
      <c r="G204" s="15" cm="1">
        <f t="array" aca="1" ref="G204" ca="1">MMS_Swine_ManureAppliedToSoils_Equations.VEERG_4_5_1_9__2_MassOfNitrogenAppliedToSoilsScope3(G44,_xlfn.XLOOKUP($E204,$D$123:$D$129,$E$123:$E$129), _xlfn.XLOOKUP($E204,$D$112:$D$118,$E$112:$E$118),G74,$F104)</f>
        <v>28.437150000000017</v>
      </c>
      <c r="H204" s="15" cm="1">
        <f t="array" aca="1" ref="H204" ca="1">MMS_Swine_ManureAppliedToSoils_Equations.VEERG_4_5_1_9__2_MassOfNitrogenAppliedToSoilsScope3(H44,_xlfn.XLOOKUP($E204,$D$123:$D$129,$E$123:$E$129), _xlfn.XLOOKUP($E204,$D$112:$D$118,$E$112:$E$118),H74,$F104)</f>
        <v>26.696100000000008</v>
      </c>
      <c r="I204" s="15" cm="1">
        <f t="array" aca="1" ref="I204" ca="1">MMS_Swine_ManureAppliedToSoils_Equations.VEERG_4_5_1_9__2_MassOfNitrogenAppliedToSoilsScope3(I44,_xlfn.XLOOKUP($E204,$D$123:$D$129,$E$123:$E$129), _xlfn.XLOOKUP($E204,$D$112:$D$118,$E$112:$E$118),I74,$F104)</f>
        <v>18.106920000000009</v>
      </c>
      <c r="J204" s="16"/>
      <c r="N204" s="111"/>
      <c r="O204" s="111" t="str">
        <f>INDEX(X_Table_Swine_Stage2MMS_From_SolidStorage,3,1)</f>
        <v>Digester / covered lagoons</v>
      </c>
      <c r="P204" s="15" cm="1">
        <f t="array" aca="1" ref="P204" ca="1">MMS_Swine_ManureAppliedToSoils_Equations.VEERG_4_5_1_9__2_MassOfNitrogenAppliedToSoilsScope3(P44,_xlfn.XLOOKUP($O204,$D$123:$D$129,$E$123:$E$129), _xlfn.XLOOKUP($O204,$D$112:$D$118,$E$112:$E$118),P74,$F104)</f>
        <v>26.696100000000008</v>
      </c>
      <c r="Q204" s="15" cm="1">
        <f t="array" aca="1" ref="Q204" ca="1">MMS_Swine_ManureAppliedToSoils_Equations.VEERG_4_5_1_9__2_MassOfNitrogenAppliedToSoilsScope3(Q44,_xlfn.XLOOKUP($O204,$D$123:$D$129,$E$123:$E$129), _xlfn.XLOOKUP($O204,$D$112:$D$118,$E$112:$E$118),Q74,$F104)</f>
        <v>28.437150000000017</v>
      </c>
      <c r="R204" s="15" cm="1">
        <f t="array" aca="1" ref="R204" ca="1">MMS_Swine_ManureAppliedToSoils_Equations.VEERG_4_5_1_9__2_MassOfNitrogenAppliedToSoilsScope3(R44,_xlfn.XLOOKUP($O204,$D$123:$D$129,$E$123:$E$129), _xlfn.XLOOKUP($O204,$D$112:$D$118,$E$112:$E$118),R74,$F104)</f>
        <v>26.696100000000008</v>
      </c>
      <c r="S204" s="15" cm="1">
        <f t="array" aca="1" ref="S204" ca="1">MMS_Swine_ManureAppliedToSoils_Equations.VEERG_4_5_1_9__2_MassOfNitrogenAppliedToSoilsScope3(S44,_xlfn.XLOOKUP($O204,$D$123:$D$129,$E$123:$E$129), _xlfn.XLOOKUP($O204,$D$112:$D$118,$E$112:$E$118),S74,$F104)</f>
        <v>18.106920000000009</v>
      </c>
      <c r="T204" s="16"/>
    </row>
    <row r="205" spans="4:20" ht="20.100000000000001" customHeight="1" x14ac:dyDescent="0.2">
      <c r="D205" s="111"/>
      <c r="E205" s="111" t="str">
        <f>INDEX(X_Table_Swine_Stage2MMS_From_SolidStorage,4,1)</f>
        <v>Deep litter</v>
      </c>
      <c r="F205" s="15" cm="1">
        <f t="array" aca="1" ref="F205" ca="1">MMS_Swine_ManureAppliedToSoils_Equations.VEERG_4_5_1_9__2_MassOfNitrogenAppliedToSoilsScope3(F45,_xlfn.XLOOKUP($E205,$D$123:$D$129,$E$123:$E$129), _xlfn.XLOOKUP($E205,$D$112:$D$118,$E$112:$E$118),F75,$F105)</f>
        <v>23.092126500000006</v>
      </c>
      <c r="G205" s="15" cm="1">
        <f t="array" aca="1" ref="G205" ca="1">MMS_Swine_ManureAppliedToSoils_Equations.VEERG_4_5_1_9__2_MassOfNitrogenAppliedToSoilsScope3(G45,_xlfn.XLOOKUP($E205,$D$123:$D$129,$E$123:$E$129), _xlfn.XLOOKUP($E205,$D$112:$D$118,$E$112:$E$118),G75,$F105)</f>
        <v>24.598134750000014</v>
      </c>
      <c r="H205" s="15" cm="1">
        <f t="array" aca="1" ref="H205" ca="1">MMS_Swine_ManureAppliedToSoils_Equations.VEERG_4_5_1_9__2_MassOfNitrogenAppliedToSoilsScope3(H45,_xlfn.XLOOKUP($E205,$D$123:$D$129,$E$123:$E$129), _xlfn.XLOOKUP($E205,$D$112:$D$118,$E$112:$E$118),H75,$F105)</f>
        <v>23.092126500000006</v>
      </c>
      <c r="I205" s="15" cm="1">
        <f t="array" aca="1" ref="I205" ca="1">MMS_Swine_ManureAppliedToSoils_Equations.VEERG_4_5_1_9__2_MassOfNitrogenAppliedToSoilsScope3(I45,_xlfn.XLOOKUP($E205,$D$123:$D$129,$E$123:$E$129), _xlfn.XLOOKUP($E205,$D$112:$D$118,$E$112:$E$118),I75,$F105)</f>
        <v>15.662485800000008</v>
      </c>
      <c r="J205" s="16"/>
      <c r="N205" s="111"/>
      <c r="O205" s="111" t="str">
        <f>INDEX(X_Table_Swine_Stage2MMS_From_SolidStorage,4,1)</f>
        <v>Deep litter</v>
      </c>
      <c r="P205" s="15" cm="1">
        <f t="array" aca="1" ref="P205" ca="1">MMS_Swine_ManureAppliedToSoils_Equations.VEERG_4_5_1_9__2_MassOfNitrogenAppliedToSoilsScope3(P45,_xlfn.XLOOKUP($O205,$D$123:$D$129,$E$123:$E$129), _xlfn.XLOOKUP($O205,$D$112:$D$118,$E$112:$E$118),P75,$F105)</f>
        <v>23.092126500000006</v>
      </c>
      <c r="Q205" s="15" cm="1">
        <f t="array" aca="1" ref="Q205" ca="1">MMS_Swine_ManureAppliedToSoils_Equations.VEERG_4_5_1_9__2_MassOfNitrogenAppliedToSoilsScope3(Q45,_xlfn.XLOOKUP($O205,$D$123:$D$129,$E$123:$E$129), _xlfn.XLOOKUP($O205,$D$112:$D$118,$E$112:$E$118),Q75,$F105)</f>
        <v>24.598134750000014</v>
      </c>
      <c r="R205" s="15" cm="1">
        <f t="array" aca="1" ref="R205" ca="1">MMS_Swine_ManureAppliedToSoils_Equations.VEERG_4_5_1_9__2_MassOfNitrogenAppliedToSoilsScope3(R45,_xlfn.XLOOKUP($O205,$D$123:$D$129,$E$123:$E$129), _xlfn.XLOOKUP($O205,$D$112:$D$118,$E$112:$E$118),R75,$F105)</f>
        <v>23.092126500000006</v>
      </c>
      <c r="S205" s="15" cm="1">
        <f t="array" aca="1" ref="S205" ca="1">MMS_Swine_ManureAppliedToSoils_Equations.VEERG_4_5_1_9__2_MassOfNitrogenAppliedToSoilsScope3(S45,_xlfn.XLOOKUP($O205,$D$123:$D$129,$E$123:$E$129), _xlfn.XLOOKUP($O205,$D$112:$D$118,$E$112:$E$118),S75,$F105)</f>
        <v>15.662485800000008</v>
      </c>
      <c r="T205" s="16"/>
    </row>
    <row r="206" spans="4:20" ht="20.100000000000001" customHeight="1" x14ac:dyDescent="0.2">
      <c r="D206" s="111"/>
      <c r="E206" s="111" t="str">
        <f>INDEX(X_Table_Swine_Stage2MMS_From_SolidStorage,5,1)</f>
        <v>Pit storage</v>
      </c>
      <c r="F206" s="15" cm="1">
        <f t="array" aca="1" ref="F206" ca="1">MMS_Swine_ManureAppliedToSoils_Equations.VEERG_4_5_1_9__2_MassOfNitrogenAppliedToSoilsScope3(F46,_xlfn.XLOOKUP($E206,$D$123:$D$129,$E$123:$E$129), _xlfn.XLOOKUP($E206,$D$112:$D$118,$E$112:$E$118),F76,$F106)</f>
        <v>9.9843414000000035</v>
      </c>
      <c r="G206" s="15" cm="1">
        <f t="array" aca="1" ref="G206" ca="1">MMS_Swine_ManureAppliedToSoils_Equations.VEERG_4_5_1_9__2_MassOfNitrogenAppliedToSoilsScope3(G46,_xlfn.XLOOKUP($E206,$D$123:$D$129,$E$123:$E$129), _xlfn.XLOOKUP($E206,$D$112:$D$118,$E$112:$E$118),G76,$F106)</f>
        <v>10.635494100000006</v>
      </c>
      <c r="H206" s="15" cm="1">
        <f t="array" aca="1" ref="H206" ca="1">MMS_Swine_ManureAppliedToSoils_Equations.VEERG_4_5_1_9__2_MassOfNitrogenAppliedToSoilsScope3(H46,_xlfn.XLOOKUP($E206,$D$123:$D$129,$E$123:$E$129), _xlfn.XLOOKUP($E206,$D$112:$D$118,$E$112:$E$118),H76,$F106)</f>
        <v>9.9843414000000035</v>
      </c>
      <c r="I206" s="15" cm="1">
        <f t="array" aca="1" ref="I206" ca="1">MMS_Swine_ManureAppliedToSoils_Equations.VEERG_4_5_1_9__2_MassOfNitrogenAppliedToSoilsScope3(I46,_xlfn.XLOOKUP($E206,$D$123:$D$129,$E$123:$E$129), _xlfn.XLOOKUP($E206,$D$112:$D$118,$E$112:$E$118),I76,$F106)</f>
        <v>6.7719880800000034</v>
      </c>
      <c r="J206" s="16"/>
      <c r="N206" s="111"/>
      <c r="O206" s="111" t="str">
        <f>INDEX(X_Table_Swine_Stage2MMS_From_SolidStorage,5,1)</f>
        <v>Pit storage</v>
      </c>
      <c r="P206" s="15" cm="1">
        <f t="array" aca="1" ref="P206" ca="1">MMS_Swine_ManureAppliedToSoils_Equations.VEERG_4_5_1_9__2_MassOfNitrogenAppliedToSoilsScope3(P46,_xlfn.XLOOKUP($O206,$D$123:$D$129,$E$123:$E$129), _xlfn.XLOOKUP($O206,$D$112:$D$118,$E$112:$E$118),P76,$F106)</f>
        <v>9.9843414000000035</v>
      </c>
      <c r="Q206" s="15" cm="1">
        <f t="array" aca="1" ref="Q206" ca="1">MMS_Swine_ManureAppliedToSoils_Equations.VEERG_4_5_1_9__2_MassOfNitrogenAppliedToSoilsScope3(Q46,_xlfn.XLOOKUP($O206,$D$123:$D$129,$E$123:$E$129), _xlfn.XLOOKUP($O206,$D$112:$D$118,$E$112:$E$118),Q76,$F106)</f>
        <v>10.635494100000006</v>
      </c>
      <c r="R206" s="15" cm="1">
        <f t="array" aca="1" ref="R206" ca="1">MMS_Swine_ManureAppliedToSoils_Equations.VEERG_4_5_1_9__2_MassOfNitrogenAppliedToSoilsScope3(R46,_xlfn.XLOOKUP($O206,$D$123:$D$129,$E$123:$E$129), _xlfn.XLOOKUP($O206,$D$112:$D$118,$E$112:$E$118),R76,$F106)</f>
        <v>9.9843414000000035</v>
      </c>
      <c r="S206" s="15" cm="1">
        <f t="array" aca="1" ref="S206" ca="1">MMS_Swine_ManureAppliedToSoils_Equations.VEERG_4_5_1_9__2_MassOfNitrogenAppliedToSoilsScope3(S46,_xlfn.XLOOKUP($O206,$D$123:$D$129,$E$123:$E$129), _xlfn.XLOOKUP($O206,$D$112:$D$118,$E$112:$E$118),S76,$F106)</f>
        <v>6.7719880800000034</v>
      </c>
      <c r="T206" s="16"/>
    </row>
    <row r="207" spans="4:20" ht="20.100000000000001" customHeight="1" x14ac:dyDescent="0.2">
      <c r="D207" s="111"/>
      <c r="E207" s="111" t="str">
        <f>INDEX(X_Table_Swine_Stage2MMS_From_SolidStorage,6,1)</f>
        <v>Direct application</v>
      </c>
      <c r="F207" s="15" cm="1">
        <f t="array" aca="1" ref="F207" ca="1">MMS_Swine_ManureAppliedToSoils_Equations.VEERG_4_5_1_9__2_MassOfNitrogenAppliedToSoilsScope3(F47,_xlfn.XLOOKUP($E207,$D$123:$D$129,$E$123:$E$129), _xlfn.XLOOKUP($E207,$D$112:$D$118,$E$112:$E$118),F77,$F107)</f>
        <v>0</v>
      </c>
      <c r="G207" s="15" cm="1">
        <f t="array" aca="1" ref="G207" ca="1">MMS_Swine_ManureAppliedToSoils_Equations.VEERG_4_5_1_9__2_MassOfNitrogenAppliedToSoilsScope3(G47,_xlfn.XLOOKUP($E207,$D$123:$D$129,$E$123:$E$129), _xlfn.XLOOKUP($E207,$D$112:$D$118,$E$112:$E$118),G77,$F107)</f>
        <v>0</v>
      </c>
      <c r="H207" s="15" cm="1">
        <f t="array" aca="1" ref="H207" ca="1">MMS_Swine_ManureAppliedToSoils_Equations.VEERG_4_5_1_9__2_MassOfNitrogenAppliedToSoilsScope3(H47,_xlfn.XLOOKUP($E207,$D$123:$D$129,$E$123:$E$129), _xlfn.XLOOKUP($E207,$D$112:$D$118,$E$112:$E$118),H77,$F107)</f>
        <v>0</v>
      </c>
      <c r="I207" s="15" cm="1">
        <f t="array" aca="1" ref="I207" ca="1">MMS_Swine_ManureAppliedToSoils_Equations.VEERG_4_5_1_9__2_MassOfNitrogenAppliedToSoilsScope3(I47,_xlfn.XLOOKUP($E207,$D$123:$D$129,$E$123:$E$129), _xlfn.XLOOKUP($E207,$D$112:$D$118,$E$112:$E$118),I77,$F107)</f>
        <v>0</v>
      </c>
      <c r="J207" s="16"/>
      <c r="N207" s="111"/>
      <c r="O207" s="111" t="str">
        <f>INDEX(X_Table_Swine_Stage2MMS_From_SolidStorage,6,1)</f>
        <v>Direct application</v>
      </c>
      <c r="P207" s="15" cm="1">
        <f t="array" aca="1" ref="P207" ca="1">MMS_Swine_ManureAppliedToSoils_Equations.VEERG_4_5_1_9__2_MassOfNitrogenAppliedToSoilsScope3(P47,_xlfn.XLOOKUP($O207,$D$123:$D$129,$E$123:$E$129), _xlfn.XLOOKUP($O207,$D$112:$D$118,$E$112:$E$118),P77,$F107)</f>
        <v>0</v>
      </c>
      <c r="Q207" s="15" cm="1">
        <f t="array" aca="1" ref="Q207" ca="1">MMS_Swine_ManureAppliedToSoils_Equations.VEERG_4_5_1_9__2_MassOfNitrogenAppliedToSoilsScope3(Q47,_xlfn.XLOOKUP($O207,$D$123:$D$129,$E$123:$E$129), _xlfn.XLOOKUP($O207,$D$112:$D$118,$E$112:$E$118),Q77,$F107)</f>
        <v>0</v>
      </c>
      <c r="R207" s="15" cm="1">
        <f t="array" aca="1" ref="R207" ca="1">MMS_Swine_ManureAppliedToSoils_Equations.VEERG_4_5_1_9__2_MassOfNitrogenAppliedToSoilsScope3(R47,_xlfn.XLOOKUP($O207,$D$123:$D$129,$E$123:$E$129), _xlfn.XLOOKUP($O207,$D$112:$D$118,$E$112:$E$118),R77,$F107)</f>
        <v>0</v>
      </c>
      <c r="S207" s="15" cm="1">
        <f t="array" aca="1" ref="S207" ca="1">MMS_Swine_ManureAppliedToSoils_Equations.VEERG_4_5_1_9__2_MassOfNitrogenAppliedToSoilsScope3(S47,_xlfn.XLOOKUP($O207,$D$123:$D$129,$E$123:$E$129), _xlfn.XLOOKUP($O207,$D$112:$D$118,$E$112:$E$118),S77,$F107)</f>
        <v>0</v>
      </c>
      <c r="T207" s="16"/>
    </row>
    <row r="209" spans="1:21" ht="20.100000000000001" customHeight="1" x14ac:dyDescent="0.2">
      <c r="D209" s="84" t="s">
        <v>462</v>
      </c>
      <c r="E209" s="85">
        <f ca="1">SUM(F182:I207)</f>
        <v>653.20846285499988</v>
      </c>
      <c r="F209" s="94" t="str">
        <f>$E$11</f>
        <v>kg N</v>
      </c>
      <c r="N209" s="84" t="s">
        <v>462</v>
      </c>
      <c r="O209" s="85">
        <f ca="1">SUM(P182:S207)</f>
        <v>653.20846285499988</v>
      </c>
      <c r="P209" s="94" t="str">
        <f>$E$11</f>
        <v>kg N</v>
      </c>
    </row>
    <row r="212" spans="1:21" ht="20.100000000000001" customHeight="1" x14ac:dyDescent="0.2">
      <c r="C212" s="82"/>
      <c r="D212" s="82"/>
      <c r="E212" s="82"/>
      <c r="F212" s="82"/>
      <c r="G212" s="82"/>
      <c r="H212" s="82"/>
      <c r="I212" s="82"/>
      <c r="J212" s="82"/>
      <c r="K212" s="82"/>
      <c r="M212" s="82"/>
      <c r="N212" s="82"/>
      <c r="O212" s="82"/>
      <c r="P212" s="82"/>
      <c r="Q212" s="82"/>
      <c r="R212" s="82"/>
      <c r="S212" s="82"/>
      <c r="T212" s="82"/>
      <c r="U212" s="82"/>
    </row>
    <row r="213" spans="1:21" ht="20.100000000000001" customHeight="1" x14ac:dyDescent="0.2">
      <c r="D213" s="136" t="str">
        <f>"Below are applications of " &amp; D110 &amp; " that are applied to the following contexts:"</f>
        <v>Below are applications of Fraction of N volatilised from MMS that are applied to the following contexts:</v>
      </c>
      <c r="E213" s="43"/>
      <c r="F213" s="43"/>
      <c r="G213" s="43"/>
      <c r="H213" s="44"/>
    </row>
    <row r="214" spans="1:21" ht="20.100000000000001" customHeight="1" x14ac:dyDescent="0.2">
      <c r="D214" s="45" t="s">
        <v>463</v>
      </c>
      <c r="E214" s="46"/>
      <c r="F214" s="46"/>
      <c r="G214" s="46"/>
      <c r="H214" s="47"/>
    </row>
    <row r="216" spans="1:21" ht="20.100000000000001" customHeight="1" x14ac:dyDescent="0.2">
      <c r="D216" s="2" t="s">
        <v>464</v>
      </c>
    </row>
    <row r="217" spans="1:21" ht="20.100000000000001" customHeight="1" x14ac:dyDescent="0.2">
      <c r="A217" s="131" t="str">
        <f>HYPERLINK("#A1", "▲ Back to top")</f>
        <v>▲ Back to top</v>
      </c>
    </row>
    <row r="218" spans="1:21" ht="20.100000000000001" customHeight="1" x14ac:dyDescent="0.2">
      <c r="D218" s="117" t="s">
        <v>465</v>
      </c>
    </row>
    <row r="219" spans="1:21" ht="20.100000000000001" customHeight="1" x14ac:dyDescent="0.2">
      <c r="D219" s="118" t="s">
        <v>466</v>
      </c>
    </row>
    <row r="220" spans="1:21" ht="20.100000000000001" customHeight="1" x14ac:dyDescent="0.2">
      <c r="D220" s="119" t="s">
        <v>325</v>
      </c>
      <c r="E220" s="119" t="s">
        <v>354</v>
      </c>
      <c r="F220" s="119" t="s">
        <v>467</v>
      </c>
    </row>
    <row r="221" spans="1:21" ht="20.100000000000001" customHeight="1" x14ac:dyDescent="0.2">
      <c r="D221" s="111" t="str">
        <f>INDEX(X_Table_Swine_Stage1MMS_AnaerobicLagoon,2,1)</f>
        <v>Anaerobic lagoon</v>
      </c>
      <c r="E221" s="111" t="str">
        <f>INDEX(X_Table_Swine_Stage2MMS_From_AnaerobicLagoon,2,1)</f>
        <v>Digester / covered lagoons</v>
      </c>
      <c r="F221" s="15">
        <f>INDEX(X_Table_Swine_Stage2MMS_From_AnaerobicLagoon_Destinations,2,3)</f>
        <v>0.25</v>
      </c>
      <c r="G221" s="16" t="s">
        <v>402</v>
      </c>
    </row>
    <row r="222" spans="1:21" ht="20.100000000000001" customHeight="1" x14ac:dyDescent="0.2">
      <c r="D222" s="111"/>
      <c r="E222" s="111" t="str">
        <f>INDEX(X_Table_Swine_Stage2MMS_From_AnaerobicLagoon,3,1)</f>
        <v>Deep litter</v>
      </c>
      <c r="F222" s="15">
        <f>INDEX(X_Table_Swine_Stage2MMS_From_AnaerobicLagoon_Destinations,3,3)</f>
        <v>0.25</v>
      </c>
      <c r="G222" s="16"/>
    </row>
    <row r="223" spans="1:21" ht="20.100000000000001" customHeight="1" x14ac:dyDescent="0.2">
      <c r="D223" s="111"/>
      <c r="E223" s="111" t="str">
        <f>INDEX(X_Table_Swine_Stage2MMS_From_AnaerobicLagoon,4,1)</f>
        <v>Pit storage</v>
      </c>
      <c r="F223" s="15">
        <f>INDEX(X_Table_Swine_Stage2MMS_From_AnaerobicLagoon_Destinations,4,3)</f>
        <v>0.25</v>
      </c>
      <c r="G223" s="16"/>
    </row>
    <row r="224" spans="1:21" ht="20.100000000000001" customHeight="1" x14ac:dyDescent="0.2">
      <c r="D224" s="111"/>
      <c r="E224" s="111" t="str">
        <f>INDEX(X_Table_Swine_Stage2MMS_From_AnaerobicLagoon,5,1)</f>
        <v>Direct application</v>
      </c>
      <c r="F224" s="15">
        <f>INDEX(X_Table_Swine_Stage2MMS_From_AnaerobicLagoon_Destinations,5,3)</f>
        <v>0</v>
      </c>
      <c r="G224" s="16"/>
    </row>
    <row r="225" spans="4:7" ht="20.100000000000001" customHeight="1" x14ac:dyDescent="0.2">
      <c r="D225" s="111" t="str">
        <f>INDEX(X_Table_Swine_Stage1MMS_Drylot,2,1)</f>
        <v>Drylot (feed pad)</v>
      </c>
      <c r="E225" s="111" t="str">
        <f>INDEX(X_Table_Swine_Stage2MMS_From_Drylot,2,1)</f>
        <v>Anaerobic lagoon</v>
      </c>
      <c r="F225" s="15">
        <f>INDEX(X_Table_Swine_Stage2MMS_From_Drylot_Destinations,2,3)</f>
        <v>0.25</v>
      </c>
      <c r="G225" s="16"/>
    </row>
    <row r="226" spans="4:7" ht="20.100000000000001" customHeight="1" x14ac:dyDescent="0.2">
      <c r="D226" s="111"/>
      <c r="E226" s="111" t="str">
        <f>INDEX(X_Table_Swine_Stage2MMS_From_Drylot,3,1)</f>
        <v>Digester / covered lagoons</v>
      </c>
      <c r="F226" s="15">
        <f>INDEX(X_Table_Swine_Stage2MMS_From_Drylot_Destinations,3,3)</f>
        <v>0.25</v>
      </c>
      <c r="G226" s="16"/>
    </row>
    <row r="227" spans="4:7" ht="20.100000000000001" customHeight="1" x14ac:dyDescent="0.2">
      <c r="D227" s="111"/>
      <c r="E227" s="111" t="str">
        <f>INDEX(X_Table_Swine_Stage2MMS_From_Drylot,4,1)</f>
        <v>Deep litter</v>
      </c>
      <c r="F227" s="15">
        <f>INDEX(X_Table_Swine_Stage2MMS_From_Drylot_Destinations,4,3)</f>
        <v>0.25</v>
      </c>
      <c r="G227" s="16"/>
    </row>
    <row r="228" spans="4:7" ht="20.100000000000001" customHeight="1" x14ac:dyDescent="0.2">
      <c r="D228" s="111"/>
      <c r="E228" s="111" t="str">
        <f>INDEX(X_Table_Swine_Stage2MMS_From_Drylot,5,1)</f>
        <v>Pit storage</v>
      </c>
      <c r="F228" s="15">
        <f>INDEX(X_Table_Swine_Stage2MMS_From_Drylot_Destinations,5,3)</f>
        <v>0.25</v>
      </c>
      <c r="G228" s="16"/>
    </row>
    <row r="229" spans="4:7" ht="20.100000000000001" customHeight="1" x14ac:dyDescent="0.2">
      <c r="D229" s="111"/>
      <c r="E229" s="111" t="str">
        <f>INDEX(X_Table_Swine_Stage2MMS_From_Drylot,6,1)</f>
        <v>Direct application</v>
      </c>
      <c r="F229" s="15">
        <f>INDEX(X_Table_Swine_Stage2MMS_From_Drylot_Destinations,6,3)</f>
        <v>0</v>
      </c>
      <c r="G229" s="16"/>
    </row>
    <row r="230" spans="4:7" ht="20.100000000000001" customHeight="1" x14ac:dyDescent="0.2">
      <c r="D230" s="111" t="str">
        <f>INDEX(X_Table_Swine_Stage1MMS_DigesterCoveredLagoons,2,1)</f>
        <v>Digester / covered lagoons</v>
      </c>
      <c r="E230" s="111" t="str">
        <f>INDEX(X_Table_Swine_Stage2MMS_From_DigesterCoveredLagoons,2,1)</f>
        <v>Anaerobic lagoon</v>
      </c>
      <c r="F230" s="15">
        <f>INDEX(X_Table_Swine_Stage2MMS_From_DigesterCoveredLagoons_Destinations,2,3)</f>
        <v>0.25</v>
      </c>
      <c r="G230" s="16"/>
    </row>
    <row r="231" spans="4:7" ht="20.100000000000001" customHeight="1" x14ac:dyDescent="0.2">
      <c r="D231" s="111"/>
      <c r="E231" s="111" t="str">
        <f>INDEX(X_Table_Swine_Stage2MMS_From_DigesterCoveredLagoons,3,1)</f>
        <v>Deep litter</v>
      </c>
      <c r="F231" s="15">
        <f>INDEX(X_Table_Swine_Stage2MMS_From_DigesterCoveredLagoons_Destinations,3,3)</f>
        <v>0.25</v>
      </c>
      <c r="G231" s="16"/>
    </row>
    <row r="232" spans="4:7" ht="20.100000000000001" customHeight="1" x14ac:dyDescent="0.2">
      <c r="D232" s="111"/>
      <c r="E232" s="111" t="str">
        <f>INDEX(X_Table_Swine_Stage2MMS_From_DigesterCoveredLagoons,4,1)</f>
        <v>Pit storage</v>
      </c>
      <c r="F232" s="15">
        <f>INDEX(X_Table_Swine_Stage2MMS_From_DigesterCoveredLagoons_Destinations,4,3)</f>
        <v>0.25</v>
      </c>
      <c r="G232" s="16"/>
    </row>
    <row r="233" spans="4:7" ht="20.100000000000001" customHeight="1" x14ac:dyDescent="0.2">
      <c r="D233" s="111"/>
      <c r="E233" s="111" t="str">
        <f>INDEX(X_Table_Swine_Stage2MMS_From_DigesterCoveredLagoons,5,1)</f>
        <v>Direct application</v>
      </c>
      <c r="F233" s="15">
        <f>INDEX(X_Table_Swine_Stage2MMS_From_DigesterCoveredLagoons_Destinations,5,3)</f>
        <v>0</v>
      </c>
      <c r="G233" s="16"/>
    </row>
    <row r="234" spans="4:7" ht="20.100000000000001" customHeight="1" x14ac:dyDescent="0.2">
      <c r="D234" s="111" t="str">
        <f>INDEX(X_Table_Swine_Stage1MMS_DeepLitter,2,1)</f>
        <v>Deep litter</v>
      </c>
      <c r="E234" s="111" t="str">
        <f>INDEX(X_Table_Swine_Stage2MMS_From_DeepLitter,2,1)</f>
        <v>Anaerobic lagoon</v>
      </c>
      <c r="F234" s="15">
        <f>INDEX(X_Table_Swine_Stage2MMS_From_DeepLitter_Destinations,2,3)</f>
        <v>0.25</v>
      </c>
      <c r="G234" s="16"/>
    </row>
    <row r="235" spans="4:7" ht="20.100000000000001" customHeight="1" x14ac:dyDescent="0.2">
      <c r="D235" s="111"/>
      <c r="E235" s="111" t="str">
        <f>INDEX(X_Table_Swine_Stage2MMS_From_DeepLitter,3,1)</f>
        <v>Digester / covered lagoons</v>
      </c>
      <c r="F235" s="15">
        <f>INDEX(X_Table_Swine_Stage2MMS_From_DeepLitter_Destinations,3,3)</f>
        <v>0.25</v>
      </c>
      <c r="G235" s="16"/>
    </row>
    <row r="236" spans="4:7" ht="20.100000000000001" customHeight="1" x14ac:dyDescent="0.2">
      <c r="D236" s="111"/>
      <c r="E236" s="111" t="str">
        <f>INDEX(X_Table_Swine_Stage2MMS_From_DeepLitter,4,1)</f>
        <v>Pit storage</v>
      </c>
      <c r="F236" s="15">
        <f>INDEX(X_Table_Swine_Stage2MMS_From_DeepLitter_Destinations,4,3)</f>
        <v>0.25</v>
      </c>
      <c r="G236" s="16"/>
    </row>
    <row r="237" spans="4:7" ht="20.100000000000001" customHeight="1" x14ac:dyDescent="0.2">
      <c r="D237" s="111"/>
      <c r="E237" s="111" t="str">
        <f>INDEX(X_Table_Swine_Stage2MMS_From_DeepLitter,5,1)</f>
        <v>Direct application</v>
      </c>
      <c r="F237" s="15">
        <f>INDEX(X_Table_Swine_Stage2MMS_From_DeepLitter_Destinations,5,3)</f>
        <v>0</v>
      </c>
      <c r="G237" s="16"/>
    </row>
    <row r="238" spans="4:7" ht="20.100000000000001" customHeight="1" x14ac:dyDescent="0.2">
      <c r="D238" s="111" t="str">
        <f>INDEX(X_Table_Swine_Stage1MMS_PitStorage,2,1)</f>
        <v>Pit storage</v>
      </c>
      <c r="E238" s="111" t="str">
        <f>INDEX(X_Table_Swine_Stage2MMS_From_PitStorage,2,1)</f>
        <v>Anaerobic lagoon</v>
      </c>
      <c r="F238" s="15">
        <f>INDEX(X_Table_Swine_Stage2MMS_From_PitStorage_Destinations,2,3)</f>
        <v>0.25</v>
      </c>
      <c r="G238" s="16"/>
    </row>
    <row r="239" spans="4:7" ht="20.100000000000001" customHeight="1" x14ac:dyDescent="0.2">
      <c r="D239" s="111"/>
      <c r="E239" s="111" t="str">
        <f>INDEX(X_Table_Swine_Stage2MMS_From_PitStorage,3,1)</f>
        <v>Digester / covered lagoons</v>
      </c>
      <c r="F239" s="15">
        <f>INDEX(X_Table_Swine_Stage2MMS_From_PitStorage_Destinations,3,3)</f>
        <v>0.25</v>
      </c>
      <c r="G239" s="16"/>
    </row>
    <row r="240" spans="4:7" ht="20.100000000000001" customHeight="1" x14ac:dyDescent="0.2">
      <c r="D240" s="111"/>
      <c r="E240" s="111" t="str">
        <f>INDEX(X_Table_Swine_Stage2MMS_From_PitStorage,4,1)</f>
        <v>Deep litter</v>
      </c>
      <c r="F240" s="15">
        <f>INDEX(X_Table_Swine_Stage2MMS_From_PitStorage_Destinations,4,3)</f>
        <v>0.25</v>
      </c>
      <c r="G240" s="16"/>
    </row>
    <row r="241" spans="1:20" ht="20.100000000000001" customHeight="1" x14ac:dyDescent="0.2">
      <c r="D241" s="111"/>
      <c r="E241" s="111" t="str">
        <f>INDEX(X_Table_Swine_Stage2MMS_From_PitStorage,5,1)</f>
        <v>Direct application</v>
      </c>
      <c r="F241" s="15">
        <f>INDEX(X_Table_Swine_Stage2MMS_From_PitStorage_Destinations,5,3)</f>
        <v>0</v>
      </c>
      <c r="G241" s="16"/>
    </row>
    <row r="242" spans="1:20" ht="20.100000000000001" customHeight="1" x14ac:dyDescent="0.2">
      <c r="D242" s="111" t="s">
        <v>75</v>
      </c>
      <c r="E242" s="111" t="str">
        <f>INDEX(X_Table_Swine_Stage2MMS_From_SolidStorage,2,1)</f>
        <v>Anaerobic lagoon</v>
      </c>
      <c r="F242" s="15">
        <f>INDEX(X_Table_Swine_Stage2MMS_From_SolidStorage_Destinations,2,3)</f>
        <v>0.25</v>
      </c>
      <c r="G242" s="16"/>
    </row>
    <row r="243" spans="1:20" ht="20.100000000000001" customHeight="1" x14ac:dyDescent="0.2">
      <c r="D243" s="111"/>
      <c r="E243" s="111" t="str">
        <f>INDEX(X_Table_Swine_Stage2MMS_From_SolidStorage,3,1)</f>
        <v>Digester / covered lagoons</v>
      </c>
      <c r="F243" s="15">
        <f>INDEX(X_Table_Swine_Stage2MMS_From_SolidStorage_Destinations,3,3)</f>
        <v>0.25</v>
      </c>
      <c r="G243" s="16"/>
    </row>
    <row r="244" spans="1:20" ht="20.100000000000001" customHeight="1" x14ac:dyDescent="0.2">
      <c r="D244" s="111"/>
      <c r="E244" s="111" t="str">
        <f>INDEX(X_Table_Swine_Stage2MMS_From_SolidStorage,4,1)</f>
        <v>Deep litter</v>
      </c>
      <c r="F244" s="15">
        <f>INDEX(X_Table_Swine_Stage2MMS_From_SolidStorage_Destinations,4,3)</f>
        <v>0.25</v>
      </c>
      <c r="G244" s="16"/>
    </row>
    <row r="245" spans="1:20" ht="20.100000000000001" customHeight="1" x14ac:dyDescent="0.2">
      <c r="D245" s="111"/>
      <c r="E245" s="111" t="str">
        <f>INDEX(X_Table_Swine_Stage2MMS_From_SolidStorage,5,1)</f>
        <v>Pit storage</v>
      </c>
      <c r="F245" s="15">
        <f>INDEX(X_Table_Swine_Stage2MMS_From_SolidStorage_Destinations,5,3)</f>
        <v>0.25</v>
      </c>
      <c r="G245" s="16"/>
    </row>
    <row r="246" spans="1:20" ht="20.100000000000001" customHeight="1" x14ac:dyDescent="0.2">
      <c r="D246" s="111"/>
      <c r="E246" s="111" t="str">
        <f>INDEX(X_Table_Swine_Stage2MMS_From_SolidStorage,6,1)</f>
        <v>Direct application</v>
      </c>
      <c r="F246" s="15">
        <f>INDEX(X_Table_Swine_Stage2MMS_From_SolidStorage_Destinations,6,3)</f>
        <v>0</v>
      </c>
      <c r="G246" s="16"/>
    </row>
    <row r="247" spans="1:20" ht="20.100000000000001" customHeight="1" x14ac:dyDescent="0.2">
      <c r="A247" s="131" t="str">
        <f>HYPERLINK("#A1", "▲ Back to top")</f>
        <v>▲ Back to top</v>
      </c>
    </row>
    <row r="248" spans="1:20" ht="20.100000000000001" customHeight="1" x14ac:dyDescent="0.2">
      <c r="D248" s="117" t="s">
        <v>468</v>
      </c>
      <c r="N248" s="117" t="s">
        <v>469</v>
      </c>
    </row>
    <row r="249" spans="1:20" ht="20.100000000000001" customHeight="1" x14ac:dyDescent="0.2">
      <c r="D249" s="118" t="s">
        <v>470</v>
      </c>
      <c r="N249" s="118" t="s">
        <v>471</v>
      </c>
    </row>
    <row r="250" spans="1:20" ht="20.100000000000001" customHeight="1" x14ac:dyDescent="0.2">
      <c r="D250" s="119" t="s">
        <v>325</v>
      </c>
      <c r="E250" s="119" t="s">
        <v>354</v>
      </c>
      <c r="F250" s="119" t="s">
        <v>290</v>
      </c>
      <c r="G250" s="119" t="s">
        <v>291</v>
      </c>
      <c r="H250" s="119" t="s">
        <v>265</v>
      </c>
      <c r="I250" s="119" t="s">
        <v>292</v>
      </c>
      <c r="N250" s="119" t="s">
        <v>325</v>
      </c>
      <c r="O250" s="119" t="s">
        <v>354</v>
      </c>
      <c r="P250" s="119" t="s">
        <v>290</v>
      </c>
      <c r="Q250" s="119" t="s">
        <v>291</v>
      </c>
      <c r="R250" s="119" t="s">
        <v>265</v>
      </c>
      <c r="S250" s="119" t="s">
        <v>292</v>
      </c>
    </row>
    <row r="251" spans="1:20" ht="20.100000000000001" customHeight="1" x14ac:dyDescent="0.2">
      <c r="D251" s="111" t="str">
        <f>INDEX(X_Table_Swine_Stage1MMS_AnaerobicLagoon,2,1)</f>
        <v>Anaerobic lagoon</v>
      </c>
      <c r="E251" s="111" t="str">
        <f>INDEX(X_Table_Swine_Stage2MMS_From_AnaerobicLagoon,2,1)</f>
        <v>Digester / covered lagoons</v>
      </c>
      <c r="F251" s="15" cm="1">
        <f t="array" aca="1" ref="F251" ca="1">MMS_Swine_ManureAppliedToSoils_Equations.VEERG_4_5_1_9__1_MassOfNitrogenAppliedToSoilsScope1(F22,_xlfn.XLOOKUP($E251,$D$123:$D$129,$E$123:$E$129), _xlfn.XLOOKUP($E251,$D$112:$D$118,$E$112:$E$118),F52,$F221)</f>
        <v>4.5332999999999988</v>
      </c>
      <c r="G251" s="15" cm="1">
        <f t="array" aca="1" ref="G251" ca="1">MMS_Swine_ManureAppliedToSoils_Equations.VEERG_4_5_1_9__1_MassOfNitrogenAppliedToSoilsScope1(G22,_xlfn.XLOOKUP($E251,$D$123:$D$129,$E$123:$E$129), _xlfn.XLOOKUP($E251,$D$112:$D$118,$E$112:$E$118),G52,$F221)</f>
        <v>6.0361875000000005</v>
      </c>
      <c r="H251" s="15" cm="1">
        <f t="array" aca="1" ref="H251" ca="1">MMS_Swine_ManureAppliedToSoils_Equations.VEERG_4_5_1_9__1_MassOfNitrogenAppliedToSoilsScope1(H22,_xlfn.XLOOKUP($E251,$D$123:$D$129,$E$123:$E$129), _xlfn.XLOOKUP($E251,$D$112:$D$118,$E$112:$E$118),H52,$F221)</f>
        <v>5.666624999999998</v>
      </c>
      <c r="I251" s="15" cm="1">
        <f t="array" aca="1" ref="I251" ca="1">MMS_Swine_ManureAppliedToSoils_Equations.VEERG_4_5_1_9__1_MassOfNitrogenAppliedToSoilsScope1(I22,_xlfn.XLOOKUP($E251,$D$123:$D$129,$E$123:$E$129), _xlfn.XLOOKUP($E251,$D$112:$D$118,$E$112:$E$118),I52,$F221)</f>
        <v>3.8434499999999989</v>
      </c>
      <c r="J251" s="16" t="str">
        <f t="shared" ref="J251" si="1">$E$11</f>
        <v>kg N</v>
      </c>
      <c r="N251" s="111" t="str">
        <f>INDEX(X_Table_Swine_Stage1MMS_AnaerobicLagoon,2,1)</f>
        <v>Anaerobic lagoon</v>
      </c>
      <c r="O251" s="111" t="str">
        <f>INDEX(X_Table_Swine_Stage2MMS_From_AnaerobicLagoon,2,1)</f>
        <v>Digester / covered lagoons</v>
      </c>
      <c r="P251" s="15" cm="1">
        <f t="array" aca="1" ref="P251" ca="1">MMS_Swine_ManureAppliedToSoils_Equations.VEERG_4_5_1_9__1_MassOfNitrogenAppliedToSoilsScope1(P22,_xlfn.XLOOKUP($E251,$D$123:$D$129,$E$123:$E$129), _xlfn.XLOOKUP($E251,$D$112:$D$118,$E$112:$E$118),P52,$F221)</f>
        <v>4.5332999999999988</v>
      </c>
      <c r="Q251" s="15" cm="1">
        <f t="array" aca="1" ref="Q251" ca="1">MMS_Swine_ManureAppliedToSoils_Equations.VEERG_4_5_1_9__1_MassOfNitrogenAppliedToSoilsScope1(Q22,_xlfn.XLOOKUP($E251,$D$123:$D$129,$E$123:$E$129), _xlfn.XLOOKUP($E251,$D$112:$D$118,$E$112:$E$118),Q52,$F221)</f>
        <v>6.0361875000000005</v>
      </c>
      <c r="R251" s="15" cm="1">
        <f t="array" aca="1" ref="R251" ca="1">MMS_Swine_ManureAppliedToSoils_Equations.VEERG_4_5_1_9__1_MassOfNitrogenAppliedToSoilsScope1(R22,_xlfn.XLOOKUP($E251,$D$123:$D$129,$E$123:$E$129), _xlfn.XLOOKUP($E251,$D$112:$D$118,$E$112:$E$118),R52,$F221)</f>
        <v>5.666624999999998</v>
      </c>
      <c r="S251" s="15" cm="1">
        <f t="array" aca="1" ref="S251" ca="1">MMS_Swine_ManureAppliedToSoils_Equations.VEERG_4_5_1_9__1_MassOfNitrogenAppliedToSoilsScope1(S22,_xlfn.XLOOKUP($E251,$D$123:$D$129,$E$123:$E$129), _xlfn.XLOOKUP($E251,$D$112:$D$118,$E$112:$E$118),S52,$F221)</f>
        <v>3.8434499999999989</v>
      </c>
      <c r="T251" s="16" t="str">
        <f>$E$11</f>
        <v>kg N</v>
      </c>
    </row>
    <row r="252" spans="1:20" ht="20.100000000000001" customHeight="1" x14ac:dyDescent="0.2">
      <c r="D252" s="111"/>
      <c r="E252" s="111" t="str">
        <f>INDEX(X_Table_Swine_Stage2MMS_From_AnaerobicLagoon,3,1)</f>
        <v>Deep litter</v>
      </c>
      <c r="F252" s="15" cm="1">
        <f t="array" aca="1" ref="F252" ca="1">MMS_Swine_ManureAppliedToSoils_Equations.VEERG_4_5_1_9__1_MassOfNitrogenAppliedToSoilsScope1(F23,_xlfn.XLOOKUP($E252,$D$123:$D$129,$E$123:$E$129), _xlfn.XLOOKUP($E252,$D$112:$D$118,$E$112:$E$118),F53,$F222)</f>
        <v>3.9213044999999989</v>
      </c>
      <c r="G252" s="15" cm="1">
        <f t="array" aca="1" ref="G252" ca="1">MMS_Swine_ManureAppliedToSoils_Equations.VEERG_4_5_1_9__1_MassOfNitrogenAppliedToSoilsScope1(G23,_xlfn.XLOOKUP($E252,$D$123:$D$129,$E$123:$E$129), _xlfn.XLOOKUP($E252,$D$112:$D$118,$E$112:$E$118),G53,$F222)</f>
        <v>5.2213021875000001</v>
      </c>
      <c r="H252" s="15" cm="1">
        <f t="array" aca="1" ref="H252" ca="1">MMS_Swine_ManureAppliedToSoils_Equations.VEERG_4_5_1_9__1_MassOfNitrogenAppliedToSoilsScope1(H23,_xlfn.XLOOKUP($E252,$D$123:$D$129,$E$123:$E$129), _xlfn.XLOOKUP($E252,$D$112:$D$118,$E$112:$E$118),H53,$F222)</f>
        <v>4.9016306249999984</v>
      </c>
      <c r="I252" s="15" cm="1">
        <f t="array" aca="1" ref="I252" ca="1">MMS_Swine_ManureAppliedToSoils_Equations.VEERG_4_5_1_9__1_MassOfNitrogenAppliedToSoilsScope1(I23,_xlfn.XLOOKUP($E252,$D$123:$D$129,$E$123:$E$129), _xlfn.XLOOKUP($E252,$D$112:$D$118,$E$112:$E$118),I53,$F222)</f>
        <v>3.3245842499999991</v>
      </c>
      <c r="J252" s="16"/>
      <c r="N252" s="111"/>
      <c r="O252" s="111" t="str">
        <f>INDEX(X_Table_Swine_Stage2MMS_From_AnaerobicLagoon,3,1)</f>
        <v>Deep litter</v>
      </c>
      <c r="P252" s="15" cm="1">
        <f t="array" aca="1" ref="P252" ca="1">MMS_Swine_ManureAppliedToSoils_Equations.VEERG_4_5_1_9__1_MassOfNitrogenAppliedToSoilsScope1(P23,_xlfn.XLOOKUP($E252,$D$123:$D$129,$E$123:$E$129), _xlfn.XLOOKUP($E252,$D$112:$D$118,$E$112:$E$118),P53,$F222)</f>
        <v>3.9213044999999989</v>
      </c>
      <c r="Q252" s="15" cm="1">
        <f t="array" aca="1" ref="Q252" ca="1">MMS_Swine_ManureAppliedToSoils_Equations.VEERG_4_5_1_9__1_MassOfNitrogenAppliedToSoilsScope1(Q23,_xlfn.XLOOKUP($E252,$D$123:$D$129,$E$123:$E$129), _xlfn.XLOOKUP($E252,$D$112:$D$118,$E$112:$E$118),Q53,$F222)</f>
        <v>5.2213021875000001</v>
      </c>
      <c r="R252" s="15" cm="1">
        <f t="array" aca="1" ref="R252" ca="1">MMS_Swine_ManureAppliedToSoils_Equations.VEERG_4_5_1_9__1_MassOfNitrogenAppliedToSoilsScope1(R23,_xlfn.XLOOKUP($E252,$D$123:$D$129,$E$123:$E$129), _xlfn.XLOOKUP($E252,$D$112:$D$118,$E$112:$E$118),R53,$F222)</f>
        <v>4.9016306249999984</v>
      </c>
      <c r="S252" s="15" cm="1">
        <f t="array" aca="1" ref="S252" ca="1">MMS_Swine_ManureAppliedToSoils_Equations.VEERG_4_5_1_9__1_MassOfNitrogenAppliedToSoilsScope1(S23,_xlfn.XLOOKUP($E252,$D$123:$D$129,$E$123:$E$129), _xlfn.XLOOKUP($E252,$D$112:$D$118,$E$112:$E$118),S53,$F222)</f>
        <v>3.3245842499999991</v>
      </c>
      <c r="T252" s="16"/>
    </row>
    <row r="253" spans="1:20" ht="20.100000000000001" customHeight="1" x14ac:dyDescent="0.2">
      <c r="D253" s="111"/>
      <c r="E253" s="111" t="str">
        <f>INDEX(X_Table_Swine_Stage2MMS_From_AnaerobicLagoon,4,1)</f>
        <v>Pit storage</v>
      </c>
      <c r="F253" s="15" cm="1">
        <f t="array" aca="1" ref="F253" ca="1">MMS_Swine_ManureAppliedToSoils_Equations.VEERG_4_5_1_9__1_MassOfNitrogenAppliedToSoilsScope1(F24,_xlfn.XLOOKUP($E253,$D$123:$D$129,$E$123:$E$129), _xlfn.XLOOKUP($E253,$D$112:$D$118,$E$112:$E$118),F54,$F223)</f>
        <v>3.3909083999999989</v>
      </c>
      <c r="G253" s="15" cm="1">
        <f t="array" aca="1" ref="G253" ca="1">MMS_Swine_ManureAppliedToSoils_Equations.VEERG_4_5_1_9__1_MassOfNitrogenAppliedToSoilsScope1(G24,_xlfn.XLOOKUP($E253,$D$123:$D$129,$E$123:$E$129), _xlfn.XLOOKUP($E253,$D$112:$D$118,$E$112:$E$118),G54,$F223)</f>
        <v>4.5150682500000006</v>
      </c>
      <c r="H253" s="15" cm="1">
        <f t="array" aca="1" ref="H253" ca="1">MMS_Swine_ManureAppliedToSoils_Equations.VEERG_4_5_1_9__1_MassOfNitrogenAppliedToSoilsScope1(H24,_xlfn.XLOOKUP($E253,$D$123:$D$129,$E$123:$E$129), _xlfn.XLOOKUP($E253,$D$112:$D$118,$E$112:$E$118),H54,$F223)</f>
        <v>4.2386354999999982</v>
      </c>
      <c r="I253" s="15" cm="1">
        <f t="array" aca="1" ref="I253" ca="1">MMS_Swine_ManureAppliedToSoils_Equations.VEERG_4_5_1_9__1_MassOfNitrogenAppliedToSoilsScope1(I24,_xlfn.XLOOKUP($E253,$D$123:$D$129,$E$123:$E$129), _xlfn.XLOOKUP($E253,$D$112:$D$118,$E$112:$E$118),I54,$F223)</f>
        <v>2.8749005999999993</v>
      </c>
      <c r="J253" s="16"/>
      <c r="N253" s="111"/>
      <c r="O253" s="111" t="str">
        <f>INDEX(X_Table_Swine_Stage2MMS_From_AnaerobicLagoon,4,1)</f>
        <v>Pit storage</v>
      </c>
      <c r="P253" s="15" cm="1">
        <f t="array" aca="1" ref="P253" ca="1">MMS_Swine_ManureAppliedToSoils_Equations.VEERG_4_5_1_9__1_MassOfNitrogenAppliedToSoilsScope1(P24,_xlfn.XLOOKUP($E253,$D$123:$D$129,$E$123:$E$129), _xlfn.XLOOKUP($E253,$D$112:$D$118,$E$112:$E$118),P54,$F223)</f>
        <v>3.3909083999999989</v>
      </c>
      <c r="Q253" s="15" cm="1">
        <f t="array" aca="1" ref="Q253" ca="1">MMS_Swine_ManureAppliedToSoils_Equations.VEERG_4_5_1_9__1_MassOfNitrogenAppliedToSoilsScope1(Q24,_xlfn.XLOOKUP($E253,$D$123:$D$129,$E$123:$E$129), _xlfn.XLOOKUP($E253,$D$112:$D$118,$E$112:$E$118),Q54,$F223)</f>
        <v>4.5150682500000006</v>
      </c>
      <c r="R253" s="15" cm="1">
        <f t="array" aca="1" ref="R253" ca="1">MMS_Swine_ManureAppliedToSoils_Equations.VEERG_4_5_1_9__1_MassOfNitrogenAppliedToSoilsScope1(R24,_xlfn.XLOOKUP($E253,$D$123:$D$129,$E$123:$E$129), _xlfn.XLOOKUP($E253,$D$112:$D$118,$E$112:$E$118),R54,$F223)</f>
        <v>4.2386354999999982</v>
      </c>
      <c r="S253" s="15" cm="1">
        <f t="array" aca="1" ref="S253" ca="1">MMS_Swine_ManureAppliedToSoils_Equations.VEERG_4_5_1_9__1_MassOfNitrogenAppliedToSoilsScope1(S24,_xlfn.XLOOKUP($E253,$D$123:$D$129,$E$123:$E$129), _xlfn.XLOOKUP($E253,$D$112:$D$118,$E$112:$E$118),S54,$F223)</f>
        <v>2.8749005999999993</v>
      </c>
      <c r="T253" s="16"/>
    </row>
    <row r="254" spans="1:20" ht="20.100000000000001" customHeight="1" x14ac:dyDescent="0.2">
      <c r="D254" s="111"/>
      <c r="E254" s="111" t="str">
        <f>INDEX(X_Table_Swine_Stage2MMS_From_AnaerobicLagoon,5,1)</f>
        <v>Direct application</v>
      </c>
      <c r="F254" s="15" cm="1">
        <f t="array" aca="1" ref="F254" ca="1">MMS_Swine_ManureAppliedToSoils_Equations.VEERG_4_5_1_9__1_MassOfNitrogenAppliedToSoilsScope1(F25,_xlfn.XLOOKUP($E254,$D$123:$D$129,$E$123:$E$129), _xlfn.XLOOKUP($E254,$D$112:$D$118,$E$112:$E$118),F55,$F224)</f>
        <v>0</v>
      </c>
      <c r="G254" s="15" cm="1">
        <f t="array" aca="1" ref="G254" ca="1">MMS_Swine_ManureAppliedToSoils_Equations.VEERG_4_5_1_9__1_MassOfNitrogenAppliedToSoilsScope1(G25,_xlfn.XLOOKUP($E254,$D$123:$D$129,$E$123:$E$129), _xlfn.XLOOKUP($E254,$D$112:$D$118,$E$112:$E$118),G55,$F224)</f>
        <v>0</v>
      </c>
      <c r="H254" s="15" cm="1">
        <f t="array" aca="1" ref="H254" ca="1">MMS_Swine_ManureAppliedToSoils_Equations.VEERG_4_5_1_9__1_MassOfNitrogenAppliedToSoilsScope1(H25,_xlfn.XLOOKUP($E254,$D$123:$D$129,$E$123:$E$129), _xlfn.XLOOKUP($E254,$D$112:$D$118,$E$112:$E$118),H55,$F224)</f>
        <v>0</v>
      </c>
      <c r="I254" s="15" cm="1">
        <f t="array" aca="1" ref="I254" ca="1">MMS_Swine_ManureAppliedToSoils_Equations.VEERG_4_5_1_9__1_MassOfNitrogenAppliedToSoilsScope1(I25,_xlfn.XLOOKUP($E254,$D$123:$D$129,$E$123:$E$129), _xlfn.XLOOKUP($E254,$D$112:$D$118,$E$112:$E$118),I55,$F224)</f>
        <v>0</v>
      </c>
      <c r="J254" s="16"/>
      <c r="N254" s="111"/>
      <c r="O254" s="111" t="str">
        <f>INDEX(X_Table_Swine_Stage2MMS_From_AnaerobicLagoon,5,1)</f>
        <v>Direct application</v>
      </c>
      <c r="P254" s="15" cm="1">
        <f t="array" aca="1" ref="P254" ca="1">MMS_Swine_ManureAppliedToSoils_Equations.VEERG_4_5_1_9__1_MassOfNitrogenAppliedToSoilsScope1(P25,_xlfn.XLOOKUP($E254,$D$123:$D$129,$E$123:$E$129), _xlfn.XLOOKUP($E254,$D$112:$D$118,$E$112:$E$118),P55,$F224)</f>
        <v>0</v>
      </c>
      <c r="Q254" s="15" cm="1">
        <f t="array" aca="1" ref="Q254" ca="1">MMS_Swine_ManureAppliedToSoils_Equations.VEERG_4_5_1_9__1_MassOfNitrogenAppliedToSoilsScope1(Q25,_xlfn.XLOOKUP($E254,$D$123:$D$129,$E$123:$E$129), _xlfn.XLOOKUP($E254,$D$112:$D$118,$E$112:$E$118),Q55,$F224)</f>
        <v>0</v>
      </c>
      <c r="R254" s="15" cm="1">
        <f t="array" aca="1" ref="R254" ca="1">MMS_Swine_ManureAppliedToSoils_Equations.VEERG_4_5_1_9__1_MassOfNitrogenAppliedToSoilsScope1(R25,_xlfn.XLOOKUP($E254,$D$123:$D$129,$E$123:$E$129), _xlfn.XLOOKUP($E254,$D$112:$D$118,$E$112:$E$118),R55,$F224)</f>
        <v>0</v>
      </c>
      <c r="S254" s="15" cm="1">
        <f t="array" aca="1" ref="S254" ca="1">MMS_Swine_ManureAppliedToSoils_Equations.VEERG_4_5_1_9__1_MassOfNitrogenAppliedToSoilsScope1(S25,_xlfn.XLOOKUP($E254,$D$123:$D$129,$E$123:$E$129), _xlfn.XLOOKUP($E254,$D$112:$D$118,$E$112:$E$118),S55,$F224)</f>
        <v>0</v>
      </c>
      <c r="T254" s="16"/>
    </row>
    <row r="255" spans="1:20" ht="20.100000000000001" customHeight="1" x14ac:dyDescent="0.2">
      <c r="D255" s="111" t="str">
        <f>INDEX(X_Table_Swine_Stage1MMS_Drylot,2,1)</f>
        <v>Drylot (feed pad)</v>
      </c>
      <c r="E255" s="111" t="str">
        <f>INDEX(X_Table_Swine_Stage2MMS_From_Drylot,2,1)</f>
        <v>Anaerobic lagoon</v>
      </c>
      <c r="F255" s="15" cm="1">
        <f t="array" aca="1" ref="F255" ca="1">MMS_Swine_ManureAppliedToSoils_Equations.VEERG_4_5_1_9__1_MassOfNitrogenAppliedToSoilsScope1(F26,_xlfn.XLOOKUP($E255,$D$123:$D$129,$E$123:$E$129), _xlfn.XLOOKUP($E255,$D$112:$D$118,$E$112:$E$118),F56,$F225)</f>
        <v>2.0752439999999988</v>
      </c>
      <c r="G255" s="15" cm="1">
        <f t="array" aca="1" ref="G255" ca="1">MMS_Swine_ManureAppliedToSoils_Equations.VEERG_4_5_1_9__1_MassOfNitrogenAppliedToSoilsScope1(G26,_xlfn.XLOOKUP($E255,$D$123:$D$129,$E$123:$E$129), _xlfn.XLOOKUP($E255,$D$112:$D$118,$E$112:$E$118),G56,$F225)</f>
        <v>3.0315075</v>
      </c>
      <c r="H255" s="15" cm="1">
        <f t="array" aca="1" ref="H255" ca="1">MMS_Swine_ManureAppliedToSoils_Equations.VEERG_4_5_1_9__1_MassOfNitrogenAppliedToSoilsScope1(H26,_xlfn.XLOOKUP($E255,$D$123:$D$129,$E$123:$E$129), _xlfn.XLOOKUP($E255,$D$112:$D$118,$E$112:$E$118),H56,$F225)</f>
        <v>2.8459049999999984</v>
      </c>
      <c r="I255" s="15" cm="1">
        <f t="array" aca="1" ref="I255" ca="1">MMS_Swine_ManureAppliedToSoils_Equations.VEERG_4_5_1_9__1_MassOfNitrogenAppliedToSoilsScope1(I26,_xlfn.XLOOKUP($E255,$D$123:$D$129,$E$123:$E$129), _xlfn.XLOOKUP($E255,$D$112:$D$118,$E$112:$E$118),I56,$F225)</f>
        <v>1.9302659999999991</v>
      </c>
      <c r="J255" s="16"/>
      <c r="N255" s="111" t="str">
        <f>INDEX(X_Table_Swine_Stage1MMS_Drylot,2,1)</f>
        <v>Drylot (feed pad)</v>
      </c>
      <c r="O255" s="111" t="str">
        <f>INDEX(X_Table_Swine_Stage2MMS_From_Drylot,2,1)</f>
        <v>Anaerobic lagoon</v>
      </c>
      <c r="P255" s="15" cm="1">
        <f t="array" aca="1" ref="P255" ca="1">MMS_Swine_ManureAppliedToSoils_Equations.VEERG_4_5_1_9__1_MassOfNitrogenAppliedToSoilsScope1(P26,_xlfn.XLOOKUP($E255,$D$123:$D$129,$E$123:$E$129), _xlfn.XLOOKUP($E255,$D$112:$D$118,$E$112:$E$118),P56,$F225)</f>
        <v>2.0752439999999988</v>
      </c>
      <c r="Q255" s="15" cm="1">
        <f t="array" aca="1" ref="Q255" ca="1">MMS_Swine_ManureAppliedToSoils_Equations.VEERG_4_5_1_9__1_MassOfNitrogenAppliedToSoilsScope1(Q26,_xlfn.XLOOKUP($E255,$D$123:$D$129,$E$123:$E$129), _xlfn.XLOOKUP($E255,$D$112:$D$118,$E$112:$E$118),Q56,$F225)</f>
        <v>3.0315075</v>
      </c>
      <c r="R255" s="15" cm="1">
        <f t="array" aca="1" ref="R255" ca="1">MMS_Swine_ManureAppliedToSoils_Equations.VEERG_4_5_1_9__1_MassOfNitrogenAppliedToSoilsScope1(R26,_xlfn.XLOOKUP($E255,$D$123:$D$129,$E$123:$E$129), _xlfn.XLOOKUP($E255,$D$112:$D$118,$E$112:$E$118),R56,$F225)</f>
        <v>2.8459049999999984</v>
      </c>
      <c r="S255" s="15" cm="1">
        <f t="array" aca="1" ref="S255" ca="1">MMS_Swine_ManureAppliedToSoils_Equations.VEERG_4_5_1_9__1_MassOfNitrogenAppliedToSoilsScope1(S26,_xlfn.XLOOKUP($E255,$D$123:$D$129,$E$123:$E$129), _xlfn.XLOOKUP($E255,$D$112:$D$118,$E$112:$E$118),S56,$F225)</f>
        <v>1.9302659999999991</v>
      </c>
      <c r="T255" s="16"/>
    </row>
    <row r="256" spans="1:20" ht="20.100000000000001" customHeight="1" x14ac:dyDescent="0.2">
      <c r="D256" s="111"/>
      <c r="E256" s="111" t="str">
        <f>INDEX(X_Table_Swine_Stage2MMS_From_Drylot,3,1)</f>
        <v>Digester / covered lagoons</v>
      </c>
      <c r="F256" s="15" cm="1">
        <f t="array" aca="1" ref="F256" ca="1">MMS_Swine_ManureAppliedToSoils_Equations.VEERG_4_5_1_9__1_MassOfNitrogenAppliedToSoilsScope1(F27,_xlfn.XLOOKUP($E256,$D$123:$D$129,$E$123:$E$129), _xlfn.XLOOKUP($E256,$D$112:$D$118,$E$112:$E$118),F57,$F226)</f>
        <v>5.8429199999999986</v>
      </c>
      <c r="G256" s="15" cm="1">
        <f t="array" aca="1" ref="G256" ca="1">MMS_Swine_ManureAppliedToSoils_Equations.VEERG_4_5_1_9__1_MassOfNitrogenAppliedToSoilsScope1(G27,_xlfn.XLOOKUP($E256,$D$123:$D$129,$E$123:$E$129), _xlfn.XLOOKUP($E256,$D$112:$D$118,$E$112:$E$118),G57,$F226)</f>
        <v>8.0482500000000012</v>
      </c>
      <c r="H256" s="15" cm="1">
        <f t="array" aca="1" ref="H256" ca="1">MMS_Swine_ManureAppliedToSoils_Equations.VEERG_4_5_1_9__1_MassOfNitrogenAppliedToSoilsScope1(H27,_xlfn.XLOOKUP($E256,$D$123:$D$129,$E$123:$E$129), _xlfn.XLOOKUP($E256,$D$112:$D$118,$E$112:$E$118),H57,$F226)</f>
        <v>7.5554999999999977</v>
      </c>
      <c r="I256" s="15" cm="1">
        <f t="array" aca="1" ref="I256" ca="1">MMS_Swine_ManureAppliedToSoils_Equations.VEERG_4_5_1_9__1_MassOfNitrogenAppliedToSoilsScope1(I27,_xlfn.XLOOKUP($E256,$D$123:$D$129,$E$123:$E$129), _xlfn.XLOOKUP($E256,$D$112:$D$118,$E$112:$E$118),I57,$F226)</f>
        <v>5.1245999999999983</v>
      </c>
      <c r="J256" s="16"/>
      <c r="N256" s="111"/>
      <c r="O256" s="111" t="str">
        <f>INDEX(X_Table_Swine_Stage2MMS_From_Drylot,3,1)</f>
        <v>Digester / covered lagoons</v>
      </c>
      <c r="P256" s="15" cm="1">
        <f t="array" aca="1" ref="P256" ca="1">MMS_Swine_ManureAppliedToSoils_Equations.VEERG_4_5_1_9__1_MassOfNitrogenAppliedToSoilsScope1(P27,_xlfn.XLOOKUP($E256,$D$123:$D$129,$E$123:$E$129), _xlfn.XLOOKUP($E256,$D$112:$D$118,$E$112:$E$118),P57,$F226)</f>
        <v>5.8429199999999986</v>
      </c>
      <c r="Q256" s="15" cm="1">
        <f t="array" aca="1" ref="Q256" ca="1">MMS_Swine_ManureAppliedToSoils_Equations.VEERG_4_5_1_9__1_MassOfNitrogenAppliedToSoilsScope1(Q27,_xlfn.XLOOKUP($E256,$D$123:$D$129,$E$123:$E$129), _xlfn.XLOOKUP($E256,$D$112:$D$118,$E$112:$E$118),Q57,$F226)</f>
        <v>8.0482500000000012</v>
      </c>
      <c r="R256" s="15" cm="1">
        <f t="array" aca="1" ref="R256" ca="1">MMS_Swine_ManureAppliedToSoils_Equations.VEERG_4_5_1_9__1_MassOfNitrogenAppliedToSoilsScope1(R27,_xlfn.XLOOKUP($E256,$D$123:$D$129,$E$123:$E$129), _xlfn.XLOOKUP($E256,$D$112:$D$118,$E$112:$E$118),R57,$F226)</f>
        <v>7.5554999999999977</v>
      </c>
      <c r="S256" s="15" cm="1">
        <f t="array" aca="1" ref="S256" ca="1">MMS_Swine_ManureAppliedToSoils_Equations.VEERG_4_5_1_9__1_MassOfNitrogenAppliedToSoilsScope1(S27,_xlfn.XLOOKUP($E256,$D$123:$D$129,$E$123:$E$129), _xlfn.XLOOKUP($E256,$D$112:$D$118,$E$112:$E$118),S57,$F226)</f>
        <v>5.1245999999999983</v>
      </c>
      <c r="T256" s="16"/>
    </row>
    <row r="257" spans="4:20" ht="20.100000000000001" customHeight="1" x14ac:dyDescent="0.2">
      <c r="D257" s="111"/>
      <c r="E257" s="111" t="str">
        <f>INDEX(X_Table_Swine_Stage2MMS_From_Drylot,4,1)</f>
        <v>Deep litter</v>
      </c>
      <c r="F257" s="15" cm="1">
        <f t="array" aca="1" ref="F257" ca="1">MMS_Swine_ManureAppliedToSoils_Equations.VEERG_4_5_1_9__1_MassOfNitrogenAppliedToSoilsScope1(F28,_xlfn.XLOOKUP($E257,$D$123:$D$129,$E$123:$E$129), _xlfn.XLOOKUP($E257,$D$112:$D$118,$E$112:$E$118),F58,$F227)</f>
        <v>4.9181267999999987</v>
      </c>
      <c r="G257" s="15" cm="1">
        <f t="array" aca="1" ref="G257" ca="1">MMS_Swine_ManureAppliedToSoils_Equations.VEERG_4_5_1_9__1_MassOfNitrogenAppliedToSoilsScope1(G28,_xlfn.XLOOKUP($E257,$D$123:$D$129,$E$123:$E$129), _xlfn.XLOOKUP($E257,$D$112:$D$118,$E$112:$E$118),G58,$F227)</f>
        <v>6.816867750000001</v>
      </c>
      <c r="H257" s="15" cm="1">
        <f t="array" aca="1" ref="H257" ca="1">MMS_Swine_ManureAppliedToSoils_Equations.VEERG_4_5_1_9__1_MassOfNitrogenAppliedToSoilsScope1(H28,_xlfn.XLOOKUP($E257,$D$123:$D$129,$E$123:$E$129), _xlfn.XLOOKUP($E257,$D$112:$D$118,$E$112:$E$118),H58,$F227)</f>
        <v>6.3995084999999978</v>
      </c>
      <c r="I257" s="15" cm="1">
        <f t="array" aca="1" ref="I257" ca="1">MMS_Swine_ManureAppliedToSoils_Equations.VEERG_4_5_1_9__1_MassOfNitrogenAppliedToSoilsScope1(I28,_xlfn.XLOOKUP($E257,$D$123:$D$129,$E$123:$E$129), _xlfn.XLOOKUP($E257,$D$112:$D$118,$E$112:$E$118),I58,$F227)</f>
        <v>4.3405361999999981</v>
      </c>
      <c r="J257" s="16"/>
      <c r="N257" s="111"/>
      <c r="O257" s="111" t="str">
        <f>INDEX(X_Table_Swine_Stage2MMS_From_Drylot,4,1)</f>
        <v>Deep litter</v>
      </c>
      <c r="P257" s="15" cm="1">
        <f t="array" aca="1" ref="P257" ca="1">MMS_Swine_ManureAppliedToSoils_Equations.VEERG_4_5_1_9__1_MassOfNitrogenAppliedToSoilsScope1(P28,_xlfn.XLOOKUP($E257,$D$123:$D$129,$E$123:$E$129), _xlfn.XLOOKUP($E257,$D$112:$D$118,$E$112:$E$118),P58,$F227)</f>
        <v>4.9181267999999987</v>
      </c>
      <c r="Q257" s="15" cm="1">
        <f t="array" aca="1" ref="Q257" ca="1">MMS_Swine_ManureAppliedToSoils_Equations.VEERG_4_5_1_9__1_MassOfNitrogenAppliedToSoilsScope1(Q28,_xlfn.XLOOKUP($E257,$D$123:$D$129,$E$123:$E$129), _xlfn.XLOOKUP($E257,$D$112:$D$118,$E$112:$E$118),Q58,$F227)</f>
        <v>6.816867750000001</v>
      </c>
      <c r="R257" s="15" cm="1">
        <f t="array" aca="1" ref="R257" ca="1">MMS_Swine_ManureAppliedToSoils_Equations.VEERG_4_5_1_9__1_MassOfNitrogenAppliedToSoilsScope1(R28,_xlfn.XLOOKUP($E257,$D$123:$D$129,$E$123:$E$129), _xlfn.XLOOKUP($E257,$D$112:$D$118,$E$112:$E$118),R58,$F227)</f>
        <v>6.3995084999999978</v>
      </c>
      <c r="S257" s="15" cm="1">
        <f t="array" aca="1" ref="S257" ca="1">MMS_Swine_ManureAppliedToSoils_Equations.VEERG_4_5_1_9__1_MassOfNitrogenAppliedToSoilsScope1(S28,_xlfn.XLOOKUP($E257,$D$123:$D$129,$E$123:$E$129), _xlfn.XLOOKUP($E257,$D$112:$D$118,$E$112:$E$118),S58,$F227)</f>
        <v>4.3405361999999981</v>
      </c>
      <c r="T257" s="16"/>
    </row>
    <row r="258" spans="4:20" ht="20.100000000000001" customHeight="1" x14ac:dyDescent="0.2">
      <c r="D258" s="111"/>
      <c r="E258" s="111" t="str">
        <f>INDEX(X_Table_Swine_Stage2MMS_From_Drylot,5,1)</f>
        <v>Pit storage</v>
      </c>
      <c r="F258" s="15" cm="1">
        <f t="array" aca="1" ref="F258" ca="1">MMS_Swine_ManureAppliedToSoils_Equations.VEERG_4_5_1_9__1_MassOfNitrogenAppliedToSoilsScope1(F29,_xlfn.XLOOKUP($E258,$D$123:$D$129,$E$123:$E$129), _xlfn.XLOOKUP($E258,$D$112:$D$118,$E$112:$E$118),F59,$F228)</f>
        <v>4.1166393599999989</v>
      </c>
      <c r="G258" s="15" cm="1">
        <f t="array" aca="1" ref="G258" ca="1">MMS_Swine_ManureAppliedToSoils_Equations.VEERG_4_5_1_9__1_MassOfNitrogenAppliedToSoilsScope1(G29,_xlfn.XLOOKUP($E258,$D$123:$D$129,$E$123:$E$129), _xlfn.XLOOKUP($E258,$D$112:$D$118,$E$112:$E$118),G59,$F228)</f>
        <v>5.7496698000000013</v>
      </c>
      <c r="H258" s="15" cm="1">
        <f t="array" aca="1" ref="H258" ca="1">MMS_Swine_ManureAppliedToSoils_Equations.VEERG_4_5_1_9__1_MassOfNitrogenAppliedToSoilsScope1(H29,_xlfn.XLOOKUP($E258,$D$123:$D$129,$E$123:$E$129), _xlfn.XLOOKUP($E258,$D$112:$D$118,$E$112:$E$118),H59,$F228)</f>
        <v>5.3976491999999983</v>
      </c>
      <c r="I258" s="15" cm="1">
        <f t="array" aca="1" ref="I258" ca="1">MMS_Swine_ManureAppliedToSoils_Equations.VEERG_4_5_1_9__1_MassOfNitrogenAppliedToSoilsScope1(I29,_xlfn.XLOOKUP($E258,$D$123:$D$129,$E$123:$E$129), _xlfn.XLOOKUP($E258,$D$112:$D$118,$E$112:$E$118),I59,$F228)</f>
        <v>3.6610142399999983</v>
      </c>
      <c r="J258" s="16"/>
      <c r="N258" s="111"/>
      <c r="O258" s="111" t="str">
        <f>INDEX(X_Table_Swine_Stage2MMS_From_Drylot,5,1)</f>
        <v>Pit storage</v>
      </c>
      <c r="P258" s="15" cm="1">
        <f t="array" aca="1" ref="P258" ca="1">MMS_Swine_ManureAppliedToSoils_Equations.VEERG_4_5_1_9__1_MassOfNitrogenAppliedToSoilsScope1(P29,_xlfn.XLOOKUP($E258,$D$123:$D$129,$E$123:$E$129), _xlfn.XLOOKUP($E258,$D$112:$D$118,$E$112:$E$118),P59,$F228)</f>
        <v>4.1166393599999989</v>
      </c>
      <c r="Q258" s="15" cm="1">
        <f t="array" aca="1" ref="Q258" ca="1">MMS_Swine_ManureAppliedToSoils_Equations.VEERG_4_5_1_9__1_MassOfNitrogenAppliedToSoilsScope1(Q29,_xlfn.XLOOKUP($E258,$D$123:$D$129,$E$123:$E$129), _xlfn.XLOOKUP($E258,$D$112:$D$118,$E$112:$E$118),Q59,$F228)</f>
        <v>5.7496698000000013</v>
      </c>
      <c r="R258" s="15" cm="1">
        <f t="array" aca="1" ref="R258" ca="1">MMS_Swine_ManureAppliedToSoils_Equations.VEERG_4_5_1_9__1_MassOfNitrogenAppliedToSoilsScope1(R29,_xlfn.XLOOKUP($E258,$D$123:$D$129,$E$123:$E$129), _xlfn.XLOOKUP($E258,$D$112:$D$118,$E$112:$E$118),R59,$F228)</f>
        <v>5.3976491999999983</v>
      </c>
      <c r="S258" s="15" cm="1">
        <f t="array" aca="1" ref="S258" ca="1">MMS_Swine_ManureAppliedToSoils_Equations.VEERG_4_5_1_9__1_MassOfNitrogenAppliedToSoilsScope1(S29,_xlfn.XLOOKUP($E258,$D$123:$D$129,$E$123:$E$129), _xlfn.XLOOKUP($E258,$D$112:$D$118,$E$112:$E$118),S59,$F228)</f>
        <v>3.6610142399999983</v>
      </c>
      <c r="T258" s="16"/>
    </row>
    <row r="259" spans="4:20" ht="20.100000000000001" customHeight="1" x14ac:dyDescent="0.2">
      <c r="D259" s="111"/>
      <c r="E259" s="111" t="str">
        <f>INDEX(X_Table_Swine_Stage2MMS_From_Drylot,6,1)</f>
        <v>Direct application</v>
      </c>
      <c r="F259" s="15" cm="1">
        <f t="array" aca="1" ref="F259" ca="1">MMS_Swine_ManureAppliedToSoils_Equations.VEERG_4_5_1_9__1_MassOfNitrogenAppliedToSoilsScope1(F30,_xlfn.XLOOKUP($E259,$D$123:$D$129,$E$123:$E$129), _xlfn.XLOOKUP($E259,$D$112:$D$118,$E$112:$E$118),F60,$F229)</f>
        <v>0</v>
      </c>
      <c r="G259" s="15" cm="1">
        <f t="array" aca="1" ref="G259" ca="1">MMS_Swine_ManureAppliedToSoils_Equations.VEERG_4_5_1_9__1_MassOfNitrogenAppliedToSoilsScope1(G30,_xlfn.XLOOKUP($E259,$D$123:$D$129,$E$123:$E$129), _xlfn.XLOOKUP($E259,$D$112:$D$118,$E$112:$E$118),G60,$F229)</f>
        <v>0</v>
      </c>
      <c r="H259" s="15" cm="1">
        <f t="array" aca="1" ref="H259" ca="1">MMS_Swine_ManureAppliedToSoils_Equations.VEERG_4_5_1_9__1_MassOfNitrogenAppliedToSoilsScope1(H30,_xlfn.XLOOKUP($E259,$D$123:$D$129,$E$123:$E$129), _xlfn.XLOOKUP($E259,$D$112:$D$118,$E$112:$E$118),H60,$F229)</f>
        <v>0</v>
      </c>
      <c r="I259" s="15" cm="1">
        <f t="array" aca="1" ref="I259" ca="1">MMS_Swine_ManureAppliedToSoils_Equations.VEERG_4_5_1_9__1_MassOfNitrogenAppliedToSoilsScope1(I30,_xlfn.XLOOKUP($E259,$D$123:$D$129,$E$123:$E$129), _xlfn.XLOOKUP($E259,$D$112:$D$118,$E$112:$E$118),I60,$F229)</f>
        <v>0</v>
      </c>
      <c r="J259" s="16"/>
      <c r="N259" s="111"/>
      <c r="O259" s="111" t="str">
        <f>INDEX(X_Table_Swine_Stage2MMS_From_Drylot,6,1)</f>
        <v>Direct application</v>
      </c>
      <c r="P259" s="15" cm="1">
        <f t="array" aca="1" ref="P259" ca="1">MMS_Swine_ManureAppliedToSoils_Equations.VEERG_4_5_1_9__1_MassOfNitrogenAppliedToSoilsScope1(P30,_xlfn.XLOOKUP($E259,$D$123:$D$129,$E$123:$E$129), _xlfn.XLOOKUP($E259,$D$112:$D$118,$E$112:$E$118),P60,$F229)</f>
        <v>0</v>
      </c>
      <c r="Q259" s="15" cm="1">
        <f t="array" aca="1" ref="Q259" ca="1">MMS_Swine_ManureAppliedToSoils_Equations.VEERG_4_5_1_9__1_MassOfNitrogenAppliedToSoilsScope1(Q30,_xlfn.XLOOKUP($E259,$D$123:$D$129,$E$123:$E$129), _xlfn.XLOOKUP($E259,$D$112:$D$118,$E$112:$E$118),Q60,$F229)</f>
        <v>0</v>
      </c>
      <c r="R259" s="15" cm="1">
        <f t="array" aca="1" ref="R259" ca="1">MMS_Swine_ManureAppliedToSoils_Equations.VEERG_4_5_1_9__1_MassOfNitrogenAppliedToSoilsScope1(R30,_xlfn.XLOOKUP($E259,$D$123:$D$129,$E$123:$E$129), _xlfn.XLOOKUP($E259,$D$112:$D$118,$E$112:$E$118),R60,$F229)</f>
        <v>0</v>
      </c>
      <c r="S259" s="15" cm="1">
        <f t="array" aca="1" ref="S259" ca="1">MMS_Swine_ManureAppliedToSoils_Equations.VEERG_4_5_1_9__1_MassOfNitrogenAppliedToSoilsScope1(S30,_xlfn.XLOOKUP($E259,$D$123:$D$129,$E$123:$E$129), _xlfn.XLOOKUP($E259,$D$112:$D$118,$E$112:$E$118),S60,$F229)</f>
        <v>0</v>
      </c>
      <c r="T259" s="16"/>
    </row>
    <row r="260" spans="4:20" ht="20.100000000000001" customHeight="1" x14ac:dyDescent="0.2">
      <c r="D260" s="111" t="str">
        <f>INDEX(X_Table_Swine_Stage1MMS_DigesterCoveredLagoons,2,1)</f>
        <v>Digester / covered lagoons</v>
      </c>
      <c r="E260" s="111" t="str">
        <f>INDEX(X_Table_Swine_Stage2MMS_From_DigesterCoveredLagoons,2,1)</f>
        <v>Anaerobic lagoon</v>
      </c>
      <c r="F260" s="15" cm="1">
        <f t="array" aca="1" ref="F260" ca="1">MMS_Swine_ManureAppliedToSoils_Equations.VEERG_4_5_1_9__1_MassOfNitrogenAppliedToSoilsScope1(F31,_xlfn.XLOOKUP($E260,$D$123:$D$129,$E$123:$E$129), _xlfn.XLOOKUP($E260,$D$112:$D$118,$E$112:$E$118),F61,$F230)</f>
        <v>4.5332999999999988</v>
      </c>
      <c r="G260" s="15" cm="1">
        <f t="array" aca="1" ref="G260" ca="1">MMS_Swine_ManureAppliedToSoils_Equations.VEERG_4_5_1_9__1_MassOfNitrogenAppliedToSoilsScope1(G31,_xlfn.XLOOKUP($E260,$D$123:$D$129,$E$123:$E$129), _xlfn.XLOOKUP($E260,$D$112:$D$118,$E$112:$E$118),G61,$F230)</f>
        <v>6.0361875000000005</v>
      </c>
      <c r="H260" s="15" cm="1">
        <f t="array" aca="1" ref="H260" ca="1">MMS_Swine_ManureAppliedToSoils_Equations.VEERG_4_5_1_9__1_MassOfNitrogenAppliedToSoilsScope1(H31,_xlfn.XLOOKUP($E260,$D$123:$D$129,$E$123:$E$129), _xlfn.XLOOKUP($E260,$D$112:$D$118,$E$112:$E$118),H61,$F230)</f>
        <v>5.666624999999998</v>
      </c>
      <c r="I260" s="15" cm="1">
        <f t="array" aca="1" ref="I260" ca="1">MMS_Swine_ManureAppliedToSoils_Equations.VEERG_4_5_1_9__1_MassOfNitrogenAppliedToSoilsScope1(I31,_xlfn.XLOOKUP($E260,$D$123:$D$129,$E$123:$E$129), _xlfn.XLOOKUP($E260,$D$112:$D$118,$E$112:$E$118),I61,$F230)</f>
        <v>3.8434499999999989</v>
      </c>
      <c r="J260" s="16"/>
      <c r="N260" s="111" t="str">
        <f>INDEX(X_Table_Swine_Stage1MMS_DigesterCoveredLagoons,2,1)</f>
        <v>Digester / covered lagoons</v>
      </c>
      <c r="O260" s="111" t="str">
        <f>INDEX(X_Table_Swine_Stage2MMS_From_DigesterCoveredLagoons,2,1)</f>
        <v>Anaerobic lagoon</v>
      </c>
      <c r="P260" s="15" cm="1">
        <f t="array" aca="1" ref="P260" ca="1">MMS_Swine_ManureAppliedToSoils_Equations.VEERG_4_5_1_9__1_MassOfNitrogenAppliedToSoilsScope1(P31,_xlfn.XLOOKUP($E260,$D$123:$D$129,$E$123:$E$129), _xlfn.XLOOKUP($E260,$D$112:$D$118,$E$112:$E$118),P61,$F230)</f>
        <v>4.5332999999999988</v>
      </c>
      <c r="Q260" s="15" cm="1">
        <f t="array" aca="1" ref="Q260" ca="1">MMS_Swine_ManureAppliedToSoils_Equations.VEERG_4_5_1_9__1_MassOfNitrogenAppliedToSoilsScope1(Q31,_xlfn.XLOOKUP($E260,$D$123:$D$129,$E$123:$E$129), _xlfn.XLOOKUP($E260,$D$112:$D$118,$E$112:$E$118),Q61,$F230)</f>
        <v>6.0361875000000005</v>
      </c>
      <c r="R260" s="15" cm="1">
        <f t="array" aca="1" ref="R260" ca="1">MMS_Swine_ManureAppliedToSoils_Equations.VEERG_4_5_1_9__1_MassOfNitrogenAppliedToSoilsScope1(R31,_xlfn.XLOOKUP($E260,$D$123:$D$129,$E$123:$E$129), _xlfn.XLOOKUP($E260,$D$112:$D$118,$E$112:$E$118),R61,$F230)</f>
        <v>5.666624999999998</v>
      </c>
      <c r="S260" s="15" cm="1">
        <f t="array" aca="1" ref="S260" ca="1">MMS_Swine_ManureAppliedToSoils_Equations.VEERG_4_5_1_9__1_MassOfNitrogenAppliedToSoilsScope1(S31,_xlfn.XLOOKUP($E260,$D$123:$D$129,$E$123:$E$129), _xlfn.XLOOKUP($E260,$D$112:$D$118,$E$112:$E$118),S61,$F230)</f>
        <v>3.8434499999999989</v>
      </c>
      <c r="T260" s="16"/>
    </row>
    <row r="261" spans="4:20" ht="20.100000000000001" customHeight="1" x14ac:dyDescent="0.2">
      <c r="D261" s="111"/>
      <c r="E261" s="111" t="str">
        <f>INDEX(X_Table_Swine_Stage2MMS_From_DigesterCoveredLagoons,3,1)</f>
        <v>Deep litter</v>
      </c>
      <c r="F261" s="15" cm="1">
        <f t="array" aca="1" ref="F261" ca="1">MMS_Swine_ManureAppliedToSoils_Equations.VEERG_4_5_1_9__1_MassOfNitrogenAppliedToSoilsScope1(F32,_xlfn.XLOOKUP($E261,$D$123:$D$129,$E$123:$E$129), _xlfn.XLOOKUP($E261,$D$112:$D$118,$E$112:$E$118),F62,$F231)</f>
        <v>8.7140099999999983</v>
      </c>
      <c r="G261" s="15" cm="1">
        <f t="array" aca="1" ref="G261" ca="1">MMS_Swine_ManureAppliedToSoils_Equations.VEERG_4_5_1_9__1_MassOfNitrogenAppliedToSoilsScope1(G32,_xlfn.XLOOKUP($E261,$D$123:$D$129,$E$123:$E$129), _xlfn.XLOOKUP($E261,$D$112:$D$118,$E$112:$E$118),G62,$F231)</f>
        <v>11.602893750000002</v>
      </c>
      <c r="H261" s="15" cm="1">
        <f t="array" aca="1" ref="H261" ca="1">MMS_Swine_ManureAppliedToSoils_Equations.VEERG_4_5_1_9__1_MassOfNitrogenAppliedToSoilsScope1(H32,_xlfn.XLOOKUP($E261,$D$123:$D$129,$E$123:$E$129), _xlfn.XLOOKUP($E261,$D$112:$D$118,$E$112:$E$118),H62,$F231)</f>
        <v>10.892512499999997</v>
      </c>
      <c r="I261" s="15" cm="1">
        <f t="array" aca="1" ref="I261" ca="1">MMS_Swine_ManureAppliedToSoils_Equations.VEERG_4_5_1_9__1_MassOfNitrogenAppliedToSoilsScope1(I32,_xlfn.XLOOKUP($E261,$D$123:$D$129,$E$123:$E$129), _xlfn.XLOOKUP($E261,$D$112:$D$118,$E$112:$E$118),I62,$F231)</f>
        <v>7.3879649999999986</v>
      </c>
      <c r="J261" s="16"/>
      <c r="N261" s="111"/>
      <c r="O261" s="111" t="str">
        <f>INDEX(X_Table_Swine_Stage2MMS_From_DigesterCoveredLagoons,3,1)</f>
        <v>Deep litter</v>
      </c>
      <c r="P261" s="15" cm="1">
        <f t="array" aca="1" ref="P261" ca="1">MMS_Swine_ManureAppliedToSoils_Equations.VEERG_4_5_1_9__1_MassOfNitrogenAppliedToSoilsScope1(P32,_xlfn.XLOOKUP($E261,$D$123:$D$129,$E$123:$E$129), _xlfn.XLOOKUP($E261,$D$112:$D$118,$E$112:$E$118),P62,$F231)</f>
        <v>8.7140099999999983</v>
      </c>
      <c r="Q261" s="15" cm="1">
        <f t="array" aca="1" ref="Q261" ca="1">MMS_Swine_ManureAppliedToSoils_Equations.VEERG_4_5_1_9__1_MassOfNitrogenAppliedToSoilsScope1(Q32,_xlfn.XLOOKUP($E261,$D$123:$D$129,$E$123:$E$129), _xlfn.XLOOKUP($E261,$D$112:$D$118,$E$112:$E$118),Q62,$F231)</f>
        <v>11.602893750000002</v>
      </c>
      <c r="R261" s="15" cm="1">
        <f t="array" aca="1" ref="R261" ca="1">MMS_Swine_ManureAppliedToSoils_Equations.VEERG_4_5_1_9__1_MassOfNitrogenAppliedToSoilsScope1(R32,_xlfn.XLOOKUP($E261,$D$123:$D$129,$E$123:$E$129), _xlfn.XLOOKUP($E261,$D$112:$D$118,$E$112:$E$118),R62,$F231)</f>
        <v>10.892512499999997</v>
      </c>
      <c r="S261" s="15" cm="1">
        <f t="array" aca="1" ref="S261" ca="1">MMS_Swine_ManureAppliedToSoils_Equations.VEERG_4_5_1_9__1_MassOfNitrogenAppliedToSoilsScope1(S32,_xlfn.XLOOKUP($E261,$D$123:$D$129,$E$123:$E$129), _xlfn.XLOOKUP($E261,$D$112:$D$118,$E$112:$E$118),S62,$F231)</f>
        <v>7.3879649999999986</v>
      </c>
      <c r="T261" s="16"/>
    </row>
    <row r="262" spans="4:20" ht="20.100000000000001" customHeight="1" x14ac:dyDescent="0.2">
      <c r="D262" s="111"/>
      <c r="E262" s="111" t="str">
        <f>INDEX(X_Table_Swine_Stage2MMS_From_DigesterCoveredLagoons,4,1)</f>
        <v>Pit storage</v>
      </c>
      <c r="F262" s="15" cm="1">
        <f t="array" aca="1" ref="F262" ca="1">MMS_Swine_ManureAppliedToSoils_Equations.VEERG_4_5_1_9__1_MassOfNitrogenAppliedToSoilsScope1(F33,_xlfn.XLOOKUP($E262,$D$123:$D$129,$E$123:$E$129), _xlfn.XLOOKUP($E262,$D$112:$D$118,$E$112:$E$118),F63,$F232)</f>
        <v>7.5353519999999987</v>
      </c>
      <c r="G262" s="15" cm="1">
        <f t="array" aca="1" ref="G262" ca="1">MMS_Swine_ManureAppliedToSoils_Equations.VEERG_4_5_1_9__1_MassOfNitrogenAppliedToSoilsScope1(G33,_xlfn.XLOOKUP($E262,$D$123:$D$129,$E$123:$E$129), _xlfn.XLOOKUP($E262,$D$112:$D$118,$E$112:$E$118),G63,$F232)</f>
        <v>10.033485000000001</v>
      </c>
      <c r="H262" s="15" cm="1">
        <f t="array" aca="1" ref="H262" ca="1">MMS_Swine_ManureAppliedToSoils_Equations.VEERG_4_5_1_9__1_MassOfNitrogenAppliedToSoilsScope1(H33,_xlfn.XLOOKUP($E262,$D$123:$D$129,$E$123:$E$129), _xlfn.XLOOKUP($E262,$D$112:$D$118,$E$112:$E$118),H63,$F232)</f>
        <v>9.4191899999999986</v>
      </c>
      <c r="I262" s="15" cm="1">
        <f t="array" aca="1" ref="I262" ca="1">MMS_Swine_ManureAppliedToSoils_Equations.VEERG_4_5_1_9__1_MassOfNitrogenAppliedToSoilsScope1(I33,_xlfn.XLOOKUP($E262,$D$123:$D$129,$E$123:$E$129), _xlfn.XLOOKUP($E262,$D$112:$D$118,$E$112:$E$118),I63,$F232)</f>
        <v>6.3886679999999991</v>
      </c>
      <c r="J262" s="16"/>
      <c r="N262" s="111"/>
      <c r="O262" s="111" t="str">
        <f>INDEX(X_Table_Swine_Stage2MMS_From_DigesterCoveredLagoons,4,1)</f>
        <v>Pit storage</v>
      </c>
      <c r="P262" s="15" cm="1">
        <f t="array" aca="1" ref="P262" ca="1">MMS_Swine_ManureAppliedToSoils_Equations.VEERG_4_5_1_9__1_MassOfNitrogenAppliedToSoilsScope1(P33,_xlfn.XLOOKUP($E262,$D$123:$D$129,$E$123:$E$129), _xlfn.XLOOKUP($E262,$D$112:$D$118,$E$112:$E$118),P63,$F232)</f>
        <v>7.5353519999999987</v>
      </c>
      <c r="Q262" s="15" cm="1">
        <f t="array" aca="1" ref="Q262" ca="1">MMS_Swine_ManureAppliedToSoils_Equations.VEERG_4_5_1_9__1_MassOfNitrogenAppliedToSoilsScope1(Q33,_xlfn.XLOOKUP($E262,$D$123:$D$129,$E$123:$E$129), _xlfn.XLOOKUP($E262,$D$112:$D$118,$E$112:$E$118),Q63,$F232)</f>
        <v>10.033485000000001</v>
      </c>
      <c r="R262" s="15" cm="1">
        <f t="array" aca="1" ref="R262" ca="1">MMS_Swine_ManureAppliedToSoils_Equations.VEERG_4_5_1_9__1_MassOfNitrogenAppliedToSoilsScope1(R33,_xlfn.XLOOKUP($E262,$D$123:$D$129,$E$123:$E$129), _xlfn.XLOOKUP($E262,$D$112:$D$118,$E$112:$E$118),R63,$F232)</f>
        <v>9.4191899999999986</v>
      </c>
      <c r="S262" s="15" cm="1">
        <f t="array" aca="1" ref="S262" ca="1">MMS_Swine_ManureAppliedToSoils_Equations.VEERG_4_5_1_9__1_MassOfNitrogenAppliedToSoilsScope1(S33,_xlfn.XLOOKUP($E262,$D$123:$D$129,$E$123:$E$129), _xlfn.XLOOKUP($E262,$D$112:$D$118,$E$112:$E$118),S63,$F232)</f>
        <v>6.3886679999999991</v>
      </c>
      <c r="T262" s="16"/>
    </row>
    <row r="263" spans="4:20" ht="20.100000000000001" customHeight="1" x14ac:dyDescent="0.2">
      <c r="D263" s="111"/>
      <c r="E263" s="111" t="str">
        <f>INDEX(X_Table_Swine_Stage2MMS_From_DigesterCoveredLagoons,5,1)</f>
        <v>Direct application</v>
      </c>
      <c r="F263" s="15" cm="1">
        <f t="array" aca="1" ref="F263" ca="1">MMS_Swine_ManureAppliedToSoils_Equations.VEERG_4_5_1_9__1_MassOfNitrogenAppliedToSoilsScope1(F34,_xlfn.XLOOKUP($E263,$D$123:$D$129,$E$123:$E$129), _xlfn.XLOOKUP($E263,$D$112:$D$118,$E$112:$E$118),F64,$F233)</f>
        <v>0</v>
      </c>
      <c r="G263" s="15" cm="1">
        <f t="array" aca="1" ref="G263" ca="1">MMS_Swine_ManureAppliedToSoils_Equations.VEERG_4_5_1_9__1_MassOfNitrogenAppliedToSoilsScope1(G34,_xlfn.XLOOKUP($E263,$D$123:$D$129,$E$123:$E$129), _xlfn.XLOOKUP($E263,$D$112:$D$118,$E$112:$E$118),G64,$F233)</f>
        <v>0</v>
      </c>
      <c r="H263" s="15" cm="1">
        <f t="array" aca="1" ref="H263" ca="1">MMS_Swine_ManureAppliedToSoils_Equations.VEERG_4_5_1_9__1_MassOfNitrogenAppliedToSoilsScope1(H34,_xlfn.XLOOKUP($E263,$D$123:$D$129,$E$123:$E$129), _xlfn.XLOOKUP($E263,$D$112:$D$118,$E$112:$E$118),H64,$F233)</f>
        <v>0</v>
      </c>
      <c r="I263" s="15" cm="1">
        <f t="array" aca="1" ref="I263" ca="1">MMS_Swine_ManureAppliedToSoils_Equations.VEERG_4_5_1_9__1_MassOfNitrogenAppliedToSoilsScope1(I34,_xlfn.XLOOKUP($E263,$D$123:$D$129,$E$123:$E$129), _xlfn.XLOOKUP($E263,$D$112:$D$118,$E$112:$E$118),I64,$F233)</f>
        <v>0</v>
      </c>
      <c r="J263" s="16"/>
      <c r="N263" s="111"/>
      <c r="O263" s="111" t="str">
        <f>INDEX(X_Table_Swine_Stage2MMS_From_DigesterCoveredLagoons,5,1)</f>
        <v>Direct application</v>
      </c>
      <c r="P263" s="15" cm="1">
        <f t="array" aca="1" ref="P263" ca="1">MMS_Swine_ManureAppliedToSoils_Equations.VEERG_4_5_1_9__1_MassOfNitrogenAppliedToSoilsScope1(P34,_xlfn.XLOOKUP($E263,$D$123:$D$129,$E$123:$E$129), _xlfn.XLOOKUP($E263,$D$112:$D$118,$E$112:$E$118),P64,$F233)</f>
        <v>0</v>
      </c>
      <c r="Q263" s="15" cm="1">
        <f t="array" aca="1" ref="Q263" ca="1">MMS_Swine_ManureAppliedToSoils_Equations.VEERG_4_5_1_9__1_MassOfNitrogenAppliedToSoilsScope1(Q34,_xlfn.XLOOKUP($E263,$D$123:$D$129,$E$123:$E$129), _xlfn.XLOOKUP($E263,$D$112:$D$118,$E$112:$E$118),Q64,$F233)</f>
        <v>0</v>
      </c>
      <c r="R263" s="15" cm="1">
        <f t="array" aca="1" ref="R263" ca="1">MMS_Swine_ManureAppliedToSoils_Equations.VEERG_4_5_1_9__1_MassOfNitrogenAppliedToSoilsScope1(R34,_xlfn.XLOOKUP($E263,$D$123:$D$129,$E$123:$E$129), _xlfn.XLOOKUP($E263,$D$112:$D$118,$E$112:$E$118),R64,$F233)</f>
        <v>0</v>
      </c>
      <c r="S263" s="15" cm="1">
        <f t="array" aca="1" ref="S263" ca="1">MMS_Swine_ManureAppliedToSoils_Equations.VEERG_4_5_1_9__1_MassOfNitrogenAppliedToSoilsScope1(S34,_xlfn.XLOOKUP($E263,$D$123:$D$129,$E$123:$E$129), _xlfn.XLOOKUP($E263,$D$112:$D$118,$E$112:$E$118),S64,$F233)</f>
        <v>0</v>
      </c>
      <c r="T263" s="16"/>
    </row>
    <row r="264" spans="4:20" ht="20.100000000000001" customHeight="1" x14ac:dyDescent="0.2">
      <c r="D264" s="111" t="str">
        <f>INDEX(X_Table_Swine_Stage1MMS_DeepLitter,2,1)</f>
        <v>Deep litter</v>
      </c>
      <c r="E264" s="111" t="str">
        <f>INDEX(X_Table_Swine_Stage2MMS_From_DeepLitter,2,1)</f>
        <v>Anaerobic lagoon</v>
      </c>
      <c r="F264" s="15" cm="1">
        <f t="array" aca="1" ref="F264" ca="1">MMS_Swine_ManureAppliedToSoils_Equations.VEERG_4_5_1_9__1_MassOfNitrogenAppliedToSoilsScope1(F35,_xlfn.XLOOKUP($E264,$D$123:$D$129,$E$123:$E$129), _xlfn.XLOOKUP($E264,$D$112:$D$118,$E$112:$E$118),F65,$F234)</f>
        <v>3.9213044999999989</v>
      </c>
      <c r="G264" s="15" cm="1">
        <f t="array" aca="1" ref="G264" ca="1">MMS_Swine_ManureAppliedToSoils_Equations.VEERG_4_5_1_9__1_MassOfNitrogenAppliedToSoilsScope1(G35,_xlfn.XLOOKUP($E264,$D$123:$D$129,$E$123:$E$129), _xlfn.XLOOKUP($E264,$D$112:$D$118,$E$112:$E$118),G65,$F234)</f>
        <v>5.2213021875000001</v>
      </c>
      <c r="H264" s="15" cm="1">
        <f t="array" aca="1" ref="H264" ca="1">MMS_Swine_ManureAppliedToSoils_Equations.VEERG_4_5_1_9__1_MassOfNitrogenAppliedToSoilsScope1(H35,_xlfn.XLOOKUP($E264,$D$123:$D$129,$E$123:$E$129), _xlfn.XLOOKUP($E264,$D$112:$D$118,$E$112:$E$118),H65,$F234)</f>
        <v>4.9016306249999984</v>
      </c>
      <c r="I264" s="15" cm="1">
        <f t="array" aca="1" ref="I264" ca="1">MMS_Swine_ManureAppliedToSoils_Equations.VEERG_4_5_1_9__1_MassOfNitrogenAppliedToSoilsScope1(I35,_xlfn.XLOOKUP($E264,$D$123:$D$129,$E$123:$E$129), _xlfn.XLOOKUP($E264,$D$112:$D$118,$E$112:$E$118),I65,$F234)</f>
        <v>3.3245842499999991</v>
      </c>
      <c r="J264" s="16"/>
      <c r="N264" s="111" t="str">
        <f>INDEX(X_Table_Swine_Stage1MMS_DeepLitter,2,1)</f>
        <v>Deep litter</v>
      </c>
      <c r="O264" s="111" t="str">
        <f>INDEX(X_Table_Swine_Stage2MMS_From_DeepLitter,2,1)</f>
        <v>Anaerobic lagoon</v>
      </c>
      <c r="P264" s="15" cm="1">
        <f t="array" aca="1" ref="P264" ca="1">MMS_Swine_ManureAppliedToSoils_Equations.VEERG_4_5_1_9__1_MassOfNitrogenAppliedToSoilsScope1(P35,_xlfn.XLOOKUP($E264,$D$123:$D$129,$E$123:$E$129), _xlfn.XLOOKUP($E264,$D$112:$D$118,$E$112:$E$118),P65,$F234)</f>
        <v>3.9213044999999989</v>
      </c>
      <c r="Q264" s="15" cm="1">
        <f t="array" aca="1" ref="Q264" ca="1">MMS_Swine_ManureAppliedToSoils_Equations.VEERG_4_5_1_9__1_MassOfNitrogenAppliedToSoilsScope1(Q35,_xlfn.XLOOKUP($E264,$D$123:$D$129,$E$123:$E$129), _xlfn.XLOOKUP($E264,$D$112:$D$118,$E$112:$E$118),Q65,$F234)</f>
        <v>5.2213021875000001</v>
      </c>
      <c r="R264" s="15" cm="1">
        <f t="array" aca="1" ref="R264" ca="1">MMS_Swine_ManureAppliedToSoils_Equations.VEERG_4_5_1_9__1_MassOfNitrogenAppliedToSoilsScope1(R35,_xlfn.XLOOKUP($E264,$D$123:$D$129,$E$123:$E$129), _xlfn.XLOOKUP($E264,$D$112:$D$118,$E$112:$E$118),R65,$F234)</f>
        <v>4.9016306249999984</v>
      </c>
      <c r="S264" s="15" cm="1">
        <f t="array" aca="1" ref="S264" ca="1">MMS_Swine_ManureAppliedToSoils_Equations.VEERG_4_5_1_9__1_MassOfNitrogenAppliedToSoilsScope1(S35,_xlfn.XLOOKUP($E264,$D$123:$D$129,$E$123:$E$129), _xlfn.XLOOKUP($E264,$D$112:$D$118,$E$112:$E$118),S65,$F234)</f>
        <v>3.3245842499999991</v>
      </c>
      <c r="T264" s="16"/>
    </row>
    <row r="265" spans="4:20" ht="20.100000000000001" customHeight="1" x14ac:dyDescent="0.2">
      <c r="D265" s="111"/>
      <c r="E265" s="111" t="str">
        <f>INDEX(X_Table_Swine_Stage2MMS_From_DeepLitter,3,1)</f>
        <v>Digester / covered lagoons</v>
      </c>
      <c r="F265" s="15" cm="1">
        <f t="array" aca="1" ref="F265" ca="1">MMS_Swine_ManureAppliedToSoils_Equations.VEERG_4_5_1_9__1_MassOfNitrogenAppliedToSoilsScope1(F36,_xlfn.XLOOKUP($E265,$D$123:$D$129,$E$123:$E$129), _xlfn.XLOOKUP($E265,$D$112:$D$118,$E$112:$E$118),F66,$F235)</f>
        <v>8.7140099999999983</v>
      </c>
      <c r="G265" s="15" cm="1">
        <f t="array" aca="1" ref="G265" ca="1">MMS_Swine_ManureAppliedToSoils_Equations.VEERG_4_5_1_9__1_MassOfNitrogenAppliedToSoilsScope1(G36,_xlfn.XLOOKUP($E265,$D$123:$D$129,$E$123:$E$129), _xlfn.XLOOKUP($E265,$D$112:$D$118,$E$112:$E$118),G66,$F235)</f>
        <v>11.602893750000002</v>
      </c>
      <c r="H265" s="15" cm="1">
        <f t="array" aca="1" ref="H265" ca="1">MMS_Swine_ManureAppliedToSoils_Equations.VEERG_4_5_1_9__1_MassOfNitrogenAppliedToSoilsScope1(H36,_xlfn.XLOOKUP($E265,$D$123:$D$129,$E$123:$E$129), _xlfn.XLOOKUP($E265,$D$112:$D$118,$E$112:$E$118),H66,$F235)</f>
        <v>10.892512499999997</v>
      </c>
      <c r="I265" s="15" cm="1">
        <f t="array" aca="1" ref="I265" ca="1">MMS_Swine_ManureAppliedToSoils_Equations.VEERG_4_5_1_9__1_MassOfNitrogenAppliedToSoilsScope1(I36,_xlfn.XLOOKUP($E265,$D$123:$D$129,$E$123:$E$129), _xlfn.XLOOKUP($E265,$D$112:$D$118,$E$112:$E$118),I66,$F235)</f>
        <v>7.3879649999999986</v>
      </c>
      <c r="J265" s="16"/>
      <c r="N265" s="111"/>
      <c r="O265" s="111" t="str">
        <f>INDEX(X_Table_Swine_Stage2MMS_From_DeepLitter,3,1)</f>
        <v>Digester / covered lagoons</v>
      </c>
      <c r="P265" s="15" cm="1">
        <f t="array" aca="1" ref="P265" ca="1">MMS_Swine_ManureAppliedToSoils_Equations.VEERG_4_5_1_9__1_MassOfNitrogenAppliedToSoilsScope1(P36,_xlfn.XLOOKUP($E265,$D$123:$D$129,$E$123:$E$129), _xlfn.XLOOKUP($E265,$D$112:$D$118,$E$112:$E$118),P66,$F235)</f>
        <v>8.7140099999999983</v>
      </c>
      <c r="Q265" s="15" cm="1">
        <f t="array" aca="1" ref="Q265" ca="1">MMS_Swine_ManureAppliedToSoils_Equations.VEERG_4_5_1_9__1_MassOfNitrogenAppliedToSoilsScope1(Q36,_xlfn.XLOOKUP($E265,$D$123:$D$129,$E$123:$E$129), _xlfn.XLOOKUP($E265,$D$112:$D$118,$E$112:$E$118),Q66,$F235)</f>
        <v>11.602893750000002</v>
      </c>
      <c r="R265" s="15" cm="1">
        <f t="array" aca="1" ref="R265" ca="1">MMS_Swine_ManureAppliedToSoils_Equations.VEERG_4_5_1_9__1_MassOfNitrogenAppliedToSoilsScope1(R36,_xlfn.XLOOKUP($E265,$D$123:$D$129,$E$123:$E$129), _xlfn.XLOOKUP($E265,$D$112:$D$118,$E$112:$E$118),R66,$F235)</f>
        <v>10.892512499999997</v>
      </c>
      <c r="S265" s="15" cm="1">
        <f t="array" aca="1" ref="S265" ca="1">MMS_Swine_ManureAppliedToSoils_Equations.VEERG_4_5_1_9__1_MassOfNitrogenAppliedToSoilsScope1(S36,_xlfn.XLOOKUP($E265,$D$123:$D$129,$E$123:$E$129), _xlfn.XLOOKUP($E265,$D$112:$D$118,$E$112:$E$118),S66,$F235)</f>
        <v>7.3879649999999986</v>
      </c>
      <c r="T265" s="16"/>
    </row>
    <row r="266" spans="4:20" ht="20.100000000000001" customHeight="1" x14ac:dyDescent="0.2">
      <c r="D266" s="111"/>
      <c r="E266" s="111" t="str">
        <f>INDEX(X_Table_Swine_Stage2MMS_From_DeepLitter,4,1)</f>
        <v>Pit storage</v>
      </c>
      <c r="F266" s="15" cm="1">
        <f t="array" aca="1" ref="F266" ca="1">MMS_Swine_ManureAppliedToSoils_Equations.VEERG_4_5_1_9__1_MassOfNitrogenAppliedToSoilsScope1(F37,_xlfn.XLOOKUP($E266,$D$123:$D$129,$E$123:$E$129), _xlfn.XLOOKUP($E266,$D$112:$D$118,$E$112:$E$118),F67,$F236)</f>
        <v>6.518079479999999</v>
      </c>
      <c r="G266" s="15" cm="1">
        <f t="array" aca="1" ref="G266" ca="1">MMS_Swine_ManureAppliedToSoils_Equations.VEERG_4_5_1_9__1_MassOfNitrogenAppliedToSoilsScope1(G37,_xlfn.XLOOKUP($E266,$D$123:$D$129,$E$123:$E$129), _xlfn.XLOOKUP($E266,$D$112:$D$118,$E$112:$E$118),G67,$F236)</f>
        <v>8.6789645250000014</v>
      </c>
      <c r="H266" s="15" cm="1">
        <f t="array" aca="1" ref="H266" ca="1">MMS_Swine_ManureAppliedToSoils_Equations.VEERG_4_5_1_9__1_MassOfNitrogenAppliedToSoilsScope1(H37,_xlfn.XLOOKUP($E266,$D$123:$D$129,$E$123:$E$129), _xlfn.XLOOKUP($E266,$D$112:$D$118,$E$112:$E$118),H67,$F236)</f>
        <v>8.1475993499999984</v>
      </c>
      <c r="I266" s="15" cm="1">
        <f t="array" aca="1" ref="I266" ca="1">MMS_Swine_ManureAppliedToSoils_Equations.VEERG_4_5_1_9__1_MassOfNitrogenAppliedToSoilsScope1(I37,_xlfn.XLOOKUP($E266,$D$123:$D$129,$E$123:$E$129), _xlfn.XLOOKUP($E266,$D$112:$D$118,$E$112:$E$118),I67,$F236)</f>
        <v>5.5261978199999993</v>
      </c>
      <c r="J266" s="16"/>
      <c r="N266" s="111"/>
      <c r="O266" s="111" t="str">
        <f>INDEX(X_Table_Swine_Stage2MMS_From_DeepLitter,4,1)</f>
        <v>Pit storage</v>
      </c>
      <c r="P266" s="15" cm="1">
        <f t="array" aca="1" ref="P266" ca="1">MMS_Swine_ManureAppliedToSoils_Equations.VEERG_4_5_1_9__1_MassOfNitrogenAppliedToSoilsScope1(P37,_xlfn.XLOOKUP($E266,$D$123:$D$129,$E$123:$E$129), _xlfn.XLOOKUP($E266,$D$112:$D$118,$E$112:$E$118),P67,$F236)</f>
        <v>6.518079479999999</v>
      </c>
      <c r="Q266" s="15" cm="1">
        <f t="array" aca="1" ref="Q266" ca="1">MMS_Swine_ManureAppliedToSoils_Equations.VEERG_4_5_1_9__1_MassOfNitrogenAppliedToSoilsScope1(Q37,_xlfn.XLOOKUP($E266,$D$123:$D$129,$E$123:$E$129), _xlfn.XLOOKUP($E266,$D$112:$D$118,$E$112:$E$118),Q67,$F236)</f>
        <v>8.6789645250000014</v>
      </c>
      <c r="R266" s="15" cm="1">
        <f t="array" aca="1" ref="R266" ca="1">MMS_Swine_ManureAppliedToSoils_Equations.VEERG_4_5_1_9__1_MassOfNitrogenAppliedToSoilsScope1(R37,_xlfn.XLOOKUP($E266,$D$123:$D$129,$E$123:$E$129), _xlfn.XLOOKUP($E266,$D$112:$D$118,$E$112:$E$118),R67,$F236)</f>
        <v>8.1475993499999984</v>
      </c>
      <c r="S266" s="15" cm="1">
        <f t="array" aca="1" ref="S266" ca="1">MMS_Swine_ManureAppliedToSoils_Equations.VEERG_4_5_1_9__1_MassOfNitrogenAppliedToSoilsScope1(S37,_xlfn.XLOOKUP($E266,$D$123:$D$129,$E$123:$E$129), _xlfn.XLOOKUP($E266,$D$112:$D$118,$E$112:$E$118),S67,$F236)</f>
        <v>5.5261978199999993</v>
      </c>
      <c r="T266" s="16"/>
    </row>
    <row r="267" spans="4:20" ht="20.100000000000001" customHeight="1" x14ac:dyDescent="0.2">
      <c r="D267" s="111"/>
      <c r="E267" s="111" t="str">
        <f>INDEX(X_Table_Swine_Stage2MMS_From_DeepLitter,5,1)</f>
        <v>Direct application</v>
      </c>
      <c r="F267" s="15" cm="1">
        <f t="array" aca="1" ref="F267" ca="1">MMS_Swine_ManureAppliedToSoils_Equations.VEERG_4_5_1_9__1_MassOfNitrogenAppliedToSoilsScope1(F38,_xlfn.XLOOKUP($E267,$D$123:$D$129,$E$123:$E$129), _xlfn.XLOOKUP($E267,$D$112:$D$118,$E$112:$E$118),F68,$F237)</f>
        <v>0</v>
      </c>
      <c r="G267" s="15" cm="1">
        <f t="array" aca="1" ref="G267" ca="1">MMS_Swine_ManureAppliedToSoils_Equations.VEERG_4_5_1_9__1_MassOfNitrogenAppliedToSoilsScope1(G38,_xlfn.XLOOKUP($E267,$D$123:$D$129,$E$123:$E$129), _xlfn.XLOOKUP($E267,$D$112:$D$118,$E$112:$E$118),G68,$F237)</f>
        <v>0</v>
      </c>
      <c r="H267" s="15" cm="1">
        <f t="array" aca="1" ref="H267" ca="1">MMS_Swine_ManureAppliedToSoils_Equations.VEERG_4_5_1_9__1_MassOfNitrogenAppliedToSoilsScope1(H38,_xlfn.XLOOKUP($E267,$D$123:$D$129,$E$123:$E$129), _xlfn.XLOOKUP($E267,$D$112:$D$118,$E$112:$E$118),H68,$F237)</f>
        <v>0</v>
      </c>
      <c r="I267" s="15" cm="1">
        <f t="array" aca="1" ref="I267" ca="1">MMS_Swine_ManureAppliedToSoils_Equations.VEERG_4_5_1_9__1_MassOfNitrogenAppliedToSoilsScope1(I38,_xlfn.XLOOKUP($E267,$D$123:$D$129,$E$123:$E$129), _xlfn.XLOOKUP($E267,$D$112:$D$118,$E$112:$E$118),I68,$F237)</f>
        <v>0</v>
      </c>
      <c r="J267" s="16"/>
      <c r="N267" s="111"/>
      <c r="O267" s="111" t="str">
        <f>INDEX(X_Table_Swine_Stage2MMS_From_DeepLitter,5,1)</f>
        <v>Direct application</v>
      </c>
      <c r="P267" s="15" cm="1">
        <f t="array" aca="1" ref="P267" ca="1">MMS_Swine_ManureAppliedToSoils_Equations.VEERG_4_5_1_9__1_MassOfNitrogenAppliedToSoilsScope1(P38,_xlfn.XLOOKUP($E267,$D$123:$D$129,$E$123:$E$129), _xlfn.XLOOKUP($E267,$D$112:$D$118,$E$112:$E$118),P68,$F237)</f>
        <v>0</v>
      </c>
      <c r="Q267" s="15" cm="1">
        <f t="array" aca="1" ref="Q267" ca="1">MMS_Swine_ManureAppliedToSoils_Equations.VEERG_4_5_1_9__1_MassOfNitrogenAppliedToSoilsScope1(Q38,_xlfn.XLOOKUP($E267,$D$123:$D$129,$E$123:$E$129), _xlfn.XLOOKUP($E267,$D$112:$D$118,$E$112:$E$118),Q68,$F237)</f>
        <v>0</v>
      </c>
      <c r="R267" s="15" cm="1">
        <f t="array" aca="1" ref="R267" ca="1">MMS_Swine_ManureAppliedToSoils_Equations.VEERG_4_5_1_9__1_MassOfNitrogenAppliedToSoilsScope1(R38,_xlfn.XLOOKUP($E267,$D$123:$D$129,$E$123:$E$129), _xlfn.XLOOKUP($E267,$D$112:$D$118,$E$112:$E$118),R68,$F237)</f>
        <v>0</v>
      </c>
      <c r="S267" s="15" cm="1">
        <f t="array" aca="1" ref="S267" ca="1">MMS_Swine_ManureAppliedToSoils_Equations.VEERG_4_5_1_9__1_MassOfNitrogenAppliedToSoilsScope1(S38,_xlfn.XLOOKUP($E267,$D$123:$D$129,$E$123:$E$129), _xlfn.XLOOKUP($E267,$D$112:$D$118,$E$112:$E$118),S68,$F237)</f>
        <v>0</v>
      </c>
      <c r="T267" s="16"/>
    </row>
    <row r="268" spans="4:20" ht="20.100000000000001" customHeight="1" x14ac:dyDescent="0.2">
      <c r="D268" s="111" t="str">
        <f>INDEX(X_Table_Swine_Stage1MMS_PitStorage,2,1)</f>
        <v>Pit storage</v>
      </c>
      <c r="E268" s="111" t="str">
        <f>INDEX(X_Table_Swine_Stage2MMS_From_PitStorage,2,1)</f>
        <v>Anaerobic lagoon</v>
      </c>
      <c r="F268" s="15" cm="1">
        <f t="array" aca="1" ref="F268" ca="1">MMS_Swine_ManureAppliedToSoils_Equations.VEERG_4_5_1_9__1_MassOfNitrogenAppliedToSoilsScope1(F39,_xlfn.XLOOKUP($E268,$D$123:$D$129,$E$123:$E$129), _xlfn.XLOOKUP($E268,$D$112:$D$118,$E$112:$E$118),F69,$F238)</f>
        <v>3.3909083999999994</v>
      </c>
      <c r="G268" s="15" cm="1">
        <f t="array" aca="1" ref="G268" ca="1">MMS_Swine_ManureAppliedToSoils_Equations.VEERG_4_5_1_9__1_MassOfNitrogenAppliedToSoilsScope1(G39,_xlfn.XLOOKUP($E268,$D$123:$D$129,$E$123:$E$129), _xlfn.XLOOKUP($E268,$D$112:$D$118,$E$112:$E$118),G69,$F238)</f>
        <v>4.5150682499999997</v>
      </c>
      <c r="H268" s="15" cm="1">
        <f t="array" aca="1" ref="H268" ca="1">MMS_Swine_ManureAppliedToSoils_Equations.VEERG_4_5_1_9__1_MassOfNitrogenAppliedToSoilsScope1(H39,_xlfn.XLOOKUP($E268,$D$123:$D$129,$E$123:$E$129), _xlfn.XLOOKUP($E268,$D$112:$D$118,$E$112:$E$118),H69,$F238)</f>
        <v>4.2386354999999991</v>
      </c>
      <c r="I268" s="15" cm="1">
        <f t="array" aca="1" ref="I268" ca="1">MMS_Swine_ManureAppliedToSoils_Equations.VEERG_4_5_1_9__1_MassOfNitrogenAppliedToSoilsScope1(I39,_xlfn.XLOOKUP($E268,$D$123:$D$129,$E$123:$E$129), _xlfn.XLOOKUP($E268,$D$112:$D$118,$E$112:$E$118),I69,$F238)</f>
        <v>2.8749005999999993</v>
      </c>
      <c r="J268" s="16"/>
      <c r="N268" s="111" t="str">
        <f>INDEX(X_Table_Swine_Stage1MMS_PitStorage,2,1)</f>
        <v>Pit storage</v>
      </c>
      <c r="O268" s="111" t="str">
        <f>INDEX(X_Table_Swine_Stage2MMS_From_PitStorage,2,1)</f>
        <v>Anaerobic lagoon</v>
      </c>
      <c r="P268" s="15" cm="1">
        <f t="array" aca="1" ref="P268" ca="1">MMS_Swine_ManureAppliedToSoils_Equations.VEERG_4_5_1_9__1_MassOfNitrogenAppliedToSoilsScope1(P39,_xlfn.XLOOKUP($E268,$D$123:$D$129,$E$123:$E$129), _xlfn.XLOOKUP($E268,$D$112:$D$118,$E$112:$E$118),P69,$F238)</f>
        <v>3.3909083999999994</v>
      </c>
      <c r="Q268" s="15" cm="1">
        <f t="array" aca="1" ref="Q268" ca="1">MMS_Swine_ManureAppliedToSoils_Equations.VEERG_4_5_1_9__1_MassOfNitrogenAppliedToSoilsScope1(Q39,_xlfn.XLOOKUP($E268,$D$123:$D$129,$E$123:$E$129), _xlfn.XLOOKUP($E268,$D$112:$D$118,$E$112:$E$118),Q69,$F238)</f>
        <v>4.5150682499999997</v>
      </c>
      <c r="R268" s="15" cm="1">
        <f t="array" aca="1" ref="R268" ca="1">MMS_Swine_ManureAppliedToSoils_Equations.VEERG_4_5_1_9__1_MassOfNitrogenAppliedToSoilsScope1(R39,_xlfn.XLOOKUP($E268,$D$123:$D$129,$E$123:$E$129), _xlfn.XLOOKUP($E268,$D$112:$D$118,$E$112:$E$118),R69,$F238)</f>
        <v>4.2386354999999991</v>
      </c>
      <c r="S268" s="15" cm="1">
        <f t="array" aca="1" ref="S268" ca="1">MMS_Swine_ManureAppliedToSoils_Equations.VEERG_4_5_1_9__1_MassOfNitrogenAppliedToSoilsScope1(S39,_xlfn.XLOOKUP($E268,$D$123:$D$129,$E$123:$E$129), _xlfn.XLOOKUP($E268,$D$112:$D$118,$E$112:$E$118),S69,$F238)</f>
        <v>2.8749005999999993</v>
      </c>
      <c r="T268" s="16"/>
    </row>
    <row r="269" spans="4:20" ht="20.100000000000001" customHeight="1" x14ac:dyDescent="0.2">
      <c r="D269" s="111"/>
      <c r="E269" s="111" t="str">
        <f>INDEX(X_Table_Swine_Stage2MMS_From_PitStorage,3,1)</f>
        <v>Digester / covered lagoons</v>
      </c>
      <c r="F269" s="15" cm="1">
        <f t="array" aca="1" ref="F269" ca="1">MMS_Swine_ManureAppliedToSoils_Equations.VEERG_4_5_1_9__1_MassOfNitrogenAppliedToSoilsScope1(F40,_xlfn.XLOOKUP($E269,$D$123:$D$129,$E$123:$E$129), _xlfn.XLOOKUP($E269,$D$112:$D$118,$E$112:$E$118),F70,$F239)</f>
        <v>7.5353519999999996</v>
      </c>
      <c r="G269" s="15" cm="1">
        <f t="array" aca="1" ref="G269" ca="1">MMS_Swine_ManureAppliedToSoils_Equations.VEERG_4_5_1_9__1_MassOfNitrogenAppliedToSoilsScope1(G40,_xlfn.XLOOKUP($E269,$D$123:$D$129,$E$123:$E$129), _xlfn.XLOOKUP($E269,$D$112:$D$118,$E$112:$E$118),G70,$F239)</f>
        <v>10.033485000000001</v>
      </c>
      <c r="H269" s="15" cm="1">
        <f t="array" aca="1" ref="H269" ca="1">MMS_Swine_ManureAppliedToSoils_Equations.VEERG_4_5_1_9__1_MassOfNitrogenAppliedToSoilsScope1(H40,_xlfn.XLOOKUP($E269,$D$123:$D$129,$E$123:$E$129), _xlfn.XLOOKUP($E269,$D$112:$D$118,$E$112:$E$118),H70,$F239)</f>
        <v>9.4191899999999986</v>
      </c>
      <c r="I269" s="15" cm="1">
        <f t="array" aca="1" ref="I269" ca="1">MMS_Swine_ManureAppliedToSoils_Equations.VEERG_4_5_1_9__1_MassOfNitrogenAppliedToSoilsScope1(I40,_xlfn.XLOOKUP($E269,$D$123:$D$129,$E$123:$E$129), _xlfn.XLOOKUP($E269,$D$112:$D$118,$E$112:$E$118),I70,$F239)</f>
        <v>6.3886679999999991</v>
      </c>
      <c r="J269" s="16"/>
      <c r="N269" s="111"/>
      <c r="O269" s="111" t="str">
        <f>INDEX(X_Table_Swine_Stage2MMS_From_PitStorage,3,1)</f>
        <v>Digester / covered lagoons</v>
      </c>
      <c r="P269" s="15" cm="1">
        <f t="array" aca="1" ref="P269" ca="1">MMS_Swine_ManureAppliedToSoils_Equations.VEERG_4_5_1_9__1_MassOfNitrogenAppliedToSoilsScope1(P40,_xlfn.XLOOKUP($E269,$D$123:$D$129,$E$123:$E$129), _xlfn.XLOOKUP($E269,$D$112:$D$118,$E$112:$E$118),P70,$F239)</f>
        <v>7.5353519999999996</v>
      </c>
      <c r="Q269" s="15" cm="1">
        <f t="array" aca="1" ref="Q269" ca="1">MMS_Swine_ManureAppliedToSoils_Equations.VEERG_4_5_1_9__1_MassOfNitrogenAppliedToSoilsScope1(Q40,_xlfn.XLOOKUP($E269,$D$123:$D$129,$E$123:$E$129), _xlfn.XLOOKUP($E269,$D$112:$D$118,$E$112:$E$118),Q70,$F239)</f>
        <v>10.033485000000001</v>
      </c>
      <c r="R269" s="15" cm="1">
        <f t="array" aca="1" ref="R269" ca="1">MMS_Swine_ManureAppliedToSoils_Equations.VEERG_4_5_1_9__1_MassOfNitrogenAppliedToSoilsScope1(R40,_xlfn.XLOOKUP($E269,$D$123:$D$129,$E$123:$E$129), _xlfn.XLOOKUP($E269,$D$112:$D$118,$E$112:$E$118),R70,$F239)</f>
        <v>9.4191899999999986</v>
      </c>
      <c r="S269" s="15" cm="1">
        <f t="array" aca="1" ref="S269" ca="1">MMS_Swine_ManureAppliedToSoils_Equations.VEERG_4_5_1_9__1_MassOfNitrogenAppliedToSoilsScope1(S40,_xlfn.XLOOKUP($E269,$D$123:$D$129,$E$123:$E$129), _xlfn.XLOOKUP($E269,$D$112:$D$118,$E$112:$E$118),S70,$F239)</f>
        <v>6.3886679999999991</v>
      </c>
      <c r="T269" s="16"/>
    </row>
    <row r="270" spans="4:20" ht="20.100000000000001" customHeight="1" x14ac:dyDescent="0.2">
      <c r="D270" s="111"/>
      <c r="E270" s="111" t="str">
        <f>INDEX(X_Table_Swine_Stage2MMS_From_PitStorage,4,1)</f>
        <v>Deep litter</v>
      </c>
      <c r="F270" s="15" cm="1">
        <f t="array" aca="1" ref="F270" ca="1">MMS_Swine_ManureAppliedToSoils_Equations.VEERG_4_5_1_9__1_MassOfNitrogenAppliedToSoilsScope1(F41,_xlfn.XLOOKUP($E270,$D$123:$D$129,$E$123:$E$129), _xlfn.XLOOKUP($E270,$D$112:$D$118,$E$112:$E$118),F71,$F240)</f>
        <v>6.5180794799999999</v>
      </c>
      <c r="G270" s="15" cm="1">
        <f t="array" aca="1" ref="G270" ca="1">MMS_Swine_ManureAppliedToSoils_Equations.VEERG_4_5_1_9__1_MassOfNitrogenAppliedToSoilsScope1(G41,_xlfn.XLOOKUP($E270,$D$123:$D$129,$E$123:$E$129), _xlfn.XLOOKUP($E270,$D$112:$D$118,$E$112:$E$118),G71,$F240)</f>
        <v>8.6789645249999996</v>
      </c>
      <c r="H270" s="15" cm="1">
        <f t="array" aca="1" ref="H270" ca="1">MMS_Swine_ManureAppliedToSoils_Equations.VEERG_4_5_1_9__1_MassOfNitrogenAppliedToSoilsScope1(H41,_xlfn.XLOOKUP($E270,$D$123:$D$129,$E$123:$E$129), _xlfn.XLOOKUP($E270,$D$112:$D$118,$E$112:$E$118),H71,$F240)</f>
        <v>8.1475993499999984</v>
      </c>
      <c r="I270" s="15" cm="1">
        <f t="array" aca="1" ref="I270" ca="1">MMS_Swine_ManureAppliedToSoils_Equations.VEERG_4_5_1_9__1_MassOfNitrogenAppliedToSoilsScope1(I41,_xlfn.XLOOKUP($E270,$D$123:$D$129,$E$123:$E$129), _xlfn.XLOOKUP($E270,$D$112:$D$118,$E$112:$E$118),I71,$F240)</f>
        <v>5.5261978199999993</v>
      </c>
      <c r="J270" s="16"/>
      <c r="N270" s="111"/>
      <c r="O270" s="111" t="str">
        <f>INDEX(X_Table_Swine_Stage2MMS_From_PitStorage,4,1)</f>
        <v>Deep litter</v>
      </c>
      <c r="P270" s="15" cm="1">
        <f t="array" aca="1" ref="P270" ca="1">MMS_Swine_ManureAppliedToSoils_Equations.VEERG_4_5_1_9__1_MassOfNitrogenAppliedToSoilsScope1(P41,_xlfn.XLOOKUP($E270,$D$123:$D$129,$E$123:$E$129), _xlfn.XLOOKUP($E270,$D$112:$D$118,$E$112:$E$118),P71,$F240)</f>
        <v>6.5180794799999999</v>
      </c>
      <c r="Q270" s="15" cm="1">
        <f t="array" aca="1" ref="Q270" ca="1">MMS_Swine_ManureAppliedToSoils_Equations.VEERG_4_5_1_9__1_MassOfNitrogenAppliedToSoilsScope1(Q41,_xlfn.XLOOKUP($E270,$D$123:$D$129,$E$123:$E$129), _xlfn.XLOOKUP($E270,$D$112:$D$118,$E$112:$E$118),Q71,$F240)</f>
        <v>8.6789645249999996</v>
      </c>
      <c r="R270" s="15" cm="1">
        <f t="array" aca="1" ref="R270" ca="1">MMS_Swine_ManureAppliedToSoils_Equations.VEERG_4_5_1_9__1_MassOfNitrogenAppliedToSoilsScope1(R41,_xlfn.XLOOKUP($E270,$D$123:$D$129,$E$123:$E$129), _xlfn.XLOOKUP($E270,$D$112:$D$118,$E$112:$E$118),R71,$F240)</f>
        <v>8.1475993499999984</v>
      </c>
      <c r="S270" s="15" cm="1">
        <f t="array" aca="1" ref="S270" ca="1">MMS_Swine_ManureAppliedToSoils_Equations.VEERG_4_5_1_9__1_MassOfNitrogenAppliedToSoilsScope1(S41,_xlfn.XLOOKUP($E270,$D$123:$D$129,$E$123:$E$129), _xlfn.XLOOKUP($E270,$D$112:$D$118,$E$112:$E$118),S71,$F240)</f>
        <v>5.5261978199999993</v>
      </c>
      <c r="T270" s="16"/>
    </row>
    <row r="271" spans="4:20" ht="20.100000000000001" customHeight="1" x14ac:dyDescent="0.2">
      <c r="D271" s="111"/>
      <c r="E271" s="111" t="str">
        <f>INDEX(X_Table_Swine_Stage2MMS_From_PitStorage,5,1)</f>
        <v>Direct application</v>
      </c>
      <c r="F271" s="15" cm="1">
        <f t="array" aca="1" ref="F271" ca="1">MMS_Swine_ManureAppliedToSoils_Equations.VEERG_4_5_1_9__1_MassOfNitrogenAppliedToSoilsScope1(F42,_xlfn.XLOOKUP($E271,$D$123:$D$129,$E$123:$E$129), _xlfn.XLOOKUP($E271,$D$112:$D$118,$E$112:$E$118),F72,$F241)</f>
        <v>0</v>
      </c>
      <c r="G271" s="15" cm="1">
        <f t="array" aca="1" ref="G271" ca="1">MMS_Swine_ManureAppliedToSoils_Equations.VEERG_4_5_1_9__1_MassOfNitrogenAppliedToSoilsScope1(G42,_xlfn.XLOOKUP($E271,$D$123:$D$129,$E$123:$E$129), _xlfn.XLOOKUP($E271,$D$112:$D$118,$E$112:$E$118),G72,$F241)</f>
        <v>0</v>
      </c>
      <c r="H271" s="15" cm="1">
        <f t="array" aca="1" ref="H271" ca="1">MMS_Swine_ManureAppliedToSoils_Equations.VEERG_4_5_1_9__1_MassOfNitrogenAppliedToSoilsScope1(H42,_xlfn.XLOOKUP($E271,$D$123:$D$129,$E$123:$E$129), _xlfn.XLOOKUP($E271,$D$112:$D$118,$E$112:$E$118),H72,$F241)</f>
        <v>0</v>
      </c>
      <c r="I271" s="15" cm="1">
        <f t="array" aca="1" ref="I271" ca="1">MMS_Swine_ManureAppliedToSoils_Equations.VEERG_4_5_1_9__1_MassOfNitrogenAppliedToSoilsScope1(I42,_xlfn.XLOOKUP($E271,$D$123:$D$129,$E$123:$E$129), _xlfn.XLOOKUP($E271,$D$112:$D$118,$E$112:$E$118),I72,$F241)</f>
        <v>0</v>
      </c>
      <c r="J271" s="16"/>
      <c r="N271" s="111"/>
      <c r="O271" s="111" t="str">
        <f>INDEX(X_Table_Swine_Stage2MMS_From_PitStorage,5,1)</f>
        <v>Direct application</v>
      </c>
      <c r="P271" s="15" cm="1">
        <f t="array" aca="1" ref="P271" ca="1">MMS_Swine_ManureAppliedToSoils_Equations.VEERG_4_5_1_9__1_MassOfNitrogenAppliedToSoilsScope1(P42,_xlfn.XLOOKUP($E271,$D$123:$D$129,$E$123:$E$129), _xlfn.XLOOKUP($E271,$D$112:$D$118,$E$112:$E$118),P72,$F241)</f>
        <v>0</v>
      </c>
      <c r="Q271" s="15" cm="1">
        <f t="array" aca="1" ref="Q271" ca="1">MMS_Swine_ManureAppliedToSoils_Equations.VEERG_4_5_1_9__1_MassOfNitrogenAppliedToSoilsScope1(Q42,_xlfn.XLOOKUP($E271,$D$123:$D$129,$E$123:$E$129), _xlfn.XLOOKUP($E271,$D$112:$D$118,$E$112:$E$118),Q72,$F241)</f>
        <v>0</v>
      </c>
      <c r="R271" s="15" cm="1">
        <f t="array" aca="1" ref="R271" ca="1">MMS_Swine_ManureAppliedToSoils_Equations.VEERG_4_5_1_9__1_MassOfNitrogenAppliedToSoilsScope1(R42,_xlfn.XLOOKUP($E271,$D$123:$D$129,$E$123:$E$129), _xlfn.XLOOKUP($E271,$D$112:$D$118,$E$112:$E$118),R72,$F241)</f>
        <v>0</v>
      </c>
      <c r="S271" s="15" cm="1">
        <f t="array" aca="1" ref="S271" ca="1">MMS_Swine_ManureAppliedToSoils_Equations.VEERG_4_5_1_9__1_MassOfNitrogenAppliedToSoilsScope1(S42,_xlfn.XLOOKUP($E271,$D$123:$D$129,$E$123:$E$129), _xlfn.XLOOKUP($E271,$D$112:$D$118,$E$112:$E$118),S72,$F241)</f>
        <v>0</v>
      </c>
      <c r="T271" s="16"/>
    </row>
    <row r="272" spans="4:20" ht="20.100000000000001" customHeight="1" x14ac:dyDescent="0.2">
      <c r="D272" s="111" t="s">
        <v>75</v>
      </c>
      <c r="E272" s="111" t="str">
        <f>INDEX(X_Table_Swine_Stage2MMS_From_SolidStorage,2,1)</f>
        <v>Anaerobic lagoon</v>
      </c>
      <c r="F272" s="15" cm="1">
        <f t="array" aca="1" ref="F272" ca="1">MMS_Swine_ManureAppliedToSoils_Equations.VEERG_4_5_1_9__1_MassOfNitrogenAppliedToSoilsScope1(F43,_xlfn.XLOOKUP($E272,$D$123:$D$129,$E$123:$E$129), _xlfn.XLOOKUP($E272,$D$112:$D$118,$E$112:$E$118),F73,$F242)</f>
        <v>12.013245000000003</v>
      </c>
      <c r="G272" s="15" cm="1">
        <f t="array" aca="1" ref="G272" ca="1">MMS_Swine_ManureAppliedToSoils_Equations.VEERG_4_5_1_9__1_MassOfNitrogenAppliedToSoilsScope1(G43,_xlfn.XLOOKUP($E272,$D$123:$D$129,$E$123:$E$129), _xlfn.XLOOKUP($E272,$D$112:$D$118,$E$112:$E$118),G73,$F242)</f>
        <v>12.796717500000007</v>
      </c>
      <c r="H272" s="15" cm="1">
        <f t="array" aca="1" ref="H272" ca="1">MMS_Swine_ManureAppliedToSoils_Equations.VEERG_4_5_1_9__1_MassOfNitrogenAppliedToSoilsScope1(H43,_xlfn.XLOOKUP($E272,$D$123:$D$129,$E$123:$E$129), _xlfn.XLOOKUP($E272,$D$112:$D$118,$E$112:$E$118),H73,$F242)</f>
        <v>12.013245000000003</v>
      </c>
      <c r="I272" s="15" cm="1">
        <f t="array" aca="1" ref="I272" ca="1">MMS_Swine_ManureAppliedToSoils_Equations.VEERG_4_5_1_9__1_MassOfNitrogenAppliedToSoilsScope1(I43,_xlfn.XLOOKUP($E272,$D$123:$D$129,$E$123:$E$129), _xlfn.XLOOKUP($E272,$D$112:$D$118,$E$112:$E$118),I73,$F242)</f>
        <v>8.1481140000000032</v>
      </c>
      <c r="J272" s="16"/>
      <c r="N272" s="111" t="s">
        <v>75</v>
      </c>
      <c r="O272" s="111" t="str">
        <f>INDEX(X_Table_Swine_Stage2MMS_From_SolidStorage,2,1)</f>
        <v>Anaerobic lagoon</v>
      </c>
      <c r="P272" s="15" cm="1">
        <f t="array" aca="1" ref="P272" ca="1">MMS_Swine_ManureAppliedToSoils_Equations.VEERG_4_5_1_9__1_MassOfNitrogenAppliedToSoilsScope1(P43,_xlfn.XLOOKUP($E272,$D$123:$D$129,$E$123:$E$129), _xlfn.XLOOKUP($E272,$D$112:$D$118,$E$112:$E$118),P73,$F242)</f>
        <v>12.013245000000003</v>
      </c>
      <c r="Q272" s="15" cm="1">
        <f t="array" aca="1" ref="Q272" ca="1">MMS_Swine_ManureAppliedToSoils_Equations.VEERG_4_5_1_9__1_MassOfNitrogenAppliedToSoilsScope1(Q43,_xlfn.XLOOKUP($E272,$D$123:$D$129,$E$123:$E$129), _xlfn.XLOOKUP($E272,$D$112:$D$118,$E$112:$E$118),Q73,$F242)</f>
        <v>12.796717500000007</v>
      </c>
      <c r="R272" s="15" cm="1">
        <f t="array" aca="1" ref="R272" ca="1">MMS_Swine_ManureAppliedToSoils_Equations.VEERG_4_5_1_9__1_MassOfNitrogenAppliedToSoilsScope1(R43,_xlfn.XLOOKUP($E272,$D$123:$D$129,$E$123:$E$129), _xlfn.XLOOKUP($E272,$D$112:$D$118,$E$112:$E$118),R73,$F242)</f>
        <v>12.013245000000003</v>
      </c>
      <c r="S272" s="15" cm="1">
        <f t="array" aca="1" ref="S272" ca="1">MMS_Swine_ManureAppliedToSoils_Equations.VEERG_4_5_1_9__1_MassOfNitrogenAppliedToSoilsScope1(S43,_xlfn.XLOOKUP($E272,$D$123:$D$129,$E$123:$E$129), _xlfn.XLOOKUP($E272,$D$112:$D$118,$E$112:$E$118),S73,$F242)</f>
        <v>8.1481140000000032</v>
      </c>
      <c r="T272" s="16"/>
    </row>
    <row r="273" spans="1:20" ht="20.100000000000001" customHeight="1" x14ac:dyDescent="0.2">
      <c r="D273" s="111"/>
      <c r="E273" s="111" t="str">
        <f>INDEX(X_Table_Swine_Stage2MMS_From_SolidStorage,3,1)</f>
        <v>Digester / covered lagoons</v>
      </c>
      <c r="F273" s="15" cm="1">
        <f t="array" aca="1" ref="F273" ca="1">MMS_Swine_ManureAppliedToSoils_Equations.VEERG_4_5_1_9__1_MassOfNitrogenAppliedToSoilsScope1(F44,_xlfn.XLOOKUP($E273,$D$123:$D$129,$E$123:$E$129), _xlfn.XLOOKUP($E273,$D$112:$D$118,$E$112:$E$118),F74,$F243)</f>
        <v>26.696100000000008</v>
      </c>
      <c r="G273" s="15" cm="1">
        <f t="array" aca="1" ref="G273" ca="1">MMS_Swine_ManureAppliedToSoils_Equations.VEERG_4_5_1_9__1_MassOfNitrogenAppliedToSoilsScope1(G44,_xlfn.XLOOKUP($E273,$D$123:$D$129,$E$123:$E$129), _xlfn.XLOOKUP($E273,$D$112:$D$118,$E$112:$E$118),G74,$F243)</f>
        <v>28.437150000000017</v>
      </c>
      <c r="H273" s="15" cm="1">
        <f t="array" aca="1" ref="H273" ca="1">MMS_Swine_ManureAppliedToSoils_Equations.VEERG_4_5_1_9__1_MassOfNitrogenAppliedToSoilsScope1(H44,_xlfn.XLOOKUP($E273,$D$123:$D$129,$E$123:$E$129), _xlfn.XLOOKUP($E273,$D$112:$D$118,$E$112:$E$118),H74,$F243)</f>
        <v>26.696100000000008</v>
      </c>
      <c r="I273" s="15" cm="1">
        <f t="array" aca="1" ref="I273" ca="1">MMS_Swine_ManureAppliedToSoils_Equations.VEERG_4_5_1_9__1_MassOfNitrogenAppliedToSoilsScope1(I44,_xlfn.XLOOKUP($E273,$D$123:$D$129,$E$123:$E$129), _xlfn.XLOOKUP($E273,$D$112:$D$118,$E$112:$E$118),I74,$F243)</f>
        <v>18.106920000000009</v>
      </c>
      <c r="J273" s="16"/>
      <c r="N273" s="111"/>
      <c r="O273" s="111" t="str">
        <f>INDEX(X_Table_Swine_Stage2MMS_From_SolidStorage,3,1)</f>
        <v>Digester / covered lagoons</v>
      </c>
      <c r="P273" s="15" cm="1">
        <f t="array" aca="1" ref="P273" ca="1">MMS_Swine_ManureAppliedToSoils_Equations.VEERG_4_5_1_9__1_MassOfNitrogenAppliedToSoilsScope1(P44,_xlfn.XLOOKUP($E273,$D$123:$D$129,$E$123:$E$129), _xlfn.XLOOKUP($E273,$D$112:$D$118,$E$112:$E$118),P74,$F243)</f>
        <v>26.696100000000008</v>
      </c>
      <c r="Q273" s="15" cm="1">
        <f t="array" aca="1" ref="Q273" ca="1">MMS_Swine_ManureAppliedToSoils_Equations.VEERG_4_5_1_9__1_MassOfNitrogenAppliedToSoilsScope1(Q44,_xlfn.XLOOKUP($E273,$D$123:$D$129,$E$123:$E$129), _xlfn.XLOOKUP($E273,$D$112:$D$118,$E$112:$E$118),Q74,$F243)</f>
        <v>28.437150000000017</v>
      </c>
      <c r="R273" s="15" cm="1">
        <f t="array" aca="1" ref="R273" ca="1">MMS_Swine_ManureAppliedToSoils_Equations.VEERG_4_5_1_9__1_MassOfNitrogenAppliedToSoilsScope1(R44,_xlfn.XLOOKUP($E273,$D$123:$D$129,$E$123:$E$129), _xlfn.XLOOKUP($E273,$D$112:$D$118,$E$112:$E$118),R74,$F243)</f>
        <v>26.696100000000008</v>
      </c>
      <c r="S273" s="15" cm="1">
        <f t="array" aca="1" ref="S273" ca="1">MMS_Swine_ManureAppliedToSoils_Equations.VEERG_4_5_1_9__1_MassOfNitrogenAppliedToSoilsScope1(S44,_xlfn.XLOOKUP($E273,$D$123:$D$129,$E$123:$E$129), _xlfn.XLOOKUP($E273,$D$112:$D$118,$E$112:$E$118),S74,$F243)</f>
        <v>18.106920000000009</v>
      </c>
      <c r="T273" s="16"/>
    </row>
    <row r="274" spans="1:20" ht="20.100000000000001" customHeight="1" x14ac:dyDescent="0.2">
      <c r="D274" s="111"/>
      <c r="E274" s="111" t="str">
        <f>INDEX(X_Table_Swine_Stage2MMS_From_SolidStorage,4,1)</f>
        <v>Deep litter</v>
      </c>
      <c r="F274" s="15" cm="1">
        <f t="array" aca="1" ref="F274" ca="1">MMS_Swine_ManureAppliedToSoils_Equations.VEERG_4_5_1_9__1_MassOfNitrogenAppliedToSoilsScope1(F45,_xlfn.XLOOKUP($E274,$D$123:$D$129,$E$123:$E$129), _xlfn.XLOOKUP($E274,$D$112:$D$118,$E$112:$E$118),F75,$F244)</f>
        <v>23.092126500000006</v>
      </c>
      <c r="G274" s="15" cm="1">
        <f t="array" aca="1" ref="G274" ca="1">MMS_Swine_ManureAppliedToSoils_Equations.VEERG_4_5_1_9__1_MassOfNitrogenAppliedToSoilsScope1(G45,_xlfn.XLOOKUP($E274,$D$123:$D$129,$E$123:$E$129), _xlfn.XLOOKUP($E274,$D$112:$D$118,$E$112:$E$118),G75,$F244)</f>
        <v>24.598134750000014</v>
      </c>
      <c r="H274" s="15" cm="1">
        <f t="array" aca="1" ref="H274" ca="1">MMS_Swine_ManureAppliedToSoils_Equations.VEERG_4_5_1_9__1_MassOfNitrogenAppliedToSoilsScope1(H45,_xlfn.XLOOKUP($E274,$D$123:$D$129,$E$123:$E$129), _xlfn.XLOOKUP($E274,$D$112:$D$118,$E$112:$E$118),H75,$F244)</f>
        <v>23.092126500000006</v>
      </c>
      <c r="I274" s="15" cm="1">
        <f t="array" aca="1" ref="I274" ca="1">MMS_Swine_ManureAppliedToSoils_Equations.VEERG_4_5_1_9__1_MassOfNitrogenAppliedToSoilsScope1(I45,_xlfn.XLOOKUP($E274,$D$123:$D$129,$E$123:$E$129), _xlfn.XLOOKUP($E274,$D$112:$D$118,$E$112:$E$118),I75,$F244)</f>
        <v>15.662485800000008</v>
      </c>
      <c r="J274" s="16"/>
      <c r="N274" s="111"/>
      <c r="O274" s="111" t="str">
        <f>INDEX(X_Table_Swine_Stage2MMS_From_SolidStorage,4,1)</f>
        <v>Deep litter</v>
      </c>
      <c r="P274" s="15" cm="1">
        <f t="array" aca="1" ref="P274" ca="1">MMS_Swine_ManureAppliedToSoils_Equations.VEERG_4_5_1_9__1_MassOfNitrogenAppliedToSoilsScope1(P45,_xlfn.XLOOKUP($E274,$D$123:$D$129,$E$123:$E$129), _xlfn.XLOOKUP($E274,$D$112:$D$118,$E$112:$E$118),P75,$F244)</f>
        <v>23.092126500000006</v>
      </c>
      <c r="Q274" s="15" cm="1">
        <f t="array" aca="1" ref="Q274" ca="1">MMS_Swine_ManureAppliedToSoils_Equations.VEERG_4_5_1_9__1_MassOfNitrogenAppliedToSoilsScope1(Q45,_xlfn.XLOOKUP($E274,$D$123:$D$129,$E$123:$E$129), _xlfn.XLOOKUP($E274,$D$112:$D$118,$E$112:$E$118),Q75,$F244)</f>
        <v>24.598134750000014</v>
      </c>
      <c r="R274" s="15" cm="1">
        <f t="array" aca="1" ref="R274" ca="1">MMS_Swine_ManureAppliedToSoils_Equations.VEERG_4_5_1_9__1_MassOfNitrogenAppliedToSoilsScope1(R45,_xlfn.XLOOKUP($E274,$D$123:$D$129,$E$123:$E$129), _xlfn.XLOOKUP($E274,$D$112:$D$118,$E$112:$E$118),R75,$F244)</f>
        <v>23.092126500000006</v>
      </c>
      <c r="S274" s="15" cm="1">
        <f t="array" aca="1" ref="S274" ca="1">MMS_Swine_ManureAppliedToSoils_Equations.VEERG_4_5_1_9__1_MassOfNitrogenAppliedToSoilsScope1(S45,_xlfn.XLOOKUP($E274,$D$123:$D$129,$E$123:$E$129), _xlfn.XLOOKUP($E274,$D$112:$D$118,$E$112:$E$118),S75,$F244)</f>
        <v>15.662485800000008</v>
      </c>
      <c r="T274" s="16"/>
    </row>
    <row r="275" spans="1:20" ht="20.100000000000001" customHeight="1" x14ac:dyDescent="0.2">
      <c r="D275" s="111"/>
      <c r="E275" s="111" t="str">
        <f>INDEX(X_Table_Swine_Stage2MMS_From_SolidStorage,5,1)</f>
        <v>Pit storage</v>
      </c>
      <c r="F275" s="15" cm="1">
        <f t="array" aca="1" ref="F275" ca="1">MMS_Swine_ManureAppliedToSoils_Equations.VEERG_4_5_1_9__1_MassOfNitrogenAppliedToSoilsScope1(F46,_xlfn.XLOOKUP($E275,$D$123:$D$129,$E$123:$E$129), _xlfn.XLOOKUP($E275,$D$112:$D$118,$E$112:$E$118),F76,$F245)</f>
        <v>9.9843414000000035</v>
      </c>
      <c r="G275" s="15" cm="1">
        <f t="array" aca="1" ref="G275" ca="1">MMS_Swine_ManureAppliedToSoils_Equations.VEERG_4_5_1_9__1_MassOfNitrogenAppliedToSoilsScope1(G46,_xlfn.XLOOKUP($E275,$D$123:$D$129,$E$123:$E$129), _xlfn.XLOOKUP($E275,$D$112:$D$118,$E$112:$E$118),G76,$F245)</f>
        <v>10.635494100000006</v>
      </c>
      <c r="H275" s="15" cm="1">
        <f t="array" aca="1" ref="H275" ca="1">MMS_Swine_ManureAppliedToSoils_Equations.VEERG_4_5_1_9__1_MassOfNitrogenAppliedToSoilsScope1(H46,_xlfn.XLOOKUP($E275,$D$123:$D$129,$E$123:$E$129), _xlfn.XLOOKUP($E275,$D$112:$D$118,$E$112:$E$118),H76,$F245)</f>
        <v>9.9843414000000035</v>
      </c>
      <c r="I275" s="15" cm="1">
        <f t="array" aca="1" ref="I275" ca="1">MMS_Swine_ManureAppliedToSoils_Equations.VEERG_4_5_1_9__1_MassOfNitrogenAppliedToSoilsScope1(I46,_xlfn.XLOOKUP($E275,$D$123:$D$129,$E$123:$E$129), _xlfn.XLOOKUP($E275,$D$112:$D$118,$E$112:$E$118),I76,$F245)</f>
        <v>6.7719880800000034</v>
      </c>
      <c r="J275" s="16"/>
      <c r="N275" s="111"/>
      <c r="O275" s="111" t="str">
        <f>INDEX(X_Table_Swine_Stage2MMS_From_SolidStorage,5,1)</f>
        <v>Pit storage</v>
      </c>
      <c r="P275" s="15" cm="1">
        <f t="array" aca="1" ref="P275" ca="1">MMS_Swine_ManureAppliedToSoils_Equations.VEERG_4_5_1_9__1_MassOfNitrogenAppliedToSoilsScope1(P46,_xlfn.XLOOKUP($E275,$D$123:$D$129,$E$123:$E$129), _xlfn.XLOOKUP($E275,$D$112:$D$118,$E$112:$E$118),P76,$F245)</f>
        <v>9.9843414000000035</v>
      </c>
      <c r="Q275" s="15" cm="1">
        <f t="array" aca="1" ref="Q275" ca="1">MMS_Swine_ManureAppliedToSoils_Equations.VEERG_4_5_1_9__1_MassOfNitrogenAppliedToSoilsScope1(Q46,_xlfn.XLOOKUP($E275,$D$123:$D$129,$E$123:$E$129), _xlfn.XLOOKUP($E275,$D$112:$D$118,$E$112:$E$118),Q76,$F245)</f>
        <v>10.635494100000006</v>
      </c>
      <c r="R275" s="15" cm="1">
        <f t="array" aca="1" ref="R275" ca="1">MMS_Swine_ManureAppliedToSoils_Equations.VEERG_4_5_1_9__1_MassOfNitrogenAppliedToSoilsScope1(R46,_xlfn.XLOOKUP($E275,$D$123:$D$129,$E$123:$E$129), _xlfn.XLOOKUP($E275,$D$112:$D$118,$E$112:$E$118),R76,$F245)</f>
        <v>9.9843414000000035</v>
      </c>
      <c r="S275" s="15" cm="1">
        <f t="array" aca="1" ref="S275" ca="1">MMS_Swine_ManureAppliedToSoils_Equations.VEERG_4_5_1_9__1_MassOfNitrogenAppliedToSoilsScope1(S46,_xlfn.XLOOKUP($E275,$D$123:$D$129,$E$123:$E$129), _xlfn.XLOOKUP($E275,$D$112:$D$118,$E$112:$E$118),S76,$F245)</f>
        <v>6.7719880800000034</v>
      </c>
      <c r="T275" s="16"/>
    </row>
    <row r="276" spans="1:20" ht="20.100000000000001" customHeight="1" x14ac:dyDescent="0.2">
      <c r="D276" s="111"/>
      <c r="E276" s="111" t="str">
        <f>INDEX(X_Table_Swine_Stage2MMS_From_SolidStorage,6,1)</f>
        <v>Direct application</v>
      </c>
      <c r="F276" s="15" cm="1">
        <f t="array" aca="1" ref="F276" ca="1">MMS_Swine_ManureAppliedToSoils_Equations.VEERG_4_5_1_9__1_MassOfNitrogenAppliedToSoilsScope1(F47,_xlfn.XLOOKUP($E276,$D$123:$D$129,$E$123:$E$129), _xlfn.XLOOKUP($E276,$D$112:$D$118,$E$112:$E$118),F77,$F246)</f>
        <v>0</v>
      </c>
      <c r="G276" s="15" cm="1">
        <f t="array" aca="1" ref="G276" ca="1">MMS_Swine_ManureAppliedToSoils_Equations.VEERG_4_5_1_9__1_MassOfNitrogenAppliedToSoilsScope1(G47,_xlfn.XLOOKUP($E276,$D$123:$D$129,$E$123:$E$129), _xlfn.XLOOKUP($E276,$D$112:$D$118,$E$112:$E$118),G77,$F246)</f>
        <v>0</v>
      </c>
      <c r="H276" s="15" cm="1">
        <f t="array" aca="1" ref="H276" ca="1">MMS_Swine_ManureAppliedToSoils_Equations.VEERG_4_5_1_9__1_MassOfNitrogenAppliedToSoilsScope1(H47,_xlfn.XLOOKUP($E276,$D$123:$D$129,$E$123:$E$129), _xlfn.XLOOKUP($E276,$D$112:$D$118,$E$112:$E$118),H77,$F246)</f>
        <v>0</v>
      </c>
      <c r="I276" s="15" cm="1">
        <f t="array" aca="1" ref="I276" ca="1">MMS_Swine_ManureAppliedToSoils_Equations.VEERG_4_5_1_9__1_MassOfNitrogenAppliedToSoilsScope1(I47,_xlfn.XLOOKUP($E276,$D$123:$D$129,$E$123:$E$129), _xlfn.XLOOKUP($E276,$D$112:$D$118,$E$112:$E$118),I77,$F246)</f>
        <v>0</v>
      </c>
      <c r="J276" s="16"/>
      <c r="N276" s="111"/>
      <c r="O276" s="111" t="str">
        <f>INDEX(X_Table_Swine_Stage2MMS_From_SolidStorage,6,1)</f>
        <v>Direct application</v>
      </c>
      <c r="P276" s="15" cm="1">
        <f t="array" aca="1" ref="P276" ca="1">MMS_Swine_ManureAppliedToSoils_Equations.VEERG_4_5_1_9__1_MassOfNitrogenAppliedToSoilsScope1(P47,_xlfn.XLOOKUP($E276,$D$123:$D$129,$E$123:$E$129), _xlfn.XLOOKUP($E276,$D$112:$D$118,$E$112:$E$118),P77,$F246)</f>
        <v>0</v>
      </c>
      <c r="Q276" s="15" cm="1">
        <f t="array" aca="1" ref="Q276" ca="1">MMS_Swine_ManureAppliedToSoils_Equations.VEERG_4_5_1_9__1_MassOfNitrogenAppliedToSoilsScope1(Q47,_xlfn.XLOOKUP($E276,$D$123:$D$129,$E$123:$E$129), _xlfn.XLOOKUP($E276,$D$112:$D$118,$E$112:$E$118),Q77,$F246)</f>
        <v>0</v>
      </c>
      <c r="R276" s="15" cm="1">
        <f t="array" aca="1" ref="R276" ca="1">MMS_Swine_ManureAppliedToSoils_Equations.VEERG_4_5_1_9__1_MassOfNitrogenAppliedToSoilsScope1(R47,_xlfn.XLOOKUP($E276,$D$123:$D$129,$E$123:$E$129), _xlfn.XLOOKUP($E276,$D$112:$D$118,$E$112:$E$118),R77,$F246)</f>
        <v>0</v>
      </c>
      <c r="S276" s="15" cm="1">
        <f t="array" aca="1" ref="S276" ca="1">MMS_Swine_ManureAppliedToSoils_Equations.VEERG_4_5_1_9__1_MassOfNitrogenAppliedToSoilsScope1(S47,_xlfn.XLOOKUP($E276,$D$123:$D$129,$E$123:$E$129), _xlfn.XLOOKUP($E276,$D$112:$D$118,$E$112:$E$118),S77,$F246)</f>
        <v>0</v>
      </c>
      <c r="T276" s="16"/>
    </row>
    <row r="277" spans="1:20" ht="20.100000000000001" customHeight="1" x14ac:dyDescent="0.2">
      <c r="A277" s="131" t="str">
        <f>HYPERLINK("#A1", "▲ Back to top")</f>
        <v>▲ Back to top</v>
      </c>
    </row>
    <row r="278" spans="1:20" ht="20.100000000000001" customHeight="1" x14ac:dyDescent="0.2">
      <c r="D278" s="84" t="s">
        <v>472</v>
      </c>
      <c r="E278" s="85">
        <f ca="1">SUM(F251:I276)</f>
        <v>653.20846285499988</v>
      </c>
      <c r="F278" s="94" t="str">
        <f>$E$11</f>
        <v>kg N</v>
      </c>
      <c r="N278" s="84" t="s">
        <v>472</v>
      </c>
      <c r="O278" s="85">
        <f ca="1">SUM(P251:S276)</f>
        <v>653.20846285499988</v>
      </c>
      <c r="P278" s="94" t="str">
        <f>$E$11</f>
        <v>kg N</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D6A36-F96E-41DD-A9B3-EC7444882126}">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595</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8"/>
      <c r="P5" s="158"/>
      <c r="Q5" s="158"/>
    </row>
    <row r="6" spans="1:18" ht="20.100000000000001" customHeight="1" x14ac:dyDescent="0.2">
      <c r="D6" s="17" t="str" cm="1">
        <f t="array" ref="D6">Fuel_Equations.VEERG_8_1_1_1__1_FuelCombustionTransport_Source()</f>
        <v>VEERG 2026: 8.1.1.1, Equation (1)</v>
      </c>
      <c r="K6" s="17" t="str" cm="1">
        <f t="array" ref="K6">Scope3_Equations.VEERG_15_11_1_1__2_UpstreamTransportFuelEmissions_Source()</f>
        <v>VEERG 2026: 15.11.1.1, Equation (2)</v>
      </c>
      <c r="O6" s="158"/>
      <c r="P6" s="158"/>
      <c r="Q6" s="158"/>
    </row>
    <row r="7" spans="1:18" ht="20.100000000000001" customHeight="1" x14ac:dyDescent="0.2">
      <c r="D7" s="110" t="s">
        <v>321</v>
      </c>
      <c r="E7" s="110" t="str" cm="1">
        <f t="array" aca="1" ref="E7" ca="1">Common_InputFunctions.Utility_DisplayFunctionName(N25)</f>
        <v>=Fuel_Equations.VEERG_8_1_1_1__1_FuelCombustionTransport</v>
      </c>
      <c r="K7" s="110" t="s">
        <v>321</v>
      </c>
      <c r="L7" s="110" t="str" cm="1">
        <f t="array" aca="1" ref="L7" ca="1">Common_InputFunctions.Utility_DisplayFunctionName(Q25)</f>
        <v>=Scope3_Equations.VEERG_15_11_1_1__2_UpstreamTransportFuelEmissions</v>
      </c>
      <c r="O7" s="158"/>
      <c r="P7" s="158"/>
      <c r="Q7" s="158"/>
    </row>
    <row r="8" spans="1:18" ht="20.100000000000001" customHeight="1" x14ac:dyDescent="0.2">
      <c r="A8" s="7" t="s">
        <v>0</v>
      </c>
      <c r="E8" s="110"/>
      <c r="L8" s="110"/>
      <c r="O8" s="158"/>
      <c r="P8" s="158"/>
      <c r="Q8" s="158"/>
    </row>
    <row r="9" spans="1:18" ht="20.100000000000001" customHeight="1" x14ac:dyDescent="0.2">
      <c r="A9" s="5" t="str">
        <f>HYPERLINK("#'Input - Enterprise'!A1", "Enterprise")</f>
        <v>Enterprise</v>
      </c>
      <c r="G9" s="17"/>
      <c r="O9" s="158"/>
      <c r="P9" s="158"/>
      <c r="Q9" s="158"/>
    </row>
    <row r="10" spans="1:18" ht="20.100000000000001" customHeight="1" x14ac:dyDescent="0.2">
      <c r="A10" s="5" t="str">
        <f>HYPERLINK("#'Input - Site'!A1", "Site")</f>
        <v>Site</v>
      </c>
      <c r="O10" s="158"/>
      <c r="P10" s="158"/>
      <c r="Q10" s="158"/>
    </row>
    <row r="11" spans="1:18" ht="20.100000000000001" customHeight="1" x14ac:dyDescent="0.2">
      <c r="A11" s="5" t="str">
        <f>HYPERLINK("#'Input - Swine'!A1", "Swine")</f>
        <v>Swine</v>
      </c>
      <c r="D11" s="75" t="s">
        <v>322</v>
      </c>
      <c r="E11" s="1" t="str" cm="1">
        <f t="array" ref="E11">Fuel_Equations.VEERG_8_1_1_1__1_FuelCombustionTransport_Variable()</f>
        <v>E_g</v>
      </c>
      <c r="K11" s="75" t="s">
        <v>322</v>
      </c>
      <c r="L11" s="1" t="str" cm="1">
        <f t="array" ref="L11">Scope3_Equations.VEERG_15_11_1_1__2_UpstreamTransportFuelEmissions_Variable()</f>
        <v>E_WTTtransq</v>
      </c>
      <c r="O11" s="158"/>
      <c r="P11" s="158"/>
      <c r="Q11" s="158"/>
    </row>
    <row r="12" spans="1:18" ht="20.100000000000001" customHeight="1" x14ac:dyDescent="0.2">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100000000000001" customHeight="1" x14ac:dyDescent="0.2">
      <c r="A13" s="5" t="str">
        <f>HYPERLINK("#'Input - Pig purchases'!A1", "Pig purchases")</f>
        <v>Pig purchases</v>
      </c>
    </row>
    <row r="14" spans="1:18" ht="20.100000000000001" customHeight="1" x14ac:dyDescent="0.2">
      <c r="A14" s="5" t="str">
        <f>HYPERLINK("#'Input - Fuel'!A1", "Fuel")</f>
        <v>Fuel</v>
      </c>
      <c r="D14" s="127" t="str" cm="1">
        <f t="array" ref="D14:E20">_xlfn.CHOOSECOLS(Fuel_Equations.VEERG_8_1_1_1__1_FuelCombustionTransport_Arguments(), 1,2)</f>
        <v>Q_Transtq</v>
      </c>
      <c r="E14" s="128" t="str">
        <v>Amount of fuel type q combusted for transport energy purposes</v>
      </c>
      <c r="F14" s="129"/>
      <c r="G14" s="127" t="str" cm="1">
        <f t="array" ref="G14:H20">_xlfn.CHOOSECOLS(Fuel_Equations.VEERG_8_1_1_1__1_FuelCombustionTransport_Arguments(), 3,4)</f>
        <v>Varies based on fuel type: kL, m3, GJ</v>
      </c>
      <c r="H14" s="123" t="str">
        <v>Input</v>
      </c>
      <c r="I14" s="115" t="str" cm="1">
        <f t="array" aca="1" ref="I14" ca="1">HYPERLINK(Common_InputFunctions.Utility_SourceHyperlink($D$22), $D$22)</f>
        <v>Table_E_g</v>
      </c>
      <c r="K14" s="127" t="str" cm="1">
        <f t="array" ref="K14:L16">_xlfn.CHOOSECOLS(Scope3_Equations.VEERG_15_11_1_1__2_UpstreamTransportFuelEmissions_Arguments(),1,2)</f>
        <v>Q_Transq</v>
      </c>
      <c r="L14" s="127" t="str">
        <v>amount of fuel q combusted for transport energy purposes</v>
      </c>
      <c r="M14" s="127"/>
      <c r="N14" s="127" t="str" cm="1">
        <f t="array" ref="N14:O16">_xlfn.CHOOSECOLS(Scope3_Equations.VEERG_15_11_1_1__2_UpstreamTransportFuelEmissions_Arguments(),3,4)</f>
        <v>kL</v>
      </c>
      <c r="O14" s="123" t="str">
        <v>Input</v>
      </c>
      <c r="P14" s="115" t="str" cm="1">
        <f t="array" aca="1" ref="P14" ca="1">HYPERLINK(Common_InputFunctions.Utility_SourceHyperlink($D$22), $D$22)</f>
        <v>Table_E_g</v>
      </c>
      <c r="Q14" s="158"/>
    </row>
    <row r="15" spans="1:18" ht="20.100000000000001" customHeight="1" x14ac:dyDescent="0.2">
      <c r="A15" s="5" t="str">
        <f>HYPERLINK("#'Input - Electricity'!A1", "Electricity")</f>
        <v>Electricity</v>
      </c>
      <c r="D15" s="127" t="str">
        <v>EC_Transq</v>
      </c>
      <c r="E15" s="128" t="str">
        <v>Energy content factor for transport energy purposes</v>
      </c>
      <c r="F15" s="129"/>
      <c r="G15" s="127" t="str">
        <v>GJ / unit of fuel</v>
      </c>
      <c r="H15" s="125" t="str">
        <v>Constant</v>
      </c>
      <c r="I15" s="115" t="str" cm="1">
        <f t="array" aca="1" ref="I15" ca="1">HYPERLINK(Common_InputFunctions.Utility_SourceHyperlink($D$22), $D$22)</f>
        <v>Table_E_g</v>
      </c>
      <c r="K15" s="127" t="str">
        <v>EC_Transq</v>
      </c>
      <c r="L15" s="127" t="str">
        <v>energy content factor for transport energy purposes</v>
      </c>
      <c r="M15" s="127"/>
      <c r="N15" s="127" t="str">
        <v>GJ/kL or GJ/m3</v>
      </c>
      <c r="O15" s="125" t="str">
        <v>Constant</v>
      </c>
      <c r="P15" s="115" t="str" cm="1">
        <f t="array" aca="1" ref="P15" ca="1">HYPERLINK(Common_InputFunctions.Utility_SourceHyperlink($D$22), $D$22)</f>
        <v>Table_E_g</v>
      </c>
      <c r="Q15" s="158"/>
    </row>
    <row r="16" spans="1:18" ht="20.100000000000001" customHeight="1" x14ac:dyDescent="0.2">
      <c r="A16" s="5" t="str">
        <f>HYPERLINK("#'Input - Common farm inputs'!A1", "Common farm inputs")</f>
        <v>Common farm inputs</v>
      </c>
      <c r="D16" s="127" t="str">
        <v>EF_Trans1tqg</v>
      </c>
      <c r="E16" s="128" t="str">
        <v>Scope 1 emission factor for transport energy purposes for each greenhouse gas</v>
      </c>
      <c r="F16" s="129"/>
      <c r="G16" s="127" t="str">
        <v>kg CO2e / GJ</v>
      </c>
      <c r="H16" s="125" t="str">
        <v>Constant</v>
      </c>
      <c r="I16" s="115" t="str" cm="1">
        <f t="array" aca="1" ref="I16" ca="1">HYPERLINK(Common_InputFunctions.Utility_SourceHyperlink($D$22), $D$22)</f>
        <v>Table_E_g</v>
      </c>
      <c r="K16" s="127" t="str">
        <v>EF_Trans3q</v>
      </c>
      <c r="L16" s="127" t="str">
        <v>scope 3 emission factor for transport energy purposes</v>
      </c>
      <c r="M16" s="127"/>
      <c r="N16" s="127" t="str">
        <v>kg CO2e/GJ</v>
      </c>
      <c r="O16" s="125" t="str">
        <v>Constant</v>
      </c>
      <c r="P16" s="115" t="str" cm="1">
        <f t="array" aca="1" ref="P16" ca="1">HYPERLINK(Common_InputFunctions.Utility_SourceHyperlink($D$22), $D$22)</f>
        <v>Table_E_g</v>
      </c>
      <c r="Q16" s="158"/>
    </row>
    <row r="17" spans="1:17" ht="20.100000000000001" customHeight="1" x14ac:dyDescent="0.2">
      <c r="A17" s="5" t="str">
        <f>HYPERLINK("#'Input - Livestock farm Inputs'!A1", "Livestock farm Inputs")</f>
        <v>Livestock farm Inputs</v>
      </c>
      <c r="D17" s="127" t="str">
        <v>q</v>
      </c>
      <c r="E17" s="128" t="str">
        <v>Fuel type</v>
      </c>
      <c r="F17" s="129"/>
      <c r="G17" s="127" t="str">
        <v/>
      </c>
      <c r="H17" s="125" t="str">
        <v>Constant</v>
      </c>
      <c r="I17" s="115"/>
      <c r="J17" s="158"/>
      <c r="P17" s="158"/>
      <c r="Q17" s="158"/>
    </row>
    <row r="18" spans="1:17" ht="20.100000000000001" customHeight="1" x14ac:dyDescent="0.2">
      <c r="A18" s="5" t="str">
        <f>HYPERLINK("#'Input - Freight'!A1", "Freight")</f>
        <v>Freight</v>
      </c>
      <c r="D18" s="127" t="str">
        <v>Trans</v>
      </c>
      <c r="E18" s="128" t="str">
        <v>Transport combustion</v>
      </c>
      <c r="F18" s="129"/>
      <c r="G18" s="127" t="str">
        <v/>
      </c>
      <c r="H18" s="125" t="str">
        <v>Constant</v>
      </c>
      <c r="I18" s="115"/>
      <c r="J18" s="158"/>
      <c r="L18" s="158"/>
      <c r="M18" s="158"/>
      <c r="N18" s="158"/>
      <c r="O18" s="158"/>
      <c r="P18" s="158"/>
      <c r="Q18" s="158"/>
    </row>
    <row r="19" spans="1:17" ht="20.100000000000001" customHeight="1" x14ac:dyDescent="0.2">
      <c r="A19" s="5" t="str">
        <f>HYPERLINK("#'Input - Solid waste'!A1", "Solid waste")</f>
        <v>Solid waste</v>
      </c>
      <c r="D19" s="127" t="str">
        <v>g</v>
      </c>
      <c r="E19" s="128" t="str">
        <v>Greenhouse gas</v>
      </c>
      <c r="F19" s="129"/>
      <c r="G19" s="127" t="str">
        <v/>
      </c>
      <c r="H19" s="125" t="str">
        <v>Constant</v>
      </c>
      <c r="I19" s="115"/>
      <c r="J19" s="158"/>
      <c r="L19" s="158"/>
      <c r="M19" s="158"/>
      <c r="N19" s="158"/>
      <c r="O19" s="158"/>
      <c r="P19" s="158"/>
      <c r="Q19" s="158"/>
    </row>
    <row r="20" spans="1:17" ht="20.100000000000001" customHeight="1" x14ac:dyDescent="0.2">
      <c r="A20" s="5" t="str">
        <f>HYPERLINK("#'Input - Manure sent off-site'!A1", "Manure sent off-site")</f>
        <v>Manure sent off-site</v>
      </c>
      <c r="D20" s="127" t="str">
        <v>1</v>
      </c>
      <c r="E20" s="128" t="str">
        <v>Scope 1</v>
      </c>
      <c r="F20" s="129"/>
      <c r="G20" s="127" t="str">
        <v/>
      </c>
      <c r="H20" s="125" t="str">
        <v>Constant</v>
      </c>
      <c r="I20" s="115"/>
      <c r="J20" s="158"/>
      <c r="L20" s="158"/>
      <c r="M20" s="158"/>
      <c r="N20" s="158"/>
      <c r="O20" s="158"/>
      <c r="P20" s="158"/>
      <c r="Q20" s="158"/>
    </row>
    <row r="21" spans="1:17" ht="20.100000000000001" customHeight="1" x14ac:dyDescent="0.2">
      <c r="A21" s="5" t="str">
        <f>HYPERLINK("#'Input - Data quality'!A1", "Data quality")</f>
        <v>Data quality</v>
      </c>
      <c r="O21" s="158"/>
      <c r="P21" s="158"/>
      <c r="Q21" s="158"/>
    </row>
    <row r="22" spans="1:17" ht="20.100000000000001" customHeight="1" x14ac:dyDescent="0.2">
      <c r="A22" s="5" t="str">
        <f>HYPERLINK("#'Input - Fert Prod System'!A1", "Fert Prod System")</f>
        <v>Fert Prod System</v>
      </c>
      <c r="D22" s="137" t="s">
        <v>596</v>
      </c>
    </row>
    <row r="23" spans="1:17" ht="20.100000000000001" customHeight="1" x14ac:dyDescent="0.2">
      <c r="A23" s="5" t="str">
        <f>HYPERLINK("#'Input - Fertiliser'!A1", "Fertiliser")</f>
        <v>Fertiliser</v>
      </c>
      <c r="D23" s="138" t="s">
        <v>597</v>
      </c>
    </row>
    <row r="24" spans="1:17" ht="20.100000000000001" customHeight="1" x14ac:dyDescent="0.2">
      <c r="D24" s="119" t="s">
        <v>598</v>
      </c>
      <c r="E24" s="119" t="s">
        <v>599</v>
      </c>
      <c r="F24" s="119" t="s">
        <v>600</v>
      </c>
      <c r="G24" s="119" t="s">
        <v>601</v>
      </c>
      <c r="H24" s="119" t="s">
        <v>602</v>
      </c>
      <c r="I24" s="119" t="s">
        <v>603</v>
      </c>
      <c r="J24" s="119" t="s">
        <v>604</v>
      </c>
      <c r="K24" s="119" t="s">
        <v>605</v>
      </c>
      <c r="L24" s="78" t="s">
        <v>606</v>
      </c>
      <c r="M24" s="119" t="s">
        <v>607</v>
      </c>
      <c r="N24" s="119" t="s">
        <v>608</v>
      </c>
      <c r="O24" s="119" t="s">
        <v>609</v>
      </c>
      <c r="P24" s="119" t="s">
        <v>610</v>
      </c>
      <c r="Q24" s="119" t="s">
        <v>611</v>
      </c>
    </row>
    <row r="25" spans="1:17" ht="20.100000000000001" customHeight="1" x14ac:dyDescent="0.2">
      <c r="D25" s="24" t="str">
        <f>Table_FuelTypesPerUse[[#Headers],[Cars and light commercial vehicles]]</f>
        <v>Cars and light commercial vehicles</v>
      </c>
      <c r="E25" s="159" t="str">
        <f>'Constants - Fuel'!$E$10</f>
        <v>Gasoline</v>
      </c>
      <c r="F25" s="159"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61" cm="1">
        <f t="array" ref="N25">Fuel_Equations.VEERG_8_1_1_1__1_FuelCombustionTransport($L25,$G25,$H25)</f>
        <v>0</v>
      </c>
      <c r="O25" s="161" cm="1">
        <f t="array" ref="O25">Fuel_Equations.VEERG_8_1_1_1__1_FuelCombustionTransport($L25,$G25,$I25)</f>
        <v>0</v>
      </c>
      <c r="P25" s="161" cm="1">
        <f t="array" ref="P25">Fuel_Equations.VEERG_8_1_1_1__1_FuelCombustionTransport($L25,$G25,$J25)</f>
        <v>0</v>
      </c>
      <c r="Q25" s="161" cm="1">
        <f t="array" ref="Q25">Scope3_Equations.VEERG_15_11_1_1__2_UpstreamTransportFuelEmissions(L25,G25,K25)</f>
        <v>0</v>
      </c>
    </row>
    <row r="26" spans="1:17" ht="20.100000000000001" customHeight="1" x14ac:dyDescent="0.2">
      <c r="A26" s="6" t="s">
        <v>2</v>
      </c>
      <c r="D26" s="162" t="str">
        <f t="shared" ref="D26:D32" si="0">$D$25</f>
        <v>Cars and light commercial vehicles</v>
      </c>
      <c r="E26" s="159" t="str">
        <f>'Constants - Fuel'!$E$11</f>
        <v>Diesel oil</v>
      </c>
      <c r="F26" s="159"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0" cm="1">
        <f t="array" ref="L26">Fuel_InputFunctions.Fuel_TotalConsumption(Table_Input_Fuel[Amount consumed], Table_Input_Fuel[Fuel use (select)], D26, Table_Input_Fuel[Fuel type (select)],F26)</f>
        <v>10</v>
      </c>
      <c r="M26" s="160" t="str" cm="1">
        <f t="array" ref="M26">Common_InputFunctions.Utility_LookupValueInTable(F26,Table_FuelTypes_Units[Fuel type],Table_FuelTypes_Units[Unit])</f>
        <v>kL</v>
      </c>
      <c r="N26" s="161" cm="1">
        <f t="array" ref="N26">Fuel_Equations.VEERG_8_1_1_1__1_FuelCombustionTransport($L26,$G26,$H26)</f>
        <v>26.981400000000001</v>
      </c>
      <c r="O26" s="161" cm="1">
        <f t="array" ref="O26">Fuel_Equations.VEERG_8_1_1_1__1_FuelCombustionTransport($L26,$G26,$I26)</f>
        <v>3.8600000000000001E-3</v>
      </c>
      <c r="P26" s="161" cm="1">
        <f t="array" ref="P26">Fuel_Equations.VEERG_8_1_1_1__1_FuelCombustionTransport($L26,$G26,$J26)</f>
        <v>0.193</v>
      </c>
      <c r="Q26" s="161" cm="1">
        <f t="array" ref="Q26">Scope3_Equations.VEERG_15_11_1_1__2_UpstreamTransportFuelEmissions(L26,G26,K26)</f>
        <v>6.6778000000000004</v>
      </c>
    </row>
    <row r="27" spans="1:17" ht="20.100000000000001" customHeight="1" x14ac:dyDescent="0.2">
      <c r="A27" s="5" t="str">
        <f>HYPERLINK("#'3.5.1.1-2 Enteric Methane'!A1", "3.5.1.1-2 Enteric Methane")</f>
        <v>3.5.1.1-2 Enteric Methane</v>
      </c>
      <c r="D27" s="162" t="str">
        <f t="shared" si="0"/>
        <v>Cars and light commercial vehicles</v>
      </c>
      <c r="E27" s="159" t="str">
        <f>'Constants - Fuel'!$E$12</f>
        <v>Liquefied petroleum gas (LPG)</v>
      </c>
      <c r="F27" s="159"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61" cm="1">
        <f t="array" ref="N27">Fuel_Equations.VEERG_8_1_1_1__1_FuelCombustionTransport($L27,$G27,$H27)</f>
        <v>0</v>
      </c>
      <c r="O27" s="161" cm="1">
        <f t="array" ref="O27">Fuel_Equations.VEERG_8_1_1_1__1_FuelCombustionTransport($L27,$G27,$I27)</f>
        <v>0</v>
      </c>
      <c r="P27" s="161" cm="1">
        <f t="array" ref="P27">Fuel_Equations.VEERG_8_1_1_1__1_FuelCombustionTransport($L27,$G27,$J27)</f>
        <v>0</v>
      </c>
      <c r="Q27" s="161" cm="1">
        <f t="array" ref="Q27">Scope3_Equations.VEERG_15_11_1_1__2_UpstreamTransportFuelEmissions(L27,G27,K27)</f>
        <v>0</v>
      </c>
    </row>
    <row r="28" spans="1:17" ht="20.100000000000001" customHeight="1" x14ac:dyDescent="0.2">
      <c r="A28" s="5" t="str">
        <f>HYPERLINK("#'4.5.1.1-2 Methane'!A1", "4.5.1.1-2 Manure Methane")</f>
        <v>4.5.1.1-2 Manure Methane</v>
      </c>
      <c r="D28" s="162" t="str">
        <f t="shared" si="0"/>
        <v>Cars and light commercial vehicles</v>
      </c>
      <c r="E28" s="159" t="str">
        <f>'Constants - Fuel'!$E$13</f>
        <v>Fuel oil</v>
      </c>
      <c r="F28" s="159"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61" cm="1">
        <f t="array" ref="N28">Fuel_Equations.VEERG_8_1_1_1__1_FuelCombustionTransport($L28,$G28,$H28)</f>
        <v>0</v>
      </c>
      <c r="O28" s="161" cm="1">
        <f t="array" ref="O28">Fuel_Equations.VEERG_8_1_1_1__1_FuelCombustionTransport($L28,$G28,$I28)</f>
        <v>0</v>
      </c>
      <c r="P28" s="161" cm="1">
        <f t="array" ref="P28">Fuel_Equations.VEERG_8_1_1_1__1_FuelCombustionTransport($L28,$G28,$J28)</f>
        <v>0</v>
      </c>
      <c r="Q28" s="161" cm="1">
        <f t="array" ref="Q28">Scope3_Equations.VEERG_15_11_1_1__2_UpstreamTransportFuelEmissions(L28,G28,K28)</f>
        <v>0</v>
      </c>
    </row>
    <row r="29" spans="1:17" ht="20.100000000000001" customHeight="1" x14ac:dyDescent="0.2">
      <c r="A29" s="5" t="str">
        <f>HYPERLINK("#'4.5.1.3-4 Direct N2O'!A1", "4.5.1.3-4 Manure Direct N2O")</f>
        <v>4.5.1.3-4 Manure Direct N2O</v>
      </c>
      <c r="D29" s="162" t="str">
        <f t="shared" si="0"/>
        <v>Cars and light commercial vehicles</v>
      </c>
      <c r="E29" s="159" t="str">
        <f>'Constants - Fuel'!$E$14</f>
        <v>Ethanol</v>
      </c>
      <c r="F29" s="159"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61" cm="1">
        <f t="array" ref="N29">Fuel_Equations.VEERG_8_1_1_1__1_FuelCombustionTransport($L29,$G29,$H29)</f>
        <v>0</v>
      </c>
      <c r="O29" s="161" cm="1">
        <f t="array" ref="O29">Fuel_Equations.VEERG_8_1_1_1__1_FuelCombustionTransport($L29,$G29,$I29)</f>
        <v>0</v>
      </c>
      <c r="P29" s="161" cm="1">
        <f t="array" ref="P29">Fuel_Equations.VEERG_8_1_1_1__1_FuelCombustionTransport($L29,$G29,$J29)</f>
        <v>0</v>
      </c>
      <c r="Q29" s="161" cm="1">
        <f t="array" ref="Q29">Scope3_Equations.VEERG_15_11_1_1__2_UpstreamTransportFuelEmissions(L29,G29,IF(ISNUMBER(K29),K29,0))</f>
        <v>0</v>
      </c>
    </row>
    <row r="30" spans="1:17" ht="20.100000000000001" customHeight="1" x14ac:dyDescent="0.2">
      <c r="A30" s="5" t="str">
        <f>HYPERLINK("#'4.5.1.5-6 Atmos Dep'!A1", "4.5.1.5-6 Manure Atmos Dep")</f>
        <v>4.5.1.5-6 Manure Atmos Dep</v>
      </c>
      <c r="D30" s="162" t="str">
        <f t="shared" si="0"/>
        <v>Cars and light commercial vehicles</v>
      </c>
      <c r="E30" s="159" t="str">
        <f>'Constants - Fuel'!$E$15</f>
        <v>Biodiesel</v>
      </c>
      <c r="F30" s="159"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61" cm="1">
        <f t="array" ref="N30">Fuel_Equations.VEERG_8_1_1_1__1_FuelCombustionTransport($L30,$G30,$H30)</f>
        <v>0</v>
      </c>
      <c r="O30" s="161" cm="1">
        <f t="array" ref="O30">Fuel_Equations.VEERG_8_1_1_1__1_FuelCombustionTransport($L30,$G30,$I30)</f>
        <v>0</v>
      </c>
      <c r="P30" s="161" cm="1">
        <f t="array" ref="P30">Fuel_Equations.VEERG_8_1_1_1__1_FuelCombustionTransport($L30,$G30,$J30)</f>
        <v>0</v>
      </c>
      <c r="Q30" s="161" cm="1">
        <f t="array" ref="Q30">Scope3_Equations.VEERG_15_11_1_1__2_UpstreamTransportFuelEmissions(L30,G30,IF(ISNUMBER(K30),K30,0))</f>
        <v>0</v>
      </c>
    </row>
    <row r="31" spans="1:17" ht="20.100000000000001" customHeight="1" x14ac:dyDescent="0.2">
      <c r="A31" s="5" t="str">
        <f>HYPERLINK("#'4.5.1.7-8 Leaching and runoff'!A1", "4.5.1.7-8 Manure Leaching and runoff")</f>
        <v>4.5.1.7-8 Manure Leaching and runoff</v>
      </c>
      <c r="D31" s="162" t="str">
        <f t="shared" si="0"/>
        <v>Cars and light commercial vehicles</v>
      </c>
      <c r="E31" s="159" t="str">
        <f>'Constants - Fuel'!$E$16</f>
        <v>Renewable diesel</v>
      </c>
      <c r="F31" s="159"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0" cm="1">
        <f t="array" ref="L31">Fuel_InputFunctions.Fuel_TotalConsumption(Table_Input_Fuel[Amount consumed], Table_Input_Fuel[Fuel use (select)], D31, Table_Input_Fuel[Fuel type (select)],F31)</f>
        <v>0</v>
      </c>
      <c r="M31" s="160" t="str" cm="1">
        <f t="array" ref="M31">Common_InputFunctions.Utility_LookupValueInTable(F31,Table_FuelTypes_Units[Fuel type],Table_FuelTypes_Units[Unit])</f>
        <v>kL</v>
      </c>
      <c r="N31" s="161" cm="1">
        <f t="array" ref="N31">Fuel_Equations.VEERG_8_1_1_1__1_FuelCombustionTransport($L31,$G31,$H31)</f>
        <v>0</v>
      </c>
      <c r="O31" s="161" cm="1">
        <f t="array" ref="O31">Fuel_Equations.VEERG_8_1_1_1__1_FuelCombustionTransport($L31,$G31,$I31)</f>
        <v>0</v>
      </c>
      <c r="P31" s="161" cm="1">
        <f t="array" ref="P31">Fuel_Equations.VEERG_8_1_1_1__1_FuelCombustionTransport($L31,$G31,$J31)</f>
        <v>0</v>
      </c>
      <c r="Q31" s="161" cm="1">
        <f t="array" ref="Q31">Scope3_Equations.VEERG_15_11_1_1__2_UpstreamTransportFuelEmissions(L31,G31,IF(ISNUMBER(K31),K31,0))</f>
        <v>0</v>
      </c>
    </row>
    <row r="32" spans="1:17" ht="20.100000000000001" customHeight="1" x14ac:dyDescent="0.2">
      <c r="A32" s="5" t="str">
        <f>HYPERLINK("#'4.5.1.9 Manure applied to soils'!A1", "4.5.1.9 Manure applied to soils")</f>
        <v>4.5.1.9 Manure applied to soils</v>
      </c>
      <c r="D32" s="162" t="str">
        <f t="shared" si="0"/>
        <v>Cars and light commercial vehicles</v>
      </c>
      <c r="E32" s="159" t="str">
        <f>'Constants - Fuel'!$E$17</f>
        <v>Other biofuels</v>
      </c>
      <c r="F32" s="159"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3" cm="1">
        <f t="array" ref="L32">Fuel_InputFunctions.Fuel_TotalConsumption(Table_Input_Fuel[Amount consumed], Table_Input_Fuel[Fuel use (select)], D32, Table_Input_Fuel[Fuel type (select)],F32)</f>
        <v>0</v>
      </c>
      <c r="M32" s="160" t="str" cm="1">
        <f t="array" ref="M32">Common_InputFunctions.Utility_LookupValueInTable(F32,Table_FuelTypes_Units[Fuel type],Table_FuelTypes_Units[Unit])</f>
        <v>kL</v>
      </c>
      <c r="N32" s="164" cm="1">
        <f t="array" ref="N32">Fuel_Equations.VEERG_8_1_1_1__1_FuelCombustionTransport($L32,$G32,$H32)</f>
        <v>0</v>
      </c>
      <c r="O32" s="164" cm="1">
        <f t="array" ref="O32">Fuel_Equations.VEERG_8_1_1_1__1_FuelCombustionTransport($L32,$G32,$I32)</f>
        <v>0</v>
      </c>
      <c r="P32" s="164" cm="1">
        <f t="array" ref="P32">Fuel_Equations.VEERG_8_1_1_1__1_FuelCombustionTransport($L32,$G32,$J32)</f>
        <v>0</v>
      </c>
      <c r="Q32" s="161" cm="1">
        <f t="array" ref="Q32">Scope3_Equations.VEERG_15_11_1_1__2_UpstreamTransportFuelEmissions(L32,G32,IF(ISNUMBER(K32),K32,0))</f>
        <v>0</v>
      </c>
    </row>
    <row r="33" spans="1:17" ht="20.100000000000001" customHeight="1" x14ac:dyDescent="0.2">
      <c r="A33" s="116" t="str">
        <f>HYPERLINK("#'8.1.1.1-2 Transport fuel'!A1", "8.1.1.1-2 Transport fuel")</f>
        <v>8.1.1.1-2 Transport fuel</v>
      </c>
      <c r="D33" s="165" t="str">
        <f>Table_FuelTypesPerUse[[#Headers],[Off-road Agriculture and forestry equipment]]</f>
        <v>Off-road Agriculture and forestry equipment</v>
      </c>
      <c r="E33" s="166" t="str">
        <f>'Constants - Fuel'!$E$11</f>
        <v>Diesel oil</v>
      </c>
      <c r="F33" s="166" t="str">
        <f>'Constants - Fuel'!H131</f>
        <v>Diesel</v>
      </c>
      <c r="G33" s="167" cm="1">
        <f t="array" ref="G33">IFERROR(_xlfn.XLOOKUP(1, (Table_Fuel_EFs_Transport[Fuel combusted]=$E33)*(Table_Fuel_EFs_Transport[Transport type]=$D$33), Table_Fuel_EFs_Transport[Energy Content Factor (GJ per unit of fuel)]), 0)</f>
        <v>38.6</v>
      </c>
      <c r="H33" s="167" cm="1">
        <f t="array" ref="H33">IFERROR(_xlfn.XLOOKUP(1, (Table_Fuel_EFs_Transport[Fuel combusted]=$E33)*(Table_Fuel_EFs_Transport[Transport type]=$D$33), Table_Fuel_EFs_Transport[Scope 1 Emission Factor (kg CO2 - e / GJ) CO2]), 0)</f>
        <v>69.900000000000006</v>
      </c>
      <c r="I33" s="167" cm="1">
        <f t="array" ref="I33">IFERROR(_xlfn.XLOOKUP(1, (Table_Fuel_EFs_Transport[Fuel combusted]=$E33)*(Table_Fuel_EFs_Transport[Transport type]=$D$33), Table_Fuel_EFs_Transport[Scope 1 Emission Factor (kg CO2 - e / GJ) CH4]), 0)</f>
        <v>0.3</v>
      </c>
      <c r="J33" s="167" cm="1">
        <f t="array" ref="J33">IFERROR(_xlfn.XLOOKUP(1, (Table_Fuel_EFs_Transport[Fuel combusted]=$E33)*(Table_Fuel_EFs_Transport[Transport type]=$D$33), Table_Fuel_EFs_Transport[Scope 1 Emission Factor (kg CO2 - e / GJ) N2O]), 0)</f>
        <v>0.5</v>
      </c>
      <c r="K33" s="168" cm="1">
        <f t="array" ref="K33">IFERROR(_xlfn.XLOOKUP(1, (Table_Fuel_EFs_Transport[Fuel combusted]=$E33)*(Table_Fuel_EFs_Transport[Transport type]=$D$25), Table_Fuel_EFs_Transport[Scope 3 Emission Factor (kg CO2 - e / GJ)]), 0)</f>
        <v>17.3</v>
      </c>
      <c r="L33" s="169" cm="1">
        <f t="array" ref="L33">Fuel_InputFunctions.Fuel_TotalConsumption(Table_Input_Fuel[Amount consumed], Table_Input_Fuel[Fuel use (select)], D33, Table_Input_Fuel[Fuel type (select)],F33)</f>
        <v>10</v>
      </c>
      <c r="M33" s="170" t="str" cm="1">
        <f t="array" ref="M33">Common_InputFunctions.Utility_LookupValueInTable(F33,Table_FuelTypes_Units[Fuel type],Table_FuelTypes_Units[Unit])</f>
        <v>kL</v>
      </c>
      <c r="N33" s="171" cm="1">
        <f t="array" ref="N33">Fuel_Equations.VEERG_8_1_1_1__1_FuelCombustionTransport($L33,$G33,$H33)</f>
        <v>26.981400000000001</v>
      </c>
      <c r="O33" s="171" cm="1">
        <f t="array" ref="O33">Fuel_Equations.VEERG_8_1_1_1__1_FuelCombustionTransport($L33,$G33,$I33)</f>
        <v>0.1158</v>
      </c>
      <c r="P33" s="171" cm="1">
        <f t="array" ref="P33">Fuel_Equations.VEERG_8_1_1_1__1_FuelCombustionTransport($L33,$G33,$J33)</f>
        <v>0.193</v>
      </c>
      <c r="Q33" s="172" cm="1">
        <f t="array" ref="Q33">Scope3_Equations.VEERG_15_11_1_1__2_UpstreamTransportFuelEmissions(L33,G33,K33)</f>
        <v>6.6778000000000004</v>
      </c>
    </row>
    <row r="34" spans="1:17" ht="20.100000000000001" customHeight="1" x14ac:dyDescent="0.2">
      <c r="A34" s="5" t="str">
        <f>HYPERLINK("#'8.2.1.1-2 Stationary fuel'!A1", "8.2.1.1-2 Stationary fuel")</f>
        <v>8.2.1.1-2 Stationary fuel</v>
      </c>
      <c r="D34" s="165" t="str">
        <f>Table_FuelTypesPerUse[[#Headers],[Aviation]]</f>
        <v>Aviation</v>
      </c>
      <c r="E34" s="166" t="str">
        <f>'Constants - Fuel'!$E$28</f>
        <v>Gasoline for use as fuel in an aircraft</v>
      </c>
      <c r="F34" s="166" t="str">
        <f>'Constants - Fuel'!$F$131</f>
        <v>Avgas</v>
      </c>
      <c r="G34" s="173" cm="1">
        <f t="array" ref="G34">IFERROR(_xlfn.XLOOKUP(1, (Table_Fuel_EFs_Transport[Fuel combusted]=$E34)*(Table_Fuel_EFs_Transport[Transport type]=$D$34), Table_Fuel_EFs_Transport[Energy Content Factor (GJ per unit of fuel)]), 0)</f>
        <v>33.1</v>
      </c>
      <c r="H34" s="173" cm="1">
        <f t="array" ref="H34">IFERROR(_xlfn.XLOOKUP(1, (Table_Fuel_EFs_Transport[Fuel combusted]=$E34)*(Table_Fuel_EFs_Transport[Transport type]=$D$34), Table_Fuel_EFs_Transport[Scope 1 Emission Factor (kg CO2 - e / GJ) CO2]), 0)</f>
        <v>67</v>
      </c>
      <c r="I34" s="173" cm="1">
        <f t="array" ref="I34">IFERROR(_xlfn.XLOOKUP(1, (Table_Fuel_EFs_Transport[Fuel combusted]=$E34)*(Table_Fuel_EFs_Transport[Transport type]=$D$34), Table_Fuel_EFs_Transport[Scope 1 Emission Factor (kg CO2 - e / GJ) CH4]), 0)</f>
        <v>0.06</v>
      </c>
      <c r="J34" s="173" cm="1">
        <f t="array" ref="J34">IFERROR(_xlfn.XLOOKUP(1, (Table_Fuel_EFs_Transport[Fuel combusted]=$E34)*(Table_Fuel_EFs_Transport[Transport type]=$D$34), Table_Fuel_EFs_Transport[Scope 1 Emission Factor (kg CO2 - e / GJ) N2O]), 0)</f>
        <v>0.6</v>
      </c>
      <c r="K34" s="173" cm="1">
        <f t="array" ref="K34">IFERROR(_xlfn.XLOOKUP(1, (Table_Fuel_EFs_Transport[Fuel combusted]=$E34)*(Table_Fuel_EFs_Transport[Transport type]=$D$25), Table_Fuel_EFs_Transport[Scope 3 Emission Factor (kg CO2 - e / GJ)]), 0)</f>
        <v>0</v>
      </c>
      <c r="L34" s="170" cm="1">
        <f t="array" ref="L34">Fuel_InputFunctions.Fuel_TotalConsumption(Table_Input_Fuel[Amount consumed], Table_Input_Fuel[Fuel use (select)], D34, Table_Input_Fuel[Fuel type (select)],F34)</f>
        <v>0</v>
      </c>
      <c r="M34" s="170" t="str" cm="1">
        <f t="array" ref="M34">Common_InputFunctions.Utility_LookupValueInTable(F34,Table_FuelTypes_Units[Fuel type],Table_FuelTypes_Units[Unit])</f>
        <v>kL</v>
      </c>
      <c r="N34" s="171" cm="1">
        <f t="array" ref="N34">Fuel_Equations.VEERG_8_1_1_1__1_FuelCombustionTransport($L34,$G34,$H34)</f>
        <v>0</v>
      </c>
      <c r="O34" s="171" cm="1">
        <f t="array" ref="O34">Fuel_Equations.VEERG_8_1_1_1__1_FuelCombustionTransport($L34,$G34,$I34)</f>
        <v>0</v>
      </c>
      <c r="P34" s="171" cm="1">
        <f t="array" ref="P34">Fuel_Equations.VEERG_8_1_1_1__1_FuelCombustionTransport($L34,$G34,$J34)</f>
        <v>0</v>
      </c>
      <c r="Q34" s="171" cm="1">
        <f t="array" ref="Q34">Scope3_Equations.VEERG_15_11_1_1__2_UpstreamTransportFuelEmissions(L34,G34,K34)</f>
        <v>0</v>
      </c>
    </row>
    <row r="35" spans="1:17" ht="20.100000000000001" customHeight="1" x14ac:dyDescent="0.2">
      <c r="A35" s="5" t="str">
        <f>HYPERLINK("#'10.1.1-2 Solid waste treatment'!A1", "10.1.1.1-2 Solid waste")</f>
        <v>10.1.1.1-2 Solid waste</v>
      </c>
      <c r="D35" s="162" t="str">
        <f>$D$34</f>
        <v>Aviation</v>
      </c>
      <c r="E35" s="159" t="str">
        <f>'Constants - Fuel'!$E$29</f>
        <v>Kerosene for use as fuel in an aircraft</v>
      </c>
      <c r="F35" s="159"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0" cm="1">
        <f t="array" ref="L35">Fuel_InputFunctions.Fuel_TotalConsumption(Table_Input_Fuel[Amount consumed], Table_Input_Fuel[Fuel use (select)], D35, Table_Input_Fuel[Fuel type (select)],F35)</f>
        <v>0</v>
      </c>
      <c r="M35" s="160" t="str" cm="1">
        <f t="array" ref="M35">Common_InputFunctions.Utility_LookupValueInTable(F35,Table_FuelTypes_Units[Fuel type],Table_FuelTypes_Units[Unit])</f>
        <v>kL</v>
      </c>
      <c r="N35" s="161" cm="1">
        <f t="array" ref="N35">Fuel_Equations.VEERG_8_1_1_1__1_FuelCombustionTransport($L35,$G35,$H35)</f>
        <v>0</v>
      </c>
      <c r="O35" s="161" cm="1">
        <f t="array" ref="O35">Fuel_Equations.VEERG_8_1_1_1__1_FuelCombustionTransport($L35,$G35,$I35)</f>
        <v>0</v>
      </c>
      <c r="P35" s="161" cm="1">
        <f t="array" ref="P35">Fuel_Equations.VEERG_8_1_1_1__1_FuelCombustionTransport($L35,$G35,$J35)</f>
        <v>0</v>
      </c>
      <c r="Q35" s="161" cm="1">
        <f t="array" ref="Q35">Scope3_Equations.VEERG_15_11_1_1__2_UpstreamTransportFuelEmissions(L35,G35,K35)</f>
        <v>0</v>
      </c>
    </row>
    <row r="36" spans="1:17" ht="20.100000000000001" customHeight="1" x14ac:dyDescent="0.2">
      <c r="A36" s="5" t="str">
        <f>HYPERLINK("#'14.1.1-2 Purchased electricity'!A1", "14.1.1-2 Purchased electricity")</f>
        <v>14.1.1-2 Purchased electricity</v>
      </c>
      <c r="D36" s="162" t="str">
        <f>$D$34</f>
        <v>Aviation</v>
      </c>
      <c r="E36" s="159" t="str">
        <f>'Constants - Fuel'!$E$30</f>
        <v>Renewable aviation kerosene</v>
      </c>
      <c r="F36" s="159"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3" cm="1">
        <f t="array" ref="L36">Fuel_InputFunctions.Fuel_TotalConsumption(Table_Input_Fuel[Amount consumed], Table_Input_Fuel[Fuel use (select)], D36, Table_Input_Fuel[Fuel type (select)],F36)</f>
        <v>0</v>
      </c>
      <c r="M36" s="160" t="str" cm="1">
        <f t="array" ref="M36">Common_InputFunctions.Utility_LookupValueInTable(F36,Table_FuelTypes_Units[Fuel type],Table_FuelTypes_Units[Unit])</f>
        <v>kL</v>
      </c>
      <c r="N36" s="161" cm="1">
        <f t="array" ref="N36">Fuel_Equations.VEERG_8_1_1_1__1_FuelCombustionTransport($L36,$G36,$H36)</f>
        <v>0</v>
      </c>
      <c r="O36" s="161" cm="1">
        <f t="array" ref="O36">Fuel_Equations.VEERG_8_1_1_1__1_FuelCombustionTransport($L36,$G36,$I36)</f>
        <v>0</v>
      </c>
      <c r="P36" s="161" cm="1">
        <f t="array" ref="P36">Fuel_Equations.VEERG_8_1_1_1__1_FuelCombustionTransport($L36,$G36,$J36)</f>
        <v>0</v>
      </c>
      <c r="Q36" s="164" cm="1">
        <f t="array" ref="Q36">Scope3_Equations.VEERG_15_11_1_1__2_UpstreamTransportFuelEmissions(L36,G36,K36)</f>
        <v>0</v>
      </c>
    </row>
    <row r="37" spans="1:17" ht="20.100000000000001" customHeight="1" x14ac:dyDescent="0.2">
      <c r="A37" s="5" t="str">
        <f>HYPERLINK("#'15 Scope 3'!A1", "15 Scope 3")</f>
        <v>15 Scope 3</v>
      </c>
      <c r="D37" s="165" t="str">
        <f>Table_FuelTypesPerUse[[#Headers],[Vessels]]</f>
        <v>Vessels</v>
      </c>
      <c r="E37" s="166" t="str">
        <f>'Constants - Fuel'!$E$10</f>
        <v>Gasoline</v>
      </c>
      <c r="F37" s="166" t="str">
        <f>'Constants - Fuel'!$I$131</f>
        <v>Petrol</v>
      </c>
      <c r="G37" s="173" cm="1">
        <f t="array" ref="G37">IFERROR(_xlfn.XLOOKUP(1, (Table_Fuel_EFs_Transport[Fuel combusted]=$E37)*(Table_Fuel_EFs_Transport[Transport type]=$D$37), Table_Fuel_EFs_Transport[Energy Content Factor (GJ per unit of fuel)]), 0)</f>
        <v>34.200000000000003</v>
      </c>
      <c r="H37" s="173" cm="1">
        <f t="array" ref="H37">IFERROR(_xlfn.XLOOKUP(1, (Table_Fuel_EFs_Transport[Fuel combusted]=$E37)*(Table_Fuel_EFs_Transport[Transport type]=$D$37), Table_Fuel_EFs_Transport[Scope 1 Emission Factor (kg CO2 - e / GJ) CO2]), 0)</f>
        <v>67.400000000000006</v>
      </c>
      <c r="I37" s="173" cm="1">
        <f t="array" ref="I37">IFERROR(_xlfn.XLOOKUP(1, (Table_Fuel_EFs_Transport[Fuel combusted]=$E37)*(Table_Fuel_EFs_Transport[Transport type]=$D$37), Table_Fuel_EFs_Transport[Scope 1 Emission Factor (kg CO2 - e / GJ) CH4]), 0)</f>
        <v>10.1</v>
      </c>
      <c r="J37" s="173" cm="1">
        <f t="array" ref="J37">IFERROR(_xlfn.XLOOKUP(1, (Table_Fuel_EFs_Transport[Fuel combusted]=$E37)*(Table_Fuel_EFs_Transport[Transport type]=$D$37), Table_Fuel_EFs_Transport[Scope 1 Emission Factor (kg CO2 - e / GJ) N2O]), 0)</f>
        <v>0.3</v>
      </c>
      <c r="K37" s="173" cm="1">
        <f t="array" ref="K37">IFERROR(_xlfn.XLOOKUP(1, (Table_Fuel_EFs_Transport[Fuel combusted]=$E37)*(Table_Fuel_EFs_Transport[Transport type]=$D$25), Table_Fuel_EFs_Transport[Scope 3 Emission Factor (kg CO2 - e / GJ)]), 0)</f>
        <v>17.2</v>
      </c>
      <c r="L37" s="170" cm="1">
        <f t="array" ref="L37">Fuel_InputFunctions.Fuel_TotalConsumption(Table_Input_Fuel[Amount consumed], Table_Input_Fuel[Fuel use (select)], D37, Table_Input_Fuel[Fuel type (select)],F37)</f>
        <v>0</v>
      </c>
      <c r="M37" s="174" t="str" cm="1">
        <f t="array" ref="M37">Common_InputFunctions.Utility_LookupValueInTable(F37,Table_FuelTypes_Units[Fuel type],Table_FuelTypes_Units[Unit])</f>
        <v>kL</v>
      </c>
      <c r="N37" s="171" cm="1">
        <f t="array" ref="N37">Fuel_Equations.VEERG_8_1_1_1__1_FuelCombustionTransport($L37,$G37,$H37)</f>
        <v>0</v>
      </c>
      <c r="O37" s="171" cm="1">
        <f t="array" ref="O37">Fuel_Equations.VEERG_8_1_1_1__1_FuelCombustionTransport($L37,$G37,$I37)</f>
        <v>0</v>
      </c>
      <c r="P37" s="171" cm="1">
        <f t="array" ref="P37">Fuel_Equations.VEERG_8_1_1_1__1_FuelCombustionTransport($L37,$G37,$J37)</f>
        <v>0</v>
      </c>
      <c r="Q37" s="171" cm="1">
        <f t="array" ref="Q37">Scope3_Equations.VEERG_15_11_1_1__2_UpstreamTransportFuelEmissions(L37,G37,K37)</f>
        <v>0</v>
      </c>
    </row>
    <row r="38" spans="1:17" ht="20.100000000000001" customHeight="1" x14ac:dyDescent="0.2">
      <c r="A38" s="5" t="str">
        <f>HYPERLINK("#'Calcs - Manure sent off-site'!A1", "Calcs - Manure sent off-site")</f>
        <v>Calcs - Manure sent off-site</v>
      </c>
      <c r="D38" s="162" t="str">
        <f>$D$37</f>
        <v>Vessels</v>
      </c>
      <c r="E38" s="159" t="str">
        <f>'Constants - Fuel'!$E$11</f>
        <v>Diesel oil</v>
      </c>
      <c r="F38" s="159"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0" cm="1">
        <f t="array" ref="L38">Fuel_InputFunctions.Fuel_TotalConsumption(Table_Input_Fuel[Amount consumed], Table_Input_Fuel[Fuel use (select)], D38, Table_Input_Fuel[Fuel type (select)],F38)</f>
        <v>0</v>
      </c>
      <c r="M38" s="160" t="str" cm="1">
        <f t="array" ref="M38">Common_InputFunctions.Utility_LookupValueInTable(F38,Table_FuelTypes_Units[Fuel type],Table_FuelTypes_Units[Unit])</f>
        <v>kL</v>
      </c>
      <c r="N38" s="161" cm="1">
        <f t="array" ref="N38">Fuel_Equations.VEERG_8_1_1_1__1_FuelCombustionTransport($L38,$G38,$H38)</f>
        <v>0</v>
      </c>
      <c r="O38" s="161" cm="1">
        <f t="array" ref="O38">Fuel_Equations.VEERG_8_1_1_1__1_FuelCombustionTransport($L38,$G38,$I38)</f>
        <v>0</v>
      </c>
      <c r="P38" s="161" cm="1">
        <f t="array" ref="P38">Fuel_Equations.VEERG_8_1_1_1__1_FuelCombustionTransport($L38,$G38,$J38)</f>
        <v>0</v>
      </c>
      <c r="Q38" s="161" cm="1">
        <f t="array" ref="Q38">Scope3_Equations.VEERG_15_11_1_1__2_UpstreamTransportFuelEmissions(L38,G38,K38)</f>
        <v>0</v>
      </c>
    </row>
    <row r="39" spans="1:17" ht="20.100000000000001" customHeight="1" x14ac:dyDescent="0.2">
      <c r="A39" s="5" t="str">
        <f>HYPERLINK("#'5.1.1.1-2 Inorganic fert N2O'!A1", "5.1.1.1-2 Inorganic fert N2O")</f>
        <v>5.1.1.1-2 Inorganic fert N2O</v>
      </c>
      <c r="D39" s="162" t="str">
        <f>$D$37</f>
        <v>Vessels</v>
      </c>
      <c r="E39" s="159" t="str">
        <f>'Constants - Fuel'!E33</f>
        <v>Fuel Oil</v>
      </c>
      <c r="F39" s="159"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0" cm="1">
        <f t="array" ref="L39">Fuel_InputFunctions.Fuel_TotalConsumption(Table_Input_Fuel[Amount consumed], Table_Input_Fuel[Fuel use (select)], D39, Table_Input_Fuel[Fuel type (select)],F39)</f>
        <v>10</v>
      </c>
      <c r="M39" s="160" t="str" cm="1">
        <f t="array" ref="M39">Common_InputFunctions.Utility_LookupValueInTable(F39,Table_FuelTypes_Units[Fuel type],Table_FuelTypes_Units[Unit])</f>
        <v>kL</v>
      </c>
      <c r="N39" s="161" cm="1">
        <f t="array" ref="N39">Fuel_Equations.VEERG_8_1_1_1__1_FuelCombustionTransport($L39,$G39,$H39)</f>
        <v>29.219199999999997</v>
      </c>
      <c r="O39" s="161" cm="1">
        <f t="array" ref="O39">Fuel_Equations.VEERG_8_1_1_1__1_FuelCombustionTransport($L39,$G39,$I39)</f>
        <v>7.9400000000000012E-2</v>
      </c>
      <c r="P39" s="161" cm="1">
        <f t="array" ref="P39">Fuel_Equations.VEERG_8_1_1_1__1_FuelCombustionTransport($L39,$G39,$J39)</f>
        <v>0.19850000000000001</v>
      </c>
      <c r="Q39" s="161" cm="1">
        <f t="array" ref="Q39">Scope3_Equations.VEERG_15_11_1_1__2_UpstreamTransportFuelEmissions(L39,G39,K39)</f>
        <v>7.1459999999999999</v>
      </c>
    </row>
    <row r="40" spans="1:17" ht="20.100000000000001" customHeight="1" x14ac:dyDescent="0.2">
      <c r="A40" s="5" t="str">
        <f>HYPERLINK("#'5.1.1.3-4 Inorganic fert CO2'!A1", "5.1.1.3-4 Inorganic fert CO2")</f>
        <v>5.1.1.3-4 Inorganic fert CO2</v>
      </c>
      <c r="H40" s="158"/>
      <c r="I40" s="158"/>
      <c r="J40" s="158"/>
      <c r="L40" s="158"/>
      <c r="M40" s="158"/>
      <c r="N40" s="158"/>
      <c r="O40" s="158"/>
      <c r="P40" s="158"/>
      <c r="Q40" s="158"/>
    </row>
    <row r="41" spans="1:17" ht="20.100000000000001" customHeight="1" x14ac:dyDescent="0.2">
      <c r="A41" s="5" t="str">
        <f>HYPERLINK("#'5.2.1.1-2 Organic Fert N2O'!A1", "5.2.1.1-2 Organic Fert N2O")</f>
        <v>5.2.1.1-2 Organic Fert N2O</v>
      </c>
      <c r="H41" s="158"/>
      <c r="I41" s="158"/>
      <c r="J41" s="158"/>
      <c r="L41" s="158"/>
      <c r="M41" s="158"/>
      <c r="N41" s="158"/>
      <c r="O41" s="158"/>
      <c r="P41" s="158"/>
      <c r="Q41" s="158"/>
    </row>
    <row r="42" spans="1:17" ht="20.100000000000001" customHeight="1" x14ac:dyDescent="0.2">
      <c r="A42" s="5" t="str">
        <f>HYPERLINK("#'5.3.1.1-2 Lime CO2'!A1", "5.3.1.1-2 Lime CO2")</f>
        <v>5.3.1.1-2 Lime CO2</v>
      </c>
      <c r="D42" s="175" t="str">
        <f>"Total scope 1 - " &amp; D25</f>
        <v>Total scope 1 - Cars and light commercial vehicles</v>
      </c>
      <c r="E42" s="176"/>
      <c r="F42" s="177"/>
    </row>
    <row r="43" spans="1:17" ht="20.100000000000001" customHeight="1" x14ac:dyDescent="0.2">
      <c r="A43" s="5" t="str">
        <f>HYPERLINK("#'5.4.1.1-4 Atmos deposition'!A1", "5.4.1.1-4 Atmos deposition")</f>
        <v>5.4.1.1-4 Atmos deposition</v>
      </c>
      <c r="D43" s="24" t="s">
        <v>612</v>
      </c>
      <c r="E43" s="178">
        <f>SUM(N25:N32)+N("Partial sum")</f>
        <v>26.981400000000001</v>
      </c>
      <c r="F43" s="16" t="str">
        <f>$E$12</f>
        <v>t CO2-e</v>
      </c>
    </row>
    <row r="44" spans="1:17" ht="20.100000000000001" customHeight="1" x14ac:dyDescent="0.2">
      <c r="A44" s="5" t="str">
        <f>HYPERLINK("#'5.5.1.1-2 Leaching and runoff'!A1", "5.5.1.1-2 Leaching and runoff")</f>
        <v>5.5.1.1-2 Leaching and runoff</v>
      </c>
      <c r="D44" s="24" t="s">
        <v>613</v>
      </c>
      <c r="E44" s="178">
        <f>SUM(O25:O32)+N("Partial sum")</f>
        <v>3.8600000000000001E-3</v>
      </c>
      <c r="F44" s="16" t="str">
        <f t="shared" ref="F44:F46" si="1">$E$12</f>
        <v>t CO2-e</v>
      </c>
    </row>
    <row r="45" spans="1:17" ht="20.100000000000001" customHeight="1" x14ac:dyDescent="0.2">
      <c r="D45" s="24" t="s">
        <v>614</v>
      </c>
      <c r="E45" s="178">
        <f>SUM(P25:P32)+N("Partial sum")</f>
        <v>0.193</v>
      </c>
      <c r="F45" s="16" t="str">
        <f t="shared" si="1"/>
        <v>t CO2-e</v>
      </c>
    </row>
    <row r="46" spans="1:17" ht="20.100000000000001" customHeight="1" x14ac:dyDescent="0.2">
      <c r="D46" s="24" t="s">
        <v>239</v>
      </c>
      <c r="E46" s="178">
        <f>SUM(Q25:Q32)+N("Partial sum")</f>
        <v>6.6778000000000004</v>
      </c>
      <c r="F46" s="16" t="str">
        <f t="shared" si="1"/>
        <v>t CO2-e</v>
      </c>
    </row>
    <row r="47" spans="1:17" ht="20.100000000000001" customHeight="1" x14ac:dyDescent="0.2">
      <c r="A47" s="79" t="s">
        <v>1</v>
      </c>
      <c r="D47" s="158"/>
      <c r="E47" s="158"/>
      <c r="F47" s="158"/>
    </row>
    <row r="48" spans="1:17" ht="20.100000000000001" customHeight="1" x14ac:dyDescent="0.2">
      <c r="A48" s="5" t="str">
        <f>HYPERLINK("#'Constants - Swine'!A1", "Constants - Swine")</f>
        <v>Constants - Swine</v>
      </c>
      <c r="D48" s="175" t="str">
        <f>"Total scope 1 - " &amp; D33</f>
        <v>Total scope 1 - Off-road Agriculture and forestry equipment</v>
      </c>
      <c r="E48" s="179"/>
      <c r="F48" s="177"/>
      <c r="H48" s="158"/>
      <c r="I48" s="158"/>
      <c r="J48" s="158"/>
      <c r="L48" s="158"/>
      <c r="M48" s="158"/>
      <c r="N48" s="158"/>
      <c r="O48" s="158"/>
      <c r="P48" s="158"/>
      <c r="Q48" s="158"/>
    </row>
    <row r="49" spans="1:17" ht="20.100000000000001" customHeight="1" x14ac:dyDescent="0.2">
      <c r="A49" s="5" t="str">
        <f>HYPERLINK("#'Constants - Common livestock'!A1", "Constants - Common Livestock")</f>
        <v>Constants - Common Livestock</v>
      </c>
      <c r="D49" s="24" t="s">
        <v>612</v>
      </c>
      <c r="E49" s="178">
        <f>SUM(N33:N33)+N("Partial sum")</f>
        <v>26.981400000000001</v>
      </c>
      <c r="F49" s="16" t="str">
        <f t="shared" ref="F49:F52" si="2">$E$12</f>
        <v>t CO2-e</v>
      </c>
      <c r="H49" s="158"/>
      <c r="I49" s="158"/>
      <c r="J49" s="158"/>
      <c r="L49" s="158"/>
      <c r="M49" s="158"/>
      <c r="N49" s="158"/>
      <c r="O49" s="158"/>
      <c r="P49" s="158"/>
      <c r="Q49" s="158"/>
    </row>
    <row r="50" spans="1:17" ht="20.100000000000001" customHeight="1" x14ac:dyDescent="0.2">
      <c r="A50" s="5" t="str">
        <f>HYPERLINK("#'Constants - Electricity'!A1", "Constants - Electricity")</f>
        <v>Constants - Electricity</v>
      </c>
      <c r="D50" s="24" t="s">
        <v>613</v>
      </c>
      <c r="E50" s="178">
        <f>SUM(O33:O33)+N("Partial sum")</f>
        <v>0.1158</v>
      </c>
      <c r="F50" s="16" t="str">
        <f t="shared" si="2"/>
        <v>t CO2-e</v>
      </c>
      <c r="H50" s="158"/>
      <c r="I50" s="158"/>
      <c r="J50" s="158"/>
      <c r="L50" s="158"/>
      <c r="M50" s="158"/>
      <c r="N50" s="158"/>
      <c r="O50" s="158"/>
      <c r="P50" s="158"/>
      <c r="Q50" s="158"/>
    </row>
    <row r="51" spans="1:17" ht="20.100000000000001" customHeight="1" x14ac:dyDescent="0.2">
      <c r="A51" s="5" t="str">
        <f>HYPERLINK("#'Constants - Fertiliser'!A1", "Constants - Fertiliser")</f>
        <v>Constants - Fertiliser</v>
      </c>
      <c r="D51" s="24" t="s">
        <v>614</v>
      </c>
      <c r="E51" s="178">
        <f>SUM(P33:P33)+N("Partial sum")</f>
        <v>0.193</v>
      </c>
      <c r="F51" s="16" t="str">
        <f t="shared" si="2"/>
        <v>t CO2-e</v>
      </c>
      <c r="H51" s="158"/>
      <c r="I51" s="158"/>
      <c r="J51" s="158"/>
      <c r="L51" s="158"/>
      <c r="M51" s="158"/>
      <c r="N51" s="158"/>
      <c r="O51" s="158"/>
      <c r="P51" s="158"/>
      <c r="Q51" s="158"/>
    </row>
    <row r="52" spans="1:17" ht="20.100000000000001" customHeight="1" x14ac:dyDescent="0.2">
      <c r="A52" s="5" t="str">
        <f>HYPERLINK("#'Constants - Fuel'!A1", "Constants - Fuel")</f>
        <v>Constants - Fuel</v>
      </c>
      <c r="D52" s="24" t="s">
        <v>239</v>
      </c>
      <c r="E52" s="178">
        <f>SUM(Q33)+N("Partial sum")</f>
        <v>6.6778000000000004</v>
      </c>
      <c r="F52" s="16" t="str">
        <f t="shared" si="2"/>
        <v>t CO2-e</v>
      </c>
      <c r="H52" s="158"/>
      <c r="I52" s="158"/>
      <c r="J52" s="158"/>
      <c r="L52" s="158"/>
      <c r="M52" s="158"/>
      <c r="N52" s="158"/>
      <c r="O52" s="158"/>
      <c r="P52" s="158"/>
      <c r="Q52" s="158"/>
    </row>
    <row r="53" spans="1:17" ht="20.100000000000001" customHeight="1" x14ac:dyDescent="0.2">
      <c r="A53" s="5" t="str">
        <f>HYPERLINK("#'Constants - Scope 3'!A1", "Constants - Scope 3")</f>
        <v>Constants - Scope 3</v>
      </c>
      <c r="D53" s="158"/>
      <c r="E53" s="180"/>
      <c r="F53" s="158"/>
      <c r="G53" s="158"/>
      <c r="H53" s="158"/>
      <c r="I53" s="158"/>
      <c r="J53" s="158"/>
      <c r="L53" s="158"/>
      <c r="M53" s="158"/>
      <c r="N53" s="158"/>
      <c r="O53" s="158"/>
      <c r="P53" s="158"/>
      <c r="Q53" s="158"/>
    </row>
    <row r="54" spans="1:17" ht="20.100000000000001" customHeight="1" x14ac:dyDescent="0.2">
      <c r="A54" s="5" t="str">
        <f>HYPERLINK("#'Constants - Solid Waste'!A1", "Constants - Solid Waste")</f>
        <v>Constants - Solid Waste</v>
      </c>
      <c r="D54" s="175" t="str">
        <f>"Total scope 1 - " &amp; D34</f>
        <v>Total scope 1 - Aviation</v>
      </c>
      <c r="E54" s="179"/>
      <c r="F54" s="177"/>
      <c r="G54" s="158"/>
      <c r="H54" s="158"/>
      <c r="I54" s="158"/>
      <c r="J54" s="158"/>
      <c r="L54" s="158"/>
      <c r="M54" s="158"/>
      <c r="N54" s="158"/>
      <c r="O54" s="158"/>
      <c r="P54" s="158"/>
      <c r="Q54" s="158"/>
    </row>
    <row r="55" spans="1:17" ht="20.100000000000001" customHeight="1" x14ac:dyDescent="0.2">
      <c r="A55" s="5" t="str">
        <f>HYPERLINK("#'Constants - Common'!A1", "Constants - Common")</f>
        <v>Constants - Common</v>
      </c>
      <c r="D55" s="24" t="s">
        <v>612</v>
      </c>
      <c r="E55" s="178">
        <f>SUM(N34:N36)+N("Partial sum")</f>
        <v>0</v>
      </c>
      <c r="F55" s="16" t="str">
        <f t="shared" ref="F55:F58" si="3">$E$12</f>
        <v>t CO2-e</v>
      </c>
      <c r="G55" s="158"/>
      <c r="H55" s="158"/>
      <c r="I55" s="158"/>
      <c r="J55" s="158"/>
      <c r="L55" s="158"/>
      <c r="M55" s="158"/>
      <c r="N55" s="158"/>
      <c r="O55" s="158"/>
      <c r="P55" s="158"/>
      <c r="Q55" s="158"/>
    </row>
    <row r="56" spans="1:17" ht="20.100000000000001" customHeight="1" x14ac:dyDescent="0.2">
      <c r="A56" s="5" t="str">
        <f>HYPERLINK("#'Acknowledgements'!A1", "Acknowledgements")</f>
        <v>Acknowledgements</v>
      </c>
      <c r="D56" s="24" t="s">
        <v>613</v>
      </c>
      <c r="E56" s="178">
        <f>SUM(O34:O36)+N("Partial sum")</f>
        <v>0</v>
      </c>
      <c r="F56" s="16" t="str">
        <f t="shared" si="3"/>
        <v>t CO2-e</v>
      </c>
      <c r="G56" s="158"/>
      <c r="H56" s="158"/>
      <c r="I56" s="158"/>
      <c r="J56" s="158"/>
      <c r="L56" s="158"/>
      <c r="M56" s="158"/>
      <c r="N56" s="158"/>
      <c r="O56" s="158"/>
      <c r="P56" s="158"/>
      <c r="Q56" s="158"/>
    </row>
    <row r="57" spans="1:17" ht="20.100000000000001" customHeight="1" x14ac:dyDescent="0.2">
      <c r="D57" s="24" t="s">
        <v>614</v>
      </c>
      <c r="E57" s="178">
        <f>SUM(P34:P36)+N("Partial sum")</f>
        <v>0</v>
      </c>
      <c r="F57" s="16" t="str">
        <f t="shared" si="3"/>
        <v>t CO2-e</v>
      </c>
      <c r="G57" s="158"/>
      <c r="H57" s="158"/>
      <c r="I57" s="158"/>
      <c r="J57" s="158"/>
      <c r="L57" s="158"/>
      <c r="M57" s="158"/>
      <c r="N57" s="158"/>
      <c r="O57" s="158"/>
      <c r="P57" s="158"/>
      <c r="Q57" s="158"/>
    </row>
    <row r="58" spans="1:17" ht="20.100000000000001" customHeight="1" x14ac:dyDescent="0.2">
      <c r="D58" s="24" t="s">
        <v>239</v>
      </c>
      <c r="E58" s="178">
        <f>SUM(Q34:Q36)+N("Partial sum")</f>
        <v>0</v>
      </c>
      <c r="F58" s="16" t="str">
        <f t="shared" si="3"/>
        <v>t CO2-e</v>
      </c>
      <c r="G58" s="158"/>
      <c r="H58" s="158"/>
      <c r="I58" s="158"/>
      <c r="J58" s="158"/>
      <c r="L58" s="158"/>
      <c r="M58" s="158"/>
      <c r="N58" s="158"/>
      <c r="O58" s="158"/>
      <c r="P58" s="158"/>
      <c r="Q58" s="158"/>
    </row>
    <row r="59" spans="1:17" ht="20.100000000000001" customHeight="1" x14ac:dyDescent="0.2">
      <c r="D59" s="158"/>
      <c r="E59" s="180"/>
      <c r="F59" s="158"/>
      <c r="G59" s="158"/>
      <c r="H59" s="158"/>
      <c r="I59" s="158"/>
      <c r="J59" s="158"/>
      <c r="L59" s="158"/>
      <c r="M59" s="158"/>
      <c r="N59" s="158"/>
      <c r="O59" s="158"/>
      <c r="P59" s="158"/>
      <c r="Q59" s="158"/>
    </row>
    <row r="60" spans="1:17" ht="20.100000000000001" customHeight="1" x14ac:dyDescent="0.2">
      <c r="D60" s="175" t="str">
        <f>"Total scope 1 - " &amp; D37</f>
        <v>Total scope 1 - Vessels</v>
      </c>
      <c r="E60" s="179"/>
      <c r="F60" s="177"/>
      <c r="G60" s="158"/>
      <c r="H60" s="158"/>
      <c r="I60" s="158"/>
      <c r="J60" s="158"/>
      <c r="L60" s="158"/>
      <c r="M60" s="158"/>
      <c r="N60" s="158"/>
      <c r="O60" s="158"/>
      <c r="P60" s="158"/>
      <c r="Q60" s="158"/>
    </row>
    <row r="61" spans="1:17" ht="20.100000000000001" customHeight="1" x14ac:dyDescent="0.2">
      <c r="D61" s="24" t="s">
        <v>612</v>
      </c>
      <c r="E61" s="178">
        <f>SUM(N37:N39)+N("Partial sum")</f>
        <v>29.219199999999997</v>
      </c>
      <c r="F61" s="16" t="str">
        <f t="shared" ref="F61:F64" si="4">$E$12</f>
        <v>t CO2-e</v>
      </c>
      <c r="G61" s="158"/>
      <c r="H61" s="158"/>
      <c r="I61" s="158"/>
      <c r="J61" s="158"/>
      <c r="L61" s="158"/>
      <c r="M61" s="158"/>
      <c r="N61" s="158"/>
      <c r="O61" s="158"/>
      <c r="P61" s="158"/>
      <c r="Q61" s="158"/>
    </row>
    <row r="62" spans="1:17" ht="20.100000000000001" customHeight="1" x14ac:dyDescent="0.2">
      <c r="D62" s="24" t="s">
        <v>613</v>
      </c>
      <c r="E62" s="178">
        <f>SUM(O37:O39)+N("Partial sum")</f>
        <v>7.9400000000000012E-2</v>
      </c>
      <c r="F62" s="16" t="str">
        <f t="shared" si="4"/>
        <v>t CO2-e</v>
      </c>
      <c r="G62" s="158"/>
      <c r="H62" s="158"/>
      <c r="I62" s="158"/>
      <c r="J62" s="158"/>
      <c r="L62" s="158"/>
      <c r="M62" s="158"/>
      <c r="N62" s="158"/>
      <c r="O62" s="158"/>
      <c r="P62" s="158"/>
      <c r="Q62" s="158"/>
    </row>
    <row r="63" spans="1:17" ht="20.100000000000001" customHeight="1" x14ac:dyDescent="0.2">
      <c r="D63" s="24" t="s">
        <v>614</v>
      </c>
      <c r="E63" s="178">
        <f>SUM(P37:P39)+N("Partial sum")</f>
        <v>0.19850000000000001</v>
      </c>
      <c r="F63" s="16" t="str">
        <f t="shared" si="4"/>
        <v>t CO2-e</v>
      </c>
      <c r="G63" s="158"/>
      <c r="H63" s="158"/>
      <c r="I63" s="158"/>
      <c r="J63" s="158"/>
      <c r="L63" s="158"/>
      <c r="M63" s="158"/>
      <c r="N63" s="158"/>
      <c r="O63" s="158"/>
      <c r="P63" s="158"/>
      <c r="Q63" s="158"/>
    </row>
    <row r="64" spans="1:17" ht="20.100000000000001" customHeight="1" x14ac:dyDescent="0.2">
      <c r="D64" s="24" t="s">
        <v>239</v>
      </c>
      <c r="E64" s="178">
        <f>SUM(Q37:Q39)+N("Partial sum")</f>
        <v>7.1459999999999999</v>
      </c>
      <c r="F64" s="16" t="str">
        <f t="shared" si="4"/>
        <v>t CO2-e</v>
      </c>
      <c r="G64" s="158"/>
      <c r="H64" s="158"/>
      <c r="I64" s="158"/>
      <c r="J64" s="158"/>
      <c r="L64" s="158"/>
      <c r="M64" s="158"/>
      <c r="N64" s="158"/>
      <c r="O64" s="158"/>
      <c r="P64" s="158"/>
      <c r="Q64" s="158"/>
    </row>
    <row r="65" spans="1:17" ht="20.100000000000001" customHeight="1" x14ac:dyDescent="0.2">
      <c r="G65" s="158"/>
      <c r="H65" s="158"/>
      <c r="I65" s="158"/>
      <c r="J65" s="158"/>
      <c r="L65" s="158"/>
      <c r="M65" s="158"/>
      <c r="N65" s="158"/>
      <c r="O65" s="158"/>
      <c r="P65" s="158"/>
      <c r="Q65" s="158"/>
    </row>
    <row r="66" spans="1:17" ht="20.100000000000001" customHeight="1" x14ac:dyDescent="0.2">
      <c r="D66" s="175" t="s">
        <v>615</v>
      </c>
      <c r="E66" s="181"/>
      <c r="F66" s="177"/>
      <c r="G66" s="158"/>
      <c r="H66" s="158"/>
      <c r="I66" s="158"/>
      <c r="J66" s="158"/>
      <c r="L66" s="158"/>
      <c r="M66" s="158"/>
      <c r="N66" s="158"/>
      <c r="O66" s="158"/>
      <c r="P66" s="158"/>
      <c r="Q66" s="158"/>
    </row>
    <row r="67" spans="1:17" ht="20.100000000000001" customHeight="1" x14ac:dyDescent="0.2">
      <c r="A67" s="131" t="str">
        <f>HYPERLINK("#A1", "▲ Back to top")</f>
        <v>▲ Back to top</v>
      </c>
      <c r="D67" s="24" t="s">
        <v>612</v>
      </c>
      <c r="E67" s="178">
        <f>E43+E49+E55+E61</f>
        <v>83.182000000000002</v>
      </c>
      <c r="F67" s="16" t="str">
        <f t="shared" ref="F67:F70" si="5">$E$12</f>
        <v>t CO2-e</v>
      </c>
      <c r="G67" s="158"/>
    </row>
    <row r="68" spans="1:17" ht="20.100000000000001" customHeight="1" x14ac:dyDescent="0.2">
      <c r="D68" s="24" t="s">
        <v>613</v>
      </c>
      <c r="E68" s="178">
        <f t="shared" ref="E68:E70" si="6">E44+E50+E56+E62</f>
        <v>0.19906000000000001</v>
      </c>
      <c r="F68" s="16" t="str">
        <f t="shared" si="5"/>
        <v>t CO2-e</v>
      </c>
      <c r="G68" s="158"/>
    </row>
    <row r="69" spans="1:17" ht="20.100000000000001" customHeight="1" x14ac:dyDescent="0.2">
      <c r="D69" s="24" t="s">
        <v>614</v>
      </c>
      <c r="E69" s="178">
        <f t="shared" si="6"/>
        <v>0.58450000000000002</v>
      </c>
      <c r="F69" s="16" t="str">
        <f t="shared" si="5"/>
        <v>t CO2-e</v>
      </c>
      <c r="G69" s="158"/>
    </row>
    <row r="70" spans="1:17" ht="20.100000000000001" customHeight="1" x14ac:dyDescent="0.2">
      <c r="D70" s="24" t="s">
        <v>239</v>
      </c>
      <c r="E70" s="178">
        <f t="shared" si="6"/>
        <v>20.5016</v>
      </c>
      <c r="F70" s="16" t="str">
        <f t="shared" si="5"/>
        <v>t CO2-e</v>
      </c>
      <c r="G70" s="158"/>
    </row>
    <row r="71" spans="1:17" ht="20.100000000000001" customHeight="1" x14ac:dyDescent="0.2">
      <c r="G71" s="158"/>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8F4CE1D0-74A0-4380-BFB5-DBA0194B6252}"/>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031C6-D22E-4663-85DE-89441DDB550B}">
  <sheetPr>
    <tabColor rgb="FF008000"/>
  </sheetPr>
  <dimension ref="A1:R71"/>
  <sheetViews>
    <sheetView showGridLines="0" zoomScaleNormal="100" workbookViewId="0">
      <pane xSplit="1" topLeftCell="B1" activePane="topRight" state="frozenSplit"/>
      <selection pane="topRight" activeCell="A157" sqref="A157"/>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616</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8"/>
      <c r="P5" s="158"/>
      <c r="Q5" s="158"/>
      <c r="R5" s="158"/>
    </row>
    <row r="6" spans="1:18" ht="20.100000000000001" customHeight="1" x14ac:dyDescent="0.2">
      <c r="D6" s="17" t="str" cm="1">
        <f t="array" ref="D6">Fuel_Equations.VEERG_8_2_1_1__1_FuelCombustionStationary_Source()</f>
        <v>VEERG 2026: 8.2.1.1, Equation (1)</v>
      </c>
      <c r="K6" s="17" t="str" cm="1">
        <f t="array" ref="K6">Scope3_Equations.VEERG_15_11_1_1__3_UpstreamStationaryFuelEmissions_Source()</f>
        <v>VEERG 2026: 15.11.1.1, Equation (3)</v>
      </c>
      <c r="O6" s="158"/>
      <c r="P6" s="158"/>
      <c r="Q6" s="158"/>
      <c r="R6" s="158"/>
    </row>
    <row r="7" spans="1:18" ht="20.100000000000001" customHeight="1" x14ac:dyDescent="0.2">
      <c r="D7" s="110" t="s">
        <v>321</v>
      </c>
      <c r="E7" s="110"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8"/>
      <c r="P7" s="158"/>
      <c r="Q7" s="158"/>
      <c r="R7" s="158"/>
    </row>
    <row r="8" spans="1:18" ht="20.100000000000001" customHeight="1" x14ac:dyDescent="0.2">
      <c r="A8" s="7" t="s">
        <v>0</v>
      </c>
      <c r="K8" s="110" t="s">
        <v>321</v>
      </c>
      <c r="L8" s="110" t="str" cm="1">
        <f t="array" aca="1" ref="L8" ca="1">Common_InputFunctions.Utility_DisplayFunctionName(Q25)</f>
        <v>=Fuel_Equations.VEERG_8_2_1_1__1_FuelCombustionStationary</v>
      </c>
      <c r="O8" s="158"/>
      <c r="P8" s="158"/>
      <c r="Q8" s="158"/>
      <c r="R8" s="158"/>
    </row>
    <row r="9" spans="1:18" ht="20.100000000000001" customHeight="1" x14ac:dyDescent="0.2">
      <c r="A9" s="5" t="str">
        <f>HYPERLINK("#'Input - Enterprise'!A1", "Enterprise")</f>
        <v>Enterprise</v>
      </c>
      <c r="G9" s="17"/>
      <c r="O9" s="158"/>
      <c r="P9" s="158"/>
      <c r="Q9" s="158"/>
      <c r="R9" s="158"/>
    </row>
    <row r="10" spans="1:18" ht="20.100000000000001" customHeight="1" x14ac:dyDescent="0.2">
      <c r="A10" s="5" t="str">
        <f>HYPERLINK("#'Input - Site'!A1", "Site")</f>
        <v>Site</v>
      </c>
      <c r="O10" s="158"/>
      <c r="P10" s="158"/>
      <c r="Q10" s="158"/>
      <c r="R10" s="158"/>
    </row>
    <row r="11" spans="1:18" ht="20.100000000000001" customHeight="1" x14ac:dyDescent="0.2">
      <c r="A11" s="5" t="str">
        <f>HYPERLINK("#'Input - Swine'!A1", "Swine")</f>
        <v>Swine</v>
      </c>
      <c r="D11" s="75" t="s">
        <v>322</v>
      </c>
      <c r="E11" s="1" t="str" cm="1">
        <f t="array" ref="E11">Fuel_Equations.VEERG_8_2_1_1__1_FuelCombustionStationary_Variable()</f>
        <v>E_g</v>
      </c>
      <c r="K11" s="75" t="s">
        <v>322</v>
      </c>
      <c r="L11" s="1" t="str" cm="1">
        <f t="array" ref="L11">Scope3_Equations.VEERG_15_11_1_1__3_UpstreamStationaryFuelEmissions_Variable()</f>
        <v>E_WTTSCq</v>
      </c>
      <c r="O11" s="158"/>
      <c r="P11" s="158"/>
      <c r="Q11" s="158"/>
      <c r="R11" s="158"/>
    </row>
    <row r="12" spans="1:18" ht="20.100000000000001" customHeight="1" x14ac:dyDescent="0.2">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100000000000001" customHeight="1" x14ac:dyDescent="0.2">
      <c r="A13" s="5" t="str">
        <f>HYPERLINK("#'Input - Pig purchases'!A1", "Pig purchases")</f>
        <v>Pig purchases</v>
      </c>
    </row>
    <row r="14" spans="1:18" ht="20.100000000000001" customHeight="1" x14ac:dyDescent="0.2">
      <c r="A14" s="5" t="str">
        <f>HYPERLINK("#'Input - Fuel'!A1", "Fuel")</f>
        <v>Fuel</v>
      </c>
      <c r="D14" s="127" t="str" cm="1">
        <f t="array" ref="D14:E20">_xlfn.CHOOSECOLS(Fuel_Equations.VEERG_8_2_1_1__1_FuelCombustionStationary_Arguments(), 1,2)</f>
        <v>Q_SCq</v>
      </c>
      <c r="E14" s="128" t="str">
        <v>Amount of fuel type q used for stationary combustion operations</v>
      </c>
      <c r="F14" s="129"/>
      <c r="G14" s="127" t="str" cm="1">
        <f t="array" ref="G14:H20">_xlfn.CHOOSECOLS(Fuel_Equations.VEERG_8_2_1_1__1_FuelCombustionStationary_Arguments(), 3,4)</f>
        <v>Varies based on fuel type: kL, m3, GJ</v>
      </c>
      <c r="H14" s="123" t="str">
        <v>Input</v>
      </c>
      <c r="I14" s="115" t="str" cm="1">
        <f t="array" aca="1" ref="I14" ca="1">HYPERLINK(Common_InputFunctions.Utility_SourceHyperlink($D$22), $D$22)</f>
        <v>Table_E_g</v>
      </c>
      <c r="K14" s="127" t="str" cm="1">
        <f t="array" ref="K14:L18">_xlfn.CHOOSECOLS(Scope3_Equations.VEERG_15_11_1_1__3_UpstreamStationaryFuelEmissions_Arguments(),1,2)</f>
        <v>Q_SCq</v>
      </c>
      <c r="L14" s="127" t="str">
        <v>amount of fuel q used for stationary combustion operations</v>
      </c>
      <c r="M14" s="127"/>
      <c r="N14" s="127" t="str" cm="1">
        <f t="array" ref="N14:O18">_xlfn.CHOOSECOLS(Scope3_Equations.VEERG_15_11_1_1__3_UpstreamStationaryFuelEmissions_Arguments(),3,4)</f>
        <v>kL</v>
      </c>
      <c r="O14" s="123" t="str">
        <v>Input</v>
      </c>
      <c r="P14" s="115" t="str" cm="1">
        <f t="array" aca="1" ref="P14" ca="1">HYPERLINK(Common_InputFunctions.Utility_SourceHyperlink($D$22), $D$22)</f>
        <v>Table_E_g</v>
      </c>
      <c r="Q14" s="158"/>
    </row>
    <row r="15" spans="1:18" ht="20.100000000000001" customHeight="1" x14ac:dyDescent="0.2">
      <c r="A15" s="5" t="str">
        <f>HYPERLINK("#'Input - Electricity'!A1", "Electricity")</f>
        <v>Electricity</v>
      </c>
      <c r="D15" s="127" t="str">
        <v>EC_SCq</v>
      </c>
      <c r="E15" s="128" t="str">
        <v>Energy content factor for stationary combustion operations</v>
      </c>
      <c r="F15" s="129"/>
      <c r="G15" s="127" t="str">
        <v>GJ / unit of fuel</v>
      </c>
      <c r="H15" s="125" t="str">
        <v>Constant</v>
      </c>
      <c r="I15" s="115" t="str" cm="1">
        <f t="array" aca="1" ref="I15" ca="1">HYPERLINK(Common_InputFunctions.Utility_SourceHyperlink($D$22), $D$22)</f>
        <v>Table_E_g</v>
      </c>
      <c r="K15" s="127" t="str">
        <v>EC_SCq</v>
      </c>
      <c r="L15" s="127" t="str">
        <v>energy content factor for stationary combustion operations</v>
      </c>
      <c r="M15" s="127"/>
      <c r="N15" s="127" t="str">
        <v>GJ/kL</v>
      </c>
      <c r="O15" s="125" t="str">
        <v>Constant</v>
      </c>
      <c r="P15" s="115" t="str" cm="1">
        <f t="array" aca="1" ref="P15" ca="1">HYPERLINK(Common_InputFunctions.Utility_SourceHyperlink($D$22), $D$22)</f>
        <v>Table_E_g</v>
      </c>
      <c r="Q15" s="158"/>
    </row>
    <row r="16" spans="1:18" ht="20.100000000000001" customHeight="1" x14ac:dyDescent="0.2">
      <c r="A16" s="5" t="str">
        <f>HYPERLINK("#'Input - Common farm inputs'!A1", "Common farm inputs")</f>
        <v>Common farm inputs</v>
      </c>
      <c r="D16" s="127" t="str">
        <v>EF_SC1qg</v>
      </c>
      <c r="E16" s="128" t="str">
        <v>Scope 1 emission factor for stationary combustion for each greenhouse gas</v>
      </c>
      <c r="F16" s="129"/>
      <c r="G16" s="127" t="str">
        <v>kg CO2e / GJ</v>
      </c>
      <c r="H16" s="125" t="str">
        <v>Constant</v>
      </c>
      <c r="I16" s="115" t="str" cm="1">
        <f t="array" aca="1" ref="I16" ca="1">HYPERLINK(Common_InputFunctions.Utility_SourceHyperlink($D$22), $D$22)</f>
        <v>Table_E_g</v>
      </c>
      <c r="K16" s="127" t="str">
        <v>EF_SC3q</v>
      </c>
      <c r="L16" s="127" t="str">
        <v>scope 3 emission factor for stationary combustion operations</v>
      </c>
      <c r="M16" s="127"/>
      <c r="N16" s="127" t="str">
        <v>kg CO2e/GJ</v>
      </c>
      <c r="O16" s="125" t="str">
        <v>Constant</v>
      </c>
      <c r="P16" s="115" t="str" cm="1">
        <f t="array" aca="1" ref="P16" ca="1">HYPERLINK(Common_InputFunctions.Utility_SourceHyperlink($D$22), $D$22)</f>
        <v>Table_E_g</v>
      </c>
      <c r="Q16" s="158"/>
    </row>
    <row r="17" spans="1:17" ht="20.100000000000001" customHeight="1" x14ac:dyDescent="0.2">
      <c r="A17" s="5" t="str">
        <f>HYPERLINK("#'Input - Livestock farm Inputs'!A1", "Livestock farm Inputs")</f>
        <v>Livestock farm Inputs</v>
      </c>
      <c r="D17" s="127" t="str">
        <v>q</v>
      </c>
      <c r="E17" s="128" t="str">
        <v>Fuel type</v>
      </c>
      <c r="F17" s="129"/>
      <c r="G17" s="127" t="str">
        <v/>
      </c>
      <c r="H17" s="125" t="str">
        <v>Constant</v>
      </c>
      <c r="I17" s="115"/>
      <c r="J17" s="158"/>
      <c r="K17" s="127" t="str">
        <v>i</v>
      </c>
      <c r="L17" s="128" t="str">
        <v>state</v>
      </c>
      <c r="M17" s="129"/>
      <c r="N17" s="127" t="str">
        <v/>
      </c>
      <c r="O17" s="123" t="str">
        <v>Input</v>
      </c>
      <c r="P17" s="127" t="str">
        <f>X_Cell_Site_State</f>
        <v>Western Australia</v>
      </c>
      <c r="Q17" s="158"/>
    </row>
    <row r="18" spans="1:17" ht="20.100000000000001" customHeight="1" x14ac:dyDescent="0.2">
      <c r="A18" s="5" t="str">
        <f>HYPERLINK("#'Input - Freight'!A1", "Freight")</f>
        <v>Freight</v>
      </c>
      <c r="D18" s="127" t="str">
        <v>SC</v>
      </c>
      <c r="E18" s="128" t="str">
        <v>Stationary combustion</v>
      </c>
      <c r="F18" s="129"/>
      <c r="G18" s="127" t="str">
        <v/>
      </c>
      <c r="H18" s="125" t="str">
        <v>Constant</v>
      </c>
      <c r="I18" s="115"/>
      <c r="J18" s="158"/>
      <c r="K18" s="127" t="str">
        <v>m</v>
      </c>
      <c r="L18" s="128" t="str">
        <v>metropolitan/non-metropolitan location</v>
      </c>
      <c r="M18" s="129"/>
      <c r="N18" s="127" t="str">
        <v/>
      </c>
      <c r="O18" s="123" t="str">
        <v>Input</v>
      </c>
      <c r="P18" s="127" t="str">
        <f>X_Cell_Fuel_IsMetroLocation</f>
        <v>Metro</v>
      </c>
      <c r="Q18" s="158"/>
    </row>
    <row r="19" spans="1:17" ht="20.100000000000001" customHeight="1" x14ac:dyDescent="0.2">
      <c r="A19" s="5" t="str">
        <f>HYPERLINK("#'Input - Solid waste'!A1", "Solid waste")</f>
        <v>Solid waste</v>
      </c>
      <c r="D19" s="127" t="str">
        <v>g</v>
      </c>
      <c r="E19" s="128" t="str">
        <v>Greenhouse gas</v>
      </c>
      <c r="F19" s="129"/>
      <c r="G19" s="127" t="str">
        <v/>
      </c>
      <c r="H19" s="125" t="str">
        <v>Constant</v>
      </c>
      <c r="I19" s="115"/>
      <c r="J19" s="158"/>
      <c r="L19" s="158"/>
      <c r="N19" s="158"/>
      <c r="O19" s="158"/>
      <c r="P19" s="158"/>
      <c r="Q19" s="158"/>
    </row>
    <row r="20" spans="1:17" ht="20.100000000000001" customHeight="1" x14ac:dyDescent="0.2">
      <c r="A20" s="5" t="str">
        <f>HYPERLINK("#'Input - Manure sent off-site'!A1", "Manure sent off-site")</f>
        <v>Manure sent off-site</v>
      </c>
      <c r="D20" s="127" t="str">
        <v>1</v>
      </c>
      <c r="E20" s="128" t="str">
        <v>Scope 1</v>
      </c>
      <c r="F20" s="129"/>
      <c r="G20" s="127" t="str">
        <v/>
      </c>
      <c r="H20" s="125" t="str">
        <v>Constant</v>
      </c>
      <c r="I20" s="115"/>
      <c r="J20" s="158"/>
      <c r="L20" s="158"/>
      <c r="N20" s="158"/>
      <c r="O20" s="158"/>
      <c r="P20" s="158"/>
      <c r="Q20" s="158"/>
    </row>
    <row r="21" spans="1:17" ht="20.100000000000001" customHeight="1" x14ac:dyDescent="0.2">
      <c r="A21" s="5" t="str">
        <f>HYPERLINK("#'Input - Data quality'!A1", "Data quality")</f>
        <v>Data quality</v>
      </c>
      <c r="O21" s="158"/>
      <c r="P21" s="158"/>
      <c r="Q21" s="158"/>
    </row>
    <row r="22" spans="1:17" ht="20.100000000000001" customHeight="1" x14ac:dyDescent="0.2">
      <c r="A22" s="5" t="str">
        <f>HYPERLINK("#'Input - Fert Prod System'!A1", "Fert Prod System")</f>
        <v>Fert Prod System</v>
      </c>
      <c r="D22" s="137" t="s">
        <v>596</v>
      </c>
    </row>
    <row r="23" spans="1:17" ht="20.100000000000001" customHeight="1" x14ac:dyDescent="0.2">
      <c r="A23" s="5" t="str">
        <f>HYPERLINK("#'Input - Fertiliser'!A1", "Fertiliser")</f>
        <v>Fertiliser</v>
      </c>
      <c r="D23" s="138" t="s">
        <v>617</v>
      </c>
    </row>
    <row r="24" spans="1:17" ht="20.100000000000001" customHeight="1" x14ac:dyDescent="0.2">
      <c r="D24" s="119" t="s">
        <v>598</v>
      </c>
      <c r="E24" s="119" t="s">
        <v>599</v>
      </c>
      <c r="F24" s="119" t="s">
        <v>600</v>
      </c>
      <c r="G24" s="119" t="s">
        <v>618</v>
      </c>
      <c r="H24" s="119" t="s">
        <v>619</v>
      </c>
      <c r="I24" s="119" t="s">
        <v>620</v>
      </c>
      <c r="J24" s="119" t="s">
        <v>621</v>
      </c>
      <c r="K24" s="119" t="s">
        <v>622</v>
      </c>
      <c r="L24" s="78" t="s">
        <v>623</v>
      </c>
      <c r="M24" s="119" t="s">
        <v>607</v>
      </c>
      <c r="N24" s="119" t="s">
        <v>608</v>
      </c>
      <c r="O24" s="119" t="s">
        <v>609</v>
      </c>
      <c r="P24" s="119" t="s">
        <v>610</v>
      </c>
      <c r="Q24" s="119" t="s">
        <v>624</v>
      </c>
    </row>
    <row r="25" spans="1:17" ht="20.100000000000001" customHeight="1" x14ac:dyDescent="0.2">
      <c r="D25" s="24" t="str">
        <f>Table_FuelTypesPerUse[[#Headers],[Generators]]</f>
        <v>Generators</v>
      </c>
      <c r="E25" s="159" t="str">
        <f>'Constants - Fuel'!$D$58</f>
        <v>Automotive gasoline / petrol (other than for use as fuel in an aircraft)</v>
      </c>
      <c r="F25" s="159"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82" cm="1">
        <f t="array" ref="N25">Fuel_Equations.VEERG_8_2_1_1__1_FuelCombustionStationary($L25,$G25,H25)</f>
        <v>0</v>
      </c>
      <c r="O25" s="182" cm="1">
        <f t="array" ref="O25">Fuel_Equations.VEERG_8_2_1_1__1_FuelCombustionStationary($L25,$G25,I25)</f>
        <v>0</v>
      </c>
      <c r="P25" s="182" cm="1">
        <f t="array" ref="P25">Fuel_Equations.VEERG_8_2_1_1__1_FuelCombustionStationary($L25,$G25,J25)</f>
        <v>0</v>
      </c>
      <c r="Q25" s="182" cm="1">
        <f t="array" ref="Q25">Fuel_Equations.VEERG_8_2_1_1__1_FuelCombustionStationary($L25,$G25,IF(ISNUMBER(K25), K25, 0))</f>
        <v>0</v>
      </c>
    </row>
    <row r="26" spans="1:17" ht="20.100000000000001" customHeight="1" x14ac:dyDescent="0.2">
      <c r="A26" s="6" t="s">
        <v>2</v>
      </c>
      <c r="D26" s="162" t="str">
        <f t="shared" ref="D26:D31" si="0">$D$25</f>
        <v>Generators</v>
      </c>
      <c r="E26" s="159" t="str">
        <f>'Constants - Fuel'!$D$63</f>
        <v>Diesel oil</v>
      </c>
      <c r="F26" s="159"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0" cm="1">
        <f t="array" ref="L26">Fuel_InputFunctions.Fuel_TotalConsumption(Table_Input_Fuel[Amount consumed], Table_Input_Fuel[Fuel use (select)], D26, Table_Input_Fuel[Fuel type (select)],F26)</f>
        <v>0</v>
      </c>
      <c r="M26" s="160" t="str" cm="1">
        <f t="array" ref="M26">Common_InputFunctions.Utility_LookupValueInTable(F26,Table_FuelTypes_Units[Fuel type],Table_FuelTypes_Units[Unit])</f>
        <v>kL</v>
      </c>
      <c r="N26" s="182" cm="1">
        <f t="array" ref="N26">Fuel_Equations.VEERG_8_2_1_1__1_FuelCombustionStationary($L26,$G26,H26)</f>
        <v>0</v>
      </c>
      <c r="O26" s="182" cm="1">
        <f t="array" ref="O26">Fuel_Equations.VEERG_8_2_1_1__1_FuelCombustionStationary($L26,$G26,I26)</f>
        <v>0</v>
      </c>
      <c r="P26" s="182" cm="1">
        <f t="array" ref="P26">Fuel_Equations.VEERG_8_2_1_1__1_FuelCombustionStationary($L26,$G26,J26)</f>
        <v>0</v>
      </c>
      <c r="Q26" s="182" cm="1">
        <f t="array" ref="Q26">Fuel_Equations.VEERG_8_2_1_1__1_FuelCombustionStationary($L26,$G26,IF(ISNUMBER(K26), K26, 0))</f>
        <v>0</v>
      </c>
    </row>
    <row r="27" spans="1:17" ht="20.100000000000001" customHeight="1" x14ac:dyDescent="0.2">
      <c r="A27" s="5" t="str">
        <f>HYPERLINK("#'3.5.1.1-2 Enteric Methane'!A1", "3.5.1.1-2 Enteric Methane")</f>
        <v>3.5.1.1-2 Enteric Methane</v>
      </c>
      <c r="D27" s="162" t="str">
        <f t="shared" si="0"/>
        <v>Generators</v>
      </c>
      <c r="E27" s="159" t="str">
        <f>'Constants - Fuel'!$D$67</f>
        <v>Liquefied petroleum gas (LPG)</v>
      </c>
      <c r="F27" s="159"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82" cm="1">
        <f t="array" ref="N27">Fuel_Equations.VEERG_8_2_1_1__1_FuelCombustionStationary($L27,$G27,H27)</f>
        <v>0</v>
      </c>
      <c r="O27" s="182" cm="1">
        <f t="array" ref="O27">Fuel_Equations.VEERG_8_2_1_1__1_FuelCombustionStationary($L27,$G27,I27)</f>
        <v>0</v>
      </c>
      <c r="P27" s="182" cm="1">
        <f t="array" ref="P27">Fuel_Equations.VEERG_8_2_1_1__1_FuelCombustionStationary($L27,$G27,J27)</f>
        <v>0</v>
      </c>
      <c r="Q27" s="182" cm="1">
        <f t="array" ref="Q27">Fuel_Equations.VEERG_8_2_1_1__1_FuelCombustionStationary($L27,$G27,IF(ISNUMBER(K27), K27, 0))</f>
        <v>0</v>
      </c>
    </row>
    <row r="28" spans="1:17" ht="20.100000000000001" customHeight="1" x14ac:dyDescent="0.2">
      <c r="A28" s="5" t="str">
        <f>HYPERLINK("#'4.5.1.1-2 Methane'!A1", "4.5.1.1-2 Manure Methane")</f>
        <v>4.5.1.1-2 Manure Methane</v>
      </c>
      <c r="D28" s="162" t="str">
        <f t="shared" si="0"/>
        <v>Generators</v>
      </c>
      <c r="E28" s="159" t="str">
        <f>'Constants - Fuel'!$D$73</f>
        <v>Biodiesel</v>
      </c>
      <c r="F28" s="159"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82" cm="1">
        <f t="array" ref="N28">Fuel_Equations.VEERG_8_2_1_1__1_FuelCombustionStationary($L28,$G28,H28)</f>
        <v>0</v>
      </c>
      <c r="O28" s="182" cm="1">
        <f t="array" ref="O28">Fuel_Equations.VEERG_8_2_1_1__1_FuelCombustionStationary($L28,$G28,I28)</f>
        <v>0</v>
      </c>
      <c r="P28" s="182" cm="1">
        <f t="array" ref="P28">Fuel_Equations.VEERG_8_2_1_1__1_FuelCombustionStationary($L28,$G28,J28)</f>
        <v>0</v>
      </c>
      <c r="Q28" s="182" cm="1">
        <f t="array" ref="Q28">Fuel_Equations.VEERG_8_2_1_1__1_FuelCombustionStationary($L28,$G28,IF(ISNUMBER(K28), K28, 0))</f>
        <v>0</v>
      </c>
    </row>
    <row r="29" spans="1:17" ht="20.100000000000001" customHeight="1" x14ac:dyDescent="0.2">
      <c r="A29" s="5" t="str">
        <f>HYPERLINK("#'4.5.1.3-4 Direct N2O'!A1", "4.5.1.3-4 Manure Direct N2O")</f>
        <v>4.5.1.3-4 Manure Direct N2O</v>
      </c>
      <c r="D29" s="162" t="str">
        <f t="shared" si="0"/>
        <v>Generators</v>
      </c>
      <c r="E29" s="159" t="str">
        <f>'Constants - Fuel'!$D$74</f>
        <v>Ethanol for use as a fuel in an internal combustion engine</v>
      </c>
      <c r="F29" s="159"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82" cm="1">
        <f t="array" ref="N29">Fuel_Equations.VEERG_8_2_1_1__1_FuelCombustionStationary($L29,$G29,H29)</f>
        <v>0</v>
      </c>
      <c r="O29" s="182" cm="1">
        <f t="array" ref="O29">Fuel_Equations.VEERG_8_2_1_1__1_FuelCombustionStationary($L29,$G29,I29)</f>
        <v>0</v>
      </c>
      <c r="P29" s="182" cm="1">
        <f t="array" ref="P29">Fuel_Equations.VEERG_8_2_1_1__1_FuelCombustionStationary($L29,$G29,J29)</f>
        <v>0</v>
      </c>
      <c r="Q29" s="182" cm="1">
        <f t="array" ref="Q29">Fuel_Equations.VEERG_8_2_1_1__1_FuelCombustionStationary($L29,$G29,IF(ISNUMBER(K29), K29, 0))</f>
        <v>0</v>
      </c>
    </row>
    <row r="30" spans="1:17" ht="20.100000000000001" customHeight="1" x14ac:dyDescent="0.2">
      <c r="A30" s="5" t="str">
        <f>HYPERLINK("#'4.5.1.5-6 Atmos Dep'!A1", "4.5.1.5-6 Manure Atmos Dep")</f>
        <v>4.5.1.5-6 Manure Atmos Dep</v>
      </c>
      <c r="D30" s="162" t="str">
        <f t="shared" si="0"/>
        <v>Generators</v>
      </c>
      <c r="E30" s="159" t="str">
        <f>'Constants - Fuel'!$D$75</f>
        <v>Biofuels other than those mentioned in the items above and below</v>
      </c>
      <c r="F30" s="159"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82" cm="1">
        <f t="array" ref="N30">Fuel_Equations.VEERG_8_2_1_1__1_FuelCombustionStationary($L30,$G30,H30)</f>
        <v>0</v>
      </c>
      <c r="O30" s="182" cm="1">
        <f t="array" ref="O30">Fuel_Equations.VEERG_8_2_1_1__1_FuelCombustionStationary($L30,$G30,I30)</f>
        <v>0</v>
      </c>
      <c r="P30" s="182" cm="1">
        <f t="array" ref="P30">Fuel_Equations.VEERG_8_2_1_1__1_FuelCombustionStationary($L30,$G30,J30)</f>
        <v>0</v>
      </c>
      <c r="Q30" s="182" cm="1">
        <f t="array" ref="Q30">Fuel_Equations.VEERG_8_2_1_1__1_FuelCombustionStationary($L30,$G30,IF(ISNUMBER(K30), K30, 0))</f>
        <v>0</v>
      </c>
    </row>
    <row r="31" spans="1:17" ht="20.100000000000001" customHeight="1" x14ac:dyDescent="0.2">
      <c r="A31" s="5" t="str">
        <f>HYPERLINK("#'4.5.1.7-8 Leaching and runoff'!A1", "4.5.1.7-8 Manure Leaching and runoff")</f>
        <v>4.5.1.7-8 Manure Leaching and runoff</v>
      </c>
      <c r="D31" s="162" t="str">
        <f t="shared" si="0"/>
        <v>Generators</v>
      </c>
      <c r="E31" s="159" t="str">
        <f>'Constants - Fuel'!$D$77</f>
        <v>Renewable diesel</v>
      </c>
      <c r="F31" s="159"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3" cm="1">
        <f t="array" ref="L31">Fuel_InputFunctions.Fuel_TotalConsumption(Table_Input_Fuel[Amount consumed], Table_Input_Fuel[Fuel use (select)], D31, Table_Input_Fuel[Fuel type (select)],F31)</f>
        <v>0</v>
      </c>
      <c r="M31" s="163" t="str" cm="1">
        <f t="array" ref="M31">Common_InputFunctions.Utility_LookupValueInTable(F31,Table_FuelTypes_Units[Fuel type],Table_FuelTypes_Units[Unit])</f>
        <v>kL</v>
      </c>
      <c r="N31" s="183" cm="1">
        <f t="array" ref="N31">Fuel_Equations.VEERG_8_2_1_1__1_FuelCombustionStationary($L31,$G31,H31)</f>
        <v>0</v>
      </c>
      <c r="O31" s="183" cm="1">
        <f t="array" ref="O31">Fuel_Equations.VEERG_8_2_1_1__1_FuelCombustionStationary($L31,$G31,I31)</f>
        <v>0</v>
      </c>
      <c r="P31" s="183" cm="1">
        <f t="array" ref="P31">Fuel_Equations.VEERG_8_2_1_1__1_FuelCombustionStationary($L31,$G31,J31)</f>
        <v>0</v>
      </c>
      <c r="Q31" s="183" cm="1">
        <f t="array" ref="Q31">Fuel_Equations.VEERG_8_2_1_1__1_FuelCombustionStationary($L31,$G31,IF(ISNUMBER(K31), K31, 0))</f>
        <v>0</v>
      </c>
    </row>
    <row r="32" spans="1:17" ht="20.100000000000001" customHeight="1" x14ac:dyDescent="0.2">
      <c r="A32" s="5" t="str">
        <f>HYPERLINK("#'4.5.1.9 Manure applied to soils'!A1", "4.5.1.9 Manure applied to soils")</f>
        <v>4.5.1.9 Manure applied to soils</v>
      </c>
      <c r="D32" s="165" t="str">
        <f>Table_FuelTypesPerUse[[#Headers],[Power standalone machinery or heating]]</f>
        <v>Power standalone machinery or heating</v>
      </c>
      <c r="E32" s="166" t="str">
        <f>'Constants - Fuel'!$D$58</f>
        <v>Automotive gasoline / petrol (other than for use as fuel in an aircraft)</v>
      </c>
      <c r="F32" s="166" t="str">
        <f>'Constants - Fuel'!E131</f>
        <v>Petrol</v>
      </c>
      <c r="G32" s="173">
        <f>IFERROR(_xlfn.XLOOKUP($E32, Table_Fuel_EFs_StationaryLiquid[Fuel combusted], Table_Fuel_EFs_StationaryLiquid[Energy Content Factor (GJ per unit of fuel)]),0)</f>
        <v>34.200000000000003</v>
      </c>
      <c r="H32" s="173">
        <f>IFERROR(_xlfn.XLOOKUP($E32, Table_Fuel_EFs_StationaryLiquid[Fuel combusted], Table_Fuel_EFs_StationaryLiquid[Scope 1 Emission Factor (kg CO2 - e / GJ) CO2]),0)</f>
        <v>67.400000000000006</v>
      </c>
      <c r="I32" s="173">
        <f>IFERROR(_xlfn.XLOOKUP($E32, Table_Fuel_EFs_StationaryLiquid[Fuel combusted], Table_Fuel_EFs_StationaryLiquid[Scope 1 Emission Factor (kg CO2 - e / GJ) CH4]),0)</f>
        <v>0.2</v>
      </c>
      <c r="J32" s="173">
        <f>IFERROR(_xlfn.XLOOKUP($E32, Table_Fuel_EFs_StationaryLiquid[Fuel combusted], Table_Fuel_EFs_StationaryLiquid[Scope 1 Emission Factor (kg CO2 - e / GJ) N2O]),0)</f>
        <v>0.2</v>
      </c>
      <c r="K32" s="173">
        <f>IFERROR(_xlfn.XLOOKUP($E32, Table_Fuel_EFs_StationaryLiquid[Fuel combusted], Table_Fuel_EFs_StationaryLiquid[Scope 3 Emission Factor (kg CO2 - e / GJ)]),0)</f>
        <v>17.2</v>
      </c>
      <c r="L32" s="169" cm="1">
        <f t="array" ref="L32">Fuel_InputFunctions.Fuel_TotalConsumption(Table_Input_Fuel[Amount consumed], Table_Input_Fuel[Fuel use (select)], D32, Table_Input_Fuel[Fuel type (select)],F32)</f>
        <v>10</v>
      </c>
      <c r="M32" s="170" t="str" cm="1">
        <f t="array" ref="M32">Common_InputFunctions.Utility_LookupValueInTable(F32,Table_FuelTypes_Units[Fuel type],Table_FuelTypes_Units[Unit])</f>
        <v>kL</v>
      </c>
      <c r="N32" s="184" cm="1">
        <f t="array" ref="N32">Fuel_Equations.VEERG_8_2_1_1__1_FuelCombustionStationary($L32,$G32,H32)</f>
        <v>23.050800000000002</v>
      </c>
      <c r="O32" s="184" cm="1">
        <f t="array" ref="O32">Fuel_Equations.VEERG_8_2_1_1__1_FuelCombustionStationary($L32,$G32,I32)</f>
        <v>6.8400000000000002E-2</v>
      </c>
      <c r="P32" s="184" cm="1">
        <f t="array" ref="P32">Fuel_Equations.VEERG_8_2_1_1__1_FuelCombustionStationary($L32,$G32,J32)</f>
        <v>6.8400000000000002E-2</v>
      </c>
      <c r="Q32" s="184" cm="1">
        <f t="array" ref="Q32">Fuel_Equations.VEERG_8_2_1_1__1_FuelCombustionStationary($L32,$G32,IF(ISNUMBER(K32), K32, 0))</f>
        <v>5.8823999999999996</v>
      </c>
    </row>
    <row r="33" spans="1:17" ht="20.100000000000001" customHeight="1" x14ac:dyDescent="0.2">
      <c r="A33" s="5" t="str">
        <f>HYPERLINK("#'8.1.1.1-2 Transport fuel'!A1", "8.1.1.1-2 Transport fuel")</f>
        <v>8.1.1.1-2 Transport fuel</v>
      </c>
      <c r="D33" s="162" t="str">
        <f t="shared" ref="D33:D40" si="1">$D$32</f>
        <v>Power standalone machinery or heating</v>
      </c>
      <c r="E33" s="159" t="str">
        <f>'Constants - Fuel'!$D$63</f>
        <v>Diesel oil</v>
      </c>
      <c r="F33" s="159"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82" cm="1">
        <f t="array" ref="N33">Fuel_Equations.VEERG_8_2_1_1__1_FuelCombustionStationary($L33,$G33,H33)</f>
        <v>0</v>
      </c>
      <c r="O33" s="182" cm="1">
        <f t="array" ref="O33">Fuel_Equations.VEERG_8_2_1_1__1_FuelCombustionStationary($L33,$G33,I33)</f>
        <v>0</v>
      </c>
      <c r="P33" s="182" cm="1">
        <f t="array" ref="P33">Fuel_Equations.VEERG_8_2_1_1__1_FuelCombustionStationary($L33,$G33,J33)</f>
        <v>0</v>
      </c>
      <c r="Q33" s="182" cm="1">
        <f t="array" ref="Q33">Fuel_Equations.VEERG_8_2_1_1__1_FuelCombustionStationary($L33,$G33,IF(ISNUMBER(K33), K33, 0))</f>
        <v>0</v>
      </c>
    </row>
    <row r="34" spans="1:17" ht="20.100000000000001" customHeight="1" x14ac:dyDescent="0.2">
      <c r="A34" s="116" t="str">
        <f>HYPERLINK("#'8.2.1.1-2 Stationary fuel'!A1", "8.2.1.1-2 Stationary fuel")</f>
        <v>8.2.1.1-2 Stationary fuel</v>
      </c>
      <c r="D34" s="162" t="str">
        <f t="shared" si="1"/>
        <v>Power standalone machinery or heating</v>
      </c>
      <c r="E34" s="159" t="str">
        <f>'Constants - Fuel'!$D$67</f>
        <v>Liquefied petroleum gas (LPG)</v>
      </c>
      <c r="F34" s="159"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82" cm="1">
        <f t="array" ref="N34">Fuel_Equations.VEERG_8_2_1_1__1_FuelCombustionStationary($L34,$G34,H34)</f>
        <v>0</v>
      </c>
      <c r="O34" s="182" cm="1">
        <f t="array" ref="O34">Fuel_Equations.VEERG_8_2_1_1__1_FuelCombustionStationary($L34,$G34,I34)</f>
        <v>0</v>
      </c>
      <c r="P34" s="182" cm="1">
        <f t="array" ref="P34">Fuel_Equations.VEERG_8_2_1_1__1_FuelCombustionStationary($L34,$G34,J34)</f>
        <v>0</v>
      </c>
      <c r="Q34" s="182" cm="1">
        <f t="array" ref="Q34">Fuel_Equations.VEERG_8_2_1_1__1_FuelCombustionStationary($L34,$G34,IF(ISNUMBER(K34), K34, 0))</f>
        <v>0</v>
      </c>
    </row>
    <row r="35" spans="1:17" ht="20.100000000000001" customHeight="1" x14ac:dyDescent="0.2">
      <c r="A35" s="5" t="str">
        <f>HYPERLINK("#'10.1.1-2 Solid waste treatment'!A1", "10.1.1.1-2 Solid waste")</f>
        <v>10.1.1.1-2 Solid waste</v>
      </c>
      <c r="D35" s="162" t="str">
        <f t="shared" si="1"/>
        <v>Power standalone machinery or heating</v>
      </c>
      <c r="E35" s="159" t="str">
        <f>'Constants - Fuel'!$D$73</f>
        <v>Biodiesel</v>
      </c>
      <c r="F35" s="159"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82" cm="1">
        <f t="array" ref="N35">Fuel_Equations.VEERG_8_2_1_1__1_FuelCombustionStationary($L35,$G35,H35)</f>
        <v>0</v>
      </c>
      <c r="O35" s="182" cm="1">
        <f t="array" ref="O35">Fuel_Equations.VEERG_8_2_1_1__1_FuelCombustionStationary($L35,$G35,I35)</f>
        <v>0</v>
      </c>
      <c r="P35" s="182" cm="1">
        <f t="array" ref="P35">Fuel_Equations.VEERG_8_2_1_1__1_FuelCombustionStationary($L35,$G35,J35)</f>
        <v>0</v>
      </c>
      <c r="Q35" s="182" cm="1">
        <f t="array" ref="Q35">Fuel_Equations.VEERG_8_2_1_1__1_FuelCombustionStationary($L35,$G35,IF(ISNUMBER(K35), K35, 0))</f>
        <v>0</v>
      </c>
    </row>
    <row r="36" spans="1:17" ht="20.100000000000001" customHeight="1" x14ac:dyDescent="0.2">
      <c r="A36" s="5" t="str">
        <f>HYPERLINK("#'14.1.1-2 Purchased electricity'!A1", "14.1.1-2 Purchased electricity")</f>
        <v>14.1.1-2 Purchased electricity</v>
      </c>
      <c r="D36" s="162" t="str">
        <f t="shared" si="1"/>
        <v>Power standalone machinery or heating</v>
      </c>
      <c r="E36" s="159" t="str">
        <f>'Constants - Fuel'!$D$74</f>
        <v>Ethanol for use as a fuel in an internal combustion engine</v>
      </c>
      <c r="F36" s="159"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82" cm="1">
        <f t="array" ref="N36">Fuel_Equations.VEERG_8_2_1_1__1_FuelCombustionStationary($L36,$G36,H36)</f>
        <v>0</v>
      </c>
      <c r="O36" s="182" cm="1">
        <f t="array" ref="O36">Fuel_Equations.VEERG_8_2_1_1__1_FuelCombustionStationary($L36,$G36,I36)</f>
        <v>0</v>
      </c>
      <c r="P36" s="182" cm="1">
        <f t="array" ref="P36">Fuel_Equations.VEERG_8_2_1_1__1_FuelCombustionStationary($L36,$G36,J36)</f>
        <v>0</v>
      </c>
      <c r="Q36" s="182" cm="1">
        <f t="array" ref="Q36">Fuel_Equations.VEERG_8_2_1_1__1_FuelCombustionStationary($L36,$G36,IF(ISNUMBER(K36), K36, 0))</f>
        <v>0</v>
      </c>
    </row>
    <row r="37" spans="1:17" ht="20.100000000000001" customHeight="1" x14ac:dyDescent="0.2">
      <c r="A37" s="5" t="str">
        <f>HYPERLINK("#'15 Scope 3'!A1", "15 Scope 3")</f>
        <v>15 Scope 3</v>
      </c>
      <c r="D37" s="162" t="str">
        <f t="shared" si="1"/>
        <v>Power standalone machinery or heating</v>
      </c>
      <c r="E37" s="159" t="str">
        <f>'Constants - Fuel'!$D$75</f>
        <v>Biofuels other than those mentioned in the items above and below</v>
      </c>
      <c r="F37" s="159"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82" cm="1">
        <f t="array" ref="N37">Fuel_Equations.VEERG_8_2_1_1__1_FuelCombustionStationary($L37,$G37,H37)</f>
        <v>0</v>
      </c>
      <c r="O37" s="182" cm="1">
        <f t="array" ref="O37">Fuel_Equations.VEERG_8_2_1_1__1_FuelCombustionStationary($L37,$G37,I37)</f>
        <v>0</v>
      </c>
      <c r="P37" s="182" cm="1">
        <f t="array" ref="P37">Fuel_Equations.VEERG_8_2_1_1__1_FuelCombustionStationary($L37,$G37,J37)</f>
        <v>0</v>
      </c>
      <c r="Q37" s="182" cm="1">
        <f t="array" ref="Q37">Fuel_Equations.VEERG_8_2_1_1__1_FuelCombustionStationary($L37,$G37,IF(ISNUMBER(K37), K37, 0))</f>
        <v>0</v>
      </c>
    </row>
    <row r="38" spans="1:17" ht="20.100000000000001" customHeight="1" x14ac:dyDescent="0.2">
      <c r="A38" s="5" t="str">
        <f>HYPERLINK("#'Calcs - Manure sent off-site'!A1", "Calcs - Manure sent off-site")</f>
        <v>Calcs - Manure sent off-site</v>
      </c>
      <c r="D38" s="162" t="str">
        <f t="shared" si="1"/>
        <v>Power standalone machinery or heating</v>
      </c>
      <c r="E38" s="159" t="str">
        <f>'Constants - Fuel'!$D$77</f>
        <v>Renewable diesel</v>
      </c>
      <c r="F38" s="159"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82" cm="1">
        <f t="array" ref="N38">Fuel_Equations.VEERG_8_2_1_1__1_FuelCombustionStationary($L38,$G38,H38)</f>
        <v>0</v>
      </c>
      <c r="O38" s="182" cm="1">
        <f t="array" ref="O38">Fuel_Equations.VEERG_8_2_1_1__1_FuelCombustionStationary($L38,$G38,I38)</f>
        <v>0</v>
      </c>
      <c r="P38" s="182" cm="1">
        <f t="array" ref="P38">Fuel_Equations.VEERG_8_2_1_1__1_FuelCombustionStationary($L38,$G38,J38)</f>
        <v>0</v>
      </c>
      <c r="Q38" s="182" cm="1">
        <f t="array" ref="Q38">Fuel_Equations.VEERG_8_2_1_1__1_FuelCombustionStationary($L38,$G38,IF(ISNUMBER(K38), K38, 0))</f>
        <v>0</v>
      </c>
    </row>
    <row r="39" spans="1:17" ht="20.100000000000001" customHeight="1" x14ac:dyDescent="0.2">
      <c r="A39" s="5" t="str">
        <f>HYPERLINK("#'5.1.1.1-2 Inorganic fert N2O'!A1", "5.1.1.1-2 Inorganic fert N2O")</f>
        <v>5.1.1.1-2 Inorganic fert N2O</v>
      </c>
      <c r="D39" s="162" t="str">
        <f t="shared" si="1"/>
        <v>Power standalone machinery or heating</v>
      </c>
      <c r="E39" s="159" t="str">
        <f>'Constants - Fuel'!$D$103</f>
        <v>Natural gas distributed in a pipeline - Gigajoules</v>
      </c>
      <c r="F39" s="159"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0" cm="1">
        <f t="array" ref="L39">Fuel_InputFunctions.Fuel_TotalConsumption(Table_Input_Fuel[Amount consumed], Table_Input_Fuel[Fuel use (select)], D39, Table_Input_Fuel[Fuel type (select)],F39)</f>
        <v>0</v>
      </c>
      <c r="M39" s="160" t="str" cm="1">
        <f t="array" ref="M39">Common_InputFunctions.Utility_LookupValueInTable(F39,Table_FuelTypes_Units[Fuel type],Table_FuelTypes_Units[Unit])</f>
        <v>GJ</v>
      </c>
      <c r="N39" s="182" cm="1">
        <f t="array" ref="N39">Fuel_Equations.VEERG_8_2_1_1__1_FuelCombustionStationary($L39,$G39,H39)</f>
        <v>0</v>
      </c>
      <c r="O39" s="182" cm="1">
        <f t="array" ref="O39">Fuel_Equations.VEERG_8_2_1_1__1_FuelCombustionStationary($L39,$G39,I39)</f>
        <v>0</v>
      </c>
      <c r="P39" s="182" cm="1">
        <f t="array" ref="P39">Fuel_Equations.VEERG_8_2_1_1__1_FuelCombustionStationary($L39,$G39,J39)</f>
        <v>0</v>
      </c>
      <c r="Q39" s="182" cm="1">
        <f t="array" ref="Q39">Fuel_Equations.VEERG_8_2_1_1__1_FuelCombustionStationary($L39,$G39,IF(ISNUMBER(K39), K39, 0))</f>
        <v>0</v>
      </c>
    </row>
    <row r="40" spans="1:17" ht="20.100000000000001" customHeight="1" x14ac:dyDescent="0.2">
      <c r="A40" s="5" t="str">
        <f>HYPERLINK("#'5.1.1.3-4 Inorganic fert CO2'!A1", "5.1.1.3-4 Inorganic fert CO2")</f>
        <v>5.1.1.3-4 Inorganic fert CO2</v>
      </c>
      <c r="D40" s="162" t="str">
        <f t="shared" si="1"/>
        <v>Power standalone machinery or heating</v>
      </c>
      <c r="E40" s="159" t="str">
        <f>'Constants - Fuel'!$D$104</f>
        <v>Town gas - Gigajoules</v>
      </c>
      <c r="F40" s="159"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0" cm="1">
        <f t="array" ref="L40">Fuel_InputFunctions.Fuel_TotalConsumption(Table_Input_Fuel[Amount consumed], Table_Input_Fuel[Fuel use (select)], D40, Table_Input_Fuel[Fuel type (select)],F40)</f>
        <v>100</v>
      </c>
      <c r="M40" s="160" t="str" cm="1">
        <f t="array" ref="M40">Common_InputFunctions.Utility_LookupValueInTable(F40,Table_FuelTypes_Units[Fuel type],Table_FuelTypes_Units[Unit])</f>
        <v>GJ</v>
      </c>
      <c r="N40" s="182" cm="1">
        <f t="array" ref="N40">Fuel_Equations.VEERG_8_2_1_1__1_FuelCombustionStationary($L40,$G40,H40)</f>
        <v>6.0200000000000005</v>
      </c>
      <c r="O40" s="182" cm="1">
        <f t="array" ref="O40">Fuel_Equations.VEERG_8_2_1_1__1_FuelCombustionStationary($L40,$G40,I40)</f>
        <v>4.0000000000000001E-3</v>
      </c>
      <c r="P40" s="182" cm="1">
        <f t="array" ref="P40">Fuel_Equations.VEERG_8_2_1_1__1_FuelCombustionStationary($L40,$G40,J40)</f>
        <v>3.0000000000000001E-3</v>
      </c>
      <c r="Q40" s="182" cm="1">
        <f t="array" ref="Q40">Fuel_Equations.VEERG_8_2_1_1__1_FuelCombustionStationary($L40,$G40,IF(ISNUMBER(K40), K40, 0))</f>
        <v>0.41</v>
      </c>
    </row>
    <row r="41" spans="1:17" ht="20.100000000000001" customHeight="1" x14ac:dyDescent="0.2">
      <c r="A41" s="5" t="str">
        <f>HYPERLINK("#'5.2.1.1-2 Organic Fert N2O'!A1", "5.2.1.1-2 Organic Fert N2O")</f>
        <v>5.2.1.1-2 Organic Fert N2O</v>
      </c>
    </row>
    <row r="42" spans="1:17" ht="20.100000000000001" customHeight="1" x14ac:dyDescent="0.2">
      <c r="A42" s="5" t="str">
        <f>HYPERLINK("#'5.3.1.1-2 Lime CO2'!A1", "5.3.1.1-2 Lime CO2")</f>
        <v>5.3.1.1-2 Lime CO2</v>
      </c>
      <c r="D42" s="175" t="str">
        <f>"Total scope 1 - " &amp; D25</f>
        <v>Total scope 1 - Generators</v>
      </c>
      <c r="E42" s="176"/>
      <c r="F42" s="177"/>
    </row>
    <row r="43" spans="1:17" ht="20.100000000000001" customHeight="1" x14ac:dyDescent="0.2">
      <c r="A43" s="5" t="str">
        <f>HYPERLINK("#'5.4.1.1-4 Atmos deposition'!A1", "5.4.1.1-4 Atmos deposition")</f>
        <v>5.4.1.1-4 Atmos deposition</v>
      </c>
      <c r="D43" s="24" t="s">
        <v>612</v>
      </c>
      <c r="E43" s="178">
        <f>SUM(N25:N31)+N("Partial sum")</f>
        <v>0</v>
      </c>
      <c r="F43" s="16" t="str">
        <f>$E$12</f>
        <v>t CO2-e</v>
      </c>
    </row>
    <row r="44" spans="1:17" ht="20.100000000000001" customHeight="1" x14ac:dyDescent="0.2">
      <c r="A44" s="5" t="str">
        <f>HYPERLINK("#'5.5.1.1-2 Leaching and runoff'!A1", "5.5.1.1-2 Leaching and runoff")</f>
        <v>5.5.1.1-2 Leaching and runoff</v>
      </c>
      <c r="D44" s="24" t="s">
        <v>613</v>
      </c>
      <c r="E44" s="178">
        <f>SUM(O25:O31)+N("Partial sum")</f>
        <v>0</v>
      </c>
      <c r="F44" s="16" t="str">
        <f t="shared" ref="F44:F46" si="2">$E$12</f>
        <v>t CO2-e</v>
      </c>
    </row>
    <row r="45" spans="1:17" ht="20.100000000000001" customHeight="1" x14ac:dyDescent="0.2">
      <c r="D45" s="24" t="s">
        <v>614</v>
      </c>
      <c r="E45" s="178">
        <f>SUM(P25:P31)+N("Partial sum")</f>
        <v>0</v>
      </c>
      <c r="F45" s="16" t="str">
        <f t="shared" si="2"/>
        <v>t CO2-e</v>
      </c>
    </row>
    <row r="46" spans="1:17" ht="20.100000000000001" customHeight="1" x14ac:dyDescent="0.2">
      <c r="D46" s="24" t="s">
        <v>239</v>
      </c>
      <c r="E46" s="178">
        <f>SUM(Q25:Q31)+N("Partial sum")</f>
        <v>0</v>
      </c>
      <c r="F46" s="16" t="str">
        <f t="shared" si="2"/>
        <v>t CO2-e</v>
      </c>
    </row>
    <row r="47" spans="1:17" ht="20.100000000000001" customHeight="1" x14ac:dyDescent="0.2">
      <c r="A47" s="79" t="s">
        <v>1</v>
      </c>
      <c r="H47" s="158"/>
      <c r="I47" s="158"/>
      <c r="J47" s="158"/>
      <c r="L47" s="158"/>
      <c r="N47" s="158"/>
      <c r="O47" s="158"/>
      <c r="P47" s="158"/>
      <c r="Q47" s="158"/>
    </row>
    <row r="48" spans="1:17" ht="20.100000000000001" customHeight="1" x14ac:dyDescent="0.2">
      <c r="A48" s="5" t="str">
        <f>HYPERLINK("#'Constants - Swine'!A1", "Constants - Swine")</f>
        <v>Constants - Swine</v>
      </c>
      <c r="D48" s="175" t="str">
        <f>"Total scope 1 - " &amp; D32</f>
        <v>Total scope 1 - Power standalone machinery or heating</v>
      </c>
      <c r="E48" s="179"/>
      <c r="F48" s="177"/>
      <c r="H48" s="158"/>
      <c r="I48" s="158"/>
      <c r="J48" s="158"/>
      <c r="L48" s="158"/>
      <c r="N48" s="158"/>
      <c r="O48" s="158"/>
      <c r="P48" s="158"/>
      <c r="Q48" s="158"/>
    </row>
    <row r="49" spans="1:17" ht="20.100000000000001" customHeight="1" x14ac:dyDescent="0.2">
      <c r="A49" s="5" t="str">
        <f>HYPERLINK("#'Constants - Common livestock'!A1", "Constants - Common Livestock")</f>
        <v>Constants - Common Livestock</v>
      </c>
      <c r="D49" s="24" t="s">
        <v>612</v>
      </c>
      <c r="E49" s="178">
        <f>SUM(N32:N40)+N("Partial sum")</f>
        <v>29.070800000000002</v>
      </c>
      <c r="F49" s="16" t="str">
        <f t="shared" ref="F49:F52" si="3">$E$12</f>
        <v>t CO2-e</v>
      </c>
      <c r="H49" s="158"/>
      <c r="I49" s="158"/>
      <c r="J49" s="158"/>
      <c r="L49" s="158"/>
      <c r="N49" s="158"/>
      <c r="O49" s="158"/>
      <c r="P49" s="158"/>
      <c r="Q49" s="158"/>
    </row>
    <row r="50" spans="1:17" ht="20.100000000000001" customHeight="1" x14ac:dyDescent="0.2">
      <c r="A50" s="5" t="str">
        <f>HYPERLINK("#'Constants - Electricity'!A1", "Constants - Electricity")</f>
        <v>Constants - Electricity</v>
      </c>
      <c r="D50" s="24" t="s">
        <v>613</v>
      </c>
      <c r="E50" s="178">
        <f>SUM(O32:O40)+N("Partial sum")</f>
        <v>7.2400000000000006E-2</v>
      </c>
      <c r="F50" s="16" t="str">
        <f t="shared" si="3"/>
        <v>t CO2-e</v>
      </c>
      <c r="H50" s="158"/>
      <c r="I50" s="158"/>
      <c r="J50" s="158"/>
      <c r="L50" s="158"/>
      <c r="N50" s="158"/>
      <c r="O50" s="158"/>
      <c r="P50" s="158"/>
      <c r="Q50" s="158"/>
    </row>
    <row r="51" spans="1:17" ht="20.100000000000001" customHeight="1" x14ac:dyDescent="0.2">
      <c r="A51" s="5" t="str">
        <f>HYPERLINK("#'Constants - Fertiliser'!A1", "Constants - Fertiliser")</f>
        <v>Constants - Fertiliser</v>
      </c>
      <c r="D51" s="24" t="s">
        <v>614</v>
      </c>
      <c r="E51" s="178">
        <f>SUM(P32:P40)+N("Partial sum")</f>
        <v>7.1400000000000005E-2</v>
      </c>
      <c r="F51" s="16" t="str">
        <f t="shared" si="3"/>
        <v>t CO2-e</v>
      </c>
      <c r="H51" s="158"/>
      <c r="I51" s="158"/>
      <c r="J51" s="158"/>
      <c r="L51" s="158"/>
      <c r="N51" s="158"/>
      <c r="O51" s="158"/>
      <c r="P51" s="158"/>
      <c r="Q51" s="158"/>
    </row>
    <row r="52" spans="1:17" ht="20.100000000000001" customHeight="1" x14ac:dyDescent="0.2">
      <c r="A52" s="5" t="str">
        <f>HYPERLINK("#'Constants - Fuel'!A1", "Constants - Fuel")</f>
        <v>Constants - Fuel</v>
      </c>
      <c r="D52" s="24" t="s">
        <v>239</v>
      </c>
      <c r="E52" s="178">
        <f>SUM(Q32:Q40)+N("Partial sum")</f>
        <v>6.2923999999999998</v>
      </c>
      <c r="F52" s="16" t="str">
        <f t="shared" si="3"/>
        <v>t CO2-e</v>
      </c>
      <c r="G52" s="158"/>
      <c r="H52" s="158"/>
      <c r="I52" s="158"/>
      <c r="J52" s="158"/>
      <c r="L52" s="158"/>
      <c r="N52" s="158"/>
      <c r="O52" s="158"/>
      <c r="P52" s="158"/>
      <c r="Q52" s="158"/>
    </row>
    <row r="53" spans="1:17" ht="20.100000000000001" customHeight="1" x14ac:dyDescent="0.2">
      <c r="A53" s="5" t="str">
        <f>HYPERLINK("#'Constants - Scope 3'!A1", "Constants - Scope 3")</f>
        <v>Constants - Scope 3</v>
      </c>
      <c r="G53" s="158"/>
      <c r="H53" s="158"/>
      <c r="I53" s="158"/>
      <c r="J53" s="158"/>
      <c r="L53" s="158"/>
      <c r="N53" s="158"/>
      <c r="O53" s="158"/>
      <c r="P53" s="158"/>
      <c r="Q53" s="158"/>
    </row>
    <row r="54" spans="1:17" ht="20.100000000000001" customHeight="1" x14ac:dyDescent="0.2">
      <c r="A54" s="5" t="str">
        <f>HYPERLINK("#'Constants - Solid Waste'!A1", "Constants - Solid Waste")</f>
        <v>Constants - Solid Waste</v>
      </c>
      <c r="D54" s="175" t="s">
        <v>625</v>
      </c>
      <c r="E54" s="179"/>
      <c r="F54" s="177"/>
      <c r="G54" s="158"/>
      <c r="H54" s="158"/>
      <c r="I54" s="158"/>
      <c r="J54" s="158"/>
      <c r="L54" s="158"/>
      <c r="N54" s="158"/>
      <c r="O54" s="158"/>
      <c r="P54" s="158"/>
      <c r="Q54" s="158"/>
    </row>
    <row r="55" spans="1:17" ht="20.100000000000001" customHeight="1" x14ac:dyDescent="0.2">
      <c r="A55" s="5" t="str">
        <f>HYPERLINK("#'Constants - Common'!A1", "Constants - Common")</f>
        <v>Constants - Common</v>
      </c>
      <c r="D55" s="24" t="s">
        <v>612</v>
      </c>
      <c r="E55" s="178">
        <f>E43+E49</f>
        <v>29.070800000000002</v>
      </c>
      <c r="F55" s="16" t="str">
        <f t="shared" ref="F55:F58" si="4">$E$12</f>
        <v>t CO2-e</v>
      </c>
      <c r="G55" s="158"/>
      <c r="H55" s="158"/>
      <c r="I55" s="158"/>
      <c r="J55" s="158"/>
      <c r="L55" s="158"/>
      <c r="N55" s="158"/>
      <c r="O55" s="158"/>
      <c r="P55" s="158"/>
      <c r="Q55" s="158"/>
    </row>
    <row r="56" spans="1:17" ht="20.100000000000001" customHeight="1" x14ac:dyDescent="0.2">
      <c r="A56" s="5" t="str">
        <f>HYPERLINK("#'Acknowledgements'!A1", "Acknowledgements")</f>
        <v>Acknowledgements</v>
      </c>
      <c r="D56" s="24" t="s">
        <v>613</v>
      </c>
      <c r="E56" s="178">
        <f>E44+E50</f>
        <v>7.2400000000000006E-2</v>
      </c>
      <c r="F56" s="16" t="str">
        <f t="shared" si="4"/>
        <v>t CO2-e</v>
      </c>
      <c r="H56" s="158"/>
    </row>
    <row r="57" spans="1:17" ht="20.100000000000001" customHeight="1" x14ac:dyDescent="0.2">
      <c r="D57" s="24" t="s">
        <v>614</v>
      </c>
      <c r="E57" s="178">
        <f>E45+E51</f>
        <v>7.1400000000000005E-2</v>
      </c>
      <c r="F57" s="16" t="str">
        <f t="shared" si="4"/>
        <v>t CO2-e</v>
      </c>
      <c r="G57" s="158"/>
      <c r="H57" s="158"/>
      <c r="I57" s="158"/>
      <c r="J57" s="158"/>
      <c r="L57" s="158"/>
      <c r="N57" s="158"/>
      <c r="O57" s="158"/>
      <c r="P57" s="158"/>
      <c r="Q57" s="158"/>
    </row>
    <row r="58" spans="1:17" ht="20.100000000000001" customHeight="1" x14ac:dyDescent="0.2">
      <c r="D58" s="24" t="s">
        <v>239</v>
      </c>
      <c r="E58" s="178">
        <f>E46+E52</f>
        <v>6.2923999999999998</v>
      </c>
      <c r="F58" s="16" t="str">
        <f t="shared" si="4"/>
        <v>t CO2-e</v>
      </c>
      <c r="G58" s="158"/>
      <c r="H58" s="158"/>
      <c r="I58" s="158"/>
      <c r="J58" s="158"/>
      <c r="L58" s="158"/>
      <c r="N58" s="158"/>
      <c r="O58" s="158"/>
      <c r="P58" s="158"/>
      <c r="Q58" s="158"/>
    </row>
    <row r="59" spans="1:17" ht="20.100000000000001" customHeight="1" x14ac:dyDescent="0.2">
      <c r="G59" s="158"/>
      <c r="H59" s="158"/>
      <c r="I59" s="158"/>
      <c r="J59" s="158"/>
      <c r="L59" s="158"/>
      <c r="N59" s="158"/>
      <c r="O59" s="158"/>
      <c r="P59" s="158"/>
      <c r="Q59" s="158"/>
    </row>
    <row r="60" spans="1:17" ht="20.100000000000001" customHeight="1" x14ac:dyDescent="0.2">
      <c r="G60" s="158"/>
      <c r="H60" s="158"/>
      <c r="I60" s="158"/>
      <c r="J60" s="158"/>
      <c r="L60" s="158"/>
      <c r="N60" s="158"/>
      <c r="O60" s="158"/>
      <c r="P60" s="158"/>
      <c r="Q60" s="158"/>
    </row>
    <row r="61" spans="1:17" ht="20.100000000000001" customHeight="1" x14ac:dyDescent="0.2">
      <c r="G61" s="158"/>
      <c r="H61" s="158"/>
      <c r="I61" s="158"/>
      <c r="J61" s="158"/>
      <c r="L61" s="158"/>
      <c r="N61" s="158"/>
      <c r="O61" s="158"/>
      <c r="P61" s="158"/>
      <c r="Q61" s="158"/>
    </row>
    <row r="62" spans="1:17" ht="20.100000000000001" customHeight="1" x14ac:dyDescent="0.2">
      <c r="G62" s="158"/>
      <c r="H62" s="158"/>
      <c r="I62" s="158"/>
      <c r="J62" s="158"/>
      <c r="L62" s="158"/>
      <c r="N62" s="158"/>
      <c r="O62" s="158"/>
      <c r="P62" s="158"/>
      <c r="Q62" s="158"/>
    </row>
    <row r="63" spans="1:17" ht="20.100000000000001" customHeight="1" x14ac:dyDescent="0.2">
      <c r="G63" s="158"/>
      <c r="H63" s="158"/>
      <c r="I63" s="158"/>
      <c r="J63" s="158"/>
      <c r="L63" s="158"/>
      <c r="N63" s="158"/>
      <c r="O63" s="158"/>
      <c r="P63" s="158"/>
      <c r="Q63" s="158"/>
    </row>
    <row r="64" spans="1:17" ht="20.100000000000001" customHeight="1" x14ac:dyDescent="0.2">
      <c r="G64" s="158"/>
      <c r="H64" s="158"/>
      <c r="I64" s="158"/>
      <c r="J64" s="158"/>
      <c r="L64" s="158"/>
      <c r="N64" s="158"/>
      <c r="O64" s="158"/>
      <c r="P64" s="158"/>
      <c r="Q64" s="158"/>
    </row>
    <row r="65" spans="7:17" ht="20.100000000000001" customHeight="1" x14ac:dyDescent="0.2">
      <c r="G65" s="158"/>
      <c r="H65" s="158"/>
      <c r="I65" s="158"/>
      <c r="J65" s="158"/>
      <c r="L65" s="158"/>
      <c r="N65" s="158"/>
      <c r="O65" s="158"/>
      <c r="P65" s="158"/>
      <c r="Q65" s="158"/>
    </row>
    <row r="66" spans="7:17" ht="20.100000000000001" customHeight="1" x14ac:dyDescent="0.2">
      <c r="G66" s="158"/>
      <c r="H66" s="158"/>
      <c r="I66" s="158"/>
      <c r="J66" s="158"/>
      <c r="L66" s="158"/>
      <c r="N66" s="158"/>
      <c r="O66" s="158"/>
      <c r="P66" s="158"/>
      <c r="Q66" s="158"/>
    </row>
    <row r="67" spans="7:17" ht="20.100000000000001" customHeight="1" x14ac:dyDescent="0.2">
      <c r="G67" s="158"/>
    </row>
    <row r="68" spans="7:17" ht="20.100000000000001" customHeight="1" x14ac:dyDescent="0.2">
      <c r="G68" s="158"/>
    </row>
    <row r="69" spans="7:17" ht="20.100000000000001" customHeight="1" x14ac:dyDescent="0.2">
      <c r="G69" s="158"/>
    </row>
    <row r="70" spans="7:17" ht="20.100000000000001" customHeight="1" x14ac:dyDescent="0.2">
      <c r="G70" s="158"/>
    </row>
    <row r="71" spans="7:17" ht="20.100000000000001" customHeight="1" x14ac:dyDescent="0.2">
      <c r="G71" s="158"/>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797D4-6C7A-42A7-9401-39D8B258FDA5}">
  <sheetPr>
    <tabColor rgb="FF008000"/>
  </sheetPr>
  <dimension ref="A1:L342"/>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274</v>
      </c>
    </row>
    <row r="2" spans="1:12" s="3" customFormat="1" ht="20.100000000000001" customHeight="1" x14ac:dyDescent="0.2">
      <c r="A2"/>
    </row>
    <row r="3" spans="1:12" ht="20.100000000000001" customHeight="1" x14ac:dyDescent="0.2">
      <c r="A3" s="5" t="str">
        <f>HYPERLINK("#'Home'!A1", "Home")</f>
        <v>Home</v>
      </c>
      <c r="C3" s="22"/>
      <c r="D3" s="22" t="s">
        <v>130</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
      <c r="D6" s="17" t="str" cm="1">
        <f t="array" ref="D6">WasteSolid_Equations.VEERG_10_1_1_1__2_MassOfWasteFromVolume_Source()</f>
        <v>VEERG 2026: 10.1.1.1, Equation (2)</v>
      </c>
    </row>
    <row r="7" spans="1:12" ht="20.100000000000001" customHeight="1" x14ac:dyDescent="0.2">
      <c r="D7" s="110" t="s">
        <v>321</v>
      </c>
      <c r="E7" s="110" t="str" cm="1">
        <f t="array" aca="1" ref="E7" ca="1">Common_InputFunctions.Utility_DisplayFunctionName(I21)</f>
        <v>=WasteSolid_Equations.VEERG_10_1_1_1__2_MassOfWasteFromVolume</v>
      </c>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5" t="s">
        <v>322</v>
      </c>
      <c r="E10" s="1" t="str" cm="1">
        <f t="array" ref="E10">WasteSolid_Equations.VEERG_10_1_1_1__2_MassOfWasteFromVolume_Variable()</f>
        <v>Q_wt</v>
      </c>
    </row>
    <row r="11" spans="1:12" ht="20.100000000000001" customHeight="1" x14ac:dyDescent="0.2">
      <c r="A11" s="5" t="str">
        <f>HYPERLINK("#'Input - Swine'!A1", "Swine")</f>
        <v>Swine</v>
      </c>
      <c r="D11" s="75" t="s">
        <v>118</v>
      </c>
      <c r="E11" s="9" t="str" cm="1">
        <f t="array" ref="E11">WasteSolid_Equations.VEERG_10_1_1_1__2_MassOfWasteFromVolume_Unit()</f>
        <v>t</v>
      </c>
    </row>
    <row r="12" spans="1:12" ht="20.100000000000001" customHeight="1" x14ac:dyDescent="0.2">
      <c r="A12" s="5" t="str">
        <f>HYPERLINK("#'Input - Livestock sales'!A1", "Livestock sales")</f>
        <v>Livestock sales</v>
      </c>
    </row>
    <row r="13" spans="1:12" ht="20.100000000000001" customHeight="1" x14ac:dyDescent="0.2">
      <c r="A13" s="5" t="str">
        <f>HYPERLINK("#'Input - Pig purchases'!A1", "Pig purchases")</f>
        <v>Pig purchases</v>
      </c>
      <c r="D13" s="127" t="str" cm="1">
        <f t="array" ref="D13:E16">_xlfn.CHOOSECOLS(WasteSolid_Equations.VEERG_10_1_1_1__2_MassOfWasteFromVolume_Arguments(),1,2)</f>
        <v>V_wt</v>
      </c>
      <c r="E13" s="128" t="str">
        <v>volume of solid waste type w being sent to treatment facility t</v>
      </c>
      <c r="F13" s="129"/>
      <c r="G13" s="127" t="str" cm="1">
        <f t="array" ref="G13:H16">_xlfn.CHOOSECOLS(WasteSolid_Equations.VEERG_10_1_1_1__2_MassOfWasteFromVolume_Arguments(),3,4)</f>
        <v>m3</v>
      </c>
      <c r="H13" s="12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100000000000001" customHeight="1" x14ac:dyDescent="0.2">
      <c r="A14" s="5" t="str">
        <f>HYPERLINK("#'Input - Fuel'!A1", "Fuel")</f>
        <v>Fuel</v>
      </c>
      <c r="D14" s="127" t="str">
        <v>VTM_w</v>
      </c>
      <c r="E14" s="128" t="str">
        <v>conversion factor of volume to mass for waste type w</v>
      </c>
      <c r="F14" s="129"/>
      <c r="G14" s="127" t="str">
        <v>t/m3</v>
      </c>
      <c r="H14" s="125"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100000000000001" customHeight="1" x14ac:dyDescent="0.2">
      <c r="A15" s="5" t="str">
        <f>HYPERLINK("#'Input - Electricity'!A1", "Electricity")</f>
        <v>Electricity</v>
      </c>
      <c r="D15" s="127" t="str">
        <v>w</v>
      </c>
      <c r="E15" s="128" t="str">
        <v>waste type</v>
      </c>
      <c r="F15" s="129"/>
      <c r="G15" s="127" t="str">
        <v/>
      </c>
      <c r="H15" s="12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27" t="str">
        <v>t</v>
      </c>
      <c r="E16" s="128" t="str">
        <v>treatment facility</v>
      </c>
      <c r="F16" s="129"/>
      <c r="G16" s="127" t="str">
        <v/>
      </c>
      <c r="H16" s="12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100000000000001" customHeight="1" x14ac:dyDescent="0.2">
      <c r="A17" s="5" t="str">
        <f>HYPERLINK("#'Input - Livestock farm Inputs'!A1", "Livestock farm Inputs")</f>
        <v>Livestock farm Inputs</v>
      </c>
    </row>
    <row r="18" spans="1:9" ht="20.100000000000001" customHeight="1" x14ac:dyDescent="0.2">
      <c r="A18" s="5" t="str">
        <f>HYPERLINK("#'Input - Freight'!A1", "Freight")</f>
        <v>Freight</v>
      </c>
      <c r="D18" s="137" t="s">
        <v>898</v>
      </c>
    </row>
    <row r="19" spans="1:9" ht="20.100000000000001" customHeight="1" x14ac:dyDescent="0.2">
      <c r="A19" s="5" t="str">
        <f>HYPERLINK("#'Input - Solid waste'!A1", "Solid waste")</f>
        <v>Solid waste</v>
      </c>
      <c r="D19" s="138" t="s">
        <v>899</v>
      </c>
    </row>
    <row r="20" spans="1:9" ht="20.100000000000001" customHeight="1" x14ac:dyDescent="0.2">
      <c r="A20" s="5" t="str">
        <f>HYPERLINK("#'Input - Manure sent off-site'!A1", "Manure sent off-site")</f>
        <v>Manure sent off-site</v>
      </c>
      <c r="D20" s="78" t="s">
        <v>900</v>
      </c>
      <c r="E20" s="78" t="s">
        <v>901</v>
      </c>
      <c r="F20" s="78"/>
      <c r="G20" s="78" t="s">
        <v>902</v>
      </c>
      <c r="H20" s="119" t="s">
        <v>903</v>
      </c>
      <c r="I20" s="119" t="s">
        <v>904</v>
      </c>
    </row>
    <row r="21" spans="1:9" ht="20.100000000000001" customHeight="1" x14ac:dyDescent="0.2">
      <c r="A21" s="5" t="str">
        <f>HYPERLINK("#'Input - Data quality'!A1", "Data quality")</f>
        <v>Data quality</v>
      </c>
      <c r="D21" s="127" t="str" cm="1">
        <f t="array" ref="D21:D54">Table_SourceData_WasteSolid_WasteTreatmentEFs[Treatment type t]</f>
        <v>Landfill</v>
      </c>
      <c r="E21" s="128" t="str" cm="1">
        <f t="array" ref="E21:E54">Table_SourceData_WasteSolid_WasteTreatmentEFs[Waste type w]</f>
        <v>Food waste (including animal carcasses, spoiled animal feed or crop)</v>
      </c>
      <c r="F21" s="229"/>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A22" s="5" t="str">
        <f>HYPERLINK("#'Input - Fert Prod System'!A1", "Fert Prod System")</f>
        <v>Fert Prod System</v>
      </c>
      <c r="D22" s="127" t="str">
        <v>Landfill</v>
      </c>
      <c r="E22" s="128" t="str">
        <v>Paper and cardboard</v>
      </c>
      <c r="F22" s="229"/>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5" t="str">
        <f>HYPERLINK("#'Input - Fertiliser'!A1", "Fertiliser")</f>
        <v>Fertiliser</v>
      </c>
      <c r="D23" s="127" t="str">
        <v>Landfill</v>
      </c>
      <c r="E23" s="128" t="str">
        <v>Green waste (including crop residues or prunings)</v>
      </c>
      <c r="F23" s="229"/>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D24" s="127" t="str">
        <v>Landfill</v>
      </c>
      <c r="E24" s="128" t="str">
        <v>Wood</v>
      </c>
      <c r="F24" s="229"/>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D25" s="127" t="str">
        <v>Landfill</v>
      </c>
      <c r="E25" s="128" t="str">
        <v>Textiles</v>
      </c>
      <c r="F25" s="229"/>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6" t="s">
        <v>2</v>
      </c>
      <c r="D26" s="127" t="str">
        <v>Landfill</v>
      </c>
      <c r="E26" s="128" t="str">
        <v>Sludge</v>
      </c>
      <c r="F26" s="229"/>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HYPERLINK("#'3.5.1.1-2 Enteric Methane'!A1", "3.5.1.1-2 Enteric Methane")</f>
        <v>3.5.1.1-2 Enteric Methane</v>
      </c>
      <c r="D27" s="127" t="str">
        <v>Landfill</v>
      </c>
      <c r="E27" s="128" t="str">
        <v>Rubber and leather</v>
      </c>
      <c r="F27" s="229"/>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A28" s="5" t="str">
        <f>HYPERLINK("#'4.5.1.1-2 Methane'!A1", "4.5.1.1-2 Manure Methane")</f>
        <v>4.5.1.1-2 Manure Methane</v>
      </c>
      <c r="D28" s="127" t="str">
        <v>Landfill</v>
      </c>
      <c r="E28" s="128" t="str">
        <v>Inert waste (including concrete, metal, plastic or glass)</v>
      </c>
      <c r="F28" s="229"/>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A29" s="5" t="str">
        <f>HYPERLINK("#'4.5.1.3-4 Direct N2O'!A1", "4.5.1.3-4 Manure Direct N2O")</f>
        <v>4.5.1.3-4 Manure Direct N2O</v>
      </c>
      <c r="D29" s="127" t="str">
        <v>Landfill</v>
      </c>
      <c r="E29" s="128" t="str">
        <v>Municipal solid waste</v>
      </c>
      <c r="F29" s="229"/>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5" t="str">
        <f>HYPERLINK("#'4.5.1.5-6 Atmos Dep'!A1", "4.5.1.5-6 Manure Atmos Dep")</f>
        <v>4.5.1.5-6 Manure Atmos Dep</v>
      </c>
      <c r="D30" s="127" t="str">
        <v>Landfill</v>
      </c>
      <c r="E30" s="128" t="str">
        <v>Commercial and industrial waste</v>
      </c>
      <c r="F30" s="229"/>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HYPERLINK("#'4.5.1.7-8 Leaching and runoff'!A1", "4.5.1.7-8 Manure Leaching and runoff")</f>
        <v>4.5.1.7-8 Manure Leaching and runoff</v>
      </c>
      <c r="D31" s="127" t="str">
        <v>Landfill</v>
      </c>
      <c r="E31" s="128" t="str">
        <v>Construction and demolition waste</v>
      </c>
      <c r="F31" s="229"/>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HYPERLINK("#'4.5.1.9 Manure applied to soils'!A1", "4.5.1.9 Manure applied to soils")</f>
        <v>4.5.1.9 Manure applied to soils</v>
      </c>
      <c r="D32" s="127" t="str">
        <v>Incineration</v>
      </c>
      <c r="E32" s="128" t="str">
        <v>Food waste, green waste, wood, sludge</v>
      </c>
      <c r="F32" s="229"/>
      <c r="G32" s="15" t="s">
        <v>770</v>
      </c>
      <c r="H32" s="15" t="s">
        <v>770</v>
      </c>
      <c r="I32" s="15" t="s">
        <v>770</v>
      </c>
    </row>
    <row r="33" spans="1:9" ht="20.100000000000001" customHeight="1" x14ac:dyDescent="0.2">
      <c r="A33" s="5" t="str">
        <f>HYPERLINK("#'8.1.1.1-2 Transport fuel'!A1", "8.1.1.1-2 Transport fuel")</f>
        <v>8.1.1.1-2 Transport fuel</v>
      </c>
      <c r="D33" s="127" t="str">
        <v>Incineration</v>
      </c>
      <c r="E33" s="128" t="str">
        <v>Food waste (including animal carcasses, spoiled animal feed or crop)</v>
      </c>
      <c r="F33" s="229"/>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HYPERLINK("#'8.2.1.1-2 Stationary fuel'!A1", "8.2.1.1-2 Stationary fuel")</f>
        <v>8.2.1.1-2 Stationary fuel</v>
      </c>
      <c r="D34" s="127" t="str">
        <v>Incineration</v>
      </c>
      <c r="E34" s="128" t="str">
        <v>Green waste (including crop residues or prunings)</v>
      </c>
      <c r="F34" s="229"/>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116" t="str">
        <f>HYPERLINK("#'10.1.1-2 Solid waste treatment'!A1", "10.1.1.1-2 Solid waste")</f>
        <v>10.1.1.1-2 Solid waste</v>
      </c>
      <c r="D35" s="127" t="str">
        <v>Incineration</v>
      </c>
      <c r="E35" s="128" t="str">
        <v>Wood</v>
      </c>
      <c r="F35" s="229"/>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HYPERLINK("#'14.1.1-2 Purchased electricity'!A1", "14.1.1-2 Purchased electricity")</f>
        <v>14.1.1-2 Purchased electricity</v>
      </c>
      <c r="D36" s="127" t="str">
        <v>Incineration</v>
      </c>
      <c r="E36" s="128" t="str">
        <v>Sludge</v>
      </c>
      <c r="F36" s="229"/>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HYPERLINK("#'15 Scope 3'!A1", "15 Scope 3")</f>
        <v>15 Scope 3</v>
      </c>
      <c r="D37" s="127" t="str">
        <v>Incineration</v>
      </c>
      <c r="E37" s="128" t="str">
        <v>Paper and cardboard</v>
      </c>
      <c r="F37" s="229"/>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A38" s="5" t="str">
        <f>HYPERLINK("#'Calcs - Manure sent off-site'!A1", "Calcs - Manure sent off-site")</f>
        <v>Calcs - Manure sent off-site</v>
      </c>
      <c r="D38" s="127" t="str">
        <v>Incineration</v>
      </c>
      <c r="E38" s="128" t="str">
        <v>Textiles</v>
      </c>
      <c r="F38" s="229"/>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A39" s="5" t="str">
        <f>HYPERLINK("#'5.1.1.1-2 Inorganic fert N2O'!A1", "5.1.1.1-2 Inorganic fert N2O")</f>
        <v>5.1.1.1-2 Inorganic fert N2O</v>
      </c>
      <c r="D39" s="127" t="str">
        <v>Incineration</v>
      </c>
      <c r="E39" s="128" t="str">
        <v>Rubber and leather</v>
      </c>
      <c r="F39" s="229"/>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5" t="str">
        <f>HYPERLINK("#'5.1.1.3-4 Inorganic fert CO2'!A1", "5.1.1.3-4 Inorganic fert CO2")</f>
        <v>5.1.1.3-4 Inorganic fert CO2</v>
      </c>
      <c r="D40" s="127" t="str">
        <v>Incineration</v>
      </c>
      <c r="E40" s="127" t="str">
        <v>Inert waste (including concrete, metal, plastic or glass)</v>
      </c>
      <c r="F40" s="127"/>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HYPERLINK("#'5.2.1.1-2 Organic Fert N2O'!A1", "5.2.1.1-2 Organic Fert N2O")</f>
        <v>5.2.1.1-2 Organic Fert N2O</v>
      </c>
      <c r="D41" s="127" t="str">
        <v>Incineration</v>
      </c>
      <c r="E41" s="128" t="str">
        <v>Municipal solid waste</v>
      </c>
      <c r="F41" s="12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HYPERLINK("#'5.3.1.1-2 Lime CO2'!A1", "5.3.1.1-2 Lime CO2")</f>
        <v>5.3.1.1-2 Lime CO2</v>
      </c>
      <c r="D42" s="127" t="str">
        <v>Incineration</v>
      </c>
      <c r="E42" s="128" t="str">
        <v>Commercial and industrial waste</v>
      </c>
      <c r="F42" s="12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HYPERLINK("#'5.4.1.1-4 Atmos deposition'!A1", "5.4.1.1-4 Atmos deposition")</f>
        <v>5.4.1.1-4 Atmos deposition</v>
      </c>
      <c r="D43" s="127" t="str">
        <v>Composting</v>
      </c>
      <c r="E43" s="128" t="str">
        <v>All organic waste</v>
      </c>
      <c r="F43" s="129"/>
      <c r="G43" s="15" t="s">
        <v>770</v>
      </c>
      <c r="H43" s="15" t="s">
        <v>770</v>
      </c>
      <c r="I43" s="15" t="s">
        <v>770</v>
      </c>
    </row>
    <row r="44" spans="1:9" ht="20.100000000000001" customHeight="1" x14ac:dyDescent="0.2">
      <c r="A44" s="5" t="str">
        <f>HYPERLINK("#'5.5.1.1-2 Leaching and runoff'!A1", "5.5.1.1-2 Leaching and runoff")</f>
        <v>5.5.1.1-2 Leaching and runoff</v>
      </c>
      <c r="D44" s="127" t="str">
        <v>Composting</v>
      </c>
      <c r="E44" s="128" t="str">
        <v>Food waste (including animal carcasses, spoiled animal feed or crop)</v>
      </c>
      <c r="F44" s="12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D45" s="127" t="str">
        <v>Composting</v>
      </c>
      <c r="E45" s="128" t="str">
        <v>Green waste (including crop residues or prunings)</v>
      </c>
      <c r="F45" s="12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D46" s="127" t="str">
        <v>Composting</v>
      </c>
      <c r="E46" s="128" t="str">
        <v>Wood</v>
      </c>
      <c r="F46" s="12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79" t="s">
        <v>1</v>
      </c>
      <c r="D47" s="127" t="str">
        <v>Composting</v>
      </c>
      <c r="E47" s="128" t="str">
        <v>Sludge</v>
      </c>
      <c r="F47" s="12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A48" s="5" t="str">
        <f>HYPERLINK("#'Constants - Swine'!A1", "Constants - Swine")</f>
        <v>Constants - Swine</v>
      </c>
      <c r="D48" s="127" t="str">
        <v>Composting</v>
      </c>
      <c r="E48" s="128" t="str">
        <v>Paper and cardboard</v>
      </c>
      <c r="F48" s="12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A49" s="5" t="str">
        <f>HYPERLINK("#'Constants - Common livestock'!A1", "Constants - Common Livestock")</f>
        <v>Constants - Common Livestock</v>
      </c>
      <c r="D49" s="127" t="str">
        <v>Anaerobic digestion</v>
      </c>
      <c r="E49" s="128" t="str">
        <v>All organic waste</v>
      </c>
      <c r="F49" s="129"/>
      <c r="G49" s="15" t="s">
        <v>770</v>
      </c>
      <c r="H49" s="15" t="s">
        <v>770</v>
      </c>
      <c r="I49" s="15" t="s">
        <v>770</v>
      </c>
    </row>
    <row r="50" spans="1:9" ht="20.100000000000001" customHeight="1" x14ac:dyDescent="0.2">
      <c r="A50" s="5" t="str">
        <f>HYPERLINK("#'Constants - Electricity'!A1", "Constants - Electricity")</f>
        <v>Constants - Electricity</v>
      </c>
      <c r="D50" s="127" t="str">
        <v>Anaerobic digestion</v>
      </c>
      <c r="E50" s="128" t="str">
        <v>Food waste (including animal carcasses, spoiled animal feed or crop)</v>
      </c>
      <c r="F50" s="12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A51" s="5" t="str">
        <f>HYPERLINK("#'Constants - Fertiliser'!A1", "Constants - Fertiliser")</f>
        <v>Constants - Fertiliser</v>
      </c>
      <c r="D51" s="127" t="str">
        <v>Anaerobic digestion</v>
      </c>
      <c r="E51" s="128" t="str">
        <v>Green waste (including crop residues or prunings)</v>
      </c>
      <c r="F51" s="12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A52" s="5" t="str">
        <f>HYPERLINK("#'Constants - Fuel'!A1", "Constants - Fuel")</f>
        <v>Constants - Fuel</v>
      </c>
      <c r="D52" s="127" t="str">
        <v>Anaerobic digestion</v>
      </c>
      <c r="E52" s="128" t="str">
        <v>Wood</v>
      </c>
      <c r="F52" s="12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A53" s="5" t="str">
        <f>HYPERLINK("#'Constants - Scope 3'!A1", "Constants - Scope 3")</f>
        <v>Constants - Scope 3</v>
      </c>
      <c r="D53" s="127" t="str">
        <v>Anaerobic digestion</v>
      </c>
      <c r="E53" s="128" t="str">
        <v>Sludge</v>
      </c>
      <c r="F53" s="12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A54" s="5" t="str">
        <f>HYPERLINK("#'Constants - Solid Waste'!A1", "Constants - Solid Waste")</f>
        <v>Constants - Solid Waste</v>
      </c>
      <c r="D54" s="127" t="str">
        <v>Anaerobic digestion</v>
      </c>
      <c r="E54" s="128" t="str">
        <v>Paper and cardboard</v>
      </c>
      <c r="F54" s="12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
      <c r="A55" s="5" t="str">
        <f>HYPERLINK("#'Constants - Common'!A1", "Constants - Common")</f>
        <v>Constants - Common</v>
      </c>
    </row>
    <row r="56" spans="1:9" ht="20.100000000000001" customHeight="1" x14ac:dyDescent="0.2">
      <c r="A56" s="5" t="str">
        <f>HYPERLINK("#'Acknowledgements'!A1", "Acknowledgements")</f>
        <v>Acknowledgements</v>
      </c>
      <c r="D56" s="137" t="s">
        <v>905</v>
      </c>
    </row>
    <row r="57" spans="1:9" ht="20.100000000000001" customHeight="1" x14ac:dyDescent="0.2">
      <c r="D57" s="138" t="s">
        <v>906</v>
      </c>
    </row>
    <row r="58" spans="1:9" ht="20.100000000000001" customHeight="1" x14ac:dyDescent="0.2">
      <c r="D58" s="78" t="s">
        <v>900</v>
      </c>
      <c r="E58" s="78" t="s">
        <v>901</v>
      </c>
      <c r="F58" s="78"/>
      <c r="G58" s="78" t="s">
        <v>902</v>
      </c>
      <c r="H58" s="119" t="s">
        <v>903</v>
      </c>
      <c r="I58" s="119" t="s">
        <v>904</v>
      </c>
    </row>
    <row r="59" spans="1:9" ht="20.100000000000001" customHeight="1" x14ac:dyDescent="0.2">
      <c r="D59" s="127" t="str" cm="1">
        <f t="array" ref="D59:D92">Table_SourceData_WasteSolid_WasteTreatmentEFs[Treatment type t]</f>
        <v>Landfill</v>
      </c>
      <c r="E59" s="128" t="str" cm="1">
        <f t="array" ref="E59:E92">Table_SourceData_WasteSolid_WasteTreatmentEFs[Waste type w]</f>
        <v>Food waste (including animal carcasses, spoiled animal feed or crop)</v>
      </c>
      <c r="F59" s="229"/>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D60" s="127" t="str">
        <v>Landfill</v>
      </c>
      <c r="E60" s="128" t="str">
        <v>Paper and cardboard</v>
      </c>
      <c r="F60" s="229"/>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D61" s="127" t="str">
        <v>Landfill</v>
      </c>
      <c r="E61" s="128" t="str">
        <v>Green waste (including crop residues or prunings)</v>
      </c>
      <c r="F61" s="229"/>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D62" s="127" t="str">
        <v>Landfill</v>
      </c>
      <c r="E62" s="128" t="str">
        <v>Wood</v>
      </c>
      <c r="F62" s="229"/>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D63" s="127" t="str">
        <v>Landfill</v>
      </c>
      <c r="E63" s="128" t="str">
        <v>Textiles</v>
      </c>
      <c r="F63" s="229"/>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D64" s="127" t="str">
        <v>Landfill</v>
      </c>
      <c r="E64" s="128" t="str">
        <v>Sludge</v>
      </c>
      <c r="F64" s="229"/>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
      <c r="D65" s="127" t="str">
        <v>Landfill</v>
      </c>
      <c r="E65" s="128" t="str">
        <v>Rubber and leather</v>
      </c>
      <c r="F65" s="229"/>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
      <c r="D66" s="127" t="str">
        <v>Landfill</v>
      </c>
      <c r="E66" s="128" t="str">
        <v>Inert waste (including concrete, metal, plastic or glass)</v>
      </c>
      <c r="F66" s="229"/>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
      <c r="A67" s="131" t="str">
        <f>HYPERLINK("#A1", "▲ Back to top")</f>
        <v>▲ Back to top</v>
      </c>
      <c r="D67" s="127" t="str">
        <v>Landfill</v>
      </c>
      <c r="E67" s="128" t="str">
        <v>Municipal solid waste</v>
      </c>
      <c r="F67" s="229"/>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
      <c r="D68" s="127" t="str">
        <v>Landfill</v>
      </c>
      <c r="E68" s="128" t="str">
        <v>Commercial and industrial waste</v>
      </c>
      <c r="F68" s="229"/>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
      <c r="D69" s="127" t="str">
        <v>Landfill</v>
      </c>
      <c r="E69" s="128" t="str">
        <v>Construction and demolition waste</v>
      </c>
      <c r="F69" s="229"/>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
      <c r="D70" s="127" t="str">
        <v>Incineration</v>
      </c>
      <c r="E70" s="128" t="str">
        <v>Food waste, green waste, wood, sludge</v>
      </c>
      <c r="F70" s="229"/>
      <c r="G70" s="15" t="s">
        <v>770</v>
      </c>
      <c r="H70" s="15" t="s">
        <v>770</v>
      </c>
      <c r="I70" s="15" t="s">
        <v>770</v>
      </c>
    </row>
    <row r="71" spans="1:9" ht="20.100000000000001" customHeight="1" x14ac:dyDescent="0.2">
      <c r="D71" s="127" t="str">
        <v>Incineration</v>
      </c>
      <c r="E71" s="128" t="str">
        <v>Food waste (including animal carcasses, spoiled animal feed or crop)</v>
      </c>
      <c r="F71" s="229"/>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
      <c r="D72" s="127" t="str">
        <v>Incineration</v>
      </c>
      <c r="E72" s="128" t="str">
        <v>Green waste (including crop residues or prunings)</v>
      </c>
      <c r="F72" s="229"/>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
      <c r="D73" s="127" t="str">
        <v>Incineration</v>
      </c>
      <c r="E73" s="128" t="str">
        <v>Wood</v>
      </c>
      <c r="F73" s="229"/>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
      <c r="D74" s="127" t="str">
        <v>Incineration</v>
      </c>
      <c r="E74" s="128" t="str">
        <v>Sludge</v>
      </c>
      <c r="F74" s="229"/>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
      <c r="D75" s="127" t="str">
        <v>Incineration</v>
      </c>
      <c r="E75" s="128" t="str">
        <v>Paper and cardboard</v>
      </c>
      <c r="F75" s="229"/>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
      <c r="D76" s="127" t="str">
        <v>Incineration</v>
      </c>
      <c r="E76" s="128" t="str">
        <v>Textiles</v>
      </c>
      <c r="F76" s="229"/>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
      <c r="D77" s="127" t="str">
        <v>Incineration</v>
      </c>
      <c r="E77" s="128" t="str">
        <v>Rubber and leather</v>
      </c>
      <c r="F77" s="229"/>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
      <c r="D78" s="127" t="str">
        <v>Incineration</v>
      </c>
      <c r="E78" s="128" t="str">
        <v>Inert waste (including concrete, metal, plastic or glass)</v>
      </c>
      <c r="F78" s="229"/>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
      <c r="D79" s="127" t="str">
        <v>Incineration</v>
      </c>
      <c r="E79" s="128" t="str">
        <v>Municipal solid waste</v>
      </c>
      <c r="F79" s="12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
      <c r="D80" s="127" t="str">
        <v>Incineration</v>
      </c>
      <c r="E80" s="128" t="str">
        <v>Commercial and industrial waste</v>
      </c>
      <c r="F80" s="12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
      <c r="D81" s="127" t="str">
        <v>Composting</v>
      </c>
      <c r="E81" s="128" t="str">
        <v>All organic waste</v>
      </c>
      <c r="F81" s="129"/>
      <c r="G81" s="15" t="s">
        <v>770</v>
      </c>
      <c r="H81" s="15" t="s">
        <v>770</v>
      </c>
      <c r="I81" s="15" t="s">
        <v>770</v>
      </c>
    </row>
    <row r="82" spans="3:12" ht="20.100000000000001" customHeight="1" x14ac:dyDescent="0.2">
      <c r="D82" s="127" t="str">
        <v>Composting</v>
      </c>
      <c r="E82" s="128" t="str">
        <v>Food waste (including animal carcasses, spoiled animal feed or crop)</v>
      </c>
      <c r="F82" s="12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
      <c r="D83" s="127" t="str">
        <v>Composting</v>
      </c>
      <c r="E83" s="128" t="str">
        <v>Green waste (including crop residues or prunings)</v>
      </c>
      <c r="F83" s="12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
      <c r="D84" s="127" t="str">
        <v>Composting</v>
      </c>
      <c r="E84" s="128" t="str">
        <v>Wood</v>
      </c>
      <c r="F84" s="12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
      <c r="D85" s="127" t="str">
        <v>Composting</v>
      </c>
      <c r="E85" s="128" t="str">
        <v>Sludge</v>
      </c>
      <c r="F85" s="12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
      <c r="D86" s="127" t="str">
        <v>Composting</v>
      </c>
      <c r="E86" s="128" t="str">
        <v>Paper and cardboard</v>
      </c>
      <c r="F86" s="12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
      <c r="D87" s="127" t="str">
        <v>Anaerobic digestion</v>
      </c>
      <c r="E87" s="128" t="str">
        <v>All organic waste</v>
      </c>
      <c r="F87" s="129"/>
      <c r="G87" s="15" t="s">
        <v>770</v>
      </c>
      <c r="H87" s="15" t="s">
        <v>770</v>
      </c>
      <c r="I87" s="15" t="s">
        <v>770</v>
      </c>
    </row>
    <row r="88" spans="3:12" ht="20.100000000000001" customHeight="1" x14ac:dyDescent="0.2">
      <c r="D88" s="127" t="str">
        <v>Anaerobic digestion</v>
      </c>
      <c r="E88" s="128" t="str">
        <v>Food waste (including animal carcasses, spoiled animal feed or crop)</v>
      </c>
      <c r="F88" s="12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
      <c r="D89" s="127" t="str">
        <v>Anaerobic digestion</v>
      </c>
      <c r="E89" s="128" t="str">
        <v>Green waste (including crop residues or prunings)</v>
      </c>
      <c r="F89" s="12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
      <c r="D90" s="127" t="str">
        <v>Anaerobic digestion</v>
      </c>
      <c r="E90" s="128" t="str">
        <v>Wood</v>
      </c>
      <c r="F90" s="12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
      <c r="D91" s="127" t="str">
        <v>Anaerobic digestion</v>
      </c>
      <c r="E91" s="128" t="str">
        <v>Sludge</v>
      </c>
      <c r="F91" s="12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
      <c r="D92" s="127" t="str">
        <v>Anaerobic digestion</v>
      </c>
      <c r="E92" s="128" t="str">
        <v>Paper and cardboard</v>
      </c>
      <c r="F92" s="12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3:12" ht="20.100000000000001" customHeight="1" x14ac:dyDescent="0.2">
      <c r="C95" s="82"/>
      <c r="D95" s="82"/>
      <c r="E95" s="82"/>
      <c r="F95" s="82"/>
      <c r="G95" s="82"/>
      <c r="H95" s="82"/>
      <c r="I95" s="82"/>
      <c r="J95" s="82"/>
      <c r="K95" s="82"/>
      <c r="L95" s="82"/>
    </row>
    <row r="96" spans="3:12" ht="20.100000000000001" customHeight="1" x14ac:dyDescent="0.2">
      <c r="D96" s="2" t="str" cm="1">
        <f t="array" ref="D96">WasteSolid_Equations.VEERG_10_1_1_1__1_EmissionsFromWasteManagement_Title()</f>
        <v>Emissions from waste management by greenhouse gas</v>
      </c>
    </row>
    <row r="97" spans="1:9" ht="20.100000000000001" customHeight="1" x14ac:dyDescent="0.2">
      <c r="A97" s="131" t="str">
        <f>HYPERLINK("#A1", "▲ Back to top")</f>
        <v>▲ Back to top</v>
      </c>
      <c r="D97" s="17" t="str" cm="1">
        <f t="array" ref="D97">WasteSolid_Equations.VEERG_10_1_1_1__1_EmissionsFromWasteManagement_Source()</f>
        <v>VEERG 2026: 10.1.1.1, Equation (1)</v>
      </c>
    </row>
    <row r="98" spans="1:9" ht="20.100000000000001" customHeight="1" x14ac:dyDescent="0.2">
      <c r="D98" s="25"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
      <c r="D99" s="110" t="s">
        <v>321</v>
      </c>
      <c r="E99" s="110" t="str" cm="1">
        <f t="array" aca="1" ref="E99" ca="1">Common_InputFunctions.Utility_DisplayFunctionName(K116)</f>
        <v>=WasteSolid_Equations.VEERG_10_1_1_1__1_EmissionsFromWasteManagement</v>
      </c>
    </row>
    <row r="102" spans="1:9" ht="20.100000000000001" customHeight="1" x14ac:dyDescent="0.2">
      <c r="D102" s="75" t="s">
        <v>322</v>
      </c>
      <c r="E102" s="1" t="str" cm="1">
        <f t="array" ref="E102">WasteSolid_Equations.VEERG_10_1_1_1__1_EmissionsFromWasteManagement_Variable()</f>
        <v>E_g</v>
      </c>
    </row>
    <row r="103" spans="1:9" ht="20.100000000000001" customHeight="1" x14ac:dyDescent="0.2">
      <c r="D103" s="75" t="s">
        <v>118</v>
      </c>
      <c r="E103" s="9" t="str" cm="1">
        <f t="array" ref="E103">WasteSolid_Equations.VEERG_10_1_1_1__1_EmissionsFromWasteManagement_Unit()</f>
        <v>t CO2e</v>
      </c>
    </row>
    <row r="105" spans="1:9" ht="20.100000000000001" customHeight="1" x14ac:dyDescent="0.2">
      <c r="D105" s="127" t="str" cm="1">
        <f t="array" ref="D105:E111">_xlfn.CHOOSECOLS(WasteSolid_Equations.VEERG_10_1_1_1__1_EmissionsFromWasteManagement_Arguments(),1,2)</f>
        <v>Q_wt</v>
      </c>
      <c r="E105" s="128" t="str">
        <v>quantity of solid waste of type w being sent to treatment facility t, on a wet weight basis</v>
      </c>
      <c r="F105" s="149"/>
      <c r="G105" s="129"/>
      <c r="H105" s="127" t="str" cm="1">
        <f t="array" ref="H105:I111">_xlfn.CHOOSECOLS(WasteSolid_Equations.VEERG_10_1_1_1__1_EmissionsFromWasteManagement_Arguments(),3,4)</f>
        <v>t</v>
      </c>
      <c r="I105" s="125" t="str">
        <v>Sum of Q_volwt and Q_masswt</v>
      </c>
    </row>
    <row r="106" spans="1:9" ht="20.100000000000001" customHeight="1" x14ac:dyDescent="0.2">
      <c r="D106" s="127" t="str">
        <v>EF_wtg</v>
      </c>
      <c r="E106" s="128" t="str">
        <v>emission factor for greenhouse gas g for the management of waste at treatment facility t</v>
      </c>
      <c r="F106" s="149"/>
      <c r="G106" s="129"/>
      <c r="H106" s="127" t="str">
        <v>t CO2e/t</v>
      </c>
      <c r="I106" s="125" t="str">
        <v>Constant</v>
      </c>
    </row>
    <row r="107" spans="1:9" ht="20.100000000000001" customHeight="1" x14ac:dyDescent="0.2">
      <c r="D107" s="127" t="str">
        <v>w</v>
      </c>
      <c r="E107" s="128" t="str">
        <v>waste type</v>
      </c>
      <c r="F107" s="149"/>
      <c r="G107" s="129"/>
      <c r="H107" s="127" t="str">
        <v/>
      </c>
      <c r="I107" s="123" t="str">
        <v>Input</v>
      </c>
    </row>
    <row r="108" spans="1:9" ht="20.100000000000001" customHeight="1" x14ac:dyDescent="0.2">
      <c r="D108" s="127" t="str">
        <v>t</v>
      </c>
      <c r="E108" s="128" t="str">
        <v>treatment facility</v>
      </c>
      <c r="F108" s="149"/>
      <c r="G108" s="129"/>
      <c r="H108" s="127" t="str">
        <v/>
      </c>
      <c r="I108" s="123" t="str">
        <v>Input</v>
      </c>
    </row>
    <row r="109" spans="1:9" ht="20.100000000000001" customHeight="1" x14ac:dyDescent="0.2">
      <c r="D109" s="127" t="str">
        <v>g</v>
      </c>
      <c r="E109" s="128" t="str">
        <v>greenhouse gas</v>
      </c>
      <c r="F109" s="149"/>
      <c r="G109" s="129"/>
      <c r="H109" s="127" t="str">
        <v/>
      </c>
      <c r="I109" s="123" t="str">
        <v>Input</v>
      </c>
    </row>
    <row r="110" spans="1:9" ht="20.100000000000001" customHeight="1" x14ac:dyDescent="0.2">
      <c r="D110" s="127" t="str">
        <v>Q_volwt</v>
      </c>
      <c r="E110" s="128" t="str">
        <v>quantity of sold waste input as volume and converted to tonnes</v>
      </c>
      <c r="F110" s="149"/>
      <c r="G110" s="129"/>
      <c r="H110" s="127" t="str">
        <v>tonnes</v>
      </c>
      <c r="I110" s="125" t="str">
        <v>Calculated from 10.1.1.1 (2)</v>
      </c>
    </row>
    <row r="111" spans="1:9" ht="20.100000000000001" customHeight="1" x14ac:dyDescent="0.2">
      <c r="D111" s="127" t="str">
        <v>Q_masswt</v>
      </c>
      <c r="E111" s="128" t="str">
        <v>quantity of solid waste input as mass</v>
      </c>
      <c r="F111" s="149"/>
      <c r="G111" s="129"/>
      <c r="H111" s="127" t="str">
        <v>tonnes</v>
      </c>
      <c r="I111" s="123" t="str">
        <v>Input</v>
      </c>
    </row>
    <row r="113" spans="1:11" ht="20.100000000000001" customHeight="1" x14ac:dyDescent="0.2">
      <c r="D113" s="137" t="s">
        <v>907</v>
      </c>
    </row>
    <row r="114" spans="1:11" ht="20.100000000000001" customHeight="1" x14ac:dyDescent="0.2">
      <c r="D114" s="138" t="s">
        <v>908</v>
      </c>
    </row>
    <row r="115" spans="1:11" ht="20.100000000000001" customHeight="1" x14ac:dyDescent="0.2">
      <c r="D115" s="78" t="s">
        <v>900</v>
      </c>
      <c r="E115" s="78" t="s">
        <v>901</v>
      </c>
      <c r="F115" s="78"/>
      <c r="G115" s="78" t="s">
        <v>909</v>
      </c>
      <c r="H115" s="119" t="s">
        <v>910</v>
      </c>
      <c r="I115" s="119" t="s">
        <v>904</v>
      </c>
      <c r="J115" s="119" t="s">
        <v>911</v>
      </c>
      <c r="K115" s="119" t="s">
        <v>912</v>
      </c>
    </row>
    <row r="116" spans="1:11" ht="20.100000000000001" customHeight="1" x14ac:dyDescent="0.2">
      <c r="D116" s="127" t="str" cm="1">
        <f t="array" ref="D116:D149">Table_SourceData_WasteSolid_WasteTreatmentEFs[Treatment type t]</f>
        <v>Landfill</v>
      </c>
      <c r="E116" s="128" t="str" cm="1">
        <f t="array" ref="E116:E149">Table_SourceData_WasteSolid_WasteTreatmentEFs[Waste type w]</f>
        <v>Food waste (including animal carcasses, spoiled animal feed or crop)</v>
      </c>
      <c r="F116" s="229"/>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1:11" ht="20.100000000000001" customHeight="1" x14ac:dyDescent="0.2">
      <c r="D117" s="127" t="str">
        <v>Landfill</v>
      </c>
      <c r="E117" s="128" t="str">
        <v>Paper and cardboard</v>
      </c>
      <c r="F117" s="229"/>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1:11" ht="20.100000000000001" customHeight="1" x14ac:dyDescent="0.2">
      <c r="D118" s="127" t="str">
        <v>Landfill</v>
      </c>
      <c r="E118" s="128" t="str">
        <v>Green waste (including crop residues or prunings)</v>
      </c>
      <c r="F118" s="229"/>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1:11" ht="20.100000000000001" customHeight="1" x14ac:dyDescent="0.2">
      <c r="D119" s="127" t="str">
        <v>Landfill</v>
      </c>
      <c r="E119" s="128" t="str">
        <v>Wood</v>
      </c>
      <c r="F119" s="229"/>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1:11" ht="20.100000000000001" customHeight="1" x14ac:dyDescent="0.2">
      <c r="D120" s="127" t="str">
        <v>Landfill</v>
      </c>
      <c r="E120" s="128" t="str">
        <v>Textiles</v>
      </c>
      <c r="F120" s="229"/>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1:11" ht="20.100000000000001" customHeight="1" x14ac:dyDescent="0.2">
      <c r="D121" s="127" t="str">
        <v>Landfill</v>
      </c>
      <c r="E121" s="128" t="str">
        <v>Sludge</v>
      </c>
      <c r="F121" s="229"/>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1:11" ht="20.100000000000001" customHeight="1" x14ac:dyDescent="0.2">
      <c r="D122" s="127" t="str">
        <v>Landfill</v>
      </c>
      <c r="E122" s="128" t="str">
        <v>Rubber and leather</v>
      </c>
      <c r="F122" s="229"/>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1:11" ht="20.100000000000001" customHeight="1" x14ac:dyDescent="0.2">
      <c r="D123" s="127" t="str">
        <v>Landfill</v>
      </c>
      <c r="E123" s="128" t="str">
        <v>Inert waste (including concrete, metal, plastic or glass)</v>
      </c>
      <c r="F123" s="229"/>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1:11" ht="20.100000000000001" customHeight="1" x14ac:dyDescent="0.2">
      <c r="D124" s="127" t="str">
        <v>Landfill</v>
      </c>
      <c r="E124" s="128" t="str">
        <v>Municipal solid waste</v>
      </c>
      <c r="F124" s="229"/>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1:11" ht="20.100000000000001" customHeight="1" x14ac:dyDescent="0.2">
      <c r="D125" s="127" t="str">
        <v>Landfill</v>
      </c>
      <c r="E125" s="128" t="str">
        <v>Commercial and industrial waste</v>
      </c>
      <c r="F125" s="229"/>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1:11" ht="20.100000000000001" customHeight="1" x14ac:dyDescent="0.2">
      <c r="D126" s="127" t="str">
        <v>Landfill</v>
      </c>
      <c r="E126" s="128" t="str">
        <v>Construction and demolition waste</v>
      </c>
      <c r="F126" s="229"/>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1:11" ht="20.100000000000001" customHeight="1" x14ac:dyDescent="0.2">
      <c r="A127" s="131" t="str">
        <f>HYPERLINK("#A1", "▲ Back to top")</f>
        <v>▲ Back to top</v>
      </c>
      <c r="D127" s="127" t="str">
        <v>Incineration</v>
      </c>
      <c r="E127" s="128" t="str">
        <v>Food waste, green waste, wood, sludge</v>
      </c>
      <c r="F127" s="229"/>
      <c r="G127" s="15" t="s">
        <v>770</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1:11" ht="20.100000000000001" customHeight="1" x14ac:dyDescent="0.2">
      <c r="D128" s="127" t="str">
        <v>Incineration</v>
      </c>
      <c r="E128" s="128" t="str">
        <v>Food waste (including animal carcasses, spoiled animal feed or crop)</v>
      </c>
      <c r="F128" s="229"/>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913</v>
      </c>
      <c r="J128" s="15" t="s">
        <v>770</v>
      </c>
      <c r="K128" s="15" t="s">
        <v>770</v>
      </c>
    </row>
    <row r="129" spans="4:11" ht="20.100000000000001" customHeight="1" x14ac:dyDescent="0.2">
      <c r="D129" s="127" t="str">
        <v>Incineration</v>
      </c>
      <c r="E129" s="128" t="str">
        <v>Green waste (including crop residues or prunings)</v>
      </c>
      <c r="F129" s="229"/>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913</v>
      </c>
      <c r="J129" s="15" t="s">
        <v>770</v>
      </c>
      <c r="K129" s="15" t="s">
        <v>770</v>
      </c>
    </row>
    <row r="130" spans="4:11" ht="20.100000000000001" customHeight="1" x14ac:dyDescent="0.2">
      <c r="D130" s="127" t="str">
        <v>Incineration</v>
      </c>
      <c r="E130" s="128" t="str">
        <v>Wood</v>
      </c>
      <c r="F130" s="229"/>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913</v>
      </c>
      <c r="J130" s="15" t="s">
        <v>770</v>
      </c>
      <c r="K130" s="15" t="s">
        <v>770</v>
      </c>
    </row>
    <row r="131" spans="4:11" ht="20.100000000000001" customHeight="1" x14ac:dyDescent="0.2">
      <c r="D131" s="127" t="str">
        <v>Incineration</v>
      </c>
      <c r="E131" s="128" t="str">
        <v>Sludge</v>
      </c>
      <c r="F131" s="229"/>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913</v>
      </c>
      <c r="J131" s="15" t="s">
        <v>770</v>
      </c>
      <c r="K131" s="15" t="s">
        <v>770</v>
      </c>
    </row>
    <row r="132" spans="4:11" ht="20.100000000000001" customHeight="1" x14ac:dyDescent="0.2">
      <c r="D132" s="127" t="str">
        <v>Incineration</v>
      </c>
      <c r="E132" s="128" t="str">
        <v>Paper and cardboard</v>
      </c>
      <c r="F132" s="229"/>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
      <c r="D133" s="127" t="str">
        <v>Incineration</v>
      </c>
      <c r="E133" s="128" t="str">
        <v>Textiles</v>
      </c>
      <c r="F133" s="229"/>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
      <c r="D134" s="127" t="str">
        <v>Incineration</v>
      </c>
      <c r="E134" s="128" t="str">
        <v>Rubber and leather</v>
      </c>
      <c r="F134" s="229"/>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
      <c r="D135" s="127" t="str">
        <v>Incineration</v>
      </c>
      <c r="E135" s="128" t="str">
        <v>Inert waste (including concrete, metal, plastic or glass)</v>
      </c>
      <c r="F135" s="229"/>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
      <c r="D136" s="127" t="str">
        <v>Incineration</v>
      </c>
      <c r="E136" s="128" t="str">
        <v>Municipal solid waste</v>
      </c>
      <c r="F136" s="12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
      <c r="D137" s="127" t="str">
        <v>Incineration</v>
      </c>
      <c r="E137" s="128" t="str">
        <v>Commercial and industrial waste</v>
      </c>
      <c r="F137" s="12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
      <c r="D138" s="127" t="str">
        <v>Composting</v>
      </c>
      <c r="E138" s="128" t="str">
        <v>All organic waste</v>
      </c>
      <c r="F138" s="129"/>
      <c r="G138" s="15" t="s">
        <v>770</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
      <c r="D139" s="127" t="str">
        <v>Composting</v>
      </c>
      <c r="E139" s="128" t="str">
        <v>Food waste (including animal carcasses, spoiled animal feed or crop)</v>
      </c>
      <c r="F139" s="12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913</v>
      </c>
      <c r="J139" s="15" t="s">
        <v>770</v>
      </c>
      <c r="K139" s="15" t="s">
        <v>770</v>
      </c>
    </row>
    <row r="140" spans="4:11" ht="20.100000000000001" customHeight="1" x14ac:dyDescent="0.2">
      <c r="D140" s="127" t="str">
        <v>Composting</v>
      </c>
      <c r="E140" s="128" t="str">
        <v>Green waste (including crop residues or prunings)</v>
      </c>
      <c r="F140" s="12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913</v>
      </c>
      <c r="J140" s="15" t="s">
        <v>770</v>
      </c>
      <c r="K140" s="15" t="s">
        <v>770</v>
      </c>
    </row>
    <row r="141" spans="4:11" ht="20.100000000000001" customHeight="1" x14ac:dyDescent="0.2">
      <c r="D141" s="127" t="str">
        <v>Composting</v>
      </c>
      <c r="E141" s="128" t="str">
        <v>Wood</v>
      </c>
      <c r="F141" s="12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913</v>
      </c>
      <c r="J141" s="15" t="s">
        <v>770</v>
      </c>
      <c r="K141" s="15" t="s">
        <v>770</v>
      </c>
    </row>
    <row r="142" spans="4:11" ht="20.100000000000001" customHeight="1" x14ac:dyDescent="0.2">
      <c r="D142" s="127" t="str">
        <v>Composting</v>
      </c>
      <c r="E142" s="128" t="str">
        <v>Sludge</v>
      </c>
      <c r="F142" s="12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913</v>
      </c>
      <c r="J142" s="15" t="s">
        <v>770</v>
      </c>
      <c r="K142" s="15" t="s">
        <v>770</v>
      </c>
    </row>
    <row r="143" spans="4:11" ht="20.100000000000001" customHeight="1" x14ac:dyDescent="0.2">
      <c r="D143" s="127" t="str">
        <v>Composting</v>
      </c>
      <c r="E143" s="128" t="str">
        <v>Paper and cardboard</v>
      </c>
      <c r="F143" s="12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913</v>
      </c>
      <c r="J143" s="15" t="s">
        <v>770</v>
      </c>
      <c r="K143" s="15" t="s">
        <v>770</v>
      </c>
    </row>
    <row r="144" spans="4:11" ht="20.100000000000001" customHeight="1" x14ac:dyDescent="0.2">
      <c r="D144" s="127" t="str">
        <v>Anaerobic digestion</v>
      </c>
      <c r="E144" s="128" t="str">
        <v>All organic waste</v>
      </c>
      <c r="F144" s="129"/>
      <c r="G144" s="15" t="s">
        <v>770</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1:11" ht="20.100000000000001" customHeight="1" x14ac:dyDescent="0.2">
      <c r="D145" s="127" t="str">
        <v>Anaerobic digestion</v>
      </c>
      <c r="E145" s="128" t="str">
        <v>Food waste (including animal carcasses, spoiled animal feed or crop)</v>
      </c>
      <c r="F145" s="12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913</v>
      </c>
      <c r="J145" s="15" t="s">
        <v>770</v>
      </c>
      <c r="K145" s="15" t="s">
        <v>770</v>
      </c>
    </row>
    <row r="146" spans="1:11" ht="20.100000000000001" customHeight="1" x14ac:dyDescent="0.2">
      <c r="D146" s="127" t="str">
        <v>Anaerobic digestion</v>
      </c>
      <c r="E146" s="128" t="str">
        <v>Green waste (including crop residues or prunings)</v>
      </c>
      <c r="F146" s="12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913</v>
      </c>
      <c r="J146" s="15" t="s">
        <v>770</v>
      </c>
      <c r="K146" s="15" t="s">
        <v>770</v>
      </c>
    </row>
    <row r="147" spans="1:11" ht="20.100000000000001" customHeight="1" x14ac:dyDescent="0.2">
      <c r="D147" s="127" t="str">
        <v>Anaerobic digestion</v>
      </c>
      <c r="E147" s="128" t="str">
        <v>Wood</v>
      </c>
      <c r="F147" s="12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913</v>
      </c>
      <c r="J147" s="15" t="s">
        <v>770</v>
      </c>
      <c r="K147" s="15" t="s">
        <v>770</v>
      </c>
    </row>
    <row r="148" spans="1:11" ht="20.100000000000001" customHeight="1" x14ac:dyDescent="0.2">
      <c r="D148" s="127" t="str">
        <v>Anaerobic digestion</v>
      </c>
      <c r="E148" s="128" t="str">
        <v>Sludge</v>
      </c>
      <c r="F148" s="12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913</v>
      </c>
      <c r="J148" s="15" t="s">
        <v>770</v>
      </c>
      <c r="K148" s="15" t="s">
        <v>770</v>
      </c>
    </row>
    <row r="149" spans="1:11" ht="20.100000000000001" customHeight="1" x14ac:dyDescent="0.2">
      <c r="D149" s="127" t="str">
        <v>Anaerobic digestion</v>
      </c>
      <c r="E149" s="128" t="str">
        <v>Paper and cardboard</v>
      </c>
      <c r="F149" s="12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913</v>
      </c>
      <c r="J149" s="15" t="s">
        <v>770</v>
      </c>
      <c r="K149" s="15" t="s">
        <v>770</v>
      </c>
    </row>
    <row r="151" spans="1:11" ht="20.100000000000001" customHeight="1" x14ac:dyDescent="0.2">
      <c r="D151" s="84" t="s">
        <v>914</v>
      </c>
      <c r="E151" s="85">
        <f>SUM(K116:K149)</f>
        <v>438.82805000000002</v>
      </c>
      <c r="F151" s="94" t="str">
        <f>$E$103</f>
        <v>t CO2e</v>
      </c>
    </row>
    <row r="154" spans="1:11" ht="20.100000000000001" customHeight="1" x14ac:dyDescent="0.2">
      <c r="D154" s="137" t="s">
        <v>915</v>
      </c>
    </row>
    <row r="155" spans="1:11" ht="20.100000000000001" customHeight="1" x14ac:dyDescent="0.2">
      <c r="D155" s="138" t="s">
        <v>916</v>
      </c>
    </row>
    <row r="156" spans="1:11" ht="20.100000000000001" customHeight="1" x14ac:dyDescent="0.2">
      <c r="D156" s="78" t="s">
        <v>900</v>
      </c>
      <c r="E156" s="78" t="s">
        <v>901</v>
      </c>
      <c r="F156" s="78"/>
      <c r="G156" s="78" t="s">
        <v>909</v>
      </c>
      <c r="H156" s="119" t="s">
        <v>910</v>
      </c>
      <c r="I156" s="119" t="s">
        <v>904</v>
      </c>
      <c r="J156" s="119" t="s">
        <v>911</v>
      </c>
      <c r="K156" s="119" t="s">
        <v>912</v>
      </c>
    </row>
    <row r="157" spans="1:11" ht="20.100000000000001" customHeight="1" x14ac:dyDescent="0.2">
      <c r="A157" s="131" t="str">
        <f>HYPERLINK("#A1", "▲ Back to top")</f>
        <v>▲ Back to top</v>
      </c>
      <c r="D157" s="127" t="str" cm="1">
        <f t="array" ref="D157:D190">Table_SourceData_WasteSolid_WasteTreatmentEFs[Treatment type t]</f>
        <v>Landfill</v>
      </c>
      <c r="E157" s="128" t="str" cm="1">
        <f t="array" ref="E157:E190">Table_SourceData_WasteSolid_WasteTreatmentEFs[Waste type w]</f>
        <v>Food waste (including animal carcasses, spoiled animal feed or crop)</v>
      </c>
      <c r="F157" s="229"/>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1:11" ht="20.100000000000001" customHeight="1" x14ac:dyDescent="0.2">
      <c r="D158" s="127" t="str">
        <v>Landfill</v>
      </c>
      <c r="E158" s="128" t="str">
        <v>Paper and cardboard</v>
      </c>
      <c r="F158" s="229"/>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1:11" ht="20.100000000000001" customHeight="1" x14ac:dyDescent="0.2">
      <c r="D159" s="127" t="str">
        <v>Landfill</v>
      </c>
      <c r="E159" s="128" t="str">
        <v>Green waste (including crop residues or prunings)</v>
      </c>
      <c r="F159" s="229"/>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1:11" ht="20.100000000000001" customHeight="1" x14ac:dyDescent="0.2">
      <c r="D160" s="127" t="str">
        <v>Landfill</v>
      </c>
      <c r="E160" s="128" t="str">
        <v>Wood</v>
      </c>
      <c r="F160" s="229"/>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
      <c r="D161" s="127" t="str">
        <v>Landfill</v>
      </c>
      <c r="E161" s="128" t="str">
        <v>Textiles</v>
      </c>
      <c r="F161" s="229"/>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
      <c r="D162" s="127" t="str">
        <v>Landfill</v>
      </c>
      <c r="E162" s="128" t="str">
        <v>Sludge</v>
      </c>
      <c r="F162" s="229"/>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
      <c r="D163" s="127" t="str">
        <v>Landfill</v>
      </c>
      <c r="E163" s="128" t="str">
        <v>Rubber and leather</v>
      </c>
      <c r="F163" s="229"/>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
      <c r="D164" s="127" t="str">
        <v>Landfill</v>
      </c>
      <c r="E164" s="128" t="str">
        <v>Inert waste (including concrete, metal, plastic or glass)</v>
      </c>
      <c r="F164" s="229"/>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
      <c r="D165" s="127" t="str">
        <v>Landfill</v>
      </c>
      <c r="E165" s="128" t="str">
        <v>Municipal solid waste</v>
      </c>
      <c r="F165" s="229"/>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
      <c r="D166" s="127" t="str">
        <v>Landfill</v>
      </c>
      <c r="E166" s="128" t="str">
        <v>Commercial and industrial waste</v>
      </c>
      <c r="F166" s="229"/>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
      <c r="D167" s="127" t="str">
        <v>Landfill</v>
      </c>
      <c r="E167" s="128" t="str">
        <v>Construction and demolition waste</v>
      </c>
      <c r="F167" s="229"/>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
      <c r="D168" s="127" t="str">
        <v>Incineration</v>
      </c>
      <c r="E168" s="128" t="str">
        <v>Food waste, green waste, wood, sludge</v>
      </c>
      <c r="F168" s="229"/>
      <c r="G168" s="15" t="s">
        <v>770</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
      <c r="D169" s="127" t="str">
        <v>Incineration</v>
      </c>
      <c r="E169" s="128" t="str">
        <v>Food waste (including animal carcasses, spoiled animal feed or crop)</v>
      </c>
      <c r="F169" s="229"/>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913</v>
      </c>
      <c r="J169" s="15" t="s">
        <v>770</v>
      </c>
      <c r="K169" s="15" t="s">
        <v>770</v>
      </c>
    </row>
    <row r="170" spans="4:11" ht="20.100000000000001" customHeight="1" x14ac:dyDescent="0.2">
      <c r="D170" s="127" t="str">
        <v>Incineration</v>
      </c>
      <c r="E170" s="128" t="str">
        <v>Green waste (including crop residues or prunings)</v>
      </c>
      <c r="F170" s="229"/>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913</v>
      </c>
      <c r="J170" s="15" t="s">
        <v>770</v>
      </c>
      <c r="K170" s="15" t="s">
        <v>770</v>
      </c>
    </row>
    <row r="171" spans="4:11" ht="20.100000000000001" customHeight="1" x14ac:dyDescent="0.2">
      <c r="D171" s="127" t="str">
        <v>Incineration</v>
      </c>
      <c r="E171" s="128" t="str">
        <v>Wood</v>
      </c>
      <c r="F171" s="229"/>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913</v>
      </c>
      <c r="J171" s="15" t="s">
        <v>770</v>
      </c>
      <c r="K171" s="15" t="s">
        <v>770</v>
      </c>
    </row>
    <row r="172" spans="4:11" ht="20.100000000000001" customHeight="1" x14ac:dyDescent="0.2">
      <c r="D172" s="127" t="str">
        <v>Incineration</v>
      </c>
      <c r="E172" s="128" t="str">
        <v>Sludge</v>
      </c>
      <c r="F172" s="229"/>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913</v>
      </c>
      <c r="J172" s="15" t="s">
        <v>770</v>
      </c>
      <c r="K172" s="15" t="s">
        <v>770</v>
      </c>
    </row>
    <row r="173" spans="4:11" ht="20.100000000000001" customHeight="1" x14ac:dyDescent="0.2">
      <c r="D173" s="127" t="str">
        <v>Incineration</v>
      </c>
      <c r="E173" s="128" t="str">
        <v>Paper and cardboard</v>
      </c>
      <c r="F173" s="229"/>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
      <c r="D174" s="127" t="str">
        <v>Incineration</v>
      </c>
      <c r="E174" s="128" t="str">
        <v>Textiles</v>
      </c>
      <c r="F174" s="229"/>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
      <c r="D175" s="127" t="str">
        <v>Incineration</v>
      </c>
      <c r="E175" s="128" t="str">
        <v>Rubber and leather</v>
      </c>
      <c r="F175" s="229"/>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
      <c r="D176" s="127" t="str">
        <v>Incineration</v>
      </c>
      <c r="E176" s="128" t="str">
        <v>Inert waste (including concrete, metal, plastic or glass)</v>
      </c>
      <c r="F176" s="229"/>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1:11" ht="20.100000000000001" customHeight="1" x14ac:dyDescent="0.2">
      <c r="D177" s="127" t="str">
        <v>Incineration</v>
      </c>
      <c r="E177" s="128" t="str">
        <v>Municipal solid waste</v>
      </c>
      <c r="F177" s="12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1:11" ht="20.100000000000001" customHeight="1" x14ac:dyDescent="0.2">
      <c r="D178" s="127" t="str">
        <v>Incineration</v>
      </c>
      <c r="E178" s="128" t="str">
        <v>Commercial and industrial waste</v>
      </c>
      <c r="F178" s="12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1:11" ht="20.100000000000001" customHeight="1" x14ac:dyDescent="0.2">
      <c r="D179" s="127" t="str">
        <v>Composting</v>
      </c>
      <c r="E179" s="128" t="str">
        <v>All organic waste</v>
      </c>
      <c r="F179" s="129"/>
      <c r="G179" s="15" t="s">
        <v>770</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1:11" ht="20.100000000000001" customHeight="1" x14ac:dyDescent="0.2">
      <c r="D180" s="127" t="str">
        <v>Composting</v>
      </c>
      <c r="E180" s="128" t="str">
        <v>Food waste (including animal carcasses, spoiled animal feed or crop)</v>
      </c>
      <c r="F180" s="12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913</v>
      </c>
      <c r="J180" s="15" t="s">
        <v>770</v>
      </c>
      <c r="K180" s="15" t="s">
        <v>770</v>
      </c>
    </row>
    <row r="181" spans="1:11" ht="20.100000000000001" customHeight="1" x14ac:dyDescent="0.2">
      <c r="D181" s="127" t="str">
        <v>Composting</v>
      </c>
      <c r="E181" s="128" t="str">
        <v>Green waste (including crop residues or prunings)</v>
      </c>
      <c r="F181" s="12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913</v>
      </c>
      <c r="J181" s="15" t="s">
        <v>770</v>
      </c>
      <c r="K181" s="15" t="s">
        <v>770</v>
      </c>
    </row>
    <row r="182" spans="1:11" ht="20.100000000000001" customHeight="1" x14ac:dyDescent="0.2">
      <c r="D182" s="127" t="str">
        <v>Composting</v>
      </c>
      <c r="E182" s="128" t="str">
        <v>Wood</v>
      </c>
      <c r="F182" s="12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913</v>
      </c>
      <c r="J182" s="15" t="s">
        <v>770</v>
      </c>
      <c r="K182" s="15" t="s">
        <v>770</v>
      </c>
    </row>
    <row r="183" spans="1:11" ht="20.100000000000001" customHeight="1" x14ac:dyDescent="0.2">
      <c r="D183" s="127" t="str">
        <v>Composting</v>
      </c>
      <c r="E183" s="128" t="str">
        <v>Sludge</v>
      </c>
      <c r="F183" s="12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913</v>
      </c>
      <c r="J183" s="15" t="s">
        <v>770</v>
      </c>
      <c r="K183" s="15" t="s">
        <v>770</v>
      </c>
    </row>
    <row r="184" spans="1:11" ht="20.100000000000001" customHeight="1" x14ac:dyDescent="0.2">
      <c r="D184" s="127" t="str">
        <v>Composting</v>
      </c>
      <c r="E184" s="128" t="str">
        <v>Paper and cardboard</v>
      </c>
      <c r="F184" s="12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913</v>
      </c>
      <c r="J184" s="15" t="s">
        <v>770</v>
      </c>
      <c r="K184" s="15" t="s">
        <v>770</v>
      </c>
    </row>
    <row r="185" spans="1:11" ht="20.100000000000001" customHeight="1" x14ac:dyDescent="0.2">
      <c r="D185" s="127" t="str">
        <v>Anaerobic digestion</v>
      </c>
      <c r="E185" s="128" t="str">
        <v>All organic waste</v>
      </c>
      <c r="F185" s="129"/>
      <c r="G185" s="15" t="s">
        <v>770</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1:11" ht="20.100000000000001" customHeight="1" x14ac:dyDescent="0.2">
      <c r="D186" s="127" t="str">
        <v>Anaerobic digestion</v>
      </c>
      <c r="E186" s="128" t="str">
        <v>Food waste (including animal carcasses, spoiled animal feed or crop)</v>
      </c>
      <c r="F186" s="12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913</v>
      </c>
      <c r="J186" s="15" t="s">
        <v>770</v>
      </c>
      <c r="K186" s="15" t="s">
        <v>770</v>
      </c>
    </row>
    <row r="187" spans="1:11" ht="20.100000000000001" customHeight="1" x14ac:dyDescent="0.2">
      <c r="A187" s="131" t="str">
        <f>HYPERLINK("#A1", "▲ Back to top")</f>
        <v>▲ Back to top</v>
      </c>
      <c r="D187" s="127" t="str">
        <v>Anaerobic digestion</v>
      </c>
      <c r="E187" s="128" t="str">
        <v>Green waste (including crop residues or prunings)</v>
      </c>
      <c r="F187" s="12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913</v>
      </c>
      <c r="J187" s="15" t="s">
        <v>770</v>
      </c>
      <c r="K187" s="15" t="s">
        <v>770</v>
      </c>
    </row>
    <row r="188" spans="1:11" ht="20.100000000000001" customHeight="1" x14ac:dyDescent="0.2">
      <c r="D188" s="127" t="str">
        <v>Anaerobic digestion</v>
      </c>
      <c r="E188" s="128" t="str">
        <v>Wood</v>
      </c>
      <c r="F188" s="12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913</v>
      </c>
      <c r="J188" s="15" t="s">
        <v>770</v>
      </c>
      <c r="K188" s="15" t="s">
        <v>770</v>
      </c>
    </row>
    <row r="189" spans="1:11" ht="20.100000000000001" customHeight="1" x14ac:dyDescent="0.2">
      <c r="D189" s="127" t="str">
        <v>Anaerobic digestion</v>
      </c>
      <c r="E189" s="128" t="str">
        <v>Sludge</v>
      </c>
      <c r="F189" s="12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913</v>
      </c>
      <c r="J189" s="15" t="s">
        <v>770</v>
      </c>
      <c r="K189" s="15" t="s">
        <v>770</v>
      </c>
    </row>
    <row r="190" spans="1:11" ht="20.100000000000001" customHeight="1" x14ac:dyDescent="0.2">
      <c r="D190" s="127" t="str">
        <v>Anaerobic digestion</v>
      </c>
      <c r="E190" s="128" t="str">
        <v>Paper and cardboard</v>
      </c>
      <c r="F190" s="12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913</v>
      </c>
      <c r="J190" s="15" t="s">
        <v>770</v>
      </c>
      <c r="K190" s="15" t="s">
        <v>770</v>
      </c>
    </row>
    <row r="192" spans="1:11" ht="20.100000000000001" customHeight="1" x14ac:dyDescent="0.2">
      <c r="D192" s="84" t="s">
        <v>914</v>
      </c>
      <c r="E192" s="85">
        <f>SUM(K157:K190)</f>
        <v>441.15000000000003</v>
      </c>
      <c r="F192" s="94"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0F77D5A4-659D-465D-B6E8-5A822595470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33F3E-4F85-415E-9B6F-5930570DAEFA}">
  <sheetPr>
    <tabColor rgb="FF008000"/>
  </sheetPr>
  <dimension ref="A1:K342"/>
  <sheetViews>
    <sheetView showGridLines="0" zoomScaleNormal="100" workbookViewId="0">
      <pane xSplit="1" topLeftCell="B1" activePane="topRight" state="frozenSplit"/>
      <selection pane="topRight" activeCell="A607" sqref="A607"/>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562</v>
      </c>
    </row>
    <row r="2" spans="1:11" s="3" customFormat="1" ht="20.100000000000001" customHeight="1" x14ac:dyDescent="0.2">
      <c r="A2"/>
    </row>
    <row r="3" spans="1:11" ht="20.100000000000001" customHeight="1" x14ac:dyDescent="0.2">
      <c r="A3" s="5" t="str">
        <f>HYPERLINK("#'Home'!A1", "Home")</f>
        <v>Home</v>
      </c>
      <c r="C3" s="22"/>
      <c r="D3" s="22" t="s">
        <v>130</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
      <c r="D6" s="17" t="str" cm="1">
        <f t="array" ref="D6">Electricity_Equations.VEERG_14_1_1__1_LocationBasedScopeElectricityEmissions_Source()</f>
        <v>VEERG 2026: 14.1.1, Equation (1)</v>
      </c>
    </row>
    <row r="7" spans="1:11" ht="20.100000000000001" customHeight="1" x14ac:dyDescent="0.2">
      <c r="D7" s="25" t="str" cm="1">
        <f t="array" ref="D7">Electricity_Equations.VEERG_14_1_1__1_LocationBasedScopeElectricityEmissions_Variation()</f>
        <v>Added g variable to capture which grid electricity was purchased from</v>
      </c>
    </row>
    <row r="8" spans="1:11" ht="20.100000000000001" customHeight="1" x14ac:dyDescent="0.2">
      <c r="A8" s="7" t="s">
        <v>0</v>
      </c>
      <c r="D8" s="110" t="s">
        <v>321</v>
      </c>
      <c r="E8" s="11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Swine'!A1", "Swine")</f>
        <v>Swine</v>
      </c>
      <c r="D11" s="75" t="s">
        <v>322</v>
      </c>
      <c r="E11" s="1" t="str" cm="1">
        <f t="array" ref="E11">Electricity_Equations.VEERG_14_1_1__1_LocationBasedScopeElectricityEmissions_Variable()</f>
        <v>E_2elec</v>
      </c>
    </row>
    <row r="12" spans="1:11" ht="20.100000000000001" customHeight="1" x14ac:dyDescent="0.2">
      <c r="A12" s="5" t="str">
        <f>HYPERLINK("#'Input - Livestock sales'!A1", "Livestock sales")</f>
        <v>Livestock sales</v>
      </c>
      <c r="D12" s="75" t="s">
        <v>118</v>
      </c>
      <c r="E12" s="9" t="str" cm="1">
        <f t="array" ref="E12">Electricity_Equations.VEERG_14_1_1__1_LocationBasedScopeElectricityEmissions_Unit()</f>
        <v>t CO2e</v>
      </c>
    </row>
    <row r="13" spans="1:11" ht="20.100000000000001" customHeight="1" x14ac:dyDescent="0.2">
      <c r="A13" s="5" t="str">
        <f>HYPERLINK("#'Input - Pig purchases'!A1", "Pig purchases")</f>
        <v>Pig purchases</v>
      </c>
    </row>
    <row r="14" spans="1:11" ht="20.100000000000001" customHeight="1" x14ac:dyDescent="0.2">
      <c r="A14" s="5" t="str">
        <f>HYPERLINK("#'Input - Fuel'!A1", "Fuel")</f>
        <v>Fuel</v>
      </c>
      <c r="D14" s="127" t="str" cm="1">
        <f t="array" ref="D14:E16">_xlfn.CHOOSECOLS(Electricity_Equations.VEERG_14_1_1__1_LocationBasedScopeElectricityEmissions_Arguments(),1,2)</f>
        <v>Q_elec</v>
      </c>
      <c r="E14" s="128" t="str">
        <v>amount of electricity purchased from the grid</v>
      </c>
      <c r="F14" s="129"/>
      <c r="G14" s="127" t="str" cm="1">
        <f t="array" ref="G14:H16">_xlfn.CHOOSECOLS(Electricity_Equations.VEERG_14_1_1__1_LocationBasedScopeElectricityEmissions_Arguments(),3,4)</f>
        <v>kWh</v>
      </c>
      <c r="H14" s="123" t="str">
        <v>Input</v>
      </c>
      <c r="I14" s="128">
        <f>X_Cell_Electricity_Location_AmountPurchasedInkWh</f>
        <v>30000</v>
      </c>
      <c r="J14" s="129"/>
    </row>
    <row r="15" spans="1:11" ht="20.100000000000001" customHeight="1" x14ac:dyDescent="0.2">
      <c r="A15" s="5" t="str">
        <f>HYPERLINK("#'Input - Electricity'!A1", "Electricity")</f>
        <v>Electricity</v>
      </c>
      <c r="D15" s="127" t="str">
        <v>EF_2elec</v>
      </c>
      <c r="E15" s="128" t="str">
        <v>location-based Scope 2 emission factor for electricity</v>
      </c>
      <c r="F15" s="129"/>
      <c r="G15" s="127" t="str">
        <v>kg CO2e/kWh</v>
      </c>
      <c r="H15" s="125" t="str">
        <v>Constant</v>
      </c>
      <c r="I15" s="128" cm="1">
        <f t="array" ref="I15">Common_InputFunctions.Utility_LookupValueInTableNumber(I16,Table_SourceData_ElectricityEFs[State, Territory or grid description],Table_SourceData_ElectricityEFs[Scope 2 Emission Factors (kg CO2-e/kWh)])</f>
        <v>0.56000000000000005</v>
      </c>
      <c r="J15" s="129"/>
    </row>
    <row r="16" spans="1:11" ht="20.100000000000001" customHeight="1" x14ac:dyDescent="0.2">
      <c r="A16" s="5" t="str">
        <f>HYPERLINK("#'Input - Common farm inputs'!A1", "Common farm inputs")</f>
        <v>Common farm inputs</v>
      </c>
      <c r="D16" s="127" t="str">
        <v>g</v>
      </c>
      <c r="E16" s="128" t="str">
        <v>Grid electricity was purchased from</v>
      </c>
      <c r="F16" s="129"/>
      <c r="G16" s="127" t="str">
        <v/>
      </c>
      <c r="H16" s="123" t="str">
        <v>Input</v>
      </c>
      <c r="I16" s="128" t="str">
        <f>X_Cell_Electricity_Location_GridElectricityPurchasedFrom</f>
        <v>Western Australia - North Western Interconnected System (NWIS)</v>
      </c>
      <c r="J16" s="129"/>
    </row>
    <row r="17" spans="1:11" ht="20.100000000000001" customHeight="1" x14ac:dyDescent="0.2">
      <c r="A17" s="5" t="str">
        <f>HYPERLINK("#'Input - Livestock farm Inputs'!A1", "Livestock farm Inputs")</f>
        <v>Livestock farm Inputs</v>
      </c>
    </row>
    <row r="18" spans="1:11" ht="20.100000000000001" customHeight="1" x14ac:dyDescent="0.2">
      <c r="A18" s="5" t="str">
        <f>HYPERLINK("#'Input - Freight'!A1", "Freight")</f>
        <v>Freight</v>
      </c>
      <c r="D18" s="84" t="s">
        <v>563</v>
      </c>
      <c r="E18" s="85" cm="1">
        <f t="array" ref="E18">Electricity_Equations.VEERG_14_1_1__1_LocationBasedScopeElectricityEmissions(I14,I15)</f>
        <v>16.8</v>
      </c>
      <c r="F18" s="94" t="str">
        <f>$E$12</f>
        <v>t CO2e</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C21" s="82"/>
      <c r="D21" s="82"/>
      <c r="E21" s="82"/>
      <c r="F21" s="82"/>
      <c r="G21" s="82"/>
      <c r="H21" s="82"/>
      <c r="I21" s="82"/>
      <c r="J21" s="82"/>
      <c r="K21" s="82"/>
    </row>
    <row r="22" spans="1:11" ht="20.100000000000001" customHeight="1" x14ac:dyDescent="0.2">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100000000000001" customHeight="1" x14ac:dyDescent="0.2">
      <c r="A23" s="5" t="str">
        <f>HYPERLINK("#'Input - Fertiliser'!A1", "Fertiliser")</f>
        <v>Fertiliser</v>
      </c>
      <c r="D23" s="17" t="str" cm="1">
        <f t="array" ref="D23">Electricity_Equations.VEERG_14_1_2__1_MarketBasedScopeElectricityEmissions_Source()</f>
        <v>VEERG 2026: 14.1.2, Equation (1)</v>
      </c>
    </row>
    <row r="24" spans="1:11" ht="20.100000000000001" customHeight="1" x14ac:dyDescent="0.2">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D25" s="110" t="s">
        <v>321</v>
      </c>
      <c r="E25" s="11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6" t="s">
        <v>2</v>
      </c>
    </row>
    <row r="27" spans="1:11" ht="20.100000000000001" customHeight="1" x14ac:dyDescent="0.2">
      <c r="A27" s="5" t="str">
        <f>HYPERLINK("#'3.5.1.1-2 Enteric Methane'!A1", "3.5.1.1-2 Enteric Methane")</f>
        <v>3.5.1.1-2 Enteric Methane</v>
      </c>
    </row>
    <row r="28" spans="1:11" ht="20.100000000000001" customHeight="1" x14ac:dyDescent="0.2">
      <c r="A28" s="5" t="str">
        <f>HYPERLINK("#'4.5.1.1-2 Methane'!A1", "4.5.1.1-2 Manure Methane")</f>
        <v>4.5.1.1-2 Manure Methane</v>
      </c>
      <c r="D28" s="75" t="s">
        <v>322</v>
      </c>
      <c r="E28" s="1" t="str" cm="1">
        <f t="array" ref="E28">Electricity_Equations.VEERG_14_1_2__1_MarketBasedScopeElectricityEmissions_Variable()</f>
        <v>E_2elec</v>
      </c>
    </row>
    <row r="29" spans="1:11" ht="20.100000000000001" customHeight="1" x14ac:dyDescent="0.2">
      <c r="A29" s="5" t="str">
        <f>HYPERLINK("#'4.5.1.3-4 Direct N2O'!A1", "4.5.1.3-4 Manure Direct N2O")</f>
        <v>4.5.1.3-4 Manure Direct N2O</v>
      </c>
      <c r="D29" s="75" t="s">
        <v>118</v>
      </c>
      <c r="E29" s="9" t="str" cm="1">
        <f t="array" ref="E29">Electricity_Equations.VEERG_14_1_2__1_MarketBasedScopeElectricityEmissions_Unit()</f>
        <v>t CO2e</v>
      </c>
    </row>
    <row r="30" spans="1:11" ht="20.100000000000001" customHeight="1" x14ac:dyDescent="0.2">
      <c r="A30" s="5" t="str">
        <f>HYPERLINK("#'4.5.1.5-6 Atmos Dep'!A1", "4.5.1.5-6 Manure Atmos Dep")</f>
        <v>4.5.1.5-6 Manure Atmos Dep</v>
      </c>
    </row>
    <row r="31" spans="1:11" ht="20.100000000000001" customHeight="1" x14ac:dyDescent="0.2">
      <c r="A31" s="5" t="str">
        <f>HYPERLINK("#'4.5.1.7-8 Leaching and runoff'!A1", "4.5.1.7-8 Manure Leaching and runoff")</f>
        <v>4.5.1.7-8 Manure Leaching and runoff</v>
      </c>
      <c r="D31" s="127" t="str" cm="1">
        <f t="array" ref="D31:E37">_xlfn.CHOOSECOLS(Electricity_Equations.VEERG_14_1_2__1_MarketBasedScopeElectricityEmissions_Arguments(),1,2)</f>
        <v>Q_elec</v>
      </c>
      <c r="E31" s="128" t="str">
        <v>amount of electricity purchased from the grid</v>
      </c>
      <c r="F31" s="149"/>
      <c r="G31" s="149"/>
      <c r="H31" s="127" t="str" cm="1">
        <f t="array" ref="H31:I37">_xlfn.CHOOSECOLS(Electricity_Equations.VEERG_14_1_2__1_MarketBasedScopeElectricityEmissions_Arguments(),3,4)</f>
        <v>kWh</v>
      </c>
      <c r="I31" s="123" t="str">
        <v>Input</v>
      </c>
      <c r="J31" s="127">
        <f>X_Cell_Electricity_Market_AmountPurchasedExcludingGreenPower</f>
        <v>30000</v>
      </c>
    </row>
    <row r="32" spans="1:11" ht="20.100000000000001" customHeight="1" x14ac:dyDescent="0.2">
      <c r="A32" s="5" t="str">
        <f>HYPERLINK("#'4.5.1.9 Manure applied to soils'!A1", "4.5.1.9 Manure applied to soils")</f>
        <v>4.5.1.9 Manure applied to soils</v>
      </c>
      <c r="D32" s="127" t="str">
        <v>RPP</v>
      </c>
      <c r="E32" s="128" t="str">
        <v>Renewable Power Percentage under the Large-scale Renewable Energy Target (LRET)</v>
      </c>
      <c r="F32" s="149"/>
      <c r="G32" s="149"/>
      <c r="H32" s="127" t="str">
        <v>per cent</v>
      </c>
      <c r="I32" s="123" t="str">
        <v>Input</v>
      </c>
      <c r="J32" s="150">
        <f>X_Cell_Electricity_Market_RenewablePowerPercentage</f>
        <v>0.1</v>
      </c>
    </row>
    <row r="33" spans="1:10" ht="20.100000000000001" customHeight="1" x14ac:dyDescent="0.2">
      <c r="A33" s="5" t="str">
        <f>HYPERLINK("#'8.1.1.1-2 Transport fuel'!A1", "8.1.1.1-2 Transport fuel")</f>
        <v>8.1.1.1-2 Transport fuel</v>
      </c>
      <c r="D33" s="127" t="str">
        <v>JRPP</v>
      </c>
      <c r="E33" s="128" t="str">
        <v>jurisdictional renewable power percentage for the applicable period (ACT only)</v>
      </c>
      <c r="F33" s="149"/>
      <c r="G33" s="149"/>
      <c r="H33" s="127" t="str">
        <v>per cent</v>
      </c>
      <c r="I33" s="123" t="str">
        <v>Input</v>
      </c>
      <c r="J33" s="150" t="str">
        <f>IF(J37="ACT", X_Cell_Electricity_Market_JurisdictionalRenewablePowerPercentage, "N/A")</f>
        <v>N/A</v>
      </c>
    </row>
    <row r="34" spans="1:10" ht="20.100000000000001" customHeight="1" x14ac:dyDescent="0.2">
      <c r="A34" s="5" t="str">
        <f>HYPERLINK("#'8.2.1.1-2 Stationary fuel'!A1", "8.2.1.1-2 Stationary fuel")</f>
        <v>8.2.1.1-2 Stationary fuel</v>
      </c>
      <c r="D34" s="127" t="str">
        <v>REC_surrendered</v>
      </c>
      <c r="E34" s="128" t="str">
        <v>Renewable Energy Certificates voluntarily surrendered in the reporting year</v>
      </c>
      <c r="F34" s="149"/>
      <c r="G34" s="149"/>
      <c r="H34" s="127" t="str">
        <v>MWh</v>
      </c>
      <c r="I34" s="123" t="str">
        <v>Input</v>
      </c>
      <c r="J34" s="127">
        <f>(X_Cell_Electricity_Market_AmountPurchasedGreenPower*10^-3)+X_Cell_TotalElegibleVoluntarilySurrenderedRECs</f>
        <v>15</v>
      </c>
    </row>
    <row r="35" spans="1:10" ht="20.100000000000001" customHeight="1" x14ac:dyDescent="0.2">
      <c r="A35" s="5" t="str">
        <f>HYPERLINK("#'10.1.1-2 Solid waste treatment'!A1", "10.1.1.1-2 Solid waste")</f>
        <v>10.1.1.1-2 Solid waste</v>
      </c>
      <c r="D35" s="127" t="str">
        <v>REC_onsite</v>
      </c>
      <c r="E35" s="128" t="str">
        <v>Renewable Energy Certificates issued for electricity produced on-site during the year and consumed by the entity</v>
      </c>
      <c r="F35" s="149"/>
      <c r="G35" s="149"/>
      <c r="H35" s="127" t="str">
        <v>MWh</v>
      </c>
      <c r="I35" s="123" t="str">
        <v>Input</v>
      </c>
      <c r="J35" s="127">
        <f>X_Cell_TotalElegibleRECsForElectricityProducedOnSite</f>
        <v>0</v>
      </c>
    </row>
    <row r="36" spans="1:10" ht="20.100000000000001" customHeight="1" x14ac:dyDescent="0.2">
      <c r="A36" s="116" t="str">
        <f>HYPERLINK("#'14.1.1-2 Purchased electricity'!A1", "14.1.1-2 Purchased electricity")</f>
        <v>14.1.1-2 Purchased electricity</v>
      </c>
      <c r="D36" s="127" t="str">
        <v>EF_RMF2elec</v>
      </c>
      <c r="E36" s="128" t="str">
        <v>Scope 2 residual mix emission factor for electricity</v>
      </c>
      <c r="F36" s="149"/>
      <c r="G36" s="149"/>
      <c r="H36" s="127" t="str">
        <v>kg CO2e/kWh</v>
      </c>
      <c r="I36" s="125" t="str">
        <v>Constant</v>
      </c>
      <c r="J36" s="127" cm="1">
        <f t="array" ref="J36">Table_SourceData_ElectricityEFsMarketBased[Scope 2 EF (kg CO2-e/kWh)]</f>
        <v>0.81</v>
      </c>
    </row>
    <row r="37" spans="1:10" ht="20.100000000000001" customHeight="1" x14ac:dyDescent="0.2">
      <c r="A37" s="5" t="str">
        <f>HYPERLINK("#'15 Scope 3'!A1", "15 Scope 3")</f>
        <v>15 Scope 3</v>
      </c>
      <c r="D37" s="127" t="str">
        <v>i</v>
      </c>
      <c r="E37" s="128" t="str">
        <v>state</v>
      </c>
      <c r="F37" s="149"/>
      <c r="G37" s="129"/>
      <c r="H37" s="127" t="str">
        <v/>
      </c>
      <c r="I37" s="123" t="str">
        <v>Input</v>
      </c>
      <c r="J37" s="127" t="str">
        <f>X_Cell_Site_State</f>
        <v>Western Australia</v>
      </c>
    </row>
    <row r="38" spans="1:10" ht="20.100000000000001" customHeight="1" x14ac:dyDescent="0.2">
      <c r="A38" s="5" t="str">
        <f>HYPERLINK("#'Calcs - Manure sent off-site'!A1", "Calcs - Manure sent off-site")</f>
        <v>Calcs - Manure sent off-site</v>
      </c>
    </row>
    <row r="39" spans="1:10" ht="20.100000000000001" customHeight="1" x14ac:dyDescent="0.2">
      <c r="A39" s="5" t="str">
        <f>HYPERLINK("#'5.1.1.1-2 Inorganic fert N2O'!A1", "5.1.1.1-2 Inorganic fert N2O")</f>
        <v>5.1.1.1-2 Inorganic fert N2O</v>
      </c>
      <c r="D39" s="84" t="s">
        <v>563</v>
      </c>
      <c r="E39" s="85" cm="1">
        <f t="array" ref="E39">Electricity_Equations.VEERG_14_1_2__1_MarketBasedScopeElectricityEmissionsVariation(J31,J32,IF(ISNUMBER(J33), J33, 0),J34,J35,J36)</f>
        <v>9.7200000000000006</v>
      </c>
      <c r="F39" s="94" t="str">
        <f>E29</f>
        <v>t CO2e</v>
      </c>
    </row>
    <row r="40" spans="1:10" ht="20.100000000000001" customHeight="1" x14ac:dyDescent="0.2">
      <c r="A40" s="5" t="str">
        <f>HYPERLINK("#'5.1.1.3-4 Inorganic fert CO2'!A1", "5.1.1.3-4 Inorganic fert CO2")</f>
        <v>5.1.1.3-4 Inorganic fert CO2</v>
      </c>
      <c r="H40" s="1" t="s">
        <v>556</v>
      </c>
    </row>
    <row r="41" spans="1:10" ht="20.100000000000001" customHeight="1" x14ac:dyDescent="0.2">
      <c r="A41" s="5" t="str">
        <f>HYPERLINK("#'5.2.1.1-2 Organic Fert N2O'!A1", "5.2.1.1-2 Organic Fert N2O")</f>
        <v>5.2.1.1-2 Organic Fert N2O</v>
      </c>
    </row>
    <row r="42" spans="1:10" ht="20.100000000000001" customHeight="1" x14ac:dyDescent="0.2">
      <c r="A42" s="5" t="str">
        <f>HYPERLINK("#'5.3.1.1-2 Lime CO2'!A1", "5.3.1.1-2 Lime CO2")</f>
        <v>5.3.1.1-2 Lime CO2</v>
      </c>
    </row>
    <row r="43" spans="1:10" ht="20.100000000000001" customHeight="1" x14ac:dyDescent="0.2">
      <c r="A43" s="5" t="str">
        <f>HYPERLINK("#'5.4.1.1-4 Atmos deposition'!A1", "5.4.1.1-4 Atmos deposition")</f>
        <v>5.4.1.1-4 Atmos deposition</v>
      </c>
    </row>
    <row r="44" spans="1:10" ht="20.100000000000001" customHeight="1" x14ac:dyDescent="0.2">
      <c r="A44" s="5" t="str">
        <f>HYPERLINK("#'5.5.1.1-2 Leaching and runoff'!A1", "5.5.1.1-2 Leaching and runoff")</f>
        <v>5.5.1.1-2 Leaching and runoff</v>
      </c>
      <c r="E44" s="145"/>
    </row>
    <row r="47" spans="1:10" ht="20.100000000000001" customHeight="1" x14ac:dyDescent="0.2">
      <c r="A47" s="79" t="s">
        <v>1</v>
      </c>
    </row>
    <row r="48" spans="1:10"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12A021C8-B8EB-4C33-AC02-C739DF06348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BE3D4-9DAD-4E7F-A067-7B960170CA22}">
  <sheetPr>
    <tabColor theme="9" tint="-0.249977111117893"/>
  </sheetPr>
  <dimension ref="A1:AO65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1017</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
      <c r="D6" s="17" t="str" cm="1">
        <f t="array" ref="D6">Scope3_Equations.VEERG_15_1_1_1__1_EmissionsFromPurchasedLivestock_Source()</f>
        <v>VEERG 2026: 15.1.1.1, Equation (1)</v>
      </c>
    </row>
    <row r="7" spans="1:41" ht="20.100000000000001" customHeight="1" x14ac:dyDescent="0.2">
      <c r="D7" s="110" t="s">
        <v>321</v>
      </c>
      <c r="E7" s="110" t="str" cm="1">
        <f t="array" aca="1" ref="E7" ca="1">Common_InputFunctions.Utility_DisplayFunctionName(J23)</f>
        <v>=Scope3_Equations.VEERG_15_1_1_1__1_EmissionsFromPurchasedLivestock</v>
      </c>
    </row>
    <row r="8" spans="1:41" ht="20.100000000000001" customHeight="1" x14ac:dyDescent="0.2">
      <c r="A8" s="7" t="s">
        <v>0</v>
      </c>
    </row>
    <row r="9" spans="1:41" ht="20.100000000000001" customHeight="1" x14ac:dyDescent="0.2">
      <c r="A9" s="5" t="str">
        <f>HYPERLINK("#'Input - Enterprise'!A1", "Enterprise")</f>
        <v>Enterprise</v>
      </c>
      <c r="H9" s="110"/>
    </row>
    <row r="10" spans="1:41" ht="20.100000000000001" customHeight="1" x14ac:dyDescent="0.2">
      <c r="A10" s="5" t="str">
        <f>HYPERLINK("#'Input - Site'!A1", "Site")</f>
        <v>Site</v>
      </c>
      <c r="D10" s="75" t="s">
        <v>322</v>
      </c>
      <c r="E10" s="1" t="str" cm="1">
        <f t="array" ref="E10">Scope3_Equations.VEERG_15_1_1_1__1_EmissionsFromPurchasedLivestock_Variable()</f>
        <v>E</v>
      </c>
    </row>
    <row r="11" spans="1:41" ht="20.100000000000001" customHeight="1" x14ac:dyDescent="0.2">
      <c r="A11" s="5" t="str">
        <f>HYPERLINK("#'Input - Swine'!A1", "Swine")</f>
        <v>Swine</v>
      </c>
      <c r="D11" s="75" t="s">
        <v>118</v>
      </c>
      <c r="E11" s="9" t="str" cm="1">
        <f t="array" ref="E11">Scope3_Equations.VEERG_15_1_1_1__1_EmissionsFromPurchasedLivestock_Unit()</f>
        <v>t CO2e</v>
      </c>
    </row>
    <row r="12" spans="1:41" ht="20.100000000000001" customHeight="1" x14ac:dyDescent="0.2">
      <c r="A12" s="5" t="str">
        <f>HYPERLINK("#'Input - Livestock sales'!A1", "Livestock sales")</f>
        <v>Livestock sales</v>
      </c>
    </row>
    <row r="13" spans="1:41" ht="20.100000000000001" customHeight="1" x14ac:dyDescent="0.2">
      <c r="A13" s="5" t="str">
        <f>HYPERLINK("#'Input - Pig purchases'!A1", "Pig purchases")</f>
        <v>Pig purchases</v>
      </c>
      <c r="D13" s="127" t="str" cm="1">
        <f t="array" ref="D13:E17">_xlfn.CHOOSECOLS(Scope3_Equations.VEERG_15_1_1_1__1_EmissionsFromPurchasedLivestock_Arguments(),1,2)</f>
        <v>N_co</v>
      </c>
      <c r="E13" s="128" t="str">
        <v>number of animals purchased in livestock type c from origin o</v>
      </c>
      <c r="F13" s="129"/>
      <c r="G13" s="127" t="str" cm="1">
        <f t="array" ref="G13:H17">_xlfn.CHOOSECOLS(Scope3_Equations.VEERG_15_1_1_1__1_EmissionsFromPurchasedLivestock_Arguments(),3,4)</f>
        <v>head</v>
      </c>
      <c r="H13" s="253" t="str">
        <v>Input</v>
      </c>
    </row>
    <row r="14" spans="1:41" ht="20.100000000000001" customHeight="1" x14ac:dyDescent="0.2">
      <c r="A14" s="5" t="str">
        <f>HYPERLINK("#'Input - Fuel'!A1", "Fuel")</f>
        <v>Fuel</v>
      </c>
      <c r="D14" s="127" t="str">
        <v>W_co</v>
      </c>
      <c r="E14" s="128" t="str">
        <v>average liveweight of purchased livestock at point of purchase</v>
      </c>
      <c r="F14" s="129"/>
      <c r="G14" s="127" t="str">
        <v>kg/head</v>
      </c>
      <c r="H14" s="253" t="str">
        <v>Input</v>
      </c>
    </row>
    <row r="15" spans="1:41" ht="20.100000000000001" customHeight="1" x14ac:dyDescent="0.2">
      <c r="A15" s="5" t="str">
        <f>HYPERLINK("#'Input - Electricity'!A1", "Electricity")</f>
        <v>Electricity</v>
      </c>
      <c r="D15" s="127" t="str">
        <v>EF_co</v>
      </c>
      <c r="E15" s="128" t="str">
        <v>emission factor per livestock type and origin</v>
      </c>
      <c r="F15" s="129"/>
      <c r="G15" s="127" t="str">
        <v>kg CO2e/kg</v>
      </c>
      <c r="H15" s="125" t="str">
        <v>Constant</v>
      </c>
    </row>
    <row r="16" spans="1:41" ht="20.100000000000001" customHeight="1" x14ac:dyDescent="0.2">
      <c r="A16" s="5" t="str">
        <f>HYPERLINK("#'Input - Common farm inputs'!A1", "Common farm inputs")</f>
        <v>Common farm inputs</v>
      </c>
      <c r="D16" s="127" t="str">
        <v>c</v>
      </c>
      <c r="E16" s="128" t="str">
        <v>livestock type</v>
      </c>
      <c r="F16" s="129"/>
      <c r="G16" s="127" t="str">
        <v/>
      </c>
      <c r="H16" s="253" t="str">
        <v>Input</v>
      </c>
    </row>
    <row r="17" spans="1:16" ht="20.100000000000001" customHeight="1" x14ac:dyDescent="0.2">
      <c r="A17" s="5" t="str">
        <f>HYPERLINK("#'Input - Livestock farm Inputs'!A1", "Livestock farm Inputs")</f>
        <v>Livestock farm Inputs</v>
      </c>
      <c r="D17" s="127" t="str">
        <v>o</v>
      </c>
      <c r="E17" s="128" t="str">
        <v>origin</v>
      </c>
      <c r="F17" s="129"/>
      <c r="G17" s="127" t="str">
        <v/>
      </c>
      <c r="H17" s="253" t="str">
        <v>Input</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5" t="s">
        <v>1018</v>
      </c>
      <c r="E19" s="37"/>
      <c r="F19" s="38"/>
    </row>
    <row r="20" spans="1:16" ht="20.100000000000001" customHeight="1" x14ac:dyDescent="0.2">
      <c r="A20" s="5" t="str">
        <f>HYPERLINK("#'Input - Manure sent off-site'!A1", "Manure sent off-site")</f>
        <v>Manure sent off-site</v>
      </c>
    </row>
    <row r="21" spans="1:16" ht="20.100000000000001" customHeight="1" x14ac:dyDescent="0.2">
      <c r="A21" s="5" t="str">
        <f>HYPERLINK("#'Input - Data quality'!A1", "Data quality")</f>
        <v>Data quality</v>
      </c>
      <c r="D21" s="248" t="s">
        <v>1019</v>
      </c>
    </row>
    <row r="22" spans="1:16" ht="20.100000000000001" customHeight="1" x14ac:dyDescent="0.2">
      <c r="A22" s="5" t="str">
        <f>HYPERLINK("#'Input - Fert Prod System'!A1", "Fert Prod System")</f>
        <v>Fert Prod System</v>
      </c>
      <c r="D22" s="78" t="s">
        <v>1020</v>
      </c>
      <c r="E22" s="254" t="s">
        <v>1021</v>
      </c>
      <c r="F22" s="254" t="s">
        <v>1022</v>
      </c>
      <c r="G22" s="254" t="s">
        <v>1023</v>
      </c>
      <c r="H22" s="254" t="s">
        <v>1024</v>
      </c>
      <c r="I22" s="119" t="s">
        <v>1025</v>
      </c>
      <c r="J22" s="119" t="s">
        <v>1026</v>
      </c>
      <c r="K22" s="254" t="s">
        <v>1027</v>
      </c>
      <c r="L22" s="78" t="s">
        <v>1028</v>
      </c>
      <c r="M22" s="119" t="s">
        <v>1029</v>
      </c>
      <c r="N22" s="78" t="s">
        <v>1030</v>
      </c>
      <c r="O22" s="78" t="s">
        <v>1031</v>
      </c>
      <c r="P22" s="78" t="s">
        <v>1032</v>
      </c>
    </row>
    <row r="23" spans="1:16" ht="20.100000000000001" customHeight="1" x14ac:dyDescent="0.2">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5" cm="1">
        <f t="array" ref="J23">Scope3_Equations.VEERG_15_1_1_1__1_EmissionsFromPurchasedLivestock(G23,H23,I23)</f>
        <v>0</v>
      </c>
      <c r="K23" s="15"/>
      <c r="L23" s="74">
        <v>20</v>
      </c>
      <c r="M23" s="255" cm="1">
        <f t="array" ref="M23">Scope3_Equations.VEERG_15_1_1_1__1_EmissionsFromPurchasedLivestock(G23,K23,IF(L23, L23, I23))</f>
        <v>0</v>
      </c>
      <c r="N23" s="33" t="s">
        <v>1033</v>
      </c>
      <c r="O23" s="13" t="s">
        <v>1034</v>
      </c>
      <c r="P23" t="s">
        <v>1035</v>
      </c>
    </row>
    <row r="24" spans="1:16" ht="20.100000000000001" customHeight="1" x14ac:dyDescent="0.2">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5" cm="1">
        <f t="array" ref="J24">Scope3_Equations.VEERG_15_1_1_1__1_EmissionsFromPurchasedLivestock(G24,H24,I24)</f>
        <v>0</v>
      </c>
      <c r="K24" s="15"/>
      <c r="L24" s="74">
        <v>13</v>
      </c>
      <c r="M24" s="255" cm="1">
        <f t="array" ref="M24">Scope3_Equations.VEERG_15_1_1_1__1_EmissionsFromPurchasedLivestock(G24,K24,IF(L24, L24, I24))</f>
        <v>0</v>
      </c>
      <c r="N24" s="33"/>
      <c r="O24" s="13"/>
      <c r="P24" s="33"/>
    </row>
    <row r="25" spans="1:16" ht="20.100000000000001" customHeight="1" x14ac:dyDescent="0.2">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5" cm="1">
        <f t="array" ref="J25">Scope3_Equations.VEERG_15_1_1_1__1_EmissionsFromPurchasedLivestock(G25,H25,I25)</f>
        <v>0</v>
      </c>
      <c r="K25" s="15"/>
      <c r="L25" s="74"/>
      <c r="M25" s="255" cm="1">
        <f t="array" ref="M25">Scope3_Equations.VEERG_15_1_1_1__1_EmissionsFromPurchasedLivestock(G25,K25,IF(L25, L25, I25))</f>
        <v>0</v>
      </c>
      <c r="N25" s="33"/>
      <c r="O25" s="13"/>
      <c r="P25" s="33"/>
    </row>
    <row r="26" spans="1:16" ht="20.100000000000001" customHeight="1" x14ac:dyDescent="0.2">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5" cm="1">
        <f t="array" ref="J26">Scope3_Equations.VEERG_15_1_1_1__1_EmissionsFromPurchasedLivestock(G26,H26,I26)</f>
        <v>0</v>
      </c>
      <c r="K26" s="15"/>
      <c r="L26" s="74"/>
      <c r="M26" s="255" cm="1">
        <f t="array" ref="M26">Scope3_Equations.VEERG_15_1_1_1__1_EmissionsFromPurchasedLivestock(G26,K26,IF(L26, L26, I26))</f>
        <v>0</v>
      </c>
      <c r="N26" s="33"/>
      <c r="O26" s="13"/>
      <c r="P26" s="33"/>
    </row>
    <row r="27" spans="1:16" ht="20.100000000000001" customHeight="1" x14ac:dyDescent="0.2">
      <c r="A27" s="5" t="str">
        <f>HYPERLINK("#'3.5.1.1-2 Enteric Methane'!A1", "3.5.1.1-2 Enteric Methane")</f>
        <v>3.5.1.1-2 Enteric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5" cm="1">
        <f t="array" ref="J27">Scope3_Equations.VEERG_15_1_1_1__1_EmissionsFromPurchasedLivestock(G27,H27,I27)</f>
        <v>0</v>
      </c>
      <c r="K27" s="15"/>
      <c r="L27" s="74"/>
      <c r="M27" s="255" cm="1">
        <f t="array" ref="M27">Scope3_Equations.VEERG_15_1_1_1__1_EmissionsFromPurchasedLivestock(G27,K27,IF(L27, L27, I27))</f>
        <v>0</v>
      </c>
      <c r="N27" s="33"/>
      <c r="O27" s="13"/>
      <c r="P27" s="33"/>
    </row>
    <row r="28" spans="1:16" ht="20.100000000000001" customHeight="1" x14ac:dyDescent="0.2">
      <c r="A28" s="5" t="str">
        <f>HYPERLINK("#'4.5.1.1-2 Methane'!A1", "4.5.1.1-2 Manure Methane")</f>
        <v>4.5.1.1-2 Manure Methane</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5" cm="1">
        <f t="array" ref="J28">Scope3_Equations.VEERG_15_1_1_1__1_EmissionsFromPurchasedLivestock(G28,H28,I28)</f>
        <v>0</v>
      </c>
      <c r="K28" s="15"/>
      <c r="L28" s="74"/>
      <c r="M28" s="255" cm="1">
        <f t="array" ref="M28">Scope3_Equations.VEERG_15_1_1_1__1_EmissionsFromPurchasedLivestock(G28,K28,IF(L28, L28, I28))</f>
        <v>0</v>
      </c>
      <c r="N28" s="33"/>
      <c r="O28" s="13"/>
      <c r="P28" s="33"/>
    </row>
    <row r="29" spans="1:16" ht="20.100000000000001" customHeight="1" x14ac:dyDescent="0.2">
      <c r="A29" s="5" t="str">
        <f>HYPERLINK("#'4.5.1.3-4 Direct N2O'!A1", "4.5.1.3-4 Manure Direct N2O")</f>
        <v>4.5.1.3-4 Manure Direct N2O</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5" cm="1">
        <f t="array" ref="J29">Scope3_Equations.VEERG_15_1_1_1__1_EmissionsFromPurchasedLivestock(G29,H29,I29)</f>
        <v>0</v>
      </c>
      <c r="K29" s="15"/>
      <c r="L29" s="74"/>
      <c r="M29" s="255" cm="1">
        <f t="array" ref="M29">Scope3_Equations.VEERG_15_1_1_1__1_EmissionsFromPurchasedLivestock(G29,K29,IF(L29, L29, I29))</f>
        <v>0</v>
      </c>
      <c r="N29" s="33"/>
      <c r="O29" s="13"/>
      <c r="P29" s="33"/>
    </row>
    <row r="30" spans="1:16" ht="20.100000000000001" customHeight="1" x14ac:dyDescent="0.2">
      <c r="A30" s="5" t="str">
        <f>HYPERLINK("#'4.5.1.5-6 Atmos Dep'!A1", "4.5.1.5-6 Manure Atmos Dep")</f>
        <v>4.5.1.5-6 Manure Atmos Dep</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5" cm="1">
        <f t="array" ref="J30">Scope3_Equations.VEERG_15_1_1_1__1_EmissionsFromPurchasedLivestock(G30,H30,I30)</f>
        <v>0</v>
      </c>
      <c r="K30" s="15"/>
      <c r="L30" s="74"/>
      <c r="M30" s="255" cm="1">
        <f t="array" ref="M30">Scope3_Equations.VEERG_15_1_1_1__1_EmissionsFromPurchasedLivestock(G30,K30,IF(L30, L30, I30))</f>
        <v>0</v>
      </c>
      <c r="N30" s="33"/>
      <c r="O30" s="13"/>
      <c r="P30" s="33"/>
    </row>
    <row r="31" spans="1:16" ht="20.100000000000001" customHeight="1" x14ac:dyDescent="0.2">
      <c r="A31" s="5" t="str">
        <f>HYPERLINK("#'4.5.1.7-8 Leaching and runoff'!A1", "4.5.1.7-8 Manure Leaching and runoff")</f>
        <v>4.5.1.7-8 Manure Leaching and runoff</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5" cm="1">
        <f t="array" ref="J31">Scope3_Equations.VEERG_15_1_1_1__1_EmissionsFromPurchasedLivestock(G31,H31,I31)</f>
        <v>0</v>
      </c>
      <c r="K31" s="15"/>
      <c r="L31" s="74"/>
      <c r="M31" s="255" cm="1">
        <f t="array" ref="M31">Scope3_Equations.VEERG_15_1_1_1__1_EmissionsFromPurchasedLivestock(G31,K31,IF(L31, L31, I31))</f>
        <v>0</v>
      </c>
      <c r="N31" s="33"/>
      <c r="O31" s="13"/>
      <c r="P31" s="33"/>
    </row>
    <row r="32" spans="1:16" ht="20.100000000000001" customHeight="1" x14ac:dyDescent="0.2">
      <c r="A32" s="5" t="str">
        <f>HYPERLINK("#'4.5.1.9 Manure applied to soils'!A1", "4.5.1.9 Manure applied to soils")</f>
        <v>4.5.1.9 Manure applied to soils</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5" cm="1">
        <f t="array" ref="J32">Scope3_Equations.VEERG_15_1_1_1__1_EmissionsFromPurchasedLivestock(G32,H32,I32)</f>
        <v>0</v>
      </c>
      <c r="K32" s="15"/>
      <c r="L32" s="74"/>
      <c r="M32" s="255" cm="1">
        <f t="array" ref="M32">Scope3_Equations.VEERG_15_1_1_1__1_EmissionsFromPurchasedLivestock(G32,K32,IF(L32, L32, I32))</f>
        <v>0</v>
      </c>
      <c r="N32" s="33"/>
      <c r="O32" s="13"/>
      <c r="P32" s="33"/>
    </row>
    <row r="33" spans="1:13" ht="20.100000000000001" customHeight="1" x14ac:dyDescent="0.2">
      <c r="A33" s="5" t="str">
        <f>HYPERLINK("#'8.1.1.1-2 Transport fuel'!A1", "8.1.1.1-2 Transport fuel")</f>
        <v>8.1.1.1-2 Transport fuel</v>
      </c>
    </row>
    <row r="34" spans="1:13" ht="20.100000000000001" customHeight="1" x14ac:dyDescent="0.2">
      <c r="A34" s="5" t="str">
        <f>HYPERLINK("#'8.2.1.1-2 Stationary fuel'!A1", "8.2.1.1-2 Stationary fuel")</f>
        <v>8.2.1.1-2 Stationary fuel</v>
      </c>
      <c r="D34" s="87" t="s">
        <v>1036</v>
      </c>
      <c r="E34" s="82">
        <f>SUM(J23:J32)</f>
        <v>0</v>
      </c>
      <c r="F34" s="88" t="str">
        <f>$E$11</f>
        <v>t CO2e</v>
      </c>
    </row>
    <row r="35" spans="1:13" ht="20.100000000000001" customHeight="1" x14ac:dyDescent="0.2">
      <c r="A35" s="5" t="str">
        <f>HYPERLINK("#'10.1.1-2 Solid waste treatment'!A1", "10.1.1.1-2 Solid waste")</f>
        <v>10.1.1.1-2 Solid waste</v>
      </c>
      <c r="D35" s="87" t="s">
        <v>1037</v>
      </c>
      <c r="E35" s="82">
        <f>SUM(M23:M32)</f>
        <v>0</v>
      </c>
      <c r="F35" s="88" t="str">
        <f>$E$11</f>
        <v>t CO2e</v>
      </c>
    </row>
    <row r="36" spans="1:13" ht="20.100000000000001" customHeight="1" x14ac:dyDescent="0.2">
      <c r="A36" s="5" t="str">
        <f>HYPERLINK("#'14.1.1-2 Purchased electricity'!A1", "14.1.1-2 Purchased electricity")</f>
        <v>14.1.1-2 Purchased electricity</v>
      </c>
    </row>
    <row r="37" spans="1:13" ht="20.100000000000001" customHeight="1" x14ac:dyDescent="0.2">
      <c r="A37" s="116" t="str">
        <f>HYPERLINK("#'15 Scope 3'!A1", "15 Scope 3")</f>
        <v>15 Scope 3</v>
      </c>
    </row>
    <row r="38" spans="1:13" ht="20.100000000000001" customHeight="1" x14ac:dyDescent="0.2">
      <c r="A38" s="5" t="str">
        <f>HYPERLINK("#'Calcs - Manure sent off-site'!A1", "Calcs - Manure sent off-site")</f>
        <v>Calcs - Manure sent off-site</v>
      </c>
      <c r="D38" s="248" t="s">
        <v>1038</v>
      </c>
    </row>
    <row r="39" spans="1:13" ht="20.100000000000001" customHeight="1" x14ac:dyDescent="0.2">
      <c r="A39" s="5" t="str">
        <f>HYPERLINK("#'5.1.1.1-2 Inorganic fert N2O'!A1", "5.1.1.1-2 Inorganic fert N2O")</f>
        <v>5.1.1.1-2 Inorganic fert N2O</v>
      </c>
      <c r="D39" s="127" t="s">
        <v>1039</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HYPERLINK("#'5.1.1.3-4 Inorganic fert CO2'!A1", "5.1.1.3-4 Inorganic fert CO2")</f>
        <v>5.1.1.3-4 Inorganic fert CO2</v>
      </c>
    </row>
    <row r="41" spans="1:13" ht="20.100000000000001" customHeight="1" x14ac:dyDescent="0.2">
      <c r="A41" s="5" t="str">
        <f>HYPERLINK("#'5.2.1.1-2 Organic Fert N2O'!A1", "5.2.1.1-2 Organic Fert N2O")</f>
        <v>5.2.1.1-2 Organic Fert N2O</v>
      </c>
      <c r="D41" s="78" t="s">
        <v>1020</v>
      </c>
      <c r="E41" s="254" t="s">
        <v>1023</v>
      </c>
      <c r="F41" s="254" t="s">
        <v>1024</v>
      </c>
      <c r="G41" s="119" t="s">
        <v>1026</v>
      </c>
      <c r="H41" s="254" t="s">
        <v>1027</v>
      </c>
      <c r="I41" s="78" t="s">
        <v>1028</v>
      </c>
      <c r="J41" s="119" t="s">
        <v>1029</v>
      </c>
      <c r="K41" s="78" t="s">
        <v>1030</v>
      </c>
      <c r="L41" s="78" t="s">
        <v>1031</v>
      </c>
      <c r="M41" s="78" t="s">
        <v>1032</v>
      </c>
    </row>
    <row r="42" spans="1:13" ht="20.100000000000001" customHeight="1" x14ac:dyDescent="0.2">
      <c r="A42" s="5" t="str">
        <f>HYPERLINK("#'5.3.1.1-2 Lime CO2'!A1", "5.3.1.1-2 Lime CO2")</f>
        <v>5.3.1.1-2 Lime CO2</v>
      </c>
      <c r="D42" s="15"/>
      <c r="E42" s="15"/>
      <c r="F42" s="15"/>
      <c r="G42" s="255" cm="1">
        <f t="array" ref="G42">Scope3_Equations.VEERG_15_1_1_1__1_EmissionsFromPurchasedLivestock(E42,F42,$E$39)</f>
        <v>0</v>
      </c>
      <c r="H42" s="15"/>
      <c r="I42" s="74">
        <v>4</v>
      </c>
      <c r="J42" s="255" cm="1">
        <f t="array" ref="J42">Scope3_Equations.VEERG_15_1_1_1__1_EmissionsFromPurchasedLivestock(E42,H42,IF(I42,I42,$E$39))</f>
        <v>0</v>
      </c>
      <c r="K42" s="33" t="s">
        <v>1033</v>
      </c>
      <c r="L42" s="13" t="s">
        <v>1034</v>
      </c>
      <c r="M42" t="s">
        <v>1035</v>
      </c>
    </row>
    <row r="43" spans="1:13" ht="20.100000000000001" customHeight="1" x14ac:dyDescent="0.2">
      <c r="A43" s="5" t="str">
        <f>HYPERLINK("#'5.4.1.1-4 Atmos deposition'!A1", "5.4.1.1-4 Atmos deposition")</f>
        <v>5.4.1.1-4 Atmos deposition</v>
      </c>
      <c r="D43" s="15"/>
      <c r="E43" s="15"/>
      <c r="F43" s="15"/>
      <c r="G43" s="255" cm="1">
        <f t="array" ref="G43">Scope3_Equations.VEERG_15_1_1_1__1_EmissionsFromPurchasedLivestock(E43,F43,$E$39)</f>
        <v>0</v>
      </c>
      <c r="H43" s="15"/>
      <c r="I43" s="74"/>
      <c r="J43" s="255" cm="1">
        <f t="array" ref="J43">Scope3_Equations.VEERG_15_1_1_1__1_EmissionsFromPurchasedLivestock(E43,H43,IF(I43,I43,$E$39))</f>
        <v>0</v>
      </c>
      <c r="K43" s="33"/>
      <c r="L43" s="13"/>
      <c r="M43" s="33"/>
    </row>
    <row r="44" spans="1:13" ht="20.100000000000001" customHeight="1" x14ac:dyDescent="0.2">
      <c r="A44" s="5" t="str">
        <f>HYPERLINK("#'5.5.1.1-2 Leaching and runoff'!A1", "5.5.1.1-2 Leaching and runoff")</f>
        <v>5.5.1.1-2 Leaching and runoff</v>
      </c>
      <c r="D44" s="15"/>
      <c r="E44" s="15"/>
      <c r="F44" s="15"/>
      <c r="G44" s="255" cm="1">
        <f t="array" ref="G44">Scope3_Equations.VEERG_15_1_1_1__1_EmissionsFromPurchasedLivestock(E44,F44,$E$39)</f>
        <v>0</v>
      </c>
      <c r="H44" s="15"/>
      <c r="I44" s="74"/>
      <c r="J44" s="255" cm="1">
        <f t="array" ref="J44">Scope3_Equations.VEERG_15_1_1_1__1_EmissionsFromPurchasedLivestock(E44,H44,IF(I44,I44,$E$39))</f>
        <v>0</v>
      </c>
      <c r="K44" s="33"/>
      <c r="L44" s="13"/>
      <c r="M44" s="33"/>
    </row>
    <row r="45" spans="1:13" ht="20.100000000000001" customHeight="1" x14ac:dyDescent="0.2">
      <c r="D45" s="15"/>
      <c r="E45" s="15"/>
      <c r="F45" s="15"/>
      <c r="G45" s="255" cm="1">
        <f t="array" ref="G45">Scope3_Equations.VEERG_15_1_1_1__1_EmissionsFromPurchasedLivestock(E45,F45,$E$39)</f>
        <v>0</v>
      </c>
      <c r="H45" s="15"/>
      <c r="I45" s="74"/>
      <c r="J45" s="255" cm="1">
        <f t="array" ref="J45">Scope3_Equations.VEERG_15_1_1_1__1_EmissionsFromPurchasedLivestock(E45,H45,IF(I45,I45,$E$39))</f>
        <v>0</v>
      </c>
      <c r="K45" s="33"/>
      <c r="L45" s="13"/>
      <c r="M45" s="33"/>
    </row>
    <row r="46" spans="1:13" ht="20.100000000000001" customHeight="1" x14ac:dyDescent="0.2">
      <c r="D46" s="15"/>
      <c r="E46" s="15"/>
      <c r="F46" s="15"/>
      <c r="G46" s="255" cm="1">
        <f t="array" ref="G46">Scope3_Equations.VEERG_15_1_1_1__1_EmissionsFromPurchasedLivestock(E46,F46,$E$39)</f>
        <v>0</v>
      </c>
      <c r="H46" s="15"/>
      <c r="I46" s="74"/>
      <c r="J46" s="255" cm="1">
        <f t="array" ref="J46">Scope3_Equations.VEERG_15_1_1_1__1_EmissionsFromPurchasedLivestock(E46,H46,IF(I46,I46,$E$39))</f>
        <v>0</v>
      </c>
      <c r="K46" s="33"/>
      <c r="L46" s="13"/>
      <c r="M46" s="33"/>
    </row>
    <row r="47" spans="1:13" ht="20.100000000000001" customHeight="1" x14ac:dyDescent="0.2">
      <c r="A47" s="79" t="s">
        <v>1</v>
      </c>
      <c r="D47" s="15"/>
      <c r="E47" s="15"/>
      <c r="F47" s="15"/>
      <c r="G47" s="255" cm="1">
        <f t="array" ref="G47">Scope3_Equations.VEERG_15_1_1_1__1_EmissionsFromPurchasedLivestock(E47,F47,$E$39)</f>
        <v>0</v>
      </c>
      <c r="H47" s="15"/>
      <c r="I47" s="74"/>
      <c r="J47" s="255" cm="1">
        <f t="array" ref="J47">Scope3_Equations.VEERG_15_1_1_1__1_EmissionsFromPurchasedLivestock(E47,H47,IF(I47,I47,$E$39))</f>
        <v>0</v>
      </c>
      <c r="K47" s="33"/>
      <c r="L47" s="13"/>
      <c r="M47" s="33"/>
    </row>
    <row r="48" spans="1:13" ht="20.100000000000001" customHeight="1" x14ac:dyDescent="0.2">
      <c r="A48" s="5" t="str">
        <f>HYPERLINK("#'Constants - Swine'!A1", "Constants - Swine")</f>
        <v>Constants - Swine</v>
      </c>
      <c r="D48" s="15"/>
      <c r="E48" s="15"/>
      <c r="F48" s="15"/>
      <c r="G48" s="255" cm="1">
        <f t="array" ref="G48">Scope3_Equations.VEERG_15_1_1_1__1_EmissionsFromPurchasedLivestock(E48,F48,$E$39)</f>
        <v>0</v>
      </c>
      <c r="H48" s="15"/>
      <c r="I48" s="74"/>
      <c r="J48" s="255" cm="1">
        <f t="array" ref="J48">Scope3_Equations.VEERG_15_1_1_1__1_EmissionsFromPurchasedLivestock(E48,H48,IF(I48,I48,$E$39))</f>
        <v>0</v>
      </c>
      <c r="K48" s="33"/>
      <c r="L48" s="13"/>
      <c r="M48" s="33"/>
    </row>
    <row r="49" spans="1:13" ht="20.100000000000001" customHeight="1" x14ac:dyDescent="0.2">
      <c r="A49" s="5" t="str">
        <f>HYPERLINK("#'Constants - Common livestock'!A1", "Constants - Common Livestock")</f>
        <v>Constants - Common Livestock</v>
      </c>
      <c r="D49" s="15"/>
      <c r="E49" s="15"/>
      <c r="F49" s="15"/>
      <c r="G49" s="255" cm="1">
        <f t="array" ref="G49">Scope3_Equations.VEERG_15_1_1_1__1_EmissionsFromPurchasedLivestock(E49,F49,$E$39)</f>
        <v>0</v>
      </c>
      <c r="H49" s="15"/>
      <c r="I49" s="74"/>
      <c r="J49" s="255" cm="1">
        <f t="array" ref="J49">Scope3_Equations.VEERG_15_1_1_1__1_EmissionsFromPurchasedLivestock(E49,H49,IF(I49,I49,$E$39))</f>
        <v>0</v>
      </c>
      <c r="K49" s="33"/>
      <c r="L49" s="13"/>
      <c r="M49" s="33"/>
    </row>
    <row r="50" spans="1:13" ht="20.100000000000001" customHeight="1" x14ac:dyDescent="0.2">
      <c r="A50" s="5" t="str">
        <f>HYPERLINK("#'Constants - Electricity'!A1", "Constants - Electricity")</f>
        <v>Constants - Electricity</v>
      </c>
      <c r="D50" s="15"/>
      <c r="E50" s="15"/>
      <c r="F50" s="15"/>
      <c r="G50" s="255" cm="1">
        <f t="array" ref="G50">Scope3_Equations.VEERG_15_1_1_1__1_EmissionsFromPurchasedLivestock(E50,F50,$E$39)</f>
        <v>0</v>
      </c>
      <c r="H50" s="15"/>
      <c r="I50" s="74"/>
      <c r="J50" s="255" cm="1">
        <f t="array" ref="J50">Scope3_Equations.VEERG_15_1_1_1__1_EmissionsFromPurchasedLivestock(E50,H50,IF(I50,I50,$E$39))</f>
        <v>0</v>
      </c>
      <c r="K50" s="33"/>
      <c r="L50" s="13"/>
      <c r="M50" s="33"/>
    </row>
    <row r="51" spans="1:13" ht="20.100000000000001" customHeight="1" x14ac:dyDescent="0.2">
      <c r="A51" s="5" t="str">
        <f>HYPERLINK("#'Constants - Fertiliser'!A1", "Constants - Fertiliser")</f>
        <v>Constants - Fertiliser</v>
      </c>
      <c r="D51" s="15"/>
      <c r="E51" s="15"/>
      <c r="F51" s="15"/>
      <c r="G51" s="255" cm="1">
        <f t="array" ref="G51">Scope3_Equations.VEERG_15_1_1_1__1_EmissionsFromPurchasedLivestock(E51,F51,$E$39)</f>
        <v>0</v>
      </c>
      <c r="H51" s="15"/>
      <c r="I51" s="74"/>
      <c r="J51" s="255" cm="1">
        <f t="array" ref="J51">Scope3_Equations.VEERG_15_1_1_1__1_EmissionsFromPurchasedLivestock(E51,H51,IF(I51,I51,$E$39))</f>
        <v>0</v>
      </c>
      <c r="K51" s="33"/>
      <c r="L51" s="13"/>
      <c r="M51" s="33"/>
    </row>
    <row r="52" spans="1:13" ht="20.100000000000001" customHeight="1" x14ac:dyDescent="0.2">
      <c r="A52" s="5" t="str">
        <f>HYPERLINK("#'Constants - Fuel'!A1", "Constants - Fuel")</f>
        <v>Constants - Fuel</v>
      </c>
    </row>
    <row r="53" spans="1:13" ht="20.100000000000001" customHeight="1" x14ac:dyDescent="0.2">
      <c r="A53" s="5" t="str">
        <f>HYPERLINK("#'Constants - Scope 3'!A1", "Constants - Scope 3")</f>
        <v>Constants - Scope 3</v>
      </c>
      <c r="D53" s="87" t="s">
        <v>1040</v>
      </c>
      <c r="E53" s="82">
        <f>SUM(G42:G51)</f>
        <v>0</v>
      </c>
      <c r="F53" s="88" t="str">
        <f>$E$11</f>
        <v>t CO2e</v>
      </c>
    </row>
    <row r="54" spans="1:13" ht="20.100000000000001" customHeight="1" x14ac:dyDescent="0.2">
      <c r="A54" s="5" t="str">
        <f>HYPERLINK("#'Constants - Solid Waste'!A1", "Constants - Solid Waste")</f>
        <v>Constants - Solid Waste</v>
      </c>
      <c r="D54" s="87" t="s">
        <v>1041</v>
      </c>
      <c r="E54" s="82">
        <f>SUM(J42:J51)</f>
        <v>0</v>
      </c>
      <c r="F54" s="88" t="str">
        <f>$E$11</f>
        <v>t CO2e</v>
      </c>
    </row>
    <row r="55" spans="1:13" ht="20.100000000000001" customHeight="1" x14ac:dyDescent="0.2">
      <c r="A55" s="5" t="str">
        <f>HYPERLINK("#'Constants - Common'!A1", "Constants - Common")</f>
        <v>Constants - Common</v>
      </c>
    </row>
    <row r="56" spans="1:13" ht="20.100000000000001" customHeight="1" x14ac:dyDescent="0.2">
      <c r="A56" s="5" t="str">
        <f>HYPERLINK("#'Acknowledgements'!A1", "Acknowledgements")</f>
        <v>Acknowledgements</v>
      </c>
    </row>
    <row r="57" spans="1:13" ht="20.100000000000001" customHeight="1" x14ac:dyDescent="0.2">
      <c r="D57" s="248" t="s">
        <v>1042</v>
      </c>
    </row>
    <row r="58" spans="1:13" ht="20.100000000000001" customHeight="1" x14ac:dyDescent="0.2">
      <c r="D58" s="127" t="s">
        <v>1039</v>
      </c>
      <c r="E58" s="15" cm="1">
        <f t="array" ref="E58">Common_InputFunctions.Utility_LookupValueInTableNumber("Pigs", Table_SourceData_Scope3_Animals[Product],Table_SourceData_Scope3_Animals[Emissions intensity])</f>
        <v>3.38</v>
      </c>
    </row>
    <row r="60" spans="1:13" ht="20.100000000000001" customHeight="1" x14ac:dyDescent="0.2">
      <c r="D60" s="78" t="s">
        <v>1020</v>
      </c>
      <c r="E60" s="254" t="s">
        <v>1023</v>
      </c>
      <c r="F60" s="254" t="s">
        <v>1024</v>
      </c>
      <c r="G60" s="119" t="s">
        <v>1026</v>
      </c>
      <c r="H60" s="254" t="s">
        <v>1027</v>
      </c>
      <c r="I60" s="78" t="s">
        <v>1028</v>
      </c>
      <c r="J60" s="119" t="s">
        <v>1029</v>
      </c>
      <c r="K60" s="78" t="s">
        <v>1030</v>
      </c>
      <c r="L60" s="78" t="s">
        <v>1031</v>
      </c>
      <c r="M60" s="78" t="s">
        <v>1032</v>
      </c>
    </row>
    <row r="61" spans="1:13" ht="20.100000000000001" customHeight="1" x14ac:dyDescent="0.2">
      <c r="D61" s="15" t="str" cm="1">
        <f t="array" ref="D61:D70">IFERROR(INDEX(Table_Input_LivestockPurchases_Pigs[Transaction name], _xlfn.SEQUENCE(10)), "")</f>
        <v>Pigs from Pam</v>
      </c>
      <c r="E61" s="15" cm="1">
        <f t="array" ref="E61:E70">IFERROR(INDEX(Table_Input_LivestockPurchases_Pigs[Quantity (head)], _xlfn.SEQUENCE(10)), 0)</f>
        <v>100</v>
      </c>
      <c r="F61" s="15" cm="1">
        <f t="array" ref="F61:F70">IFERROR(INDEX(Table_Input_LivestockPurchases_Pigs[Liveweight (kg/head) Method 1], _xlfn.SEQUENCE(10)), 0)</f>
        <v>188</v>
      </c>
      <c r="G61" s="255" cm="1">
        <f t="array" ref="G61">Scope3_Equations.VEERG_15_1_1_1__1_EmissionsFromPurchasedLivestock(E61,F61,$E$58)</f>
        <v>63.544000000000004</v>
      </c>
      <c r="H61" s="15" cm="1">
        <f t="array" ref="H61:H70">IFERROR(INDEX(Table_Input_LivestockPurchases_Pigs[Liveweight (kg/head) Method 2], _xlfn.SEQUENCE(10)), 0)</f>
        <v>180</v>
      </c>
      <c r="I61" s="74">
        <v>3.38</v>
      </c>
      <c r="J61" s="255" cm="1">
        <f t="array" ref="J61">Scope3_Equations.VEERG_15_1_1_1__1_EmissionsFromPurchasedLivestock(E61,H61,IF(I61, I61,$E$58))</f>
        <v>60.84</v>
      </c>
      <c r="K61" s="33"/>
      <c r="L61" s="13"/>
      <c r="M61"/>
    </row>
    <row r="62" spans="1:13" ht="20.100000000000001" customHeight="1" x14ac:dyDescent="0.2">
      <c r="D62" s="15" t="str">
        <v>Swine from Samantha</v>
      </c>
      <c r="E62" s="15">
        <v>100</v>
      </c>
      <c r="F62" s="15">
        <v>188</v>
      </c>
      <c r="G62" s="255" cm="1">
        <f t="array" ref="G62">Scope3_Equations.VEERG_15_1_1_1__1_EmissionsFromPurchasedLivestock(E62,F62,$E$58)</f>
        <v>63.544000000000004</v>
      </c>
      <c r="H62" s="15">
        <v>38</v>
      </c>
      <c r="I62" s="74">
        <v>3.3</v>
      </c>
      <c r="J62" s="255" cm="1">
        <f t="array" ref="J62">Scope3_Equations.VEERG_15_1_1_1__1_EmissionsFromPurchasedLivestock(E62,H62,IF(I62, I62,$E$58))</f>
        <v>12.540000000000001</v>
      </c>
      <c r="K62" s="33"/>
      <c r="L62" s="13"/>
      <c r="M62" s="33"/>
    </row>
    <row r="63" spans="1:13" ht="20.100000000000001" customHeight="1" x14ac:dyDescent="0.2">
      <c r="D63" s="15">
        <v>0</v>
      </c>
      <c r="E63" s="15">
        <v>0</v>
      </c>
      <c r="F63" s="15">
        <v>0</v>
      </c>
      <c r="G63" s="255" cm="1">
        <f t="array" ref="G63">Scope3_Equations.VEERG_15_1_1_1__1_EmissionsFromPurchasedLivestock(E63,F63,$E$58)</f>
        <v>0</v>
      </c>
      <c r="H63" s="15">
        <v>0</v>
      </c>
      <c r="I63" s="74"/>
      <c r="J63" s="255" cm="1">
        <f t="array" ref="J63">Scope3_Equations.VEERG_15_1_1_1__1_EmissionsFromPurchasedLivestock(E63,H63,IF(I63, I63,$E$58))</f>
        <v>0</v>
      </c>
      <c r="K63" s="33"/>
      <c r="L63" s="13"/>
      <c r="M63" s="33"/>
    </row>
    <row r="64" spans="1:13" ht="20.100000000000001" customHeight="1" x14ac:dyDescent="0.2">
      <c r="D64" s="15">
        <v>0</v>
      </c>
      <c r="E64" s="15">
        <v>0</v>
      </c>
      <c r="F64" s="15">
        <v>0</v>
      </c>
      <c r="G64" s="255" cm="1">
        <f t="array" ref="G64">Scope3_Equations.VEERG_15_1_1_1__1_EmissionsFromPurchasedLivestock(E64,F64,$E$58)</f>
        <v>0</v>
      </c>
      <c r="H64" s="15">
        <v>0</v>
      </c>
      <c r="I64" s="74"/>
      <c r="J64" s="255" cm="1">
        <f t="array" ref="J64">Scope3_Equations.VEERG_15_1_1_1__1_EmissionsFromPurchasedLivestock(E64,H64,IF(I64, I64,$E$58))</f>
        <v>0</v>
      </c>
      <c r="K64" s="33"/>
      <c r="L64" s="13"/>
      <c r="M64" s="33"/>
    </row>
    <row r="65" spans="1:13" ht="20.100000000000001" customHeight="1" x14ac:dyDescent="0.2">
      <c r="D65" s="15">
        <v>0</v>
      </c>
      <c r="E65" s="15">
        <v>0</v>
      </c>
      <c r="F65" s="15">
        <v>0</v>
      </c>
      <c r="G65" s="255" cm="1">
        <f t="array" ref="G65">Scope3_Equations.VEERG_15_1_1_1__1_EmissionsFromPurchasedLivestock(E65,F65,$E$58)</f>
        <v>0</v>
      </c>
      <c r="H65" s="15">
        <v>0</v>
      </c>
      <c r="I65" s="74"/>
      <c r="J65" s="255" cm="1">
        <f t="array" ref="J65">Scope3_Equations.VEERG_15_1_1_1__1_EmissionsFromPurchasedLivestock(E65,H65,IF(I65, I65,$E$58))</f>
        <v>0</v>
      </c>
      <c r="K65" s="33"/>
      <c r="L65" s="13"/>
      <c r="M65" s="33"/>
    </row>
    <row r="66" spans="1:13" ht="20.100000000000001" customHeight="1" x14ac:dyDescent="0.2">
      <c r="D66" s="15">
        <v>0</v>
      </c>
      <c r="E66" s="15">
        <v>0</v>
      </c>
      <c r="F66" s="15">
        <v>0</v>
      </c>
      <c r="G66" s="255" cm="1">
        <f t="array" ref="G66">Scope3_Equations.VEERG_15_1_1_1__1_EmissionsFromPurchasedLivestock(E66,F66,$E$58)</f>
        <v>0</v>
      </c>
      <c r="H66" s="15">
        <v>0</v>
      </c>
      <c r="I66" s="74"/>
      <c r="J66" s="255" cm="1">
        <f t="array" ref="J66">Scope3_Equations.VEERG_15_1_1_1__1_EmissionsFromPurchasedLivestock(E66,H66,IF(I66, I66,$E$58))</f>
        <v>0</v>
      </c>
      <c r="K66" s="33"/>
      <c r="L66" s="13"/>
      <c r="M66" s="33"/>
    </row>
    <row r="67" spans="1:13" ht="20.100000000000001" customHeight="1" x14ac:dyDescent="0.2">
      <c r="A67" s="131" t="str">
        <f>HYPERLINK("#A1", "▲ Back to top")</f>
        <v>▲ Back to top</v>
      </c>
      <c r="D67" s="15">
        <v>0</v>
      </c>
      <c r="E67" s="15">
        <v>0</v>
      </c>
      <c r="F67" s="15">
        <v>0</v>
      </c>
      <c r="G67" s="255" cm="1">
        <f t="array" ref="G67">Scope3_Equations.VEERG_15_1_1_1__1_EmissionsFromPurchasedLivestock(E67,F67,$E$58)</f>
        <v>0</v>
      </c>
      <c r="H67" s="15">
        <v>0</v>
      </c>
      <c r="I67" s="74"/>
      <c r="J67" s="255" cm="1">
        <f t="array" ref="J67">Scope3_Equations.VEERG_15_1_1_1__1_EmissionsFromPurchasedLivestock(E67,H67,IF(I67, I67,$E$58))</f>
        <v>0</v>
      </c>
      <c r="K67" s="33"/>
      <c r="L67" s="13"/>
      <c r="M67" s="33"/>
    </row>
    <row r="68" spans="1:13" ht="20.100000000000001" customHeight="1" x14ac:dyDescent="0.2">
      <c r="D68" s="15">
        <v>0</v>
      </c>
      <c r="E68" s="15">
        <v>0</v>
      </c>
      <c r="F68" s="15">
        <v>0</v>
      </c>
      <c r="G68" s="255" cm="1">
        <f t="array" ref="G68">Scope3_Equations.VEERG_15_1_1_1__1_EmissionsFromPurchasedLivestock(E68,F68,$E$58)</f>
        <v>0</v>
      </c>
      <c r="H68" s="15">
        <v>0</v>
      </c>
      <c r="I68" s="74"/>
      <c r="J68" s="255" cm="1">
        <f t="array" ref="J68">Scope3_Equations.VEERG_15_1_1_1__1_EmissionsFromPurchasedLivestock(E68,H68,IF(I68, I68,$E$58))</f>
        <v>0</v>
      </c>
      <c r="K68" s="33"/>
      <c r="L68" s="13"/>
      <c r="M68" s="33"/>
    </row>
    <row r="69" spans="1:13" ht="20.100000000000001" customHeight="1" x14ac:dyDescent="0.2">
      <c r="D69" s="15">
        <v>0</v>
      </c>
      <c r="E69" s="15">
        <v>0</v>
      </c>
      <c r="F69" s="15">
        <v>0</v>
      </c>
      <c r="G69" s="255" cm="1">
        <f t="array" ref="G69">Scope3_Equations.VEERG_15_1_1_1__1_EmissionsFromPurchasedLivestock(E69,F69,$E$58)</f>
        <v>0</v>
      </c>
      <c r="H69" s="15">
        <v>0</v>
      </c>
      <c r="I69" s="74"/>
      <c r="J69" s="255" cm="1">
        <f t="array" ref="J69">Scope3_Equations.VEERG_15_1_1_1__1_EmissionsFromPurchasedLivestock(E69,H69,IF(I69, I69,$E$58))</f>
        <v>0</v>
      </c>
      <c r="K69" s="33"/>
      <c r="L69" s="13"/>
      <c r="M69" s="33"/>
    </row>
    <row r="70" spans="1:13" ht="20.100000000000001" customHeight="1" x14ac:dyDescent="0.2">
      <c r="D70" s="15">
        <v>0</v>
      </c>
      <c r="E70" s="15">
        <v>0</v>
      </c>
      <c r="F70" s="15">
        <v>0</v>
      </c>
      <c r="G70" s="255" cm="1">
        <f t="array" ref="G70">Scope3_Equations.VEERG_15_1_1_1__1_EmissionsFromPurchasedLivestock(E70,F70,$E$58)</f>
        <v>0</v>
      </c>
      <c r="H70" s="15">
        <v>0</v>
      </c>
      <c r="I70" s="74"/>
      <c r="J70" s="255" cm="1">
        <f t="array" ref="J70">Scope3_Equations.VEERG_15_1_1_1__1_EmissionsFromPurchasedLivestock(E70,H70,IF(I70, I70,$E$58))</f>
        <v>0</v>
      </c>
      <c r="K70" s="33"/>
      <c r="L70" s="13"/>
      <c r="M70" s="33"/>
    </row>
    <row r="72" spans="1:13" ht="20.100000000000001" customHeight="1" x14ac:dyDescent="0.2">
      <c r="D72" s="87" t="s">
        <v>1043</v>
      </c>
      <c r="E72" s="82">
        <f>SUM(G61:G70)</f>
        <v>127.08800000000001</v>
      </c>
      <c r="F72" s="88" t="str">
        <f>$E$11</f>
        <v>t CO2e</v>
      </c>
    </row>
    <row r="73" spans="1:13" ht="20.100000000000001" customHeight="1" x14ac:dyDescent="0.2">
      <c r="D73" s="87" t="s">
        <v>1044</v>
      </c>
      <c r="E73" s="82">
        <f>SUM(J61:J70)</f>
        <v>73.38000000000001</v>
      </c>
      <c r="F73" s="88" t="str">
        <f>$E$11</f>
        <v>t CO2e</v>
      </c>
    </row>
    <row r="75" spans="1:13" ht="20.100000000000001" customHeight="1" x14ac:dyDescent="0.2">
      <c r="D75" s="248" t="s">
        <v>1045</v>
      </c>
    </row>
    <row r="76" spans="1:13" ht="20.100000000000001" customHeight="1" x14ac:dyDescent="0.2">
      <c r="D76" s="127" t="s">
        <v>1039</v>
      </c>
      <c r="E76" s="15" cm="1">
        <f t="array" ref="E76">Common_InputFunctions.Utility_LookupValueInTableNumber("Chickens", Table_SourceData_Scope3_Animals[Product],Table_SourceData_Scope3_Animals[Emissions intensity])</f>
        <v>1.36</v>
      </c>
    </row>
    <row r="78" spans="1:13" ht="20.100000000000001" customHeight="1" x14ac:dyDescent="0.2">
      <c r="D78" s="78" t="s">
        <v>1020</v>
      </c>
      <c r="E78" s="254" t="s">
        <v>1023</v>
      </c>
      <c r="F78" s="254" t="s">
        <v>1024</v>
      </c>
      <c r="G78" s="119" t="s">
        <v>1026</v>
      </c>
      <c r="H78" s="254" t="s">
        <v>1027</v>
      </c>
      <c r="I78" s="78" t="s">
        <v>1028</v>
      </c>
      <c r="J78" s="119" t="s">
        <v>1029</v>
      </c>
      <c r="K78" s="78" t="s">
        <v>1030</v>
      </c>
      <c r="L78" s="78" t="s">
        <v>1031</v>
      </c>
      <c r="M78" s="78" t="s">
        <v>1032</v>
      </c>
    </row>
    <row r="79" spans="1:13" ht="20.100000000000001" customHeight="1" x14ac:dyDescent="0.2">
      <c r="D79" s="15"/>
      <c r="E79" s="15"/>
      <c r="F79" s="15"/>
      <c r="G79" s="255" cm="1">
        <f t="array" ref="G79">Scope3_Equations.VEERG_15_1_1_1__1_EmissionsFromPurchasedLivestock(E79,F79,$E$76)</f>
        <v>0</v>
      </c>
      <c r="H79" s="15"/>
      <c r="I79" s="74">
        <v>1.3</v>
      </c>
      <c r="J79" s="255" cm="1">
        <f t="array" ref="J79">Scope3_Equations.VEERG_15_1_1_1__1_EmissionsFromPurchasedLivestock(E79,H79,IF(I79, I79,$E$76))</f>
        <v>0</v>
      </c>
      <c r="K79" s="33"/>
      <c r="L79" s="13"/>
      <c r="M79"/>
    </row>
    <row r="80" spans="1:13" ht="20.100000000000001" customHeight="1" x14ac:dyDescent="0.2">
      <c r="D80" s="15"/>
      <c r="E80" s="15"/>
      <c r="F80" s="15"/>
      <c r="G80" s="255" cm="1">
        <f t="array" ref="G80">Scope3_Equations.VEERG_15_1_1_1__1_EmissionsFromPurchasedLivestock(E80,F80,$E$76)</f>
        <v>0</v>
      </c>
      <c r="H80" s="15"/>
      <c r="I80" s="74"/>
      <c r="J80" s="255" cm="1">
        <f t="array" ref="J80">Scope3_Equations.VEERG_15_1_1_1__1_EmissionsFromPurchasedLivestock(E80,H80,IF(I80, I80,$E$76))</f>
        <v>0</v>
      </c>
      <c r="K80" s="33"/>
      <c r="L80" s="13"/>
      <c r="M80" s="33"/>
    </row>
    <row r="81" spans="4:13" ht="20.100000000000001" customHeight="1" x14ac:dyDescent="0.2">
      <c r="D81" s="15"/>
      <c r="E81" s="15"/>
      <c r="F81" s="15"/>
      <c r="G81" s="255" cm="1">
        <f t="array" ref="G81">Scope3_Equations.VEERG_15_1_1_1__1_EmissionsFromPurchasedLivestock(E81,F81,$E$76)</f>
        <v>0</v>
      </c>
      <c r="H81" s="15"/>
      <c r="I81" s="74"/>
      <c r="J81" s="255" cm="1">
        <f t="array" ref="J81">Scope3_Equations.VEERG_15_1_1_1__1_EmissionsFromPurchasedLivestock(E81,H81,IF(I81, I81,$E$76))</f>
        <v>0</v>
      </c>
      <c r="K81" s="33"/>
      <c r="L81" s="13"/>
      <c r="M81" s="33"/>
    </row>
    <row r="82" spans="4:13" ht="20.100000000000001" customHeight="1" x14ac:dyDescent="0.2">
      <c r="D82" s="15"/>
      <c r="E82" s="15"/>
      <c r="F82" s="15"/>
      <c r="G82" s="255" cm="1">
        <f t="array" ref="G82">Scope3_Equations.VEERG_15_1_1_1__1_EmissionsFromPurchasedLivestock(E82,F82,$E$76)</f>
        <v>0</v>
      </c>
      <c r="H82" s="15"/>
      <c r="I82" s="74"/>
      <c r="J82" s="255" cm="1">
        <f t="array" ref="J82">Scope3_Equations.VEERG_15_1_1_1__1_EmissionsFromPurchasedLivestock(E82,H82,IF(I82, I82,$E$76))</f>
        <v>0</v>
      </c>
      <c r="K82" s="33"/>
      <c r="L82" s="13"/>
      <c r="M82" s="33"/>
    </row>
    <row r="83" spans="4:13" ht="20.100000000000001" customHeight="1" x14ac:dyDescent="0.2">
      <c r="D83" s="15"/>
      <c r="E83" s="15"/>
      <c r="F83" s="15"/>
      <c r="G83" s="255" cm="1">
        <f t="array" ref="G83">Scope3_Equations.VEERG_15_1_1_1__1_EmissionsFromPurchasedLivestock(E83,F83,$E$76)</f>
        <v>0</v>
      </c>
      <c r="H83" s="15"/>
      <c r="I83" s="74"/>
      <c r="J83" s="255" cm="1">
        <f t="array" ref="J83">Scope3_Equations.VEERG_15_1_1_1__1_EmissionsFromPurchasedLivestock(E83,H83,IF(I83, I83,$E$76))</f>
        <v>0</v>
      </c>
      <c r="K83" s="33"/>
      <c r="L83" s="13"/>
      <c r="M83" s="33"/>
    </row>
    <row r="84" spans="4:13" ht="20.100000000000001" customHeight="1" x14ac:dyDescent="0.2">
      <c r="D84" s="15"/>
      <c r="E84" s="15"/>
      <c r="F84" s="15"/>
      <c r="G84" s="255" cm="1">
        <f t="array" ref="G84">Scope3_Equations.VEERG_15_1_1_1__1_EmissionsFromPurchasedLivestock(E84,F84,$E$76)</f>
        <v>0</v>
      </c>
      <c r="H84" s="15"/>
      <c r="I84" s="74"/>
      <c r="J84" s="255" cm="1">
        <f t="array" ref="J84">Scope3_Equations.VEERG_15_1_1_1__1_EmissionsFromPurchasedLivestock(E84,H84,IF(I84, I84,$E$76))</f>
        <v>0</v>
      </c>
      <c r="K84" s="33"/>
      <c r="L84" s="13"/>
      <c r="M84" s="33"/>
    </row>
    <row r="85" spans="4:13" ht="20.100000000000001" customHeight="1" x14ac:dyDescent="0.2">
      <c r="D85" s="15"/>
      <c r="E85" s="15"/>
      <c r="F85" s="15"/>
      <c r="G85" s="255" cm="1">
        <f t="array" ref="G85">Scope3_Equations.VEERG_15_1_1_1__1_EmissionsFromPurchasedLivestock(E85,F85,$E$76)</f>
        <v>0</v>
      </c>
      <c r="H85" s="15"/>
      <c r="I85" s="74"/>
      <c r="J85" s="255" cm="1">
        <f t="array" ref="J85">Scope3_Equations.VEERG_15_1_1_1__1_EmissionsFromPurchasedLivestock(E85,H85,IF(I85, I85,$E$76))</f>
        <v>0</v>
      </c>
      <c r="K85" s="33"/>
      <c r="L85" s="13"/>
      <c r="M85" s="33"/>
    </row>
    <row r="86" spans="4:13" ht="20.100000000000001" customHeight="1" x14ac:dyDescent="0.2">
      <c r="D86" s="15"/>
      <c r="E86" s="15"/>
      <c r="F86" s="15"/>
      <c r="G86" s="255" cm="1">
        <f t="array" ref="G86">Scope3_Equations.VEERG_15_1_1_1__1_EmissionsFromPurchasedLivestock(E86,F86,$E$76)</f>
        <v>0</v>
      </c>
      <c r="H86" s="15"/>
      <c r="I86" s="74"/>
      <c r="J86" s="255" cm="1">
        <f t="array" ref="J86">Scope3_Equations.VEERG_15_1_1_1__1_EmissionsFromPurchasedLivestock(E86,H86,IF(I86, I86,$E$76))</f>
        <v>0</v>
      </c>
      <c r="K86" s="33"/>
      <c r="L86" s="13"/>
      <c r="M86" s="33"/>
    </row>
    <row r="87" spans="4:13" ht="20.100000000000001" customHeight="1" x14ac:dyDescent="0.2">
      <c r="D87" s="15"/>
      <c r="E87" s="15"/>
      <c r="F87" s="15"/>
      <c r="G87" s="255" cm="1">
        <f t="array" ref="G87">Scope3_Equations.VEERG_15_1_1_1__1_EmissionsFromPurchasedLivestock(E87,F87,$E$76)</f>
        <v>0</v>
      </c>
      <c r="H87" s="15"/>
      <c r="I87" s="74"/>
      <c r="J87" s="255" cm="1">
        <f t="array" ref="J87">Scope3_Equations.VEERG_15_1_1_1__1_EmissionsFromPurchasedLivestock(E87,H87,IF(I87, I87,$E$76))</f>
        <v>0</v>
      </c>
      <c r="K87" s="33"/>
      <c r="L87" s="13"/>
      <c r="M87" s="33"/>
    </row>
    <row r="88" spans="4:13" ht="20.100000000000001" customHeight="1" x14ac:dyDescent="0.2">
      <c r="D88" s="15"/>
      <c r="E88" s="15"/>
      <c r="F88" s="15"/>
      <c r="G88" s="255" cm="1">
        <f t="array" ref="G88">Scope3_Equations.VEERG_15_1_1_1__1_EmissionsFromPurchasedLivestock(E88,F88,$E$76)</f>
        <v>0</v>
      </c>
      <c r="H88" s="15"/>
      <c r="I88" s="74"/>
      <c r="J88" s="255" cm="1">
        <f t="array" ref="J88">Scope3_Equations.VEERG_15_1_1_1__1_EmissionsFromPurchasedLivestock(E88,H88,IF(I88, I88,$E$76))</f>
        <v>0</v>
      </c>
      <c r="K88" s="33"/>
      <c r="L88" s="13"/>
      <c r="M88" s="33"/>
    </row>
    <row r="90" spans="4:13" ht="20.100000000000001" customHeight="1" x14ac:dyDescent="0.2">
      <c r="D90" s="87" t="s">
        <v>1046</v>
      </c>
      <c r="E90" s="82">
        <f>SUM(G79:G88)</f>
        <v>0</v>
      </c>
      <c r="F90" s="88" t="str">
        <f>$E$11</f>
        <v>t CO2e</v>
      </c>
    </row>
    <row r="91" spans="4:13" ht="20.100000000000001" customHeight="1" x14ac:dyDescent="0.2">
      <c r="D91" s="87" t="s">
        <v>1047</v>
      </c>
      <c r="E91" s="82">
        <f>SUM(J79:J88)</f>
        <v>0</v>
      </c>
      <c r="F91" s="88" t="str">
        <f>$E$11</f>
        <v>t CO2e</v>
      </c>
    </row>
    <row r="93" spans="4:13" ht="20.100000000000001" customHeight="1" x14ac:dyDescent="0.2">
      <c r="D93" s="84" t="s">
        <v>1026</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127.08800000000001</v>
      </c>
      <c r="F93" s="94" t="str">
        <f>$E$11</f>
        <v>t CO2e</v>
      </c>
    </row>
    <row r="94" spans="4:13" ht="20.100000000000001" customHeight="1" x14ac:dyDescent="0.2">
      <c r="D94" s="84" t="s">
        <v>1029</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73.38000000000001</v>
      </c>
      <c r="F94" s="94" t="str">
        <f>$E$11</f>
        <v>t CO2e</v>
      </c>
    </row>
    <row r="97" spans="1:41" ht="20.100000000000001" customHeight="1" x14ac:dyDescent="0.2">
      <c r="A97" s="131" t="str">
        <f>HYPERLINK("#A1", "▲ Back to top")</f>
        <v>▲ Back to top</v>
      </c>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100000000000001" customHeight="1" x14ac:dyDescent="0.2">
      <c r="D98" s="2" t="str" cm="1">
        <f t="array" ref="D98">Scope3_Equations.VEERG_15_2_1_1__1_EmissionsFromPurchasedFeed_Title()</f>
        <v>Emissions from purchased feed</v>
      </c>
    </row>
    <row r="99" spans="1:41" ht="20.100000000000001" customHeight="1" x14ac:dyDescent="0.2">
      <c r="D99" s="17" t="str" cm="1">
        <f t="array" ref="D99">Scope3_Equations.VEERG_15_2_1_1__1_EmissionsFromPurchasedFeed_Source()</f>
        <v>VEERG 2026: 15.2.1.1, Equation (1)</v>
      </c>
    </row>
    <row r="100" spans="1:41" ht="20.100000000000001" customHeight="1" x14ac:dyDescent="0.2">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
      <c r="D101" s="110" t="s">
        <v>321</v>
      </c>
      <c r="E101" s="110" t="str" cm="1">
        <f t="array" aca="1" ref="E101" ca="1">Common_InputFunctions.Utility_DisplayFunctionName(G120)</f>
        <v>=Scope3_Equations.VEERG_15_2_1_1__1_EmissionsFromPurchasedFeedVariation</v>
      </c>
      <c r="H101" s="25"/>
    </row>
    <row r="103" spans="1:41" ht="20.100000000000001" customHeight="1" x14ac:dyDescent="0.2">
      <c r="H103" s="110"/>
    </row>
    <row r="104" spans="1:41" ht="20.100000000000001" customHeight="1" x14ac:dyDescent="0.2">
      <c r="D104" s="75" t="s">
        <v>322</v>
      </c>
      <c r="E104" s="1" t="str" cm="1">
        <f t="array" ref="E104">Scope3_Equations.VEERG_15_2_1_1__1_EmissionsFromPurchasedFeed_Variable()</f>
        <v>E</v>
      </c>
    </row>
    <row r="105" spans="1:41" ht="20.100000000000001" customHeight="1" x14ac:dyDescent="0.2">
      <c r="D105" s="75" t="s">
        <v>118</v>
      </c>
      <c r="E105" s="9" t="str" cm="1">
        <f t="array" ref="E105">Scope3_Equations.VEERG_15_2_1_1__1_EmissionsFromPurchasedFeed_Unit()</f>
        <v>t CO2e</v>
      </c>
    </row>
    <row r="107" spans="1:41" ht="20.100000000000001" customHeight="1" x14ac:dyDescent="0.2">
      <c r="D107" s="127" t="str" cm="1">
        <f t="array" ref="D107:E109">_xlfn.CHOOSECOLS(Scope3_Equations.VEERG_15_2_1_1__1_EmissionsFromPurchasedFeed_ArgumentsVariation(),1,2)</f>
        <v>Q_j</v>
      </c>
      <c r="E107" s="128" t="str">
        <v>quantity of feed type j purchased</v>
      </c>
      <c r="F107" s="129"/>
      <c r="G107" s="127" t="str" cm="1">
        <f t="array" ref="G107:H109">_xlfn.CHOOSECOLS(Scope3_Equations.VEERG_15_2_1_1__1_EmissionsFromPurchasedFeed_ArgumentsVariation(),3,4)</f>
        <v>kg</v>
      </c>
      <c r="H107" s="253" t="str">
        <v>Input</v>
      </c>
    </row>
    <row r="108" spans="1:41" ht="20.100000000000001" customHeight="1" x14ac:dyDescent="0.2">
      <c r="D108" s="127" t="str">
        <v>EF_j</v>
      </c>
      <c r="E108" s="128" t="str">
        <v>emission factor of purchased feed</v>
      </c>
      <c r="F108" s="129"/>
      <c r="G108" s="127" t="str">
        <v>kg CO2e/kg</v>
      </c>
      <c r="H108" s="125" t="str">
        <v>Constant</v>
      </c>
    </row>
    <row r="109" spans="1:41" ht="20.100000000000001" customHeight="1" x14ac:dyDescent="0.2">
      <c r="D109" s="127" t="str">
        <v>j</v>
      </c>
      <c r="E109" s="128" t="str">
        <v>feed type</v>
      </c>
      <c r="F109" s="129"/>
      <c r="G109" s="127" t="str">
        <v/>
      </c>
      <c r="H109" s="253" t="str">
        <v>Input</v>
      </c>
    </row>
    <row r="111" spans="1:41" ht="20.100000000000001" customHeight="1" x14ac:dyDescent="0.2">
      <c r="D111" s="248" t="s">
        <v>1048</v>
      </c>
    </row>
    <row r="113" spans="1:28" ht="20.100000000000001" customHeight="1" x14ac:dyDescent="0.2">
      <c r="D113" s="136" t="s">
        <v>1049</v>
      </c>
      <c r="E113" s="44"/>
      <c r="F113" s="136"/>
      <c r="G113" s="43"/>
      <c r="H113" s="44"/>
    </row>
    <row r="114" spans="1:28" ht="20.100000000000001" customHeight="1" x14ac:dyDescent="0.2">
      <c r="D114" s="220" t="s">
        <v>1050</v>
      </c>
      <c r="E114" s="222"/>
      <c r="F114" s="220"/>
      <c r="G114" s="221"/>
      <c r="H114" s="222"/>
    </row>
    <row r="115" spans="1:28" ht="20.100000000000001" customHeight="1" x14ac:dyDescent="0.2">
      <c r="D115" s="45" t="s">
        <v>1051</v>
      </c>
      <c r="E115" s="47"/>
      <c r="F115" s="45"/>
      <c r="G115" s="46"/>
      <c r="H115" s="47"/>
    </row>
    <row r="117" spans="1:28" ht="20.100000000000001" customHeight="1" x14ac:dyDescent="0.2">
      <c r="D117" s="35" t="s">
        <v>1052</v>
      </c>
      <c r="E117" s="37"/>
      <c r="F117" s="38"/>
    </row>
    <row r="119" spans="1:28" ht="20.100000000000001" customHeight="1" x14ac:dyDescent="0.2">
      <c r="D119" s="78" t="s">
        <v>1053</v>
      </c>
      <c r="E119" s="78" t="s">
        <v>1054</v>
      </c>
      <c r="F119" s="119" t="s">
        <v>1055</v>
      </c>
      <c r="G119" s="119" t="s">
        <v>1026</v>
      </c>
      <c r="H119" s="78" t="s">
        <v>1056</v>
      </c>
      <c r="I119" s="119" t="s">
        <v>1029</v>
      </c>
      <c r="J119" s="78" t="s">
        <v>1030</v>
      </c>
      <c r="K119" s="78" t="s">
        <v>1031</v>
      </c>
      <c r="L119" s="78" t="s">
        <v>1032</v>
      </c>
      <c r="M119" s="119" t="s">
        <v>685</v>
      </c>
      <c r="N119" s="119" t="s">
        <v>1057</v>
      </c>
      <c r="O119" s="119" t="s">
        <v>686</v>
      </c>
      <c r="P119" s="119" t="s">
        <v>1058</v>
      </c>
      <c r="Q119" s="119" t="s">
        <v>687</v>
      </c>
      <c r="R119" s="119" t="s">
        <v>1059</v>
      </c>
      <c r="S119" s="119" t="s">
        <v>688</v>
      </c>
      <c r="T119" s="119" t="s">
        <v>1060</v>
      </c>
      <c r="U119" s="119" t="s">
        <v>689</v>
      </c>
      <c r="V119" s="119" t="s">
        <v>1061</v>
      </c>
      <c r="W119" s="119" t="s">
        <v>690</v>
      </c>
      <c r="X119" s="119" t="s">
        <v>1062</v>
      </c>
      <c r="Y119" s="119" t="s">
        <v>691</v>
      </c>
      <c r="Z119" s="119" t="s">
        <v>1063</v>
      </c>
      <c r="AA119" s="119" t="s">
        <v>692</v>
      </c>
      <c r="AB119" s="119" t="s">
        <v>1064</v>
      </c>
    </row>
    <row r="120" spans="1: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5" cm="1">
        <f t="array" ref="G120">Scope3_Equations.VEERG_15_2_1_1__1_EmissionsFromPurchasedFeedVariation(E120,F120)</f>
        <v>0.19527599999999998</v>
      </c>
      <c r="H120" s="74">
        <v>0.04</v>
      </c>
      <c r="I120" s="255" cm="1">
        <f t="array" ref="I120">Scope3_Equations.VEERG_15_2_1_1__1_EmissionsFromPurchasedFeedVariation(E120,IF(H120,H120, F120))</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
      <c r="D121" s="15">
        <v>0</v>
      </c>
      <c r="E121" s="15">
        <v>3456</v>
      </c>
      <c r="F121" s="15">
        <f t="shared" si="0"/>
        <v>4.6000000000000006E-2</v>
      </c>
      <c r="G121" s="255" cm="1">
        <f t="array" ref="G121">Scope3_Equations.VEERG_15_2_1_1__1_EmissionsFromPurchasedFeedVariation(E121,F121)</f>
        <v>0.15897600000000003</v>
      </c>
      <c r="H121" s="74">
        <v>0.03</v>
      </c>
      <c r="I121" s="255"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t="str">
        <v>Hay bales in paddock</v>
      </c>
      <c r="E122" s="15">
        <v>300</v>
      </c>
      <c r="F122" s="15">
        <f t="shared" si="0"/>
        <v>0.27800000000000002</v>
      </c>
      <c r="G122" s="255" cm="1">
        <f t="array" ref="G122">Scope3_Equations.VEERG_15_2_1_1__1_EmissionsFromPurchasedFeedVariation(E122,F122)</f>
        <v>8.3400000000000002E-2</v>
      </c>
      <c r="H122" s="74">
        <v>0.14000000000000001</v>
      </c>
      <c r="I122" s="255"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v>0</v>
      </c>
      <c r="E123" s="15">
        <v>500</v>
      </c>
      <c r="F123" s="15">
        <f t="shared" si="0"/>
        <v>0.34499999999999997</v>
      </c>
      <c r="G123" s="255" cm="1">
        <f t="array" ref="G123">Scope3_Equations.VEERG_15_2_1_1__1_EmissionsFromPurchasedFeedVariation(E123,F123)</f>
        <v>0.17250000000000001</v>
      </c>
      <c r="H123" s="74"/>
      <c r="I123" s="255"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v>0</v>
      </c>
      <c r="E124" s="15">
        <v>0</v>
      </c>
      <c r="F124" s="15">
        <f t="shared" si="0"/>
        <v>0</v>
      </c>
      <c r="G124" s="255" cm="1">
        <f t="array" ref="G124">Scope3_Equations.VEERG_15_2_1_1__1_EmissionsFromPurchasedFeedVariation(E124,F124)</f>
        <v>0</v>
      </c>
      <c r="H124" s="74"/>
      <c r="I124" s="255"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v>0</v>
      </c>
      <c r="E125" s="15">
        <v>0</v>
      </c>
      <c r="F125" s="15">
        <f t="shared" si="0"/>
        <v>0</v>
      </c>
      <c r="G125" s="255" cm="1">
        <f t="array" ref="G125">Scope3_Equations.VEERG_15_2_1_1__1_EmissionsFromPurchasedFeedVariation(E125,F125)</f>
        <v>0</v>
      </c>
      <c r="H125" s="74"/>
      <c r="I125" s="255"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v>0</v>
      </c>
      <c r="E126" s="15">
        <v>0</v>
      </c>
      <c r="F126" s="15">
        <f t="shared" si="0"/>
        <v>0</v>
      </c>
      <c r="G126" s="255" cm="1">
        <f t="array" ref="G126">Scope3_Equations.VEERG_15_2_1_1__1_EmissionsFromPurchasedFeedVariation(E126,F126)</f>
        <v>0</v>
      </c>
      <c r="H126" s="74"/>
      <c r="I126" s="255"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A127" s="131" t="str">
        <f>HYPERLINK("#A1", "▲ Back to top")</f>
        <v>▲ Back to top</v>
      </c>
      <c r="D127" s="15">
        <v>0</v>
      </c>
      <c r="E127" s="15">
        <v>0</v>
      </c>
      <c r="F127" s="15">
        <f t="shared" si="0"/>
        <v>0</v>
      </c>
      <c r="G127" s="255" cm="1">
        <f t="array" ref="G127">Scope3_Equations.VEERG_15_2_1_1__1_EmissionsFromPurchasedFeedVariation(E127,F127)</f>
        <v>0</v>
      </c>
      <c r="H127" s="74"/>
      <c r="I127" s="255"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v>0</v>
      </c>
      <c r="E128" s="15">
        <v>0</v>
      </c>
      <c r="F128" s="15">
        <f t="shared" si="0"/>
        <v>0</v>
      </c>
      <c r="G128" s="255" cm="1">
        <f t="array" ref="G128">Scope3_Equations.VEERG_15_2_1_1__1_EmissionsFromPurchasedFeedVariation(E128,F128)</f>
        <v>0</v>
      </c>
      <c r="H128" s="74"/>
      <c r="I128" s="255"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v>0</v>
      </c>
      <c r="E129" s="15">
        <v>0</v>
      </c>
      <c r="F129" s="15">
        <f t="shared" si="0"/>
        <v>0</v>
      </c>
      <c r="G129" s="255" cm="1">
        <f t="array" ref="G129">Scope3_Equations.VEERG_15_2_1_1__1_EmissionsFromPurchasedFeedVariation(E129,F129)</f>
        <v>0</v>
      </c>
      <c r="H129" s="74"/>
      <c r="I129" s="255"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87" t="s">
        <v>1026</v>
      </c>
      <c r="E131" s="82">
        <f>SUM(G120:G129)</f>
        <v>0.61015200000000003</v>
      </c>
      <c r="F131" s="88" t="str">
        <f>$E$105</f>
        <v>t CO2e</v>
      </c>
    </row>
    <row r="132" spans="4:28" ht="20.100000000000001" customHeight="1" x14ac:dyDescent="0.2">
      <c r="D132" s="87" t="s">
        <v>1029</v>
      </c>
      <c r="E132" s="82">
        <f>SUM(I120:I129)</f>
        <v>0.36618000000000001</v>
      </c>
      <c r="F132" s="88" t="str">
        <f>$E$105</f>
        <v>t CO2e</v>
      </c>
    </row>
    <row r="135" spans="4:28" ht="20.100000000000001" customHeight="1" x14ac:dyDescent="0.2">
      <c r="D135" s="248" t="s">
        <v>961</v>
      </c>
    </row>
    <row r="136" spans="4:28" ht="20.100000000000001" customHeight="1" x14ac:dyDescent="0.2">
      <c r="D136" s="78" t="s">
        <v>132</v>
      </c>
      <c r="E136" s="78" t="s">
        <v>1054</v>
      </c>
      <c r="F136" s="119" t="s">
        <v>1055</v>
      </c>
      <c r="G136" s="119" t="s">
        <v>1026</v>
      </c>
      <c r="H136" s="78" t="s">
        <v>1056</v>
      </c>
      <c r="I136" s="119" t="s">
        <v>1029</v>
      </c>
      <c r="J136" s="78" t="s">
        <v>1030</v>
      </c>
      <c r="K136" s="78" t="s">
        <v>1031</v>
      </c>
      <c r="L136" s="78" t="s">
        <v>1032</v>
      </c>
    </row>
    <row r="137" spans="4: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5" cm="1">
        <f t="array" ref="G137">Scope3_Equations.VEERG_15_2_1_1__1_EmissionsFromPurchasedFeedVariation(E137,F137)</f>
        <v>5.9400000000000001E-2</v>
      </c>
      <c r="H137" s="74">
        <v>0.5</v>
      </c>
      <c r="I137" s="255" cm="1">
        <f t="array" ref="I137">Scope3_Equations.VEERG_15_2_1_1__1_EmissionsFromPurchasedFeedVariation(E137,IF(H137,H137, F137))</f>
        <v>0.05</v>
      </c>
      <c r="J137" s="33"/>
      <c r="K137" s="13"/>
      <c r="L137" s="33"/>
    </row>
    <row r="138" spans="4: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5" cm="1">
        <f t="array" ref="G138">Scope3_Equations.VEERG_15_2_1_1__1_EmissionsFromPurchasedFeedVariation(E138,F138)</f>
        <v>4.19E-2</v>
      </c>
      <c r="H138" s="74">
        <v>0.4</v>
      </c>
      <c r="I138" s="255" cm="1">
        <f t="array" ref="I138">Scope3_Equations.VEERG_15_2_1_1__1_EmissionsFromPurchasedFeedVariation(E138,IF(H138,H138, F138))</f>
        <v>0.04</v>
      </c>
      <c r="J138" s="33"/>
      <c r="K138" s="13"/>
      <c r="L138" s="33"/>
    </row>
    <row r="139" spans="4: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5" cm="1">
        <f t="array" ref="G139">Scope3_Equations.VEERG_15_2_1_1__1_EmissionsFromPurchasedFeedVariation(E139,F139)</f>
        <v>3.3300000000000003E-2</v>
      </c>
      <c r="H139" s="74">
        <v>0</v>
      </c>
      <c r="I139" s="255" cm="1">
        <f t="array" ref="I139">Scope3_Equations.VEERG_15_2_1_1__1_EmissionsFromPurchasedFeedVariation(E139,IF(H139,H139, F139))</f>
        <v>3.3300000000000003E-2</v>
      </c>
      <c r="J139" s="33"/>
      <c r="K139" s="13"/>
      <c r="L139" s="33"/>
    </row>
    <row r="140" spans="4: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5" cm="1">
        <f t="array" ref="G140">Scope3_Equations.VEERG_15_2_1_1__1_EmissionsFromPurchasedFeedVariation(E140,F140)</f>
        <v>4.0300000000000002E-2</v>
      </c>
      <c r="H140" s="74">
        <v>0</v>
      </c>
      <c r="I140" s="255" cm="1">
        <f t="array" ref="I140">Scope3_Equations.VEERG_15_2_1_1__1_EmissionsFromPurchasedFeedVariation(E140,IF(H140,H140, F140))</f>
        <v>4.0300000000000002E-2</v>
      </c>
      <c r="J140" s="33"/>
      <c r="K140" s="13"/>
      <c r="L140" s="33"/>
    </row>
    <row r="142" spans="4:28" ht="20.100000000000001" customHeight="1" x14ac:dyDescent="0.2">
      <c r="D142" s="87" t="s">
        <v>1026</v>
      </c>
      <c r="E142" s="82">
        <f>SUM(G137:G140)</f>
        <v>0.1749</v>
      </c>
      <c r="F142" s="88" t="str">
        <f>$E$105</f>
        <v>t CO2e</v>
      </c>
    </row>
    <row r="143" spans="4:28" ht="20.100000000000001" customHeight="1" x14ac:dyDescent="0.2">
      <c r="D143" s="87" t="s">
        <v>1029</v>
      </c>
      <c r="E143" s="82">
        <f>SUM(I137:I140)</f>
        <v>0.1636</v>
      </c>
      <c r="F143" s="88" t="str">
        <f>$E$105</f>
        <v>t CO2e</v>
      </c>
    </row>
    <row r="146" spans="1:12" ht="20.100000000000001" customHeight="1" x14ac:dyDescent="0.2">
      <c r="D146" s="248" t="s">
        <v>1065</v>
      </c>
    </row>
    <row r="147" spans="1:12" ht="20.100000000000001" customHeight="1" x14ac:dyDescent="0.2">
      <c r="D147" s="78" t="s">
        <v>132</v>
      </c>
      <c r="E147" s="78" t="s">
        <v>1054</v>
      </c>
      <c r="F147" s="119" t="s">
        <v>1055</v>
      </c>
      <c r="G147" s="119" t="s">
        <v>1026</v>
      </c>
      <c r="H147" s="78" t="s">
        <v>1056</v>
      </c>
      <c r="I147" s="119" t="s">
        <v>1029</v>
      </c>
      <c r="J147" s="78" t="s">
        <v>1030</v>
      </c>
      <c r="K147" s="78" t="s">
        <v>1031</v>
      </c>
      <c r="L147" s="78" t="s">
        <v>1032</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5" cm="1">
        <f t="array" ref="G148">Scope3_Equations.VEERG_15_2_1_1__1_EmissionsFromPurchasedFeedVariation(E148,F148)</f>
        <v>0</v>
      </c>
      <c r="H148" s="74">
        <v>0.2</v>
      </c>
      <c r="I148" s="255" cm="1">
        <f t="array" ref="I148">Scope3_Equations.VEERG_15_2_1_1__1_EmissionsFromPurchasedFeedVariation(E148,IF(H148,H148, F148))</f>
        <v>0</v>
      </c>
      <c r="J148" s="33"/>
      <c r="K148" s="33"/>
      <c r="L148" s="33"/>
    </row>
    <row r="149" spans="1: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5" cm="1">
        <f t="array" ref="G149">Scope3_Equations.VEERG_15_2_1_1__1_EmissionsFromPurchasedFeedVariation(E149,F149)</f>
        <v>0</v>
      </c>
      <c r="H149" s="74">
        <v>0</v>
      </c>
      <c r="I149" s="255" cm="1">
        <f t="array" ref="I149">Scope3_Equations.VEERG_15_2_1_1__1_EmissionsFromPurchasedFeedVariation(E149,IF(H149,H149, F149))</f>
        <v>0</v>
      </c>
      <c r="J149" s="33"/>
      <c r="K149" s="33"/>
      <c r="L149" s="33"/>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5" cm="1">
        <f t="array" ref="G150">Scope3_Equations.VEERG_15_2_1_1__1_EmissionsFromPurchasedFeedVariation(E150,F150)</f>
        <v>0</v>
      </c>
      <c r="H150" s="74">
        <v>0</v>
      </c>
      <c r="I150" s="255" cm="1">
        <f t="array" ref="I150">Scope3_Equations.VEERG_15_2_1_1__1_EmissionsFromPurchasedFeedVariation(E150,IF(H150,H150, F150))</f>
        <v>0</v>
      </c>
      <c r="J150" s="33"/>
      <c r="K150" s="33"/>
      <c r="L150" s="33"/>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5" cm="1">
        <f t="array" ref="G151">Scope3_Equations.VEERG_15_2_1_1__1_EmissionsFromPurchasedFeedVariation(E151,F151)</f>
        <v>0</v>
      </c>
      <c r="H151" s="74">
        <v>0</v>
      </c>
      <c r="I151" s="255" cm="1">
        <f t="array" ref="I151">Scope3_Equations.VEERG_15_2_1_1__1_EmissionsFromPurchasedFeedVariation(E151,IF(H151,H151, F151))</f>
        <v>0</v>
      </c>
      <c r="J151" s="33"/>
      <c r="K151" s="33"/>
      <c r="L151" s="33"/>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5" cm="1">
        <f t="array" ref="G152">Scope3_Equations.VEERG_15_2_1_1__1_EmissionsFromPurchasedFeedVariation(E152,F152)</f>
        <v>0</v>
      </c>
      <c r="H152" s="74">
        <v>0</v>
      </c>
      <c r="I152" s="255" cm="1">
        <f t="array" ref="I152">Scope3_Equations.VEERG_15_2_1_1__1_EmissionsFromPurchasedFeedVariation(E152,IF(H152,H152, F152))</f>
        <v>0</v>
      </c>
      <c r="J152" s="33"/>
      <c r="K152" s="33"/>
      <c r="L152" s="33"/>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5" cm="1">
        <f t="array" ref="G153">Scope3_Equations.VEERG_15_2_1_1__1_EmissionsFromPurchasedFeedVariation(E153,F153)</f>
        <v>0</v>
      </c>
      <c r="H153" s="74">
        <v>0</v>
      </c>
      <c r="I153" s="255" cm="1">
        <f t="array" ref="I153">Scope3_Equations.VEERG_15_2_1_1__1_EmissionsFromPurchasedFeedVariation(E153,IF(H153,H153, F153))</f>
        <v>0</v>
      </c>
      <c r="J153" s="33"/>
      <c r="K153" s="33"/>
      <c r="L153" s="33"/>
    </row>
    <row r="155" spans="1:12" ht="20.100000000000001" customHeight="1" x14ac:dyDescent="0.2">
      <c r="D155" s="87" t="s">
        <v>1026</v>
      </c>
      <c r="E155" s="82">
        <f>SUM(G148:G153)</f>
        <v>0</v>
      </c>
      <c r="F155" s="88" t="str">
        <f>$E$105</f>
        <v>t CO2e</v>
      </c>
    </row>
    <row r="156" spans="1:12" ht="20.100000000000001" customHeight="1" x14ac:dyDescent="0.2">
      <c r="D156" s="87" t="s">
        <v>1029</v>
      </c>
      <c r="E156" s="82">
        <f>SUM(I148:I153)</f>
        <v>0</v>
      </c>
      <c r="F156" s="88" t="str">
        <f>$E$105</f>
        <v>t CO2e</v>
      </c>
    </row>
    <row r="157" spans="1:12" ht="20.100000000000001" customHeight="1" x14ac:dyDescent="0.2">
      <c r="A157" s="131" t="str">
        <f>HYPERLINK("#A1", "▲ Back to top")</f>
        <v>▲ Back to top</v>
      </c>
    </row>
    <row r="159" spans="1:12" ht="20.100000000000001" customHeight="1" x14ac:dyDescent="0.2">
      <c r="D159" s="84" t="s">
        <v>1026</v>
      </c>
      <c r="E159" s="85">
        <f>E131+E142+E155</f>
        <v>0.78505200000000008</v>
      </c>
      <c r="F159" s="94" t="str">
        <f>$E$105</f>
        <v>t CO2e</v>
      </c>
    </row>
    <row r="160" spans="1:12" ht="20.100000000000001" customHeight="1" x14ac:dyDescent="0.2">
      <c r="D160" s="84" t="s">
        <v>1029</v>
      </c>
      <c r="E160" s="85">
        <f>E132+E143+E156</f>
        <v>0.52978000000000003</v>
      </c>
      <c r="F160" s="94" t="str">
        <f>$E$105</f>
        <v>t CO2e</v>
      </c>
    </row>
    <row r="163" spans="3:41" ht="20.100000000000001" customHeight="1" x14ac:dyDescent="0.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100000000000001" customHeight="1" x14ac:dyDescent="0.2">
      <c r="D164" s="2" t="str" cm="1">
        <f t="array" ref="D164">Scope3_Equations.VEERG_15_3_1_1__1_EmissionsFromPurchasedMineralSupplements_Title()</f>
        <v>Total emissions from purchased mineral supplements</v>
      </c>
    </row>
    <row r="165" spans="3:41" ht="20.100000000000001" customHeight="1" x14ac:dyDescent="0.2">
      <c r="D165" s="17" t="str" cm="1">
        <f t="array" ref="D165">Scope3_Equations.VEERG_15_3_1_1__1_EmissionsFromPurchasedMineralSupplements_Source()</f>
        <v>VEERG 2026: 15.3.1.1, Equation (1)</v>
      </c>
    </row>
    <row r="166" spans="3:41" ht="20.100000000000001" customHeight="1" x14ac:dyDescent="0.2">
      <c r="D166" s="110" t="s">
        <v>321</v>
      </c>
      <c r="E166" s="110" t="str" cm="1">
        <f t="array" aca="1" ref="E166" ca="1">Common_InputFunctions.Utility_DisplayFunctionName(G177)</f>
        <v>=Scope3_Equations.VEERG_15_3_1_1__1_EmissionsFromPurchasedMineralSupplementsVariation</v>
      </c>
    </row>
    <row r="168" spans="3:41" ht="20.100000000000001" customHeight="1" x14ac:dyDescent="0.2">
      <c r="F168" s="25" t="str" cm="1">
        <f t="array" ref="F168">Scope3_Equations.VEERG_15_3_1_1__1_EmissionsFromPurchasedMineralSupplements_Variation()</f>
        <v>VARIATION ON SOURCE: Input Q_j in kg instead of t to match EF units. Multiply by 10^-3 to convert kg CO2e to t CO2e.</v>
      </c>
      <c r="H168" s="110"/>
    </row>
    <row r="169" spans="3:41" ht="20.100000000000001" customHeight="1" x14ac:dyDescent="0.2">
      <c r="D169" s="75" t="s">
        <v>322</v>
      </c>
      <c r="E169" s="1" t="str" cm="1">
        <f t="array" ref="E169">Scope3_Equations.VEERG_15_3_1_1__1_EmissionsFromPurchasedMineralSupplements_Variable()</f>
        <v>E</v>
      </c>
    </row>
    <row r="170" spans="3:41" ht="20.100000000000001" customHeight="1" x14ac:dyDescent="0.2">
      <c r="D170" s="75" t="s">
        <v>118</v>
      </c>
      <c r="E170" s="9" t="str" cm="1">
        <f t="array" ref="E170">Scope3_Equations.VEERG_15_3_1_1__1_EmissionsFromPurchasedMineralSupplements_Unit()</f>
        <v>t CO2e</v>
      </c>
    </row>
    <row r="172" spans="3:41" ht="20.100000000000001" customHeight="1" x14ac:dyDescent="0.2">
      <c r="D172" s="127" t="str" cm="1">
        <f t="array" ref="D172:E174">_xlfn.CHOOSECOLS(Scope3_Equations.VEERG_15_3_1_1__1_EmissionsFromPurchasedMineralSupplements_ArgumentsVariation(),1,2)</f>
        <v>Q_m</v>
      </c>
      <c r="E172" s="128" t="str">
        <v>total quantity of mineral supplement type m used</v>
      </c>
      <c r="F172" s="129"/>
      <c r="G172" s="127" t="str" cm="1">
        <f t="array" ref="G172:H174">_xlfn.CHOOSECOLS(Scope3_Equations.VEERG_15_3_1_1__1_EmissionsFromPurchasedMineralSupplements_ArgumentsVariation(),3,4)</f>
        <v>kg</v>
      </c>
      <c r="H172" s="253" t="str">
        <v>Input</v>
      </c>
    </row>
    <row r="173" spans="3:41" ht="20.100000000000001" customHeight="1" x14ac:dyDescent="0.2">
      <c r="D173" s="127" t="str">
        <v>EF_m</v>
      </c>
      <c r="E173" s="128" t="str">
        <v>emission factor of purchased mineral supplement</v>
      </c>
      <c r="F173" s="129"/>
      <c r="G173" s="127" t="str">
        <v>kg CO2e/kg</v>
      </c>
      <c r="H173" s="253" t="str">
        <v>Constant</v>
      </c>
    </row>
    <row r="174" spans="3:41" ht="20.100000000000001" customHeight="1" x14ac:dyDescent="0.2">
      <c r="D174" s="127" t="str">
        <v>m</v>
      </c>
      <c r="E174" s="128" t="str">
        <v>mineral supplement type</v>
      </c>
      <c r="F174" s="129"/>
      <c r="G174" s="127" t="str">
        <v/>
      </c>
      <c r="H174" s="125" t="str">
        <v>Input</v>
      </c>
    </row>
    <row r="176" spans="3:41" ht="20.100000000000001" customHeight="1" x14ac:dyDescent="0.2">
      <c r="D176" s="78" t="s">
        <v>132</v>
      </c>
      <c r="E176" s="78" t="s">
        <v>1066</v>
      </c>
      <c r="F176" s="119" t="s">
        <v>1067</v>
      </c>
      <c r="G176" s="119" t="s">
        <v>1026</v>
      </c>
      <c r="H176" s="78" t="s">
        <v>1068</v>
      </c>
      <c r="I176" s="119" t="s">
        <v>1029</v>
      </c>
      <c r="J176" s="78" t="s">
        <v>1030</v>
      </c>
      <c r="K176" s="78" t="s">
        <v>1031</v>
      </c>
      <c r="L176" s="78" t="s">
        <v>1032</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5" cm="1">
        <f t="array" ref="G177">Scope3_Equations.VEERG_15_3_1_1__1_EmissionsFromPurchasedMineralSupplementsVariation(E177,F177)</f>
        <v>8.8099999999999998E-2</v>
      </c>
      <c r="H177" s="74">
        <v>0.8</v>
      </c>
      <c r="I177" s="255" cm="1">
        <f t="array" ref="I177">Scope3_Equations.VEERG_15_3_1_1__1_EmissionsFromPurchasedMineralSupplementsVariation(E177,IF(H177, H177, F177))</f>
        <v>0.08</v>
      </c>
      <c r="J177" s="33"/>
      <c r="K177" s="13"/>
      <c r="L177" s="33"/>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5" cm="1">
        <f t="array" ref="G178">Scope3_Equations.VEERG_15_3_1_1__1_EmissionsFromPurchasedMineralSupplementsVariation(E178,F178)</f>
        <v>6.770000000000001E-2</v>
      </c>
      <c r="H178" s="74">
        <v>0.6</v>
      </c>
      <c r="I178" s="255" cm="1">
        <f t="array" ref="I178">Scope3_Equations.VEERG_15_3_1_1__1_EmissionsFromPurchasedMineralSupplementsVariation(E178,IF(H178, H178, F178))</f>
        <v>0.06</v>
      </c>
      <c r="J178" s="33"/>
      <c r="K178" s="13"/>
      <c r="L178" s="33"/>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5" cm="1">
        <f t="array" ref="G179">Scope3_Equations.VEERG_15_3_1_1__1_EmissionsFromPurchasedMineralSupplementsVariation(E179,F179)</f>
        <v>2.3100000000000002E-2</v>
      </c>
      <c r="H179" s="74">
        <v>0.2</v>
      </c>
      <c r="I179" s="255" cm="1">
        <f t="array" ref="I179">Scope3_Equations.VEERG_15_3_1_1__1_EmissionsFromPurchasedMineralSupplementsVariation(E179,IF(H179, H179, F179))</f>
        <v>0.02</v>
      </c>
      <c r="J179" s="33"/>
      <c r="K179" s="13"/>
      <c r="L179" s="33"/>
    </row>
    <row r="181" spans="1:41" ht="20.100000000000001" customHeight="1" x14ac:dyDescent="0.2">
      <c r="D181" s="84" t="s">
        <v>1026</v>
      </c>
      <c r="E181" s="85">
        <f>SUM(G177:G179)</f>
        <v>0.1789</v>
      </c>
      <c r="F181" s="94" t="str">
        <f>$E$170</f>
        <v>t CO2e</v>
      </c>
    </row>
    <row r="182" spans="1:41" ht="20.100000000000001" customHeight="1" x14ac:dyDescent="0.2">
      <c r="D182" s="84" t="s">
        <v>1029</v>
      </c>
      <c r="E182" s="85">
        <f>SUM(I177:I179)</f>
        <v>0.16</v>
      </c>
      <c r="F182" s="94" t="str">
        <f>$E$170</f>
        <v>t CO2e</v>
      </c>
    </row>
    <row r="185" spans="1:41" ht="20.100000000000001" customHeight="1" x14ac:dyDescent="0.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1:41" ht="20.100000000000001" customHeight="1" x14ac:dyDescent="0.2">
      <c r="D186" s="2" t="str" cm="1">
        <f t="array" ref="D186">Scope3_Equations.VEERG_15_4_1_1__X_EmissionFactorFromPurchasedFertiliserComponents_Title()</f>
        <v>Emission factor for fertiliser product derived from components</v>
      </c>
    </row>
    <row r="187" spans="1:41" ht="20.100000000000001" customHeight="1" x14ac:dyDescent="0.2">
      <c r="A187" s="131" t="str">
        <f>HYPERLINK("#A1", "▲ Back to top")</f>
        <v>▲ Back to top</v>
      </c>
      <c r="D187" s="17" t="str" cm="1">
        <f t="array" ref="D187">Scope3_Equations.VEERG_15_4_1_1__X_EmissionFactorFromPurchasedFertiliserComponents_Source()</f>
        <v>GAF</v>
      </c>
    </row>
    <row r="188" spans="1:41" ht="20.100000000000001" customHeight="1" x14ac:dyDescent="0.2">
      <c r="D188" s="25" t="str" cm="1">
        <f t="array" ref="D188">Scope3_Equations.VEERG_15_4_1_1__X_EmissionFactorFromPurchasedFertiliserComponents_Variation()</f>
        <v>VARIATION ON SOURCE: This equation is added to calculate an EF value from fertiliser components that can be used in 15.4.1.1 (1)</v>
      </c>
    </row>
    <row r="189" spans="1:41" ht="20.100000000000001" customHeight="1" x14ac:dyDescent="0.2">
      <c r="D189" s="110" t="s">
        <v>321</v>
      </c>
      <c r="E189" s="110" t="str" cm="1">
        <f t="array" aca="1" ref="E189" ca="1">Common_InputFunctions.Utility_DisplayFunctionName(F236)</f>
        <v>=Scope3_Equations.VEERG_15_4_1_1__X_EmissionFactorFromPurchasedFertiliserComponents</v>
      </c>
    </row>
    <row r="192" spans="1:41" ht="20.100000000000001" customHeight="1" x14ac:dyDescent="0.2">
      <c r="D192" s="75" t="s">
        <v>322</v>
      </c>
      <c r="E192" s="1" t="str" cm="1">
        <f t="array" ref="E192">Scope3_Equations.VEERG_15_4_1_1__X_EmissionFactorFromPurchasedFertiliserComponents_Variable()</f>
        <v>EF_f</v>
      </c>
    </row>
    <row r="193" spans="4:8" ht="20.100000000000001" customHeight="1" x14ac:dyDescent="0.2">
      <c r="D193" s="75" t="s">
        <v>118</v>
      </c>
      <c r="E193" s="9" t="str" cm="1">
        <f t="array" ref="E193">Scope3_Equations.VEERG_15_4_1_1__X_EmissionFactorFromPurchasedFertiliserComponents_Unit()</f>
        <v>kg CO2e/kg fertiliser</v>
      </c>
    </row>
    <row r="195" spans="4:8" ht="20.100000000000001" customHeight="1" x14ac:dyDescent="0.2">
      <c r="D195" s="127" t="str" cm="1">
        <f t="array" ref="D195:E198">_xlfn.CHOOSECOLS(Scope3_Equations.VEERG_15_4_1_1__X_EmissionFactorFromPurchasedFertiliserComponents_Arguments(),1,2)</f>
        <v>F_cf</v>
      </c>
      <c r="E195" s="128" t="str">
        <v>fraction of component c contained within the inorganic fertiliser f</v>
      </c>
      <c r="F195" s="129"/>
      <c r="G195" s="127" t="str" cm="1">
        <f t="array" ref="G195:H198">_xlfn.CHOOSECOLS(Scope3_Equations.VEERG_15_4_1_1__X_EmissionFactorFromPurchasedFertiliserComponents_Arguments(),3,4)</f>
        <v>wt%</v>
      </c>
      <c r="H195" s="253" t="str">
        <v>Input</v>
      </c>
    </row>
    <row r="196" spans="4:8" ht="20.100000000000001" customHeight="1" x14ac:dyDescent="0.2">
      <c r="D196" s="127" t="str">
        <v>EF_c</v>
      </c>
      <c r="E196" s="128" t="str">
        <v>emission factor for the production of component c</v>
      </c>
      <c r="F196" s="129"/>
      <c r="G196" s="127" t="str">
        <v>kg CO2e/kg component</v>
      </c>
      <c r="H196" s="125" t="str">
        <v>Constant</v>
      </c>
    </row>
    <row r="197" spans="4:8" ht="20.100000000000001" customHeight="1" x14ac:dyDescent="0.2">
      <c r="D197" s="127" t="str">
        <v>c</v>
      </c>
      <c r="E197" s="128" t="str">
        <v>fertiliser component</v>
      </c>
      <c r="F197" s="129"/>
      <c r="G197" s="127" t="str">
        <v/>
      </c>
      <c r="H197" s="253" t="str">
        <v>Input</v>
      </c>
    </row>
    <row r="198" spans="4:8" ht="20.100000000000001" customHeight="1" x14ac:dyDescent="0.2">
      <c r="D198" s="127" t="str">
        <v>f</v>
      </c>
      <c r="E198" s="128" t="str">
        <v>inorganic fertiliser type</v>
      </c>
      <c r="F198" s="129"/>
      <c r="G198" s="127" t="str">
        <v/>
      </c>
      <c r="H198" s="253" t="str">
        <v>Input</v>
      </c>
    </row>
    <row r="201" spans="4:8" ht="20.100000000000001" customHeight="1" x14ac:dyDescent="0.2">
      <c r="D201" s="2" t="str" cm="1">
        <f t="array" ref="D201">Scope3_Equations.VEERG_15_4_1_1__1_EmissionsFromPurchasedFertiliser_Title()</f>
        <v>Emissions from purchased fertiliser</v>
      </c>
    </row>
    <row r="202" spans="4:8" ht="20.100000000000001" customHeight="1" x14ac:dyDescent="0.2">
      <c r="D202" s="17" t="str" cm="1">
        <f t="array" ref="D202">Scope3_Equations.VEERG_15_4_1_1__1_EmissionsFromPurchasedFertiliser_Source()</f>
        <v>VEERG 2026: 15.4.1.1, Equation (1)</v>
      </c>
    </row>
    <row r="203" spans="4:8" ht="20.100000000000001" customHeight="1" x14ac:dyDescent="0.2">
      <c r="D203" s="110" t="s">
        <v>321</v>
      </c>
      <c r="E203" s="110" t="str" cm="1">
        <f t="array" aca="1" ref="E203" ca="1">Common_InputFunctions.Utility_DisplayFunctionName(G236)</f>
        <v>=Scope3_Equations.VEERG_15_4_1_1__1_EmissionsFromPurchasedFertiliser</v>
      </c>
    </row>
    <row r="206" spans="4:8" ht="20.100000000000001" customHeight="1" x14ac:dyDescent="0.2">
      <c r="D206" s="75" t="s">
        <v>322</v>
      </c>
      <c r="E206" s="1" t="str" cm="1">
        <f t="array" ref="E206">Scope3_Equations.VEERG_15_4_1_1__1_EmissionsFromPurchasedFertiliser_Variable()</f>
        <v>E</v>
      </c>
    </row>
    <row r="207" spans="4:8" ht="20.100000000000001" customHeight="1" x14ac:dyDescent="0.2">
      <c r="D207" s="75" t="s">
        <v>118</v>
      </c>
      <c r="E207" s="9" t="str" cm="1">
        <f t="array" ref="E207">Scope3_Equations.VEERG_15_4_1_1__1_EmissionsFromPurchasedFertiliser_Unit()</f>
        <v>t CO2e</v>
      </c>
    </row>
    <row r="209" spans="1:8" ht="20.100000000000001" customHeight="1" x14ac:dyDescent="0.2">
      <c r="D209" s="127" t="str" cm="1">
        <f t="array" ref="D209:E212">_xlfn.CHOOSECOLS(Scope3_Equations.VEERG_15_4_1_1__1_EmissionsFromPurchasedFertiliser_Arguments(),1,2)</f>
        <v>TM_jf</v>
      </c>
      <c r="E209" s="127" t="str">
        <v>quantity of inorganic fertiliser type f purchased and applied to production system j</v>
      </c>
      <c r="F209" s="127"/>
      <c r="G209" s="127" t="str" cm="1">
        <f t="array" ref="G209:H212">_xlfn.CHOOSECOLS(Scope3_Equations.VEERG_15_4_1_1__1_EmissionsFromPurchasedFertiliser_Arguments(),3,4)</f>
        <v>kg</v>
      </c>
      <c r="H209" s="253" t="str">
        <v>Input</v>
      </c>
    </row>
    <row r="210" spans="1:8" ht="20.100000000000001" customHeight="1" x14ac:dyDescent="0.2">
      <c r="D210" s="127" t="str">
        <v>EF_f</v>
      </c>
      <c r="E210" s="127" t="str">
        <v>emission factor of purchased inorganic fertiliser</v>
      </c>
      <c r="F210" s="127"/>
      <c r="G210" s="127" t="str">
        <v>kg CO2e/kg</v>
      </c>
      <c r="H210" s="125" t="str">
        <v>Constant</v>
      </c>
    </row>
    <row r="211" spans="1:8" ht="20.100000000000001" customHeight="1" x14ac:dyDescent="0.2">
      <c r="D211" s="127" t="str">
        <v>j</v>
      </c>
      <c r="E211" s="128" t="str">
        <v>production system</v>
      </c>
      <c r="F211" s="129"/>
      <c r="G211" s="127" t="str">
        <v/>
      </c>
      <c r="H211" s="253" t="str">
        <v>Input</v>
      </c>
    </row>
    <row r="212" spans="1:8" ht="20.100000000000001" customHeight="1" x14ac:dyDescent="0.2">
      <c r="D212" s="127" t="str">
        <v>f</v>
      </c>
      <c r="E212" s="128" t="str">
        <v>inorganic fertiliser type</v>
      </c>
      <c r="F212" s="129"/>
      <c r="G212" s="127" t="str">
        <v/>
      </c>
      <c r="H212" s="253" t="str">
        <v>Input</v>
      </c>
    </row>
    <row r="215" spans="1:8" ht="20.100000000000001" customHeight="1" x14ac:dyDescent="0.2">
      <c r="D215" s="2" t="str" cm="1">
        <f t="array" ref="D215">Scope3_Equations.VEERG_15_4_1_1__2_EmissionsFromPurchasedFertiliserComponents_Title()</f>
        <v>Emissions from purchased fertiliser components</v>
      </c>
    </row>
    <row r="216" spans="1:8" ht="20.100000000000001" customHeight="1" x14ac:dyDescent="0.2">
      <c r="D216" s="17" t="str" cm="1">
        <f t="array" ref="D216">Scope3_Equations.VEERG_15_4_1_1__2_EmissionsFromPurchasedFertiliserComponents_Source()</f>
        <v>VEERG 2026: 15.4.1.1, Equation (2)</v>
      </c>
    </row>
    <row r="217" spans="1:8" ht="20.100000000000001" customHeight="1" x14ac:dyDescent="0.2">
      <c r="A217" s="131" t="str">
        <f>HYPERLINK("#A1", "▲ Back to top")</f>
        <v>▲ Back to top</v>
      </c>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1:8" ht="20.100000000000001" customHeight="1" x14ac:dyDescent="0.2">
      <c r="D218" s="110" t="s">
        <v>321</v>
      </c>
      <c r="E218" s="110" t="str" cm="1">
        <f t="array" aca="1" ref="E218" ca="1">Common_InputFunctions.Utility_DisplayFunctionName(H236)</f>
        <v>=Scope3_Equations.VEERG_15_4_1_1__2_EmissionsFromPurchasedFertiliserComponentsVariation</v>
      </c>
    </row>
    <row r="221" spans="1:8" ht="20.100000000000001" customHeight="1" x14ac:dyDescent="0.2">
      <c r="D221" s="75" t="s">
        <v>322</v>
      </c>
      <c r="E221" s="1" t="str" cm="1">
        <f t="array" ref="E221">Scope3_Equations.VEERG_15_4_1_1__2_EmissionsFromPurchasedFertiliserComponents_Variable()</f>
        <v>E</v>
      </c>
    </row>
    <row r="222" spans="1:8" ht="20.100000000000001" customHeight="1" x14ac:dyDescent="0.2">
      <c r="D222" s="75" t="s">
        <v>118</v>
      </c>
      <c r="E222" s="9" t="str" cm="1">
        <f t="array" ref="E222">Scope3_Equations.VEERG_15_4_1_1__2_EmissionsFromPurchasedFertiliserComponents_Unit()</f>
        <v>t CO2e</v>
      </c>
    </row>
    <row r="224" spans="1:8" ht="20.100000000000001" customHeight="1" x14ac:dyDescent="0.2">
      <c r="D224" s="127" t="str" cm="1">
        <f t="array" ref="D224:E229">_xlfn.CHOOSECOLS(Scope3_Equations.VEERG_15_4_1_1__2_EmissionsFromPurchasedFertiliserComponents_Arguments(),1,2)</f>
        <v>F_cf</v>
      </c>
      <c r="E224" s="128" t="str">
        <v>fraction of component c contained within the inorganic fertiliser f</v>
      </c>
      <c r="F224" s="129"/>
      <c r="G224" s="127" t="str" cm="1">
        <f t="array" ref="G224:H229">_xlfn.CHOOSECOLS(Scope3_Equations.VEERG_15_4_1_1__2_EmissionsFromPurchasedFertiliserComponents_Arguments(),3,4)</f>
        <v>wt%</v>
      </c>
      <c r="H224" s="253" t="str">
        <v>Input</v>
      </c>
    </row>
    <row r="225" spans="4:40" ht="20.100000000000001" customHeight="1" x14ac:dyDescent="0.2">
      <c r="D225" s="127" t="str">
        <v>TM_jf</v>
      </c>
      <c r="E225" s="128" t="str">
        <v>quantity of inorganic fertiliser type f purchased and applied to production system j</v>
      </c>
      <c r="F225" s="129"/>
      <c r="G225" s="127" t="str">
        <v>kg</v>
      </c>
      <c r="H225" s="125" t="str">
        <v>Input</v>
      </c>
    </row>
    <row r="226" spans="4:40" ht="20.100000000000001" customHeight="1" x14ac:dyDescent="0.2">
      <c r="D226" s="127" t="str">
        <v>EF_c</v>
      </c>
      <c r="E226" s="128" t="str">
        <v>emission factor for the production of component c</v>
      </c>
      <c r="F226" s="129"/>
      <c r="G226" s="127" t="str">
        <v>kg CO2e/kg component</v>
      </c>
      <c r="H226" s="125" t="str">
        <v>Constant</v>
      </c>
    </row>
    <row r="227" spans="4:40" ht="20.100000000000001" customHeight="1" x14ac:dyDescent="0.2">
      <c r="D227" s="127" t="str">
        <v>c</v>
      </c>
      <c r="E227" s="128" t="str">
        <v>fertiliser component</v>
      </c>
      <c r="F227" s="129"/>
      <c r="G227" s="127" t="str">
        <v/>
      </c>
      <c r="H227" s="253" t="str">
        <v>Input</v>
      </c>
    </row>
    <row r="228" spans="4:40" ht="20.100000000000001" customHeight="1" x14ac:dyDescent="0.2">
      <c r="D228" s="127" t="str">
        <v>f</v>
      </c>
      <c r="E228" s="128" t="str">
        <v>inorganic fertiliser type</v>
      </c>
      <c r="F228" s="129"/>
      <c r="G228" s="127" t="str">
        <v/>
      </c>
      <c r="H228" s="253" t="str">
        <v>Input</v>
      </c>
    </row>
    <row r="229" spans="4:40" ht="20.100000000000001" customHeight="1" x14ac:dyDescent="0.2">
      <c r="D229" s="127" t="str">
        <v>j</v>
      </c>
      <c r="E229" s="128" t="str">
        <v>production system</v>
      </c>
      <c r="F229" s="129"/>
      <c r="G229" s="127" t="str">
        <v/>
      </c>
      <c r="H229" s="253" t="str">
        <v>Input</v>
      </c>
    </row>
    <row r="231" spans="4:40" ht="20.100000000000001" customHeight="1" x14ac:dyDescent="0.2">
      <c r="D231" s="248" t="s">
        <v>1069</v>
      </c>
    </row>
    <row r="233" spans="4:40" ht="20.100000000000001" customHeight="1" x14ac:dyDescent="0.2">
      <c r="D233" s="35" t="s">
        <v>1070</v>
      </c>
      <c r="E233" s="37"/>
      <c r="F233" s="38"/>
    </row>
    <row r="235" spans="4:40" ht="20.100000000000001" customHeight="1" x14ac:dyDescent="0.2">
      <c r="D235" s="78" t="s">
        <v>132</v>
      </c>
      <c r="E235" s="78" t="s">
        <v>1071</v>
      </c>
      <c r="F235" s="119" t="s">
        <v>1072</v>
      </c>
      <c r="G235" s="119" t="s">
        <v>1073</v>
      </c>
      <c r="H235" s="119" t="s">
        <v>1074</v>
      </c>
      <c r="I235" s="78" t="s">
        <v>1075</v>
      </c>
      <c r="J235" s="119" t="s">
        <v>1076</v>
      </c>
      <c r="K235" s="119" t="s">
        <v>1077</v>
      </c>
      <c r="L235" s="78" t="s">
        <v>1030</v>
      </c>
      <c r="M235" s="78" t="s">
        <v>1031</v>
      </c>
      <c r="N235" s="78" t="s">
        <v>1032</v>
      </c>
      <c r="O235" s="119" t="s">
        <v>700</v>
      </c>
      <c r="P235" s="119" t="s">
        <v>701</v>
      </c>
      <c r="Q235" s="119" t="s">
        <v>685</v>
      </c>
      <c r="R235" s="119" t="s">
        <v>686</v>
      </c>
      <c r="S235" s="119" t="s">
        <v>1078</v>
      </c>
      <c r="T235" s="78" t="s">
        <v>1079</v>
      </c>
      <c r="U235" s="119" t="s">
        <v>687</v>
      </c>
      <c r="V235" s="119" t="s">
        <v>688</v>
      </c>
      <c r="W235" s="119" t="s">
        <v>1080</v>
      </c>
      <c r="X235" s="78" t="s">
        <v>1081</v>
      </c>
      <c r="Y235" s="119" t="s">
        <v>689</v>
      </c>
      <c r="Z235" s="119" t="s">
        <v>690</v>
      </c>
      <c r="AA235" s="119" t="s">
        <v>1082</v>
      </c>
      <c r="AB235" s="78" t="s">
        <v>1083</v>
      </c>
      <c r="AC235" s="119" t="s">
        <v>691</v>
      </c>
      <c r="AD235" s="119" t="s">
        <v>692</v>
      </c>
      <c r="AE235" s="119" t="s">
        <v>1084</v>
      </c>
      <c r="AF235" s="78" t="s">
        <v>1085</v>
      </c>
      <c r="AG235" s="119" t="s">
        <v>693</v>
      </c>
      <c r="AH235" s="119" t="s">
        <v>694</v>
      </c>
      <c r="AI235" s="119" t="s">
        <v>1086</v>
      </c>
      <c r="AJ235" s="78" t="s">
        <v>1087</v>
      </c>
      <c r="AK235" s="119" t="s">
        <v>695</v>
      </c>
      <c r="AL235" s="119" t="s">
        <v>696</v>
      </c>
      <c r="AM235" s="119" t="s">
        <v>1088</v>
      </c>
      <c r="AN235" s="78" t="s">
        <v>1089</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5"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5" cm="1">
        <f t="array" ref="J236">Scope3_Equations.VEERG_15_4_1_1__1_EmissionsFromPurchasedFertiliser(E236,I236)</f>
        <v>4</v>
      </c>
      <c r="K236" s="255"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5"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5" cm="1">
        <f t="array" ref="J237">Scope3_Equations.VEERG_15_4_1_1__1_EmissionsFromPurchasedFertiliser(E237,I237)</f>
        <v>9</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5"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5" cm="1">
        <f t="array" ref="J238">Scope3_Equations.VEERG_15_4_1_1__1_EmissionsFromPurchasedFertiliser(E238,I238)</f>
        <v>4</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5"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5" cm="1">
        <f t="array" ref="J239">Scope3_Equations.VEERG_15_4_1_1__1_EmissionsFromPurchasedFertiliser(E239,I239)</f>
        <v>0</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5"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1: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5"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1: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5"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1: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5"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1: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5"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1: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5"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7" spans="1:40" ht="20.100000000000001" customHeight="1" x14ac:dyDescent="0.2">
      <c r="A247" s="131" t="str">
        <f>HYPERLINK("#A1", "▲ Back to top")</f>
        <v>▲ Back to top</v>
      </c>
      <c r="D247" s="248" t="s">
        <v>1090</v>
      </c>
    </row>
    <row r="249" spans="1:40" ht="20.100000000000001" customHeight="1" x14ac:dyDescent="0.2">
      <c r="D249" s="35" t="s">
        <v>1091</v>
      </c>
      <c r="E249" s="37"/>
      <c r="F249" s="38"/>
    </row>
    <row r="251" spans="1:40" ht="20.100000000000001" customHeight="1" x14ac:dyDescent="0.2">
      <c r="D251" s="78" t="s">
        <v>1053</v>
      </c>
      <c r="E251" s="78" t="s">
        <v>1071</v>
      </c>
      <c r="F251" s="119" t="s">
        <v>1072</v>
      </c>
      <c r="G251" s="119" t="s">
        <v>1073</v>
      </c>
      <c r="H251" s="119" t="s">
        <v>1074</v>
      </c>
      <c r="I251" s="78" t="s">
        <v>1075</v>
      </c>
      <c r="J251" s="119" t="s">
        <v>1076</v>
      </c>
      <c r="K251" s="119" t="s">
        <v>1077</v>
      </c>
      <c r="L251" s="78" t="s">
        <v>1030</v>
      </c>
      <c r="M251" s="78" t="s">
        <v>1031</v>
      </c>
      <c r="N251" s="78" t="s">
        <v>1032</v>
      </c>
      <c r="O251" s="119" t="s">
        <v>700</v>
      </c>
      <c r="P251" s="119" t="s">
        <v>701</v>
      </c>
      <c r="Q251" s="119" t="s">
        <v>685</v>
      </c>
      <c r="R251" s="119" t="s">
        <v>686</v>
      </c>
      <c r="S251" s="119" t="s">
        <v>1078</v>
      </c>
      <c r="T251" s="78" t="s">
        <v>1079</v>
      </c>
      <c r="U251" s="119" t="s">
        <v>687</v>
      </c>
      <c r="V251" s="119" t="s">
        <v>688</v>
      </c>
      <c r="W251" s="119" t="s">
        <v>1080</v>
      </c>
      <c r="X251" s="78" t="s">
        <v>1081</v>
      </c>
      <c r="Y251" s="119" t="s">
        <v>689</v>
      </c>
      <c r="Z251" s="119" t="s">
        <v>690</v>
      </c>
      <c r="AA251" s="119" t="s">
        <v>1082</v>
      </c>
      <c r="AB251" s="78" t="s">
        <v>1083</v>
      </c>
      <c r="AC251" s="119" t="s">
        <v>691</v>
      </c>
      <c r="AD251" s="119" t="s">
        <v>692</v>
      </c>
      <c r="AE251" s="119" t="s">
        <v>1084</v>
      </c>
      <c r="AF251" s="78" t="s">
        <v>1085</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5"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5" cm="1">
        <f t="array" ref="J252">Scope3_Equations.VEERG_15_4_1_1__1_EmissionsFromPurchasedFertiliser(E252,I252)</f>
        <v>4</v>
      </c>
      <c r="K252" s="255"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1:40" ht="20.100000000000001" customHeight="1" x14ac:dyDescent="0.2">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5"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5" cm="1">
        <f t="array" ref="J253">Scope3_Equations.VEERG_15_4_1_1__1_EmissionsFromPurchasedFertiliser(E253,I253)</f>
        <v>9</v>
      </c>
      <c r="K253" s="255"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6" t="str">
        <v/>
      </c>
      <c r="P253" s="256"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1:40" ht="20.100000000000001" customHeight="1" x14ac:dyDescent="0.2">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5"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5" cm="1">
        <f t="array" ref="J254">Scope3_Equations.VEERG_15_4_1_1__1_EmissionsFromPurchasedFertiliser(E254,I254)</f>
        <v>4</v>
      </c>
      <c r="K254" s="255"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6" t="str">
        <v/>
      </c>
      <c r="P254" s="256"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1: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5"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5" cm="1">
        <f t="array" ref="J255">Scope3_Equations.VEERG_15_4_1_1__1_EmissionsFromPurchasedFertiliser(E255,I255)</f>
        <v>0</v>
      </c>
      <c r="K255" s="255"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6" t="str">
        <v/>
      </c>
      <c r="P255" s="256"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1: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5"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5" cm="1">
        <f t="array" ref="J256">Scope3_Equations.VEERG_15_4_1_1__1_EmissionsFromPurchasedFertiliser(E256,I256)</f>
        <v>0</v>
      </c>
      <c r="K256" s="255"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6" t="str">
        <v/>
      </c>
      <c r="P256" s="256"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5"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5" cm="1">
        <f t="array" ref="J257">Scope3_Equations.VEERG_15_4_1_1__1_EmissionsFromPurchasedFertiliser(E257,I257)</f>
        <v>0</v>
      </c>
      <c r="K257" s="255"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6" t="str">
        <v/>
      </c>
      <c r="P257" s="256"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5"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5" cm="1">
        <f t="array" ref="J258">Scope3_Equations.VEERG_15_4_1_1__1_EmissionsFromPurchasedFertiliser(E258,I258)</f>
        <v>0</v>
      </c>
      <c r="K258" s="255"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6" t="str">
        <v/>
      </c>
      <c r="P258" s="256"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5"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5" cm="1">
        <f t="array" ref="J259">Scope3_Equations.VEERG_15_4_1_1__1_EmissionsFromPurchasedFertiliser(E259,I259)</f>
        <v>0</v>
      </c>
      <c r="K259" s="255"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6" t="str">
        <v/>
      </c>
      <c r="P259" s="256"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5"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5" cm="1">
        <f t="array" ref="J260">Scope3_Equations.VEERG_15_4_1_1__1_EmissionsFromPurchasedFertiliser(E260,I260)</f>
        <v>0</v>
      </c>
      <c r="K260" s="255"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6" t="str">
        <v/>
      </c>
      <c r="P260" s="256"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5"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5" cm="1">
        <f t="array" ref="J261">Scope3_Equations.VEERG_15_4_1_1__1_EmissionsFromPurchasedFertiliser(E261,I261)</f>
        <v>0</v>
      </c>
      <c r="K261" s="255"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6" t="str">
        <v/>
      </c>
      <c r="P261" s="256"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3" spans="3:41" ht="20.100000000000001" customHeight="1" x14ac:dyDescent="0.2">
      <c r="D263" s="257" t="s">
        <v>1092</v>
      </c>
      <c r="E263" s="85">
        <f>SUM(G236:G245)+SUM(G252:G261)</f>
        <v>66.611033519999992</v>
      </c>
      <c r="F263" s="94" t="str">
        <f>$E$170</f>
        <v>t CO2e</v>
      </c>
    </row>
    <row r="264" spans="3:41" ht="20.100000000000001" customHeight="1" x14ac:dyDescent="0.2">
      <c r="D264" s="257" t="s">
        <v>1093</v>
      </c>
      <c r="E264" s="85">
        <f>SUM(J236:J245)+SUM(J252:J261)</f>
        <v>34</v>
      </c>
      <c r="F264" s="94" t="str">
        <f>$E$170</f>
        <v>t CO2e</v>
      </c>
    </row>
    <row r="266" spans="3:41" ht="20.100000000000001" customHeight="1" x14ac:dyDescent="0.2">
      <c r="D266" s="257" t="s">
        <v>1094</v>
      </c>
      <c r="E266" s="85">
        <f>SUM(H236:H245)+SUM(H252:H261)</f>
        <v>66.611033520000007</v>
      </c>
      <c r="F266" s="94" t="str">
        <f>$E$170</f>
        <v>t CO2e</v>
      </c>
    </row>
    <row r="267" spans="3:41" ht="20.100000000000001" customHeight="1" x14ac:dyDescent="0.2">
      <c r="D267" s="257" t="s">
        <v>1095</v>
      </c>
      <c r="E267" s="85">
        <f>SUM(K236:K245)+SUM(K252:K261)</f>
        <v>65.023033519999998</v>
      </c>
      <c r="F267" s="94" t="str">
        <f>$E$170</f>
        <v>t CO2e</v>
      </c>
    </row>
    <row r="270" spans="3:41" ht="20.100000000000001" customHeight="1" x14ac:dyDescent="0.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0.100000000000001" customHeight="1" x14ac:dyDescent="0.2">
      <c r="D271" s="2" t="str" cm="1">
        <f t="array" ref="D271">Scope3_Equations.VEERG_15_5_1_1__1_EmissionsFromPurchasedAgrichemicals_Title()</f>
        <v>Total emissions from purchased agrichemicals</v>
      </c>
    </row>
    <row r="272" spans="3:41" ht="20.100000000000001" customHeight="1" x14ac:dyDescent="0.2">
      <c r="D272" s="17" t="str" cm="1">
        <f t="array" ref="D272">Scope3_Equations.VEERG_15_5_1_1__1_EmissionsFromPurchasedAgrichemicals_Source()</f>
        <v>VEERG 2026: 15.5.1.1, Equation (1)</v>
      </c>
    </row>
    <row r="273" spans="1:9" ht="20.100000000000001" customHeight="1" x14ac:dyDescent="0.2">
      <c r="D273" s="110" t="s">
        <v>321</v>
      </c>
      <c r="E273" s="110" t="str" cm="1">
        <f t="array" aca="1" ref="E273" ca="1">Common_InputFunctions.Utility_DisplayFunctionName(G285)</f>
        <v>=Scope3_Equations.VEERG_15_5_1_1__1_EmissionsFromPurchasedAgrichemicals</v>
      </c>
    </row>
    <row r="277" spans="1:9" ht="20.100000000000001" customHeight="1" x14ac:dyDescent="0.2">
      <c r="A277" s="131" t="str">
        <f>HYPERLINK("#A1", "▲ Back to top")</f>
        <v>▲ Back to top</v>
      </c>
      <c r="D277" s="75" t="s">
        <v>322</v>
      </c>
      <c r="E277" s="1" t="str" cm="1">
        <f t="array" ref="E277">Scope3_Equations.VEERG_15_5_1_1__1_EmissionsFromPurchasedAgrichemicals_Variable()</f>
        <v>E</v>
      </c>
    </row>
    <row r="278" spans="1:9" ht="20.100000000000001" customHeight="1" x14ac:dyDescent="0.2">
      <c r="D278" s="75" t="s">
        <v>118</v>
      </c>
      <c r="E278" s="9" t="str" cm="1">
        <f t="array" ref="E278">Scope3_Equations.VEERG_15_5_1_1__1_EmissionsFromPurchasedAgrichemicals_Unit()</f>
        <v>t CO2e</v>
      </c>
    </row>
    <row r="280" spans="1:9" ht="20.100000000000001" customHeight="1" x14ac:dyDescent="0.2">
      <c r="D280" s="127" t="str" cm="1">
        <f t="array" ref="D280:E282">_xlfn.CHOOSECOLS(Scope3_Equations.VEERG_15_5_1_1__1_EmissionsFromPurchasedAgrichemicals_Arguments(),1,2)</f>
        <v>Q_h</v>
      </c>
      <c r="E280" s="128" t="str">
        <v>quantity of active ingredients in agrichemical type h purchased and applied to soils</v>
      </c>
      <c r="F280" s="129"/>
      <c r="G280" s="127" t="str" cm="1">
        <f t="array" ref="G280:H282">_xlfn.CHOOSECOLS(Scope3_Equations.VEERG_15_5_1_1__1_EmissionsFromPurchasedAgrichemicals_Arguments(),3,4)</f>
        <v>kg ai</v>
      </c>
      <c r="H280" s="253" t="str">
        <v>Input</v>
      </c>
    </row>
    <row r="281" spans="1:9" ht="20.100000000000001" customHeight="1" x14ac:dyDescent="0.2">
      <c r="D281" s="127" t="str">
        <v>EF_h</v>
      </c>
      <c r="E281" s="128" t="str">
        <v>emission factor for purchased agrichemical active ingredient</v>
      </c>
      <c r="F281" s="129"/>
      <c r="G281" s="127" t="str">
        <v>kg CO2e/kg ai</v>
      </c>
      <c r="H281" s="125" t="str">
        <v>Constant</v>
      </c>
    </row>
    <row r="282" spans="1:9" ht="20.100000000000001" customHeight="1" x14ac:dyDescent="0.2">
      <c r="D282" s="127" t="str">
        <v>h</v>
      </c>
      <c r="E282" s="128" t="str">
        <v>agrichemical type</v>
      </c>
      <c r="F282" s="129"/>
      <c r="G282" s="127" t="str">
        <v/>
      </c>
      <c r="H282" s="253" t="str">
        <v>Input</v>
      </c>
    </row>
    <row r="284" spans="1:9" ht="20.100000000000001" customHeight="1" x14ac:dyDescent="0.2">
      <c r="D284" s="78" t="s">
        <v>1096</v>
      </c>
      <c r="E284" s="78" t="s">
        <v>684</v>
      </c>
      <c r="F284" s="119" t="s">
        <v>1097</v>
      </c>
      <c r="G284" s="119" t="s">
        <v>1026</v>
      </c>
      <c r="H284" s="78" t="s">
        <v>1098</v>
      </c>
      <c r="I284" s="119" t="s">
        <v>1029</v>
      </c>
    </row>
    <row r="285" spans="1:9" ht="20.100000000000001" customHeight="1" x14ac:dyDescent="0.2">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1:9" ht="20.100000000000001" customHeight="1" x14ac:dyDescent="0.2">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1:9" ht="20.100000000000001" customHeight="1" x14ac:dyDescent="0.2">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1:9" ht="20.100000000000001" customHeight="1" x14ac:dyDescent="0.2">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ht="20.100000000000001" customHeight="1" x14ac:dyDescent="0.2">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ht="20.100000000000001" customHeight="1" x14ac:dyDescent="0.2">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ht="20.100000000000001" customHeight="1" x14ac:dyDescent="0.2">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ht="20.100000000000001" customHeight="1" x14ac:dyDescent="0.2">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ht="20.100000000000001" customHeight="1" x14ac:dyDescent="0.2">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ht="20.100000000000001" customHeight="1" x14ac:dyDescent="0.2">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ht="20.100000000000001" customHeight="1" x14ac:dyDescent="0.2">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ht="20.100000000000001" customHeight="1" x14ac:dyDescent="0.2">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100000000000001" customHeight="1" x14ac:dyDescent="0.2">
      <c r="D298" s="257" t="s">
        <v>1026</v>
      </c>
      <c r="E298" s="85">
        <f>SUM(G285:G296)</f>
        <v>0</v>
      </c>
      <c r="F298" s="94" t="str">
        <f>$E$170</f>
        <v>t CO2e</v>
      </c>
    </row>
    <row r="299" spans="3:41" ht="20.100000000000001" customHeight="1" x14ac:dyDescent="0.2">
      <c r="D299" s="257" t="s">
        <v>1029</v>
      </c>
      <c r="E299" s="85">
        <f>SUM(I285:I296)</f>
        <v>0</v>
      </c>
      <c r="F299" s="94" t="str">
        <f>$E$170</f>
        <v>t CO2e</v>
      </c>
    </row>
    <row r="302" spans="3:41" ht="20.100000000000001" customHeight="1" x14ac:dyDescent="0.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0.100000000000001" customHeight="1" x14ac:dyDescent="0.2">
      <c r="D303" s="2" t="str" cm="1">
        <f t="array" ref="D303">Scope3_Equations.VEERG_15_6_1_1__1_EmissionsFromPurchasedLime_Title()</f>
        <v>Embedded emissions for purchased lime</v>
      </c>
    </row>
    <row r="304" spans="3:41" ht="20.100000000000001" customHeight="1" x14ac:dyDescent="0.2">
      <c r="D304" s="17" t="str" cm="1">
        <f t="array" ref="D304">Scope3_Equations.VEERG_15_6_1_1__1_EmissionsFromPurchasedLime_Source()</f>
        <v>VEERG 2026: 15.6.1.1, Equation (1)</v>
      </c>
    </row>
    <row r="305" spans="1:13" ht="20.100000000000001" customHeight="1" x14ac:dyDescent="0.2">
      <c r="D305" s="110" t="s">
        <v>321</v>
      </c>
      <c r="E305" s="110" t="str" cm="1">
        <f t="array" aca="1" ref="E305" ca="1">Common_InputFunctions.Utility_DisplayFunctionName(I320)</f>
        <v>=Scope3_Equations.VEERG_15_6_1_1__1_EmissionsFromPurchasedLime</v>
      </c>
    </row>
    <row r="307" spans="1:13" ht="20.100000000000001" customHeight="1" x14ac:dyDescent="0.2">
      <c r="A307" s="131" t="str">
        <f>HYPERLINK("#A1", "▲ Back to top")</f>
        <v>▲ Back to top</v>
      </c>
    </row>
    <row r="308" spans="1:13" ht="20.100000000000001" customHeight="1" x14ac:dyDescent="0.2">
      <c r="D308" s="75" t="s">
        <v>322</v>
      </c>
      <c r="E308" s="1" t="str" cm="1">
        <f t="array" ref="E308">Scope3_Equations.VEERG_15_6_1_1__1_EmissionsFromPurchasedLime_Variable()</f>
        <v>E</v>
      </c>
    </row>
    <row r="309" spans="1:13" ht="20.100000000000001" customHeight="1" x14ac:dyDescent="0.2">
      <c r="D309" s="75" t="s">
        <v>118</v>
      </c>
      <c r="E309" s="1" t="str" cm="1">
        <f t="array" ref="E309">Scope3_Equations.VEERG_15_6_1_1__1_EmissionsFromPurchasedLime_Unit()</f>
        <v>t CO2e</v>
      </c>
    </row>
    <row r="311" spans="1:13" ht="20.100000000000001" customHeight="1" x14ac:dyDescent="0.2">
      <c r="D311" s="127" t="str" cm="1">
        <f t="array" ref="D311:E312">_xlfn.CHOOSECOLS(Scope3_Equations.VEERG_15_6_1_1__1_EmissionsFromPurchasedLime_Arguments(),1,2)</f>
        <v>M_lime</v>
      </c>
      <c r="E311" s="127" t="str">
        <v>total quantity of lime applied to soils</v>
      </c>
      <c r="F311" s="127" t="str" cm="1">
        <f t="array" ref="F311:G312">_xlfn.CHOOSECOLS(Scope3_Equations.VEERG_15_6_1_1__1_EmissionsFromPurchasedLime_Arguments(),3,4)</f>
        <v>t</v>
      </c>
      <c r="G311" s="253" t="str">
        <v>Input</v>
      </c>
    </row>
    <row r="312" spans="1:13" ht="20.100000000000001" customHeight="1" x14ac:dyDescent="0.2">
      <c r="D312" s="127" t="str">
        <v>EF_l</v>
      </c>
      <c r="E312" s="127" t="str">
        <v>emission factor for purchased lime</v>
      </c>
      <c r="F312" s="127" t="str">
        <v>t CO2e/t</v>
      </c>
      <c r="G312" s="125" t="str">
        <v>Constant</v>
      </c>
    </row>
    <row r="314" spans="1:13" ht="20.100000000000001" customHeight="1" x14ac:dyDescent="0.2">
      <c r="E314" s="119" t="s">
        <v>130</v>
      </c>
      <c r="F314" s="78" t="s">
        <v>131</v>
      </c>
    </row>
    <row r="315" spans="1:13" ht="20.100000000000001" customHeight="1" x14ac:dyDescent="0.2">
      <c r="D315" s="1" t="s">
        <v>1099</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1:13" ht="20.100000000000001" customHeight="1" x14ac:dyDescent="0.2">
      <c r="D316" s="1" t="s">
        <v>1100</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1:13" ht="20.100000000000001" customHeight="1" x14ac:dyDescent="0.2">
      <c r="D317" s="1" t="s">
        <v>1101</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1:13" ht="20.100000000000001" customHeight="1" x14ac:dyDescent="0.2">
      <c r="D319" s="78" t="s">
        <v>936</v>
      </c>
      <c r="E319" s="254" t="s">
        <v>1102</v>
      </c>
      <c r="F319" s="78" t="s">
        <v>1103</v>
      </c>
      <c r="G319" s="78" t="s">
        <v>1104</v>
      </c>
      <c r="H319" s="78" t="s">
        <v>1105</v>
      </c>
      <c r="I319" s="119" t="s">
        <v>1026</v>
      </c>
      <c r="J319" s="119" t="s">
        <v>1106</v>
      </c>
      <c r="K319" s="78" t="s">
        <v>1030</v>
      </c>
      <c r="L319" s="78" t="s">
        <v>1031</v>
      </c>
      <c r="M319" s="78" t="s">
        <v>1032</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5" cm="1">
        <f t="array" ref="I320">Scope3_Equations.VEERG_15_6_1_1__1_EmissionsFromPurchasedLime(F320,$E$315)+
Scope3_Equations.VEERG_15_6_1_1__1_EmissionsFromPurchasedLime(G320,$E$316)+
Scope3_Equations.VEERG_15_6_1_1__1_EmissionsFromPurchasedLime(H320,$E$317)</f>
        <v>5.1839999999999994E-3</v>
      </c>
      <c r="J320" s="255"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ht="20.100000000000001" customHeight="1" x14ac:dyDescent="0.2">
      <c r="D321" s="15" t="str">
        <v>Lime product 2</v>
      </c>
      <c r="E321" s="15">
        <v>100</v>
      </c>
      <c r="F321" s="15">
        <v>100</v>
      </c>
      <c r="G321" s="15">
        <v>0</v>
      </c>
      <c r="H321" s="15">
        <v>0</v>
      </c>
      <c r="I321" s="255" cm="1">
        <f t="array" ref="I321">Scope3_Equations.VEERG_15_6_1_1__1_EmissionsFromPurchasedLime(F321,$E$315)+
Scope3_Equations.VEERG_15_6_1_1__1_EmissionsFromPurchasedLime(G321,$E$316)+
Scope3_Equations.VEERG_15_6_1_1__1_EmissionsFromPurchasedLime(H321,$E$317)</f>
        <v>4.8500000000000001E-3</v>
      </c>
      <c r="J321" s="255"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ht="20.100000000000001" customHeight="1" x14ac:dyDescent="0.2">
      <c r="D322" s="15" t="str">
        <v>Lime product 3</v>
      </c>
      <c r="E322" s="15">
        <v>100</v>
      </c>
      <c r="F322" s="15">
        <v>0</v>
      </c>
      <c r="G322" s="15">
        <v>0</v>
      </c>
      <c r="H322" s="15">
        <v>100</v>
      </c>
      <c r="I322" s="255" cm="1">
        <f t="array" ref="I322">Scope3_Equations.VEERG_15_6_1_1__1_EmissionsFromPurchasedLime(F322,$E$315)+
Scope3_Equations.VEERG_15_6_1_1__1_EmissionsFromPurchasedLime(G322,$E$316)+
Scope3_Equations.VEERG_15_6_1_1__1_EmissionsFromPurchasedLime(H322,$E$317)</f>
        <v>6.5199999999999998E-3</v>
      </c>
      <c r="J322" s="255"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ht="20.100000000000001" customHeight="1" x14ac:dyDescent="0.2">
      <c r="D323" s="15" t="str">
        <v/>
      </c>
      <c r="E323" s="15">
        <v>0</v>
      </c>
      <c r="F323" s="15">
        <v>0</v>
      </c>
      <c r="G323" s="15">
        <v>0</v>
      </c>
      <c r="H323" s="15">
        <v>0</v>
      </c>
      <c r="I323" s="255" cm="1">
        <f t="array" ref="I323">Scope3_Equations.VEERG_15_6_1_1__1_EmissionsFromPurchasedLime(F323,$E$315)+
Scope3_Equations.VEERG_15_6_1_1__1_EmissionsFromPurchasedLime(G323,$E$316)+
Scope3_Equations.VEERG_15_6_1_1__1_EmissionsFromPurchasedLime(H323,$E$317)</f>
        <v>0</v>
      </c>
      <c r="J323" s="255"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ht="20.100000000000001" customHeight="1" x14ac:dyDescent="0.2">
      <c r="D324" s="15" t="str">
        <v/>
      </c>
      <c r="E324" s="15">
        <v>0</v>
      </c>
      <c r="F324" s="15">
        <v>0</v>
      </c>
      <c r="G324" s="15">
        <v>0</v>
      </c>
      <c r="H324" s="15">
        <v>0</v>
      </c>
      <c r="I324" s="255" cm="1">
        <f t="array" ref="I324">Scope3_Equations.VEERG_15_6_1_1__1_EmissionsFromPurchasedLime(F324,$E$315)+
Scope3_Equations.VEERG_15_6_1_1__1_EmissionsFromPurchasedLime(G324,$E$316)+
Scope3_Equations.VEERG_15_6_1_1__1_EmissionsFromPurchasedLime(H324,$E$317)</f>
        <v>0</v>
      </c>
      <c r="J324" s="255"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ht="20.100000000000001" customHeight="1" x14ac:dyDescent="0.2">
      <c r="D325" s="15" t="str">
        <v/>
      </c>
      <c r="E325" s="15">
        <v>0</v>
      </c>
      <c r="F325" s="15">
        <v>0</v>
      </c>
      <c r="G325" s="15">
        <v>0</v>
      </c>
      <c r="H325" s="15">
        <v>0</v>
      </c>
      <c r="I325" s="255" cm="1">
        <f t="array" ref="I325">Scope3_Equations.VEERG_15_6_1_1__1_EmissionsFromPurchasedLime(F325,$E$315)+
Scope3_Equations.VEERG_15_6_1_1__1_EmissionsFromPurchasedLime(G325,$E$316)+
Scope3_Equations.VEERG_15_6_1_1__1_EmissionsFromPurchasedLime(H325,$E$317)</f>
        <v>0</v>
      </c>
      <c r="J325" s="255"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ht="20.100000000000001" customHeight="1" x14ac:dyDescent="0.2">
      <c r="D326" s="15" t="str">
        <v/>
      </c>
      <c r="E326" s="15">
        <v>0</v>
      </c>
      <c r="F326" s="15">
        <v>0</v>
      </c>
      <c r="G326" s="15">
        <v>0</v>
      </c>
      <c r="H326" s="15">
        <v>0</v>
      </c>
      <c r="I326" s="255" cm="1">
        <f t="array" ref="I326">Scope3_Equations.VEERG_15_6_1_1__1_EmissionsFromPurchasedLime(F326,$E$315)+
Scope3_Equations.VEERG_15_6_1_1__1_EmissionsFromPurchasedLime(G326,$E$316)+
Scope3_Equations.VEERG_15_6_1_1__1_EmissionsFromPurchasedLime(H326,$E$317)</f>
        <v>0</v>
      </c>
      <c r="J326" s="255"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ht="20.100000000000001" customHeight="1" x14ac:dyDescent="0.2">
      <c r="D327" s="15" t="str">
        <v/>
      </c>
      <c r="E327" s="15">
        <v>0</v>
      </c>
      <c r="F327" s="15">
        <v>0</v>
      </c>
      <c r="G327" s="15">
        <v>0</v>
      </c>
      <c r="H327" s="15">
        <v>0</v>
      </c>
      <c r="I327" s="255" cm="1">
        <f t="array" ref="I327">Scope3_Equations.VEERG_15_6_1_1__1_EmissionsFromPurchasedLime(F327,$E$315)+
Scope3_Equations.VEERG_15_6_1_1__1_EmissionsFromPurchasedLime(G327,$E$316)+
Scope3_Equations.VEERG_15_6_1_1__1_EmissionsFromPurchasedLime(H327,$E$317)</f>
        <v>0</v>
      </c>
      <c r="J327" s="255"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ht="20.100000000000001" customHeight="1" x14ac:dyDescent="0.2">
      <c r="D328" s="15" t="str">
        <v/>
      </c>
      <c r="E328" s="15">
        <v>0</v>
      </c>
      <c r="F328" s="15">
        <v>0</v>
      </c>
      <c r="G328" s="15">
        <v>0</v>
      </c>
      <c r="H328" s="15">
        <v>0</v>
      </c>
      <c r="I328" s="255" cm="1">
        <f t="array" ref="I328">Scope3_Equations.VEERG_15_6_1_1__1_EmissionsFromPurchasedLime(F328,$E$315)+
Scope3_Equations.VEERG_15_6_1_1__1_EmissionsFromPurchasedLime(G328,$E$316)+
Scope3_Equations.VEERG_15_6_1_1__1_EmissionsFromPurchasedLime(H328,$E$317)</f>
        <v>0</v>
      </c>
      <c r="J328" s="255"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ht="20.100000000000001" customHeight="1" x14ac:dyDescent="0.2">
      <c r="D329" s="15" t="str">
        <v/>
      </c>
      <c r="E329" s="15">
        <v>0</v>
      </c>
      <c r="F329" s="15">
        <v>0</v>
      </c>
      <c r="G329" s="15">
        <v>0</v>
      </c>
      <c r="H329" s="15">
        <v>0</v>
      </c>
      <c r="I329" s="255" cm="1">
        <f t="array" ref="I329">Scope3_Equations.VEERG_15_6_1_1__1_EmissionsFromPurchasedLime(F329,$E$315)+
Scope3_Equations.VEERG_15_6_1_1__1_EmissionsFromPurchasedLime(G329,$E$316)+
Scope3_Equations.VEERG_15_6_1_1__1_EmissionsFromPurchasedLime(H329,$E$317)</f>
        <v>0</v>
      </c>
      <c r="J329" s="255"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100000000000001" customHeight="1" x14ac:dyDescent="0.2">
      <c r="D331" s="257" t="s">
        <v>1026</v>
      </c>
      <c r="E331" s="85">
        <f>SUM(I320:I329)</f>
        <v>1.6553999999999999E-2</v>
      </c>
      <c r="F331" s="94" t="str">
        <f>$E$170</f>
        <v>t CO2e</v>
      </c>
    </row>
    <row r="332" spans="3:41" ht="20.100000000000001" customHeight="1" x14ac:dyDescent="0.2">
      <c r="D332" s="257" t="s">
        <v>1029</v>
      </c>
      <c r="E332" s="85">
        <f>SUM(J320:J329)</f>
        <v>1.4400000000000001E-2</v>
      </c>
      <c r="F332" s="94" t="str">
        <f>$E$170</f>
        <v>t CO2e</v>
      </c>
    </row>
    <row r="335" spans="3:41" ht="20.100000000000001" customHeight="1" x14ac:dyDescent="0.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0.100000000000001" customHeight="1" x14ac:dyDescent="0.2">
      <c r="D336" s="2" t="str" cm="1">
        <f t="array" ref="D336">Scope3_Equations.VEERG_15_7_1_1__1_EmissionsFromPurchasedServices_Title()</f>
        <v>Emissions of purchased services and contractor operations</v>
      </c>
    </row>
    <row r="337" spans="1:15" ht="20.100000000000001" customHeight="1" x14ac:dyDescent="0.2">
      <c r="A337" s="131" t="str">
        <f>HYPERLINK("#A1", "▲ Back to top")</f>
        <v>▲ Back to top</v>
      </c>
      <c r="D337" s="17" t="str" cm="1">
        <f t="array" ref="D337">Scope3_Equations.VEERG_15_7_1_1__1_EmissionsFromPurchasedServices_Source()</f>
        <v>VEERG 2026: 15.7.1.1, Equation (1)</v>
      </c>
    </row>
    <row r="338" spans="1:15" ht="20.100000000000001" customHeight="1" x14ac:dyDescent="0.2">
      <c r="D338" s="110" t="s">
        <v>321</v>
      </c>
      <c r="E338" s="110" t="str" cm="1">
        <f t="array" aca="1" ref="E338" ca="1">Common_InputFunctions.Utility_DisplayFunctionName(K351)</f>
        <v>=Scope3_Equations.VEERG_15_7_1_1__1_EmissionsFromPurchasedServices</v>
      </c>
    </row>
    <row r="340" spans="1:15" ht="20.100000000000001" customHeight="1" x14ac:dyDescent="0.2">
      <c r="H340" s="1" t="s">
        <v>1107</v>
      </c>
    </row>
    <row r="341" spans="1:15" ht="20.100000000000001" customHeight="1" x14ac:dyDescent="0.2">
      <c r="D341" s="75" t="s">
        <v>322</v>
      </c>
      <c r="E341" s="1" t="str" cm="1">
        <f t="array" ref="E341">Scope3_Equations.VEERG_15_7_1_1__1_EmissionsFromPurchasedServices_Variable()</f>
        <v>E</v>
      </c>
    </row>
    <row r="342" spans="1:15" ht="20.100000000000001" customHeight="1" x14ac:dyDescent="0.2">
      <c r="D342" s="75" t="s">
        <v>118</v>
      </c>
      <c r="E342" s="1" t="str" cm="1">
        <f t="array" ref="E342">Scope3_Equations.VEERG_15_7_1_1__1_EmissionsFromPurchasedServices_Unit()</f>
        <v>t CO2e</v>
      </c>
    </row>
    <row r="344" spans="1:15" ht="20.100000000000001" customHeight="1" x14ac:dyDescent="0.2">
      <c r="D344" s="127" t="str" cm="1">
        <f t="array" ref="D344:E346">_xlfn.CHOOSECOLS(Scope3_Equations.VEERG_15_7_1_1__1_EmissionsFromPurchasedServices_Arguments(),1,2)</f>
        <v>A_p</v>
      </c>
      <c r="E344" s="128" t="str">
        <v>activity data of the service that was purchased</v>
      </c>
      <c r="F344" s="129"/>
      <c r="G344" s="127" t="str" cm="1">
        <f t="array" ref="G344:H346">_xlfn.CHOOSECOLS(Scope3_Equations.VEERG_15_7_1_1__1_EmissionsFromPurchasedServices_Arguments(),3,4)</f>
        <v>ha or h</v>
      </c>
      <c r="H344" s="253" t="str">
        <v>Input</v>
      </c>
    </row>
    <row r="345" spans="1:15" ht="20.100000000000001" customHeight="1" x14ac:dyDescent="0.2">
      <c r="D345" s="127" t="str">
        <v>EF_p</v>
      </c>
      <c r="E345" s="128" t="str">
        <v>life cycle emission factor for the purchased service</v>
      </c>
      <c r="F345" s="129"/>
      <c r="G345" s="127" t="str">
        <v>kg CO2e/ha or kg CO2e/h</v>
      </c>
      <c r="H345" s="125" t="str">
        <v>Constant</v>
      </c>
    </row>
    <row r="346" spans="1:15" ht="20.100000000000001" customHeight="1" x14ac:dyDescent="0.2">
      <c r="D346" s="127" t="str">
        <v>p</v>
      </c>
      <c r="E346" s="128" t="str">
        <v>service type</v>
      </c>
      <c r="F346" s="129"/>
      <c r="G346" s="127" t="str">
        <v/>
      </c>
      <c r="H346" s="253" t="str">
        <v>Input</v>
      </c>
    </row>
    <row r="348" spans="1:15" ht="20.100000000000001" customHeight="1" x14ac:dyDescent="0.2">
      <c r="D348" s="25" t="s">
        <v>1108</v>
      </c>
    </row>
    <row r="350" spans="1:15" ht="20.100000000000001" customHeight="1" x14ac:dyDescent="0.2">
      <c r="D350" s="78" t="s">
        <v>946</v>
      </c>
      <c r="E350" s="78" t="s">
        <v>947</v>
      </c>
      <c r="F350" s="78" t="s">
        <v>948</v>
      </c>
      <c r="G350" s="78" t="s">
        <v>583</v>
      </c>
      <c r="H350" s="119" t="s">
        <v>1109</v>
      </c>
      <c r="I350" s="119" t="s">
        <v>1110</v>
      </c>
      <c r="J350" s="78" t="s">
        <v>1111</v>
      </c>
      <c r="K350" s="119" t="s">
        <v>1112</v>
      </c>
      <c r="L350" s="119" t="s">
        <v>1113</v>
      </c>
      <c r="M350" s="78" t="s">
        <v>1030</v>
      </c>
      <c r="N350" s="78" t="s">
        <v>1031</v>
      </c>
      <c r="O350" s="78" t="s">
        <v>1032</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1114</v>
      </c>
      <c r="I351" s="15" t="s">
        <v>1114</v>
      </c>
      <c r="J351" s="74">
        <v>0.1</v>
      </c>
      <c r="K351" s="255" cm="1">
        <f t="array" ref="K351">Scope3_Equations.VEERG_15_7_1_1__1_EmissionsFromPurchasedServices(F351,J351)</f>
        <v>1</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1114</v>
      </c>
      <c r="I352" s="15" t="s">
        <v>1114</v>
      </c>
      <c r="J352" s="74">
        <v>0.1</v>
      </c>
      <c r="K352" s="255" cm="1">
        <f t="array" ref="K352">Scope3_Equations.VEERG_15_7_1_1__1_EmissionsFromPurchasedServices(F352,J352)</f>
        <v>0.1</v>
      </c>
      <c r="L352" s="15" t="str">
        <f t="shared" ref="L352:L360" si="1">"t CO2e / " &amp; G352</f>
        <v>t CO2e / Hectare</v>
      </c>
      <c r="M352" s="33"/>
      <c r="N352" s="13"/>
      <c r="O352" s="33"/>
    </row>
    <row r="353" spans="1:41" ht="20.100000000000001" customHeight="1" x14ac:dyDescent="0.2">
      <c r="D353" s="15">
        <v>0</v>
      </c>
      <c r="E353" s="15">
        <v>0</v>
      </c>
      <c r="F353" s="15">
        <v>0</v>
      </c>
      <c r="G353" s="15">
        <v>0</v>
      </c>
      <c r="H353" s="15" t="s">
        <v>1114</v>
      </c>
      <c r="I353" s="15" t="s">
        <v>1114</v>
      </c>
      <c r="J353" s="74"/>
      <c r="K353" s="255" cm="1">
        <f t="array" ref="K353">Scope3_Equations.VEERG_15_7_1_1__1_EmissionsFromPurchasedServices(F353,J353)</f>
        <v>0</v>
      </c>
      <c r="L353" s="15" t="str">
        <f t="shared" si="1"/>
        <v>t CO2e / 0</v>
      </c>
      <c r="M353" s="33"/>
      <c r="N353" s="13"/>
      <c r="O353" s="33"/>
    </row>
    <row r="354" spans="1:41" ht="20.100000000000001" customHeight="1" x14ac:dyDescent="0.2">
      <c r="D354" s="15">
        <v>0</v>
      </c>
      <c r="E354" s="15">
        <v>0</v>
      </c>
      <c r="F354" s="15">
        <v>0</v>
      </c>
      <c r="G354" s="15">
        <v>0</v>
      </c>
      <c r="H354" s="15" t="s">
        <v>1114</v>
      </c>
      <c r="I354" s="15" t="s">
        <v>1114</v>
      </c>
      <c r="J354" s="74"/>
      <c r="K354" s="255" cm="1">
        <f t="array" ref="K354">Scope3_Equations.VEERG_15_7_1_1__1_EmissionsFromPurchasedServices(F354,J354)</f>
        <v>0</v>
      </c>
      <c r="L354" s="15" t="str">
        <f t="shared" si="1"/>
        <v>t CO2e / 0</v>
      </c>
      <c r="M354" s="33"/>
      <c r="N354" s="13"/>
      <c r="O354" s="33"/>
    </row>
    <row r="355" spans="1:41" ht="20.100000000000001" customHeight="1" x14ac:dyDescent="0.2">
      <c r="D355" s="15">
        <v>0</v>
      </c>
      <c r="E355" s="15">
        <v>0</v>
      </c>
      <c r="F355" s="15">
        <v>0</v>
      </c>
      <c r="G355" s="15">
        <v>0</v>
      </c>
      <c r="H355" s="15" t="s">
        <v>1114</v>
      </c>
      <c r="I355" s="15" t="s">
        <v>1114</v>
      </c>
      <c r="J355" s="74"/>
      <c r="K355" s="255" cm="1">
        <f t="array" ref="K355">Scope3_Equations.VEERG_15_7_1_1__1_EmissionsFromPurchasedServices(F355,J355)</f>
        <v>0</v>
      </c>
      <c r="L355" s="15" t="str">
        <f t="shared" si="1"/>
        <v>t CO2e / 0</v>
      </c>
      <c r="M355" s="33"/>
      <c r="N355" s="13"/>
      <c r="O355" s="33"/>
    </row>
    <row r="356" spans="1:41" ht="20.100000000000001" customHeight="1" x14ac:dyDescent="0.2">
      <c r="D356" s="15">
        <v>0</v>
      </c>
      <c r="E356" s="15">
        <v>0</v>
      </c>
      <c r="F356" s="15">
        <v>0</v>
      </c>
      <c r="G356" s="15">
        <v>0</v>
      </c>
      <c r="H356" s="15" t="s">
        <v>1114</v>
      </c>
      <c r="I356" s="15" t="s">
        <v>1114</v>
      </c>
      <c r="J356" s="74"/>
      <c r="K356" s="255" cm="1">
        <f t="array" ref="K356">Scope3_Equations.VEERG_15_7_1_1__1_EmissionsFromPurchasedServices(F356,J356)</f>
        <v>0</v>
      </c>
      <c r="L356" s="15" t="str">
        <f t="shared" si="1"/>
        <v>t CO2e / 0</v>
      </c>
      <c r="M356" s="33"/>
      <c r="N356" s="13"/>
      <c r="O356" s="33"/>
    </row>
    <row r="357" spans="1:41" ht="20.100000000000001" customHeight="1" x14ac:dyDescent="0.2">
      <c r="D357" s="15">
        <v>0</v>
      </c>
      <c r="E357" s="15">
        <v>0</v>
      </c>
      <c r="F357" s="15">
        <v>0</v>
      </c>
      <c r="G357" s="15">
        <v>0</v>
      </c>
      <c r="H357" s="15" t="s">
        <v>1114</v>
      </c>
      <c r="I357" s="15" t="s">
        <v>1114</v>
      </c>
      <c r="J357" s="74"/>
      <c r="K357" s="255" cm="1">
        <f t="array" ref="K357">Scope3_Equations.VEERG_15_7_1_1__1_EmissionsFromPurchasedServices(F357,J357)</f>
        <v>0</v>
      </c>
      <c r="L357" s="15" t="str">
        <f t="shared" si="1"/>
        <v>t CO2e / 0</v>
      </c>
      <c r="M357" s="33"/>
      <c r="N357" s="13"/>
      <c r="O357" s="33"/>
    </row>
    <row r="358" spans="1:41" ht="20.100000000000001" customHeight="1" x14ac:dyDescent="0.2">
      <c r="D358" s="15">
        <v>0</v>
      </c>
      <c r="E358" s="15">
        <v>0</v>
      </c>
      <c r="F358" s="15">
        <v>0</v>
      </c>
      <c r="G358" s="15">
        <v>0</v>
      </c>
      <c r="H358" s="15" t="s">
        <v>1114</v>
      </c>
      <c r="I358" s="15" t="s">
        <v>1114</v>
      </c>
      <c r="J358" s="74"/>
      <c r="K358" s="255" cm="1">
        <f t="array" ref="K358">Scope3_Equations.VEERG_15_7_1_1__1_EmissionsFromPurchasedServices(F358,J358)</f>
        <v>0</v>
      </c>
      <c r="L358" s="15" t="str">
        <f t="shared" si="1"/>
        <v>t CO2e / 0</v>
      </c>
      <c r="M358" s="33"/>
      <c r="N358" s="13"/>
      <c r="O358" s="33"/>
    </row>
    <row r="359" spans="1:41" ht="20.100000000000001" customHeight="1" x14ac:dyDescent="0.2">
      <c r="D359" s="15">
        <v>0</v>
      </c>
      <c r="E359" s="15">
        <v>0</v>
      </c>
      <c r="F359" s="15">
        <v>0</v>
      </c>
      <c r="G359" s="15">
        <v>0</v>
      </c>
      <c r="H359" s="15" t="s">
        <v>1114</v>
      </c>
      <c r="I359" s="15" t="s">
        <v>1114</v>
      </c>
      <c r="J359" s="74"/>
      <c r="K359" s="255" cm="1">
        <f t="array" ref="K359">Scope3_Equations.VEERG_15_7_1_1__1_EmissionsFromPurchasedServices(F359,J359)</f>
        <v>0</v>
      </c>
      <c r="L359" s="15" t="str">
        <f t="shared" si="1"/>
        <v>t CO2e / 0</v>
      </c>
      <c r="M359" s="33"/>
      <c r="N359" s="13"/>
      <c r="O359" s="33"/>
    </row>
    <row r="360" spans="1:41" ht="20.100000000000001" customHeight="1" x14ac:dyDescent="0.2">
      <c r="D360" s="15">
        <v>0</v>
      </c>
      <c r="E360" s="15">
        <v>0</v>
      </c>
      <c r="F360" s="15">
        <v>0</v>
      </c>
      <c r="G360" s="15">
        <v>0</v>
      </c>
      <c r="H360" s="15" t="s">
        <v>1114</v>
      </c>
      <c r="I360" s="15" t="s">
        <v>1114</v>
      </c>
      <c r="J360" s="74"/>
      <c r="K360" s="255" cm="1">
        <f t="array" ref="K360">Scope3_Equations.VEERG_15_7_1_1__1_EmissionsFromPurchasedServices(F360,J360)</f>
        <v>0</v>
      </c>
      <c r="L360" s="15" t="str">
        <f t="shared" si="1"/>
        <v>t CO2e / 0</v>
      </c>
      <c r="M360" s="33"/>
      <c r="N360" s="13"/>
      <c r="O360" s="33"/>
    </row>
    <row r="362" spans="1:41" ht="20.100000000000001" customHeight="1" x14ac:dyDescent="0.2">
      <c r="D362" s="257" t="s">
        <v>1026</v>
      </c>
      <c r="E362" s="85" t="s">
        <v>1114</v>
      </c>
      <c r="F362" s="94" t="str">
        <f>$E$170</f>
        <v>t CO2e</v>
      </c>
    </row>
    <row r="363" spans="1:41" ht="20.100000000000001" customHeight="1" x14ac:dyDescent="0.2">
      <c r="D363" s="257" t="s">
        <v>1029</v>
      </c>
      <c r="E363" s="85">
        <f>SUM(K351:K360)</f>
        <v>1.1000000000000001</v>
      </c>
      <c r="F363" s="94" t="str">
        <f>$E$170</f>
        <v>t CO2e</v>
      </c>
    </row>
    <row r="366" spans="1:41" ht="20.100000000000001" customHeight="1" x14ac:dyDescent="0.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1:41" ht="20.100000000000001" customHeight="1" x14ac:dyDescent="0.2">
      <c r="A367" s="131" t="str">
        <f>HYPERLINK("#A1", "▲ Back to top")</f>
        <v>▲ Back to top</v>
      </c>
      <c r="D367" s="2" t="str" cm="1">
        <f t="array" ref="D367">Scope3_Equations.VEERG_15_8_1_1__1_EmissionsFromPurchasedPackaging_Title()</f>
        <v>Embedded emissions from use of packaging materials</v>
      </c>
    </row>
    <row r="368" spans="1:41" ht="20.100000000000001" customHeight="1" x14ac:dyDescent="0.2">
      <c r="D368" s="17" t="str" cm="1">
        <f t="array" ref="D368">Scope3_Equations.VEERG_15_8_1_1__1_EmissionsFromPurchasedPackaging_Source()</f>
        <v>VEERG 2026: 15.8.1.1, Equation (1)</v>
      </c>
    </row>
    <row r="369" spans="4:13" ht="20.100000000000001" customHeight="1" x14ac:dyDescent="0.2">
      <c r="D369" s="25" t="str" cm="1">
        <f t="array" ref="D369">Scope3_Equations.VEERG_15_8_1_1__1_EmissionsFromPurchasedPackaging_Variation()</f>
        <v>VARIATION ON SOURCE: Changed unit of Q from 'units' to 'kg' as EF data is in kg.</v>
      </c>
    </row>
    <row r="370" spans="4:13" ht="20.100000000000001" customHeight="1" x14ac:dyDescent="0.2">
      <c r="D370" s="110" t="s">
        <v>321</v>
      </c>
      <c r="E370" s="110" t="str" cm="1">
        <f t="array" aca="1" ref="E370" ca="1">Common_InputFunctions.Utility_DisplayFunctionName(H382)</f>
        <v>=Scope3_Equations.VEERG_15_8_1_1__1_EmissionsFromPurchasedPackaging</v>
      </c>
    </row>
    <row r="374" spans="4:13" ht="20.100000000000001" customHeight="1" x14ac:dyDescent="0.2">
      <c r="D374" s="75" t="s">
        <v>322</v>
      </c>
      <c r="E374" s="1" t="str" cm="1">
        <f t="array" ref="E374">Scope3_Equations.VEERG_15_8_1_1__1_EmissionsFromPurchasedPackaging_Variable()</f>
        <v>E</v>
      </c>
    </row>
    <row r="375" spans="4:13" ht="20.100000000000001" customHeight="1" x14ac:dyDescent="0.2">
      <c r="D375" s="75" t="s">
        <v>118</v>
      </c>
      <c r="E375" s="9" t="str" cm="1">
        <f t="array" ref="E375">Scope3_Equations.VEERG_15_8_1_1__1_EmissionsFromPurchasedPackaging_Unit()</f>
        <v>t CO2e</v>
      </c>
    </row>
    <row r="377" spans="4:13" ht="20.100000000000001" customHeight="1" x14ac:dyDescent="0.2">
      <c r="D377" s="127" t="str" cm="1">
        <f t="array" ref="D377:E379">_xlfn.CHOOSECOLS(Scope3_Equations.VEERG_15_8_1_1__1_EmissionsFromPurchasedPackaging_Arguments(),1,2)</f>
        <v>Q_p</v>
      </c>
      <c r="E377" s="127" t="str">
        <v>units of packaging type p</v>
      </c>
      <c r="F377" s="127" t="str" cm="1">
        <f t="array" ref="F377:G379">_xlfn.CHOOSECOLS(Scope3_Equations.VEERG_15_8_1_1__1_EmissionsFromPurchasedPackaging_Arguments(),3,4)</f>
        <v>units</v>
      </c>
      <c r="G377" s="253" t="str">
        <v>Input</v>
      </c>
    </row>
    <row r="378" spans="4:13" ht="20.100000000000001" customHeight="1" x14ac:dyDescent="0.2">
      <c r="D378" s="127" t="str">
        <v>EF_p</v>
      </c>
      <c r="E378" s="127" t="str">
        <v>emission factor for packaging type p</v>
      </c>
      <c r="F378" s="127" t="str">
        <v>kg CO2e/unit</v>
      </c>
      <c r="G378" s="125" t="str">
        <v>Constant</v>
      </c>
    </row>
    <row r="379" spans="4:13" ht="20.100000000000001" customHeight="1" x14ac:dyDescent="0.2">
      <c r="D379" s="127" t="str">
        <v>p</v>
      </c>
      <c r="E379" s="127" t="str">
        <v>packaging type</v>
      </c>
      <c r="F379" s="127" t="str">
        <v/>
      </c>
      <c r="G379" s="253" t="str">
        <v>Input</v>
      </c>
    </row>
    <row r="381" spans="4:13" ht="20.100000000000001" customHeight="1" x14ac:dyDescent="0.2">
      <c r="D381" s="78" t="s">
        <v>1020</v>
      </c>
      <c r="E381" s="254" t="s">
        <v>1115</v>
      </c>
      <c r="F381" s="254" t="s">
        <v>1116</v>
      </c>
      <c r="G381" s="119" t="s">
        <v>1117</v>
      </c>
      <c r="H381" s="119" t="s">
        <v>1026</v>
      </c>
      <c r="I381" s="78" t="s">
        <v>1118</v>
      </c>
      <c r="J381" s="119" t="s">
        <v>1029</v>
      </c>
      <c r="K381" s="78" t="s">
        <v>1030</v>
      </c>
      <c r="L381" s="78" t="s">
        <v>1031</v>
      </c>
      <c r="M381" s="78" t="s">
        <v>1032</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55" cm="1">
        <f t="array" ref="H382">Scope3_Equations.VEERG_15_8_1_1__1_EmissionsFromPurchasedPackaging(F382,G382)</f>
        <v>0</v>
      </c>
      <c r="I382" s="74">
        <v>3</v>
      </c>
      <c r="J382" s="255" cm="1">
        <f t="array" ref="J382">Scope3_Equations.VEERG_15_8_1_1__1_EmissionsFromPurchasedPackaging(F382,IF(I382,I382,G382))</f>
        <v>0</v>
      </c>
      <c r="K382" s="33"/>
      <c r="L382" s="13"/>
      <c r="M382" s="33"/>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55" cm="1">
        <f t="array" ref="H383">Scope3_Equations.VEERG_15_8_1_1__1_EmissionsFromPurchasedPackaging(F383,G383)</f>
        <v>0</v>
      </c>
      <c r="I383" s="74"/>
      <c r="J383" s="255" cm="1">
        <f t="array" ref="J383">Scope3_Equations.VEERG_15_8_1_1__1_EmissionsFromPurchasedPackaging(F383,IF(I383,I383,G383))</f>
        <v>0</v>
      </c>
      <c r="K383" s="33"/>
      <c r="L383" s="13"/>
      <c r="M383" s="33"/>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55" cm="1">
        <f t="array" ref="H384">Scope3_Equations.VEERG_15_8_1_1__1_EmissionsFromPurchasedPackaging(F384,G384)</f>
        <v>0</v>
      </c>
      <c r="I384" s="74"/>
      <c r="J384" s="255" cm="1">
        <f t="array" ref="J384">Scope3_Equations.VEERG_15_8_1_1__1_EmissionsFromPurchasedPackaging(F384,IF(I384,I384,G384))</f>
        <v>0</v>
      </c>
      <c r="K384" s="33"/>
      <c r="L384" s="13"/>
      <c r="M384" s="33"/>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55" cm="1">
        <f t="array" ref="H385">Scope3_Equations.VEERG_15_8_1_1__1_EmissionsFromPurchasedPackaging(F385,G385)</f>
        <v>0</v>
      </c>
      <c r="I385" s="74"/>
      <c r="J385" s="255" cm="1">
        <f t="array" ref="J385">Scope3_Equations.VEERG_15_8_1_1__1_EmissionsFromPurchasedPackaging(F385,IF(I385,I385,G385))</f>
        <v>0</v>
      </c>
      <c r="K385" s="33"/>
      <c r="L385" s="13"/>
      <c r="M385" s="33"/>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55" cm="1">
        <f t="array" ref="H386">Scope3_Equations.VEERG_15_8_1_1__1_EmissionsFromPurchasedPackaging(F386,G386)</f>
        <v>0</v>
      </c>
      <c r="I386" s="74"/>
      <c r="J386" s="255" cm="1">
        <f t="array" ref="J386">Scope3_Equations.VEERG_15_8_1_1__1_EmissionsFromPurchasedPackaging(F386,IF(I386,I386,G386))</f>
        <v>0</v>
      </c>
      <c r="K386" s="33"/>
      <c r="L386" s="13"/>
      <c r="M386" s="33"/>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55" cm="1">
        <f t="array" ref="H387">Scope3_Equations.VEERG_15_8_1_1__1_EmissionsFromPurchasedPackaging(F387,G387)</f>
        <v>0</v>
      </c>
      <c r="I387" s="74"/>
      <c r="J387" s="255" cm="1">
        <f t="array" ref="J387">Scope3_Equations.VEERG_15_8_1_1__1_EmissionsFromPurchasedPackaging(F387,IF(I387,I387,G387))</f>
        <v>0</v>
      </c>
      <c r="K387" s="33"/>
      <c r="L387" s="13"/>
      <c r="M387" s="33"/>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55" cm="1">
        <f t="array" ref="H388">Scope3_Equations.VEERG_15_8_1_1__1_EmissionsFromPurchasedPackaging(F388,G388)</f>
        <v>0</v>
      </c>
      <c r="I388" s="74"/>
      <c r="J388" s="255" cm="1">
        <f t="array" ref="J388">Scope3_Equations.VEERG_15_8_1_1__1_EmissionsFromPurchasedPackaging(F388,IF(I388,I388,G388))</f>
        <v>0</v>
      </c>
      <c r="K388" s="33"/>
      <c r="L388" s="13"/>
      <c r="M388" s="33"/>
    </row>
    <row r="389" spans="1: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55" cm="1">
        <f t="array" ref="H389">Scope3_Equations.VEERG_15_8_1_1__1_EmissionsFromPurchasedPackaging(F389,G389)</f>
        <v>0</v>
      </c>
      <c r="I389" s="74"/>
      <c r="J389" s="255" cm="1">
        <f t="array" ref="J389">Scope3_Equations.VEERG_15_8_1_1__1_EmissionsFromPurchasedPackaging(F389,IF(I389,I389,G389))</f>
        <v>0</v>
      </c>
      <c r="K389" s="33"/>
      <c r="L389" s="13"/>
      <c r="M389" s="33"/>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55" cm="1">
        <f t="array" ref="H390">Scope3_Equations.VEERG_15_8_1_1__1_EmissionsFromPurchasedPackaging(F390,G390)</f>
        <v>0</v>
      </c>
      <c r="I390" s="74"/>
      <c r="J390" s="255" cm="1">
        <f t="array" ref="J390">Scope3_Equations.VEERG_15_8_1_1__1_EmissionsFromPurchasedPackaging(F390,IF(I390,I390,G390))</f>
        <v>0</v>
      </c>
      <c r="K390" s="33"/>
      <c r="L390" s="13"/>
      <c r="M390" s="33"/>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55" cm="1">
        <f t="array" ref="H391">Scope3_Equations.VEERG_15_8_1_1__1_EmissionsFromPurchasedPackaging(F391,G391)</f>
        <v>0</v>
      </c>
      <c r="I391" s="74"/>
      <c r="J391" s="255" cm="1">
        <f t="array" ref="J391">Scope3_Equations.VEERG_15_8_1_1__1_EmissionsFromPurchasedPackaging(F391,IF(I391,I391,G391))</f>
        <v>0</v>
      </c>
      <c r="K391" s="33"/>
      <c r="L391" s="13"/>
      <c r="M391" s="33"/>
    </row>
    <row r="393" spans="1:41" ht="20.100000000000001" customHeight="1" x14ac:dyDescent="0.2">
      <c r="D393" s="257" t="s">
        <v>1026</v>
      </c>
      <c r="E393" s="85">
        <f>SUM(H382:H391)</f>
        <v>0</v>
      </c>
      <c r="F393" s="94" t="str">
        <f>$E$170</f>
        <v>t CO2e</v>
      </c>
    </row>
    <row r="394" spans="1:41" ht="20.100000000000001" customHeight="1" x14ac:dyDescent="0.2">
      <c r="D394" s="257" t="s">
        <v>1029</v>
      </c>
      <c r="E394" s="85">
        <f>SUM(J382:J391)</f>
        <v>0</v>
      </c>
      <c r="F394" s="94" t="str">
        <f>$E$170</f>
        <v>t CO2e</v>
      </c>
    </row>
    <row r="397" spans="1:41" ht="20.100000000000001" customHeight="1" x14ac:dyDescent="0.2">
      <c r="A397" s="131" t="str">
        <f>HYPERLINK("#A1", "▲ Back to top")</f>
        <v>▲ Back to top</v>
      </c>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1:41" ht="20.100000000000001" customHeight="1" x14ac:dyDescent="0.2">
      <c r="D398" s="2" t="str" cm="1">
        <f t="array" ref="D398">Scope3_Equations.VEERG_15_9_1_1__1_EmissionsFromPurchasedGrowMedia_Title()</f>
        <v>Embedded emissions from use of grow media products</v>
      </c>
    </row>
    <row r="399" spans="1:41" ht="20.100000000000001" customHeight="1" x14ac:dyDescent="0.2">
      <c r="D399" s="17" t="str" cm="1">
        <f t="array" ref="D399">Scope3_Equations.VEERG_15_9_1_1__1_EmissionsFromPurchasedGrowMedia_Source()</f>
        <v>VEERG 2026: 15.9.1.1, Equation (1)</v>
      </c>
    </row>
    <row r="400" spans="1:41" ht="20.100000000000001" customHeight="1" x14ac:dyDescent="0.2">
      <c r="D400" s="110" t="s">
        <v>321</v>
      </c>
      <c r="E400" s="110" t="str" cm="1">
        <f t="array" aca="1" ref="E400" ca="1">Common_InputFunctions.Utility_DisplayFunctionName(J414)</f>
        <v>=Scope3_Equations.VEERG_15_9_1_1__1_EmissionsFromPurchasedGrowMedia</v>
      </c>
    </row>
    <row r="403" spans="4:14" ht="20.100000000000001" customHeight="1" x14ac:dyDescent="0.2">
      <c r="G403" s="110"/>
    </row>
    <row r="404" spans="4:14" ht="20.100000000000001" customHeight="1" x14ac:dyDescent="0.2">
      <c r="D404" s="75" t="s">
        <v>322</v>
      </c>
      <c r="E404" s="1" t="str" cm="1">
        <f t="array" ref="E404">Scope3_Equations.VEERG_15_9_1_1__1_EmissionsFromPurchasedGrowMedia_Variable()</f>
        <v>E</v>
      </c>
    </row>
    <row r="405" spans="4:14" ht="20.100000000000001" customHeight="1" x14ac:dyDescent="0.2">
      <c r="D405" s="75" t="s">
        <v>118</v>
      </c>
      <c r="E405" s="1" t="str" cm="1">
        <f t="array" ref="E405">Scope3_Equations.VEERG_15_9_1_1__1_EmissionsFromPurchasedGrowMedia_Unit()</f>
        <v>t CO2e</v>
      </c>
    </row>
    <row r="407" spans="4:14" ht="20.100000000000001" customHeight="1" x14ac:dyDescent="0.2">
      <c r="D407" s="127" t="str" cm="1">
        <f t="array" ref="D407:E409">_xlfn.CHOOSECOLS(Scope3_Equations.VEERG_15_9_1_1__1_EmissionsFromPurchasedGrowMedia_Arguments(),1,2)</f>
        <v>Q_g</v>
      </c>
      <c r="E407" s="127" t="str">
        <v>total quantity of grow media type g</v>
      </c>
      <c r="F407" s="127" t="str" cm="1">
        <f t="array" ref="F407:G409">_xlfn.CHOOSECOLS(Scope3_Equations.VEERG_15_9_1_1__1_EmissionsFromPurchasedGrowMedia_Arguments(),3,4)</f>
        <v>kg or m3</v>
      </c>
      <c r="G407" s="253" t="str">
        <v>Input</v>
      </c>
    </row>
    <row r="408" spans="4:14" ht="20.100000000000001" customHeight="1" x14ac:dyDescent="0.2">
      <c r="D408" s="127" t="str">
        <v>EF_g</v>
      </c>
      <c r="E408" s="127" t="str">
        <v>emission factor for grow media type g</v>
      </c>
      <c r="F408" s="127" t="str">
        <v>kg CO2e/kg or kg CO2e/m3</v>
      </c>
      <c r="G408" s="125" t="str">
        <v>Constant</v>
      </c>
    </row>
    <row r="409" spans="4:14" ht="20.100000000000001" customHeight="1" x14ac:dyDescent="0.2">
      <c r="D409" s="127" t="str">
        <v>g</v>
      </c>
      <c r="E409" s="127" t="str">
        <v>grow media type</v>
      </c>
      <c r="F409" s="127" t="str">
        <v/>
      </c>
      <c r="G409" s="253" t="str">
        <v>Input</v>
      </c>
    </row>
    <row r="411" spans="4:14" ht="20.100000000000001" customHeight="1" x14ac:dyDescent="0.2">
      <c r="D411" s="25" t="s">
        <v>1108</v>
      </c>
    </row>
    <row r="413" spans="4:14" ht="20.100000000000001" customHeight="1" x14ac:dyDescent="0.2">
      <c r="D413" s="78" t="s">
        <v>1119</v>
      </c>
      <c r="E413" s="78" t="s">
        <v>948</v>
      </c>
      <c r="F413" s="78" t="s">
        <v>583</v>
      </c>
      <c r="G413" s="119" t="s">
        <v>1109</v>
      </c>
      <c r="H413" s="119" t="s">
        <v>1110</v>
      </c>
      <c r="I413" s="78" t="s">
        <v>1111</v>
      </c>
      <c r="J413" s="119" t="s">
        <v>1112</v>
      </c>
      <c r="K413" s="119" t="s">
        <v>1113</v>
      </c>
      <c r="L413" s="78" t="s">
        <v>1030</v>
      </c>
      <c r="M413" s="78" t="s">
        <v>1031</v>
      </c>
      <c r="N413" s="78" t="s">
        <v>1032</v>
      </c>
    </row>
    <row r="414" spans="4:14" ht="20.100000000000001" customHeight="1" x14ac:dyDescent="0.2">
      <c r="D414" s="15"/>
      <c r="E414" s="15"/>
      <c r="F414" s="15"/>
      <c r="G414" s="15" t="s">
        <v>1114</v>
      </c>
      <c r="H414" s="15" t="s">
        <v>1114</v>
      </c>
      <c r="I414" s="74">
        <v>4</v>
      </c>
      <c r="J414" s="255" cm="1">
        <f t="array" ref="J414">Scope3_Equations.VEERG_15_9_1_1__1_EmissionsFromPurchasedGrowMedia(E414,I414)</f>
        <v>0</v>
      </c>
      <c r="K414" s="15" t="str">
        <f>"t CO2e / " &amp; F414</f>
        <v xml:space="preserve">t CO2e / </v>
      </c>
      <c r="L414" s="33"/>
      <c r="M414" s="13"/>
      <c r="N414" s="33"/>
    </row>
    <row r="415" spans="4:14" ht="20.100000000000001" customHeight="1" x14ac:dyDescent="0.2">
      <c r="D415" s="15"/>
      <c r="E415" s="15"/>
      <c r="F415" s="15"/>
      <c r="G415" s="15" t="s">
        <v>1114</v>
      </c>
      <c r="H415" s="15" t="s">
        <v>1114</v>
      </c>
      <c r="I415" s="74">
        <v>2</v>
      </c>
      <c r="J415" s="255" cm="1">
        <f t="array" ref="J415">Scope3_Equations.VEERG_15_9_1_1__1_EmissionsFromPurchasedGrowMedia(E415,I415)</f>
        <v>0</v>
      </c>
      <c r="K415" s="15" t="str">
        <f t="shared" ref="K415:K423" si="2">"t CO2e / " &amp; F415</f>
        <v xml:space="preserve">t CO2e / </v>
      </c>
      <c r="L415" s="33"/>
      <c r="M415" s="13"/>
      <c r="N415" s="33"/>
    </row>
    <row r="416" spans="4:14" ht="20.100000000000001" customHeight="1" x14ac:dyDescent="0.2">
      <c r="D416" s="15"/>
      <c r="E416" s="15"/>
      <c r="F416" s="15"/>
      <c r="G416" s="15" t="s">
        <v>1114</v>
      </c>
      <c r="H416" s="15" t="s">
        <v>1114</v>
      </c>
      <c r="I416" s="74"/>
      <c r="J416" s="255" cm="1">
        <f t="array" ref="J416">Scope3_Equations.VEERG_15_9_1_1__1_EmissionsFromPurchasedGrowMedia(E416,I416)</f>
        <v>0</v>
      </c>
      <c r="K416" s="15" t="str">
        <f t="shared" si="2"/>
        <v xml:space="preserve">t CO2e / </v>
      </c>
      <c r="L416" s="33"/>
      <c r="M416" s="13"/>
      <c r="N416" s="33"/>
    </row>
    <row r="417" spans="1:41" ht="20.100000000000001" customHeight="1" x14ac:dyDescent="0.2">
      <c r="D417" s="15"/>
      <c r="E417" s="15"/>
      <c r="F417" s="15"/>
      <c r="G417" s="15" t="s">
        <v>1114</v>
      </c>
      <c r="H417" s="15" t="s">
        <v>1114</v>
      </c>
      <c r="I417" s="74"/>
      <c r="J417" s="255" cm="1">
        <f t="array" ref="J417">Scope3_Equations.VEERG_15_9_1_1__1_EmissionsFromPurchasedGrowMedia(E417,I417)</f>
        <v>0</v>
      </c>
      <c r="K417" s="15" t="str">
        <f t="shared" si="2"/>
        <v xml:space="preserve">t CO2e / </v>
      </c>
      <c r="L417" s="33"/>
      <c r="M417" s="13"/>
      <c r="N417" s="33"/>
    </row>
    <row r="418" spans="1:41" ht="20.100000000000001" customHeight="1" x14ac:dyDescent="0.2">
      <c r="D418" s="15"/>
      <c r="E418" s="15"/>
      <c r="F418" s="15"/>
      <c r="G418" s="15" t="s">
        <v>1114</v>
      </c>
      <c r="H418" s="15" t="s">
        <v>1114</v>
      </c>
      <c r="I418" s="74"/>
      <c r="J418" s="255" cm="1">
        <f t="array" ref="J418">Scope3_Equations.VEERG_15_9_1_1__1_EmissionsFromPurchasedGrowMedia(E418,I418)</f>
        <v>0</v>
      </c>
      <c r="K418" s="15" t="str">
        <f t="shared" si="2"/>
        <v xml:space="preserve">t CO2e / </v>
      </c>
      <c r="L418" s="33"/>
      <c r="M418" s="13"/>
      <c r="N418" s="33"/>
    </row>
    <row r="419" spans="1:41" ht="20.100000000000001" customHeight="1" x14ac:dyDescent="0.2">
      <c r="D419" s="15"/>
      <c r="E419" s="15"/>
      <c r="F419" s="15"/>
      <c r="G419" s="15" t="s">
        <v>1114</v>
      </c>
      <c r="H419" s="15" t="s">
        <v>1114</v>
      </c>
      <c r="I419" s="74"/>
      <c r="J419" s="255" cm="1">
        <f t="array" ref="J419">Scope3_Equations.VEERG_15_9_1_1__1_EmissionsFromPurchasedGrowMedia(E419,I419)</f>
        <v>0</v>
      </c>
      <c r="K419" s="15" t="str">
        <f t="shared" si="2"/>
        <v xml:space="preserve">t CO2e / </v>
      </c>
      <c r="L419" s="33"/>
      <c r="M419" s="13"/>
      <c r="N419" s="33"/>
    </row>
    <row r="420" spans="1:41" ht="20.100000000000001" customHeight="1" x14ac:dyDescent="0.2">
      <c r="D420" s="15"/>
      <c r="E420" s="15"/>
      <c r="F420" s="15"/>
      <c r="G420" s="15" t="s">
        <v>1114</v>
      </c>
      <c r="H420" s="15" t="s">
        <v>1114</v>
      </c>
      <c r="I420" s="74"/>
      <c r="J420" s="255" cm="1">
        <f t="array" ref="J420">Scope3_Equations.VEERG_15_9_1_1__1_EmissionsFromPurchasedGrowMedia(E420,I420)</f>
        <v>0</v>
      </c>
      <c r="K420" s="15" t="str">
        <f t="shared" si="2"/>
        <v xml:space="preserve">t CO2e / </v>
      </c>
      <c r="L420" s="33"/>
      <c r="M420" s="13"/>
      <c r="N420" s="33"/>
    </row>
    <row r="421" spans="1:41" ht="20.100000000000001" customHeight="1" x14ac:dyDescent="0.2">
      <c r="D421" s="15"/>
      <c r="E421" s="15"/>
      <c r="F421" s="15"/>
      <c r="G421" s="15" t="s">
        <v>1114</v>
      </c>
      <c r="H421" s="15" t="s">
        <v>1114</v>
      </c>
      <c r="I421" s="74"/>
      <c r="J421" s="255" cm="1">
        <f t="array" ref="J421">Scope3_Equations.VEERG_15_9_1_1__1_EmissionsFromPurchasedGrowMedia(E421,I421)</f>
        <v>0</v>
      </c>
      <c r="K421" s="15" t="str">
        <f t="shared" si="2"/>
        <v xml:space="preserve">t CO2e / </v>
      </c>
      <c r="L421" s="33"/>
      <c r="M421" s="13"/>
      <c r="N421" s="33"/>
    </row>
    <row r="422" spans="1:41" ht="20.100000000000001" customHeight="1" x14ac:dyDescent="0.2">
      <c r="D422" s="15"/>
      <c r="E422" s="15"/>
      <c r="F422" s="15"/>
      <c r="G422" s="15" t="s">
        <v>1114</v>
      </c>
      <c r="H422" s="15" t="s">
        <v>1114</v>
      </c>
      <c r="I422" s="74"/>
      <c r="J422" s="255" cm="1">
        <f t="array" ref="J422">Scope3_Equations.VEERG_15_9_1_1__1_EmissionsFromPurchasedGrowMedia(E422,I422)</f>
        <v>0</v>
      </c>
      <c r="K422" s="15" t="str">
        <f t="shared" si="2"/>
        <v xml:space="preserve">t CO2e / </v>
      </c>
      <c r="L422" s="33"/>
      <c r="M422" s="13"/>
      <c r="N422" s="33"/>
    </row>
    <row r="423" spans="1:41" ht="20.100000000000001" customHeight="1" x14ac:dyDescent="0.2">
      <c r="D423" s="15"/>
      <c r="E423" s="15"/>
      <c r="F423" s="15"/>
      <c r="G423" s="15" t="s">
        <v>1114</v>
      </c>
      <c r="H423" s="15" t="s">
        <v>1114</v>
      </c>
      <c r="I423" s="74"/>
      <c r="J423" s="255" cm="1">
        <f t="array" ref="J423">Scope3_Equations.VEERG_15_9_1_1__1_EmissionsFromPurchasedGrowMedia(E423,I423)</f>
        <v>0</v>
      </c>
      <c r="K423" s="15" t="str">
        <f t="shared" si="2"/>
        <v xml:space="preserve">t CO2e / </v>
      </c>
      <c r="L423" s="33"/>
      <c r="M423" s="13"/>
      <c r="N423" s="33"/>
    </row>
    <row r="425" spans="1:41" ht="20.100000000000001" customHeight="1" x14ac:dyDescent="0.2">
      <c r="D425" s="257" t="s">
        <v>1026</v>
      </c>
      <c r="E425" s="85" t="s">
        <v>1114</v>
      </c>
      <c r="F425" s="94" t="str">
        <f>$E$170</f>
        <v>t CO2e</v>
      </c>
    </row>
    <row r="426" spans="1:41" ht="20.100000000000001" customHeight="1" x14ac:dyDescent="0.2">
      <c r="D426" s="257" t="s">
        <v>1029</v>
      </c>
      <c r="E426" s="85">
        <f>SUM(J414:J423)</f>
        <v>0</v>
      </c>
      <c r="F426" s="94" t="str">
        <f>$E$170</f>
        <v>t CO2e</v>
      </c>
    </row>
    <row r="427" spans="1:41" ht="20.100000000000001" customHeight="1" x14ac:dyDescent="0.2">
      <c r="A427" s="131" t="str">
        <f>HYPERLINK("#A1", "▲ Back to top")</f>
        <v>▲ Back to top</v>
      </c>
    </row>
    <row r="429" spans="1:41" ht="20.100000000000001" customHeight="1" x14ac:dyDescent="0.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1:41" ht="20.100000000000001" customHeight="1" x14ac:dyDescent="0.2">
      <c r="D430" s="2" t="str" cm="1">
        <f t="array" ref="D430">Scope3_Equations.VEERG_15_10_1_1__1_OtherPurchasedGoodsAndServices_Title()</f>
        <v>Other purchased goods and services generic estimate</v>
      </c>
    </row>
    <row r="431" spans="1:41" ht="20.100000000000001" customHeight="1" x14ac:dyDescent="0.2">
      <c r="D431" s="17" t="str" cm="1">
        <f t="array" ref="D431">Scope3_Equations.VEERG_15_10_1_1__1_OtherPurchasedGoodsAndServices_Source()</f>
        <v>VEERG 2026: 15.10, generic placeholder equation</v>
      </c>
    </row>
    <row r="432" spans="1:41" ht="20.100000000000001" customHeight="1" x14ac:dyDescent="0.2">
      <c r="D432" s="25" t="s">
        <v>1120</v>
      </c>
    </row>
    <row r="433" spans="4:13" ht="20.100000000000001" customHeight="1" x14ac:dyDescent="0.2">
      <c r="D433" s="110" t="s">
        <v>321</v>
      </c>
      <c r="E433" s="110" t="str" cm="1">
        <f t="array" aca="1" ref="E433" ca="1">Common_InputFunctions.Utility_DisplayFunctionName(H445)</f>
        <v>=Scope3_Equations.VEERG_15_10_1_1__1_OtherPurchasedGoodsAndServices</v>
      </c>
    </row>
    <row r="436" spans="4:13" ht="20.100000000000001" customHeight="1" x14ac:dyDescent="0.2">
      <c r="D436" s="75" t="s">
        <v>322</v>
      </c>
      <c r="E436" s="1" t="str" cm="1">
        <f t="array" ref="E436">Scope3_Equations.VEERG_15_10_1_1__1_OtherPurchasedGoodsAndServices_Variable()</f>
        <v>emissions</v>
      </c>
    </row>
    <row r="437" spans="4:13" ht="20.100000000000001" customHeight="1" x14ac:dyDescent="0.2">
      <c r="D437" s="75" t="s">
        <v>118</v>
      </c>
      <c r="E437" s="9" t="str" cm="1">
        <f t="array" ref="E437">Scope3_Equations.VEERG_15_10_1_1__1_OtherPurchasedGoodsAndServices_Unit()</f>
        <v>t CO2e</v>
      </c>
    </row>
    <row r="439" spans="4:13" ht="20.100000000000001" customHeight="1" x14ac:dyDescent="0.2">
      <c r="D439" s="127" t="str" cm="1">
        <f t="array" ref="D439:E440">_xlfn.CHOOSECOLS(Scope3_Equations.VEERG_15_10_1_1__1_OtherPurchasedGoodsAndServices_Arguments(),1,2)</f>
        <v>activity_data</v>
      </c>
      <c r="E439" s="128" t="str">
        <v>measured activity for the purchased good or service</v>
      </c>
      <c r="F439" s="129"/>
      <c r="G439" s="127" t="str" cm="1">
        <f t="array" ref="G439:H440">_xlfn.CHOOSECOLS(Scope3_Equations.VEERG_15_10_1_1__1_OtherPurchasedGoodsAndServices_Arguments(),3,4)</f>
        <v>varies</v>
      </c>
      <c r="H439" s="253" t="str">
        <v>Input</v>
      </c>
    </row>
    <row r="440" spans="4:13" ht="20.100000000000001" customHeight="1" x14ac:dyDescent="0.2">
      <c r="D440" s="127" t="str">
        <v>emission_factor</v>
      </c>
      <c r="E440" s="128" t="str">
        <v>lifecycle emissions per unit of activity</v>
      </c>
      <c r="F440" s="129"/>
      <c r="G440" s="127" t="str">
        <v>varies</v>
      </c>
      <c r="H440" s="125" t="str">
        <v>Constant</v>
      </c>
    </row>
    <row r="442" spans="4:13" ht="20.100000000000001" customHeight="1" x14ac:dyDescent="0.2">
      <c r="D442" s="248" t="s">
        <v>1121</v>
      </c>
    </row>
    <row r="444" spans="4:13" ht="20.100000000000001" customHeight="1" x14ac:dyDescent="0.2">
      <c r="D444" s="78" t="s">
        <v>1020</v>
      </c>
      <c r="E444" s="254" t="s">
        <v>1122</v>
      </c>
      <c r="F444" s="254" t="s">
        <v>1123</v>
      </c>
      <c r="G444" s="119" t="s">
        <v>119</v>
      </c>
      <c r="H444" s="119" t="s">
        <v>1026</v>
      </c>
      <c r="I444" s="78" t="s">
        <v>120</v>
      </c>
      <c r="J444" s="119" t="s">
        <v>1029</v>
      </c>
      <c r="K444" s="78" t="s">
        <v>1030</v>
      </c>
      <c r="L444" s="78" t="s">
        <v>1031</v>
      </c>
      <c r="M444" s="78" t="s">
        <v>1032</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5" cm="1">
        <f t="array" ref="H445">Scope3_Equations.VEERG_15_10_1_1__1_OtherPurchasedGoodsAndServices(F445,G445*10^-3)</f>
        <v>9.0700000000000003E-2</v>
      </c>
      <c r="I445" s="74">
        <v>0.9</v>
      </c>
      <c r="J445" s="255" cm="1">
        <f t="array" ref="J445">Scope3_Equations.VEERG_15_10_1_1__1_OtherPurchasedGoodsAndServices(F445,IF(I445,I445,G445)*10^-3)</f>
        <v>9.0000000000000011E-2</v>
      </c>
      <c r="K445" s="33"/>
      <c r="L445" s="13"/>
      <c r="M445" s="33"/>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5" cm="1">
        <f t="array" ref="H446">Scope3_Equations.VEERG_15_10_1_1__1_OtherPurchasedGoodsAndServices(F446,G446*10^-3)</f>
        <v>7.22E-2</v>
      </c>
      <c r="I446" s="74">
        <v>0.7</v>
      </c>
      <c r="J446" s="255" cm="1">
        <f t="array" ref="J446">Scope3_Equations.VEERG_15_10_1_1__1_OtherPurchasedGoodsAndServices(F446,IF(I446,I446,G446)*10^-3)</f>
        <v>6.9999999999999993E-2</v>
      </c>
      <c r="K446" s="33"/>
      <c r="L446" s="13"/>
      <c r="M446" s="33"/>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5" cm="1">
        <f t="array" ref="H447">Scope3_Equations.VEERG_15_10_1_1__1_OtherPurchasedGoodsAndServices(F447,G447*10^-3)</f>
        <v>8.0399999999999999E-2</v>
      </c>
      <c r="I447" s="74">
        <v>0.8</v>
      </c>
      <c r="J447" s="255" cm="1">
        <f t="array" ref="J447">Scope3_Equations.VEERG_15_10_1_1__1_OtherPurchasedGoodsAndServices(F447,IF(I447,I447,G447)*10^-3)</f>
        <v>0.08</v>
      </c>
      <c r="K447" s="33"/>
      <c r="L447" s="13"/>
      <c r="M447" s="33"/>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5" cm="1">
        <f t="array" ref="H448">Scope3_Equations.VEERG_15_10_1_1__1_OtherPurchasedGoodsAndServices(F448,G448*10^-3)</f>
        <v>8.0399999999999999E-2</v>
      </c>
      <c r="I448" s="74">
        <v>0.8</v>
      </c>
      <c r="J448" s="255" cm="1">
        <f t="array" ref="J448">Scope3_Equations.VEERG_15_10_1_1__1_OtherPurchasedGoodsAndServices(F448,IF(I448,I448,G448)*10^-3)</f>
        <v>0.08</v>
      </c>
      <c r="K448" s="33"/>
      <c r="L448" s="13"/>
      <c r="M448" s="33"/>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5" cm="1">
        <f t="array" ref="H449">Scope3_Equations.VEERG_15_10_1_1__1_OtherPurchasedGoodsAndServices(F449,G449*10^-3)</f>
        <v>9.0700000000000003E-2</v>
      </c>
      <c r="I449" s="74">
        <v>0.9</v>
      </c>
      <c r="J449" s="255" cm="1">
        <f t="array" ref="J449">Scope3_Equations.VEERG_15_10_1_1__1_OtherPurchasedGoodsAndServices(F449,IF(I449,I449,G449)*10^-3)</f>
        <v>9.0000000000000011E-2</v>
      </c>
      <c r="K449" s="33"/>
      <c r="L449" s="13"/>
      <c r="M449" s="33"/>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5" cm="1">
        <f t="array" ref="H450">Scope3_Equations.VEERG_15_10_1_1__1_OtherPurchasedGoodsAndServices(F450,G450*10^-3)</f>
        <v>9.0700000000000003E-2</v>
      </c>
      <c r="I450" s="74">
        <v>0.9</v>
      </c>
      <c r="J450" s="255" cm="1">
        <f t="array" ref="J450">Scope3_Equations.VEERG_15_10_1_1__1_OtherPurchasedGoodsAndServices(F450,IF(I450,I450,G450)*10^-3)</f>
        <v>9.0000000000000011E-2</v>
      </c>
      <c r="K450" s="33"/>
      <c r="L450" s="13"/>
      <c r="M450" s="33"/>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55" cm="1">
        <f t="array" ref="H451">Scope3_Equations.VEERG_15_10_1_1__1_OtherPurchasedGoodsAndServices(F451,G451*10^-3)</f>
        <v>0</v>
      </c>
      <c r="I451" s="74"/>
      <c r="J451" s="255" cm="1">
        <f t="array" ref="J451">Scope3_Equations.VEERG_15_10_1_1__1_OtherPurchasedGoodsAndServices(F451,IF(I451,I451,G451)*10^-3)</f>
        <v>0</v>
      </c>
      <c r="K451" s="33"/>
      <c r="L451" s="13"/>
      <c r="M451" s="33"/>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55" cm="1">
        <f t="array" ref="H452">Scope3_Equations.VEERG_15_10_1_1__1_OtherPurchasedGoodsAndServices(F452,G452*10^-3)</f>
        <v>0</v>
      </c>
      <c r="I452" s="74"/>
      <c r="J452" s="255" cm="1">
        <f t="array" ref="J452">Scope3_Equations.VEERG_15_10_1_1__1_OtherPurchasedGoodsAndServices(F452,IF(I452,I452,G452)*10^-3)</f>
        <v>0</v>
      </c>
      <c r="K452" s="33"/>
      <c r="L452" s="13"/>
      <c r="M452" s="33"/>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55" cm="1">
        <f t="array" ref="H453">Scope3_Equations.VEERG_15_10_1_1__1_OtherPurchasedGoodsAndServices(F453,G453*10^-3)</f>
        <v>0</v>
      </c>
      <c r="I453" s="74"/>
      <c r="J453" s="255" cm="1">
        <f t="array" ref="J453">Scope3_Equations.VEERG_15_10_1_1__1_OtherPurchasedGoodsAndServices(F453,IF(I453,I453,G453)*10^-3)</f>
        <v>0</v>
      </c>
      <c r="K453" s="33"/>
      <c r="L453" s="13"/>
      <c r="M453" s="33"/>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55" cm="1">
        <f t="array" ref="H454">Scope3_Equations.VEERG_15_10_1_1__1_OtherPurchasedGoodsAndServices(F454,G454*10^-3)</f>
        <v>0</v>
      </c>
      <c r="I454" s="74"/>
      <c r="J454" s="255" cm="1">
        <f t="array" ref="J454">Scope3_Equations.VEERG_15_10_1_1__1_OtherPurchasedGoodsAndServices(F454,IF(I454,I454,G454)*10^-3)</f>
        <v>0</v>
      </c>
      <c r="K454" s="33"/>
      <c r="L454" s="13"/>
      <c r="M454" s="33"/>
    </row>
    <row r="456" spans="1:13" ht="20.100000000000001" customHeight="1" x14ac:dyDescent="0.2">
      <c r="D456" s="257" t="s">
        <v>1026</v>
      </c>
      <c r="E456" s="85">
        <f>SUM(H445:H454)</f>
        <v>0.50509999999999999</v>
      </c>
      <c r="F456" s="94" t="str">
        <f>$E$170</f>
        <v>t CO2e</v>
      </c>
    </row>
    <row r="457" spans="1:13" ht="20.100000000000001" customHeight="1" x14ac:dyDescent="0.2">
      <c r="A457" s="131" t="str">
        <f>HYPERLINK("#A1", "▲ Back to top")</f>
        <v>▲ Back to top</v>
      </c>
      <c r="D457" s="257" t="s">
        <v>1029</v>
      </c>
      <c r="E457" s="85">
        <f>SUM(J445:J454)</f>
        <v>0.5</v>
      </c>
      <c r="F457" s="94" t="str">
        <f>$E$170</f>
        <v>t CO2e</v>
      </c>
    </row>
    <row r="460" spans="1:13" ht="20.100000000000001" customHeight="1" x14ac:dyDescent="0.2">
      <c r="D460" s="248" t="s">
        <v>1124</v>
      </c>
    </row>
    <row r="462" spans="1:13" ht="20.100000000000001" customHeight="1" x14ac:dyDescent="0.2">
      <c r="D462" s="78" t="s">
        <v>1020</v>
      </c>
      <c r="E462" s="254" t="s">
        <v>1122</v>
      </c>
      <c r="F462" s="254" t="s">
        <v>984</v>
      </c>
      <c r="G462" s="119" t="s">
        <v>1125</v>
      </c>
      <c r="H462" s="119" t="s">
        <v>1026</v>
      </c>
      <c r="I462" s="78" t="s">
        <v>1126</v>
      </c>
      <c r="J462" s="119" t="s">
        <v>1029</v>
      </c>
      <c r="K462" s="78" t="s">
        <v>1030</v>
      </c>
      <c r="L462" s="78" t="s">
        <v>1031</v>
      </c>
      <c r="M462" s="78" t="s">
        <v>1032</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5" cm="1">
        <f t="array" ref="H463">Scope3_Equations.VEERG_15_10_1_1__1_OtherPurchasedGoodsAndServices(F463,G463*10^-3)</f>
        <v>5.47E-3</v>
      </c>
      <c r="I463" s="74">
        <v>0.05</v>
      </c>
      <c r="J463" s="255" cm="1">
        <f t="array" ref="J463">Scope3_Equations.VEERG_15_10_1_1__1_OtherPurchasedGoodsAndServices(F463,IF(I463,I463,G463)*10^-3)</f>
        <v>5.0000000000000001E-3</v>
      </c>
      <c r="K463" s="33"/>
      <c r="L463" s="13"/>
      <c r="M463" s="33"/>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5" cm="1">
        <f t="array" ref="H464">Scope3_Equations.VEERG_15_10_1_1__1_OtherPurchasedGoodsAndServices(F464,G464*10^-3)</f>
        <v>1.42E-3</v>
      </c>
      <c r="I464" s="74">
        <v>0.01</v>
      </c>
      <c r="J464" s="255" cm="1">
        <f t="array" ref="J464">Scope3_Equations.VEERG_15_10_1_1__1_OtherPurchasedGoodsAndServices(F464,IF(I464,I464,G464)*10^-3)</f>
        <v>1E-3</v>
      </c>
      <c r="K464" s="33"/>
      <c r="L464" s="13"/>
      <c r="M464" s="33"/>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5" cm="1">
        <f t="array" ref="H465">Scope3_Equations.VEERG_15_10_1_1__1_OtherPurchasedGoodsAndServices(F465,G465*10^-3)</f>
        <v>1.4300000000000001E-3</v>
      </c>
      <c r="I465" s="74">
        <v>0.01</v>
      </c>
      <c r="J465" s="255" cm="1">
        <f t="array" ref="J465">Scope3_Equations.VEERG_15_10_1_1__1_OtherPurchasedGoodsAndServices(F465,IF(I465,I465,G465)*10^-3)</f>
        <v>1E-3</v>
      </c>
      <c r="K465" s="33"/>
      <c r="L465" s="13"/>
      <c r="M465" s="33"/>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5" cm="1">
        <f t="array" ref="H466">Scope3_Equations.VEERG_15_10_1_1__1_OtherPurchasedGoodsAndServices(F466,G466*10^-3)</f>
        <v>4.26E-4</v>
      </c>
      <c r="I466" s="74">
        <v>4.0000000000000001E-3</v>
      </c>
      <c r="J466" s="255" cm="1">
        <f t="array" ref="J466">Scope3_Equations.VEERG_15_10_1_1__1_OtherPurchasedGoodsAndServices(F466,IF(I466,I466,G466)*10^-3)</f>
        <v>3.9999999999999996E-4</v>
      </c>
      <c r="K466" s="33"/>
      <c r="L466" s="13"/>
      <c r="M466" s="33"/>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5" cm="1">
        <f t="array" ref="H467">Scope3_Equations.VEERG_15_10_1_1__1_OtherPurchasedGoodsAndServices(F467,G467*10^-3)</f>
        <v>5.47E-3</v>
      </c>
      <c r="I467" s="74">
        <v>0.05</v>
      </c>
      <c r="J467" s="255" cm="1">
        <f t="array" ref="J467">Scope3_Equations.VEERG_15_10_1_1__1_OtherPurchasedGoodsAndServices(F467,IF(I467,I467,G467)*10^-3)</f>
        <v>5.0000000000000001E-3</v>
      </c>
      <c r="K467" s="33"/>
      <c r="L467" s="13"/>
      <c r="M467" s="33"/>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5" cm="1">
        <f t="array" ref="H468">Scope3_Equations.VEERG_15_10_1_1__1_OtherPurchasedGoodsAndServices(F468,G468*10^-3)</f>
        <v>1.42E-3</v>
      </c>
      <c r="I468" s="74">
        <v>0.01</v>
      </c>
      <c r="J468" s="255" cm="1">
        <f t="array" ref="J468">Scope3_Equations.VEERG_15_10_1_1__1_OtherPurchasedGoodsAndServices(F468,IF(I468,I468,G468)*10^-3)</f>
        <v>1E-3</v>
      </c>
      <c r="K468" s="33"/>
      <c r="L468" s="13"/>
      <c r="M468" s="33"/>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55" cm="1">
        <f t="array" ref="H469">Scope3_Equations.VEERG_15_10_1_1__1_OtherPurchasedGoodsAndServices(F469,G469*10^-3)</f>
        <v>0</v>
      </c>
      <c r="I469" s="74"/>
      <c r="J469" s="255" cm="1">
        <f t="array" ref="J469">Scope3_Equations.VEERG_15_10_1_1__1_OtherPurchasedGoodsAndServices(F469,IF(I469,I469,G469)*10^-3)</f>
        <v>0</v>
      </c>
      <c r="K469" s="33"/>
      <c r="L469" s="13"/>
      <c r="M469" s="33"/>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55" cm="1">
        <f t="array" ref="H470">Scope3_Equations.VEERG_15_10_1_1__1_OtherPurchasedGoodsAndServices(F470,G470*10^-3)</f>
        <v>0</v>
      </c>
      <c r="I470" s="74"/>
      <c r="J470" s="255" cm="1">
        <f t="array" ref="J470">Scope3_Equations.VEERG_15_10_1_1__1_OtherPurchasedGoodsAndServices(F470,IF(I470,I470,G470)*10^-3)</f>
        <v>0</v>
      </c>
      <c r="K470" s="33"/>
      <c r="L470" s="13"/>
      <c r="M470" s="33"/>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55" cm="1">
        <f t="array" ref="H471">Scope3_Equations.VEERG_15_10_1_1__1_OtherPurchasedGoodsAndServices(F471,G471*10^-3)</f>
        <v>0</v>
      </c>
      <c r="I471" s="74"/>
      <c r="J471" s="255" cm="1">
        <f t="array" ref="J471">Scope3_Equations.VEERG_15_10_1_1__1_OtherPurchasedGoodsAndServices(F471,IF(I471,I471,G471)*10^-3)</f>
        <v>0</v>
      </c>
      <c r="K471" s="33"/>
      <c r="L471" s="13"/>
      <c r="M471" s="33"/>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55" cm="1">
        <f t="array" ref="H472">Scope3_Equations.VEERG_15_10_1_1__1_OtherPurchasedGoodsAndServices(F472,G472*10^-3)</f>
        <v>0</v>
      </c>
      <c r="I472" s="74"/>
      <c r="J472" s="255" cm="1">
        <f t="array" ref="J472">Scope3_Equations.VEERG_15_10_1_1__1_OtherPurchasedGoodsAndServices(F472,IF(I472,I472,G472)*10^-3)</f>
        <v>0</v>
      </c>
      <c r="K472" s="33"/>
      <c r="L472" s="13"/>
      <c r="M472" s="33"/>
    </row>
    <row r="474" spans="4:13" ht="20.100000000000001" customHeight="1" x14ac:dyDescent="0.2">
      <c r="D474" s="257" t="s">
        <v>1026</v>
      </c>
      <c r="E474" s="85">
        <f>SUM(H463:H472)</f>
        <v>1.5636000000000001E-2</v>
      </c>
      <c r="F474" s="94" t="str">
        <f>$E$170</f>
        <v>t CO2e</v>
      </c>
    </row>
    <row r="475" spans="4:13" ht="20.100000000000001" customHeight="1" x14ac:dyDescent="0.2">
      <c r="D475" s="257" t="s">
        <v>1029</v>
      </c>
      <c r="E475" s="85">
        <f>SUM(J463:J472)</f>
        <v>1.3400000000000002E-2</v>
      </c>
      <c r="F475" s="94" t="str">
        <f>$E$170</f>
        <v>t CO2e</v>
      </c>
    </row>
    <row r="478" spans="4:13" ht="20.100000000000001" customHeight="1" x14ac:dyDescent="0.2">
      <c r="D478" s="248" t="s">
        <v>1127</v>
      </c>
    </row>
    <row r="480" spans="4:13" ht="20.100000000000001" customHeight="1" x14ac:dyDescent="0.2">
      <c r="D480" s="78" t="s">
        <v>936</v>
      </c>
      <c r="E480" s="78" t="s">
        <v>1128</v>
      </c>
      <c r="F480" s="119" t="s">
        <v>1125</v>
      </c>
      <c r="G480" s="119" t="s">
        <v>1026</v>
      </c>
      <c r="H480" s="78" t="s">
        <v>1126</v>
      </c>
      <c r="I480" s="119" t="s">
        <v>1029</v>
      </c>
      <c r="J480" s="78" t="s">
        <v>1030</v>
      </c>
      <c r="K480" s="78" t="s">
        <v>1031</v>
      </c>
      <c r="L480" s="78" t="s">
        <v>1032</v>
      </c>
    </row>
    <row r="481" spans="1:12" ht="20.100000000000001" customHeight="1" x14ac:dyDescent="0.2">
      <c r="D481" s="15"/>
      <c r="E481" s="15">
        <f>IFERROR(X_Cell_FarmInputs_Seed_BarleyGrain, 0)</f>
        <v>0</v>
      </c>
      <c r="F481" s="15" cm="1">
        <f t="array" ref="F481">Common_InputFunctions.Utility_LookupValueInTableNumber(D481,Table_SourceData_Scope3_Other[Product],Table_SourceData_Scope3_Other[Emissions intensity])</f>
        <v>0</v>
      </c>
      <c r="G481" s="255" cm="1">
        <f t="array" ref="G481">Scope3_Equations.VEERG_15_10_1_1__1_OtherPurchasedGoodsAndServices(E481,F481*10^-3)</f>
        <v>0</v>
      </c>
      <c r="H481" s="74">
        <v>0.2</v>
      </c>
      <c r="I481" s="255" cm="1">
        <f t="array" ref="I481">Scope3_Equations.VEERG_15_10_1_1__1_OtherPurchasedGoodsAndServices(E481,IF(H481,H481,F481)*10^-3)</f>
        <v>0</v>
      </c>
      <c r="J481" s="33"/>
      <c r="K481" s="13"/>
      <c r="L481" s="33"/>
    </row>
    <row r="482" spans="1:12" ht="20.100000000000001" customHeight="1" x14ac:dyDescent="0.2">
      <c r="D482" s="15"/>
      <c r="E482" s="15">
        <f>IFERROR(X_Cell_FarmInputs_Seed_MaizeGrain, 0)</f>
        <v>0</v>
      </c>
      <c r="F482" s="15" cm="1">
        <f t="array" ref="F482">Common_InputFunctions.Utility_LookupValueInTableNumber(D482,Table_SourceData_Scope3_Other[Product],Table_SourceData_Scope3_Other[Emissions intensity])</f>
        <v>0</v>
      </c>
      <c r="G482" s="255" cm="1">
        <f t="array" ref="G482">Scope3_Equations.VEERG_15_10_1_1__1_OtherPurchasedGoodsAndServices(E482,F482*10^-3)</f>
        <v>0</v>
      </c>
      <c r="H482" s="74"/>
      <c r="I482" s="255" cm="1">
        <f t="array" ref="I482">Scope3_Equations.VEERG_15_10_1_1__1_OtherPurchasedGoodsAndServices(E482,IF(H482,H482,F482)*10^-3)</f>
        <v>0</v>
      </c>
      <c r="J482" s="33"/>
      <c r="K482" s="13"/>
      <c r="L482" s="33"/>
    </row>
    <row r="483" spans="1:12" ht="20.100000000000001" customHeight="1" x14ac:dyDescent="0.2">
      <c r="D483" s="15"/>
      <c r="E483" s="15">
        <f>IFERROR(X_Cell_FarmInputs_Seed_OatGrain, 0)</f>
        <v>0</v>
      </c>
      <c r="F483" s="15" cm="1">
        <f t="array" ref="F483">Common_InputFunctions.Utility_LookupValueInTableNumber(D483,Table_SourceData_Scope3_Other[Product],Table_SourceData_Scope3_Other[Emissions intensity])</f>
        <v>0</v>
      </c>
      <c r="G483" s="255" cm="1">
        <f t="array" ref="G483">Scope3_Equations.VEERG_15_10_1_1__1_OtherPurchasedGoodsAndServices(E483,F483*10^-3)</f>
        <v>0</v>
      </c>
      <c r="H483" s="74">
        <v>0.2</v>
      </c>
      <c r="I483" s="255" cm="1">
        <f t="array" ref="I483">Scope3_Equations.VEERG_15_10_1_1__1_OtherPurchasedGoodsAndServices(E483,IF(H483,H483,F483)*10^-3)</f>
        <v>0</v>
      </c>
      <c r="J483" s="33"/>
      <c r="K483" s="13"/>
      <c r="L483" s="33"/>
    </row>
    <row r="484" spans="1:12" ht="20.100000000000001" customHeight="1" x14ac:dyDescent="0.2">
      <c r="D484" s="15"/>
      <c r="E484" s="15">
        <f>IFERROR(X_Cell_FarmInputs_Seed_SorghumGrain, 0)</f>
        <v>0</v>
      </c>
      <c r="F484" s="15" cm="1">
        <f t="array" ref="F484">Common_InputFunctions.Utility_LookupValueInTableNumber(D484,Table_SourceData_Scope3_Other[Product],Table_SourceData_Scope3_Other[Emissions intensity])</f>
        <v>0</v>
      </c>
      <c r="G484" s="255" cm="1">
        <f t="array" ref="G484">Scope3_Equations.VEERG_15_10_1_1__1_OtherPurchasedGoodsAndServices(E484,F484*10^-3)</f>
        <v>0</v>
      </c>
      <c r="H484" s="74"/>
      <c r="I484" s="255" cm="1">
        <f t="array" ref="I484">Scope3_Equations.VEERG_15_10_1_1__1_OtherPurchasedGoodsAndServices(E484,IF(H484,H484,F484)*10^-3)</f>
        <v>0</v>
      </c>
      <c r="J484" s="33"/>
      <c r="K484" s="13"/>
      <c r="L484" s="33"/>
    </row>
    <row r="485" spans="1:12" ht="20.100000000000001" customHeight="1" x14ac:dyDescent="0.2">
      <c r="D485" s="15"/>
      <c r="E485" s="15">
        <f>IFERROR(X_Cell_FarmInputs_Seed_WheatGrain, 0)</f>
        <v>0</v>
      </c>
      <c r="F485" s="15" cm="1">
        <f t="array" ref="F485">Common_InputFunctions.Utility_LookupValueInTableNumber(D485,Table_SourceData_Scope3_Other[Product],Table_SourceData_Scope3_Other[Emissions intensity])</f>
        <v>0</v>
      </c>
      <c r="G485" s="255" cm="1">
        <f t="array" ref="G485">Scope3_Equations.VEERG_15_10_1_1__1_OtherPurchasedGoodsAndServices(E485,F485*10^-3)</f>
        <v>0</v>
      </c>
      <c r="H485" s="74">
        <v>0.2</v>
      </c>
      <c r="I485" s="255" cm="1">
        <f t="array" ref="I485">Scope3_Equations.VEERG_15_10_1_1__1_OtherPurchasedGoodsAndServices(E485,IF(H485,H485,F485)*10^-3)</f>
        <v>0</v>
      </c>
      <c r="J485" s="33"/>
      <c r="K485" s="13"/>
      <c r="L485" s="33"/>
    </row>
    <row r="487" spans="1:12" ht="20.100000000000001" customHeight="1" x14ac:dyDescent="0.2">
      <c r="A487" s="131" t="str">
        <f>HYPERLINK("#A1", "▲ Back to top")</f>
        <v>▲ Back to top</v>
      </c>
      <c r="D487" s="257" t="s">
        <v>1026</v>
      </c>
      <c r="E487" s="85">
        <f>SUM(G481:G485)</f>
        <v>0</v>
      </c>
      <c r="F487" s="94" t="str">
        <f>$E$170</f>
        <v>t CO2e</v>
      </c>
    </row>
    <row r="488" spans="1:12" ht="20.100000000000001" customHeight="1" x14ac:dyDescent="0.2">
      <c r="D488" s="257" t="s">
        <v>1029</v>
      </c>
      <c r="E488" s="85">
        <f>SUM(I481:I485)</f>
        <v>0</v>
      </c>
      <c r="F488" s="94" t="str">
        <f>$E$170</f>
        <v>t CO2e</v>
      </c>
    </row>
    <row r="491" spans="1:12" ht="20.100000000000001" customHeight="1" x14ac:dyDescent="0.2">
      <c r="D491" s="248" t="s">
        <v>1129</v>
      </c>
    </row>
    <row r="493" spans="1:12" ht="20.100000000000001" customHeight="1" x14ac:dyDescent="0.2">
      <c r="D493" s="78" t="s">
        <v>936</v>
      </c>
      <c r="E493" s="78" t="s">
        <v>1128</v>
      </c>
      <c r="F493" s="119" t="s">
        <v>1125</v>
      </c>
      <c r="G493" s="119" t="s">
        <v>1026</v>
      </c>
      <c r="H493" s="78" t="s">
        <v>1126</v>
      </c>
      <c r="I493" s="119" t="s">
        <v>1029</v>
      </c>
      <c r="J493" s="78" t="s">
        <v>1030</v>
      </c>
      <c r="K493" s="78" t="s">
        <v>1031</v>
      </c>
      <c r="L493" s="78" t="s">
        <v>1032</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5" cm="1">
        <f t="array" ref="G494">Scope3_Equations.VEERG_15_10_1_1__1_OtherPurchasedGoodsAndServices(E494,F494*10^-3)</f>
        <v>4.2399999999999998E-3</v>
      </c>
      <c r="H494" s="74">
        <v>0.2</v>
      </c>
      <c r="I494" s="255" cm="1">
        <f t="array" ref="I494">Scope3_Equations.VEERG_15_10_1_1__1_OtherPurchasedGoodsAndServices(E494,IF(H494,H494,F494)*10^-3)</f>
        <v>0.02</v>
      </c>
      <c r="J494" s="33"/>
      <c r="K494" s="13"/>
      <c r="L494" s="33"/>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5" cm="1">
        <f t="array" ref="G495">Scope3_Equations.VEERG_15_10_1_1__1_OtherPurchasedGoodsAndServices(E495,F495*10^-3)</f>
        <v>5.8599999999999998E-3</v>
      </c>
      <c r="H495" s="74"/>
      <c r="I495" s="255" cm="1">
        <f t="array" ref="I495">Scope3_Equations.VEERG_15_10_1_1__1_OtherPurchasedGoodsAndServices(E495,IF(H495,H495,F495)*10^-3)</f>
        <v>5.8599999999999998E-3</v>
      </c>
      <c r="J495" s="33"/>
      <c r="K495" s="13"/>
      <c r="L495" s="33"/>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55" cm="1">
        <f t="array" ref="G496">Scope3_Equations.VEERG_15_10_1_1__1_OtherPurchasedGoodsAndServices(E496,F496*10^-3)</f>
        <v>0</v>
      </c>
      <c r="H496" s="74">
        <v>0.2</v>
      </c>
      <c r="I496" s="255" cm="1">
        <f t="array" ref="I496">Scope3_Equations.VEERG_15_10_1_1__1_OtherPurchasedGoodsAndServices(E496,IF(H496,H496,F496)*10^-3)</f>
        <v>0</v>
      </c>
      <c r="J496" s="33"/>
      <c r="K496" s="13"/>
      <c r="L496" s="33"/>
    </row>
    <row r="498" spans="4:14" ht="20.100000000000001" customHeight="1" x14ac:dyDescent="0.2">
      <c r="D498" s="257" t="s">
        <v>1026</v>
      </c>
      <c r="E498" s="85">
        <f>SUM(G494:G496)</f>
        <v>1.01E-2</v>
      </c>
      <c r="F498" s="94" t="str">
        <f>$E$170</f>
        <v>t CO2e</v>
      </c>
    </row>
    <row r="499" spans="4:14" ht="20.100000000000001" customHeight="1" x14ac:dyDescent="0.2">
      <c r="D499" s="257" t="s">
        <v>1029</v>
      </c>
      <c r="E499" s="85">
        <f>SUM(I494:I496)</f>
        <v>2.5860000000000001E-2</v>
      </c>
      <c r="F499" s="94" t="str">
        <f>$E$170</f>
        <v>t CO2e</v>
      </c>
    </row>
    <row r="502" spans="4:14" ht="20.100000000000001" customHeight="1" x14ac:dyDescent="0.2">
      <c r="D502" s="248" t="s">
        <v>1130</v>
      </c>
    </row>
    <row r="504" spans="4:14" ht="20.100000000000001" customHeight="1" x14ac:dyDescent="0.2">
      <c r="D504" s="78" t="s">
        <v>936</v>
      </c>
      <c r="E504" s="78" t="s">
        <v>865</v>
      </c>
      <c r="F504" s="78" t="s">
        <v>583</v>
      </c>
      <c r="G504" s="119" t="s">
        <v>1109</v>
      </c>
      <c r="H504" s="119" t="s">
        <v>1110</v>
      </c>
      <c r="I504" s="78" t="s">
        <v>1111</v>
      </c>
      <c r="J504" s="78" t="s">
        <v>1131</v>
      </c>
      <c r="K504" s="119" t="s">
        <v>1112</v>
      </c>
      <c r="L504" s="78" t="s">
        <v>1030</v>
      </c>
      <c r="M504" s="78" t="s">
        <v>1031</v>
      </c>
      <c r="N504" s="78" t="s">
        <v>1032</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1114</v>
      </c>
      <c r="H505" s="15" t="s">
        <v>1114</v>
      </c>
      <c r="I505" s="74">
        <v>4</v>
      </c>
      <c r="J505" s="13" t="s">
        <v>1132</v>
      </c>
      <c r="K505" s="255" cm="1">
        <f t="array" ref="K505">Scope3_Equations.VEERG_15_10_1_1__1_OtherPurchasedGoodsAndServices(E505,IF(J505="kg / amount unit", I505*10^-3, I505))</f>
        <v>4000</v>
      </c>
      <c r="L505" s="33"/>
      <c r="M505" s="13"/>
      <c r="N505" s="33"/>
    </row>
    <row r="506" spans="4:14" ht="20.100000000000001" customHeight="1" x14ac:dyDescent="0.2">
      <c r="D506" s="15">
        <v>0</v>
      </c>
      <c r="E506" s="15">
        <v>0</v>
      </c>
      <c r="F506" s="15">
        <v>0</v>
      </c>
      <c r="G506" s="15" t="s">
        <v>1114</v>
      </c>
      <c r="H506" s="15" t="s">
        <v>1114</v>
      </c>
      <c r="I506" s="74">
        <v>2</v>
      </c>
      <c r="J506" s="13" t="s">
        <v>1132</v>
      </c>
      <c r="K506" s="255" cm="1">
        <f t="array" ref="K506">Scope3_Equations.VEERG_15_10_1_1__1_OtherPurchasedGoodsAndServices(E506,IF(J506="kg / amount unit", I506*10^-3, I506))</f>
        <v>0</v>
      </c>
      <c r="L506" s="33"/>
      <c r="M506" s="13"/>
      <c r="N506" s="33"/>
    </row>
    <row r="507" spans="4:14" ht="20.100000000000001" customHeight="1" x14ac:dyDescent="0.2">
      <c r="D507" s="15">
        <v>0</v>
      </c>
      <c r="E507" s="15">
        <v>0</v>
      </c>
      <c r="F507" s="15">
        <v>0</v>
      </c>
      <c r="G507" s="15" t="s">
        <v>1114</v>
      </c>
      <c r="H507" s="15" t="s">
        <v>1114</v>
      </c>
      <c r="I507" s="74"/>
      <c r="J507" s="13"/>
      <c r="K507" s="255" cm="1">
        <f t="array" ref="K507">Scope3_Equations.VEERG_15_10_1_1__1_OtherPurchasedGoodsAndServices(E507,IF(J507="kg / amount unit", I507*10^-3, I507))</f>
        <v>0</v>
      </c>
      <c r="L507" s="33"/>
      <c r="M507" s="13"/>
      <c r="N507" s="33"/>
    </row>
    <row r="508" spans="4:14" ht="20.100000000000001" customHeight="1" x14ac:dyDescent="0.2">
      <c r="D508" s="15">
        <v>0</v>
      </c>
      <c r="E508" s="15">
        <v>0</v>
      </c>
      <c r="F508" s="15">
        <v>0</v>
      </c>
      <c r="G508" s="15" t="s">
        <v>1114</v>
      </c>
      <c r="H508" s="15" t="s">
        <v>1114</v>
      </c>
      <c r="I508" s="74"/>
      <c r="J508" s="13"/>
      <c r="K508" s="255" cm="1">
        <f t="array" ref="K508">Scope3_Equations.VEERG_15_10_1_1__1_OtherPurchasedGoodsAndServices(E508,IF(J508="kg / amount unit", I508*10^-3, I508))</f>
        <v>0</v>
      </c>
      <c r="L508" s="33"/>
      <c r="M508" s="13"/>
      <c r="N508" s="33"/>
    </row>
    <row r="509" spans="4:14" ht="20.100000000000001" customHeight="1" x14ac:dyDescent="0.2">
      <c r="D509" s="15">
        <v>0</v>
      </c>
      <c r="E509" s="15">
        <v>0</v>
      </c>
      <c r="F509" s="15">
        <v>0</v>
      </c>
      <c r="G509" s="15" t="s">
        <v>1114</v>
      </c>
      <c r="H509" s="15" t="s">
        <v>1114</v>
      </c>
      <c r="I509" s="74"/>
      <c r="J509" s="13"/>
      <c r="K509" s="255" cm="1">
        <f t="array" ref="K509">Scope3_Equations.VEERG_15_10_1_1__1_OtherPurchasedGoodsAndServices(E509,IF(J509="kg / amount unit", I509*10^-3, I509))</f>
        <v>0</v>
      </c>
      <c r="L509" s="33"/>
      <c r="M509" s="13"/>
      <c r="N509" s="33"/>
    </row>
    <row r="510" spans="4:14" ht="20.100000000000001" customHeight="1" x14ac:dyDescent="0.2">
      <c r="D510" s="15">
        <v>0</v>
      </c>
      <c r="E510" s="15">
        <v>0</v>
      </c>
      <c r="F510" s="15">
        <v>0</v>
      </c>
      <c r="G510" s="15" t="s">
        <v>1114</v>
      </c>
      <c r="H510" s="15" t="s">
        <v>1114</v>
      </c>
      <c r="I510" s="74"/>
      <c r="J510" s="13"/>
      <c r="K510" s="255" cm="1">
        <f t="array" ref="K510">Scope3_Equations.VEERG_15_10_1_1__1_OtherPurchasedGoodsAndServices(E510,IF(J510="kg / amount unit", I510*10^-3, I510))</f>
        <v>0</v>
      </c>
      <c r="L510" s="33"/>
      <c r="M510" s="13"/>
      <c r="N510" s="33"/>
    </row>
    <row r="511" spans="4:14" ht="20.100000000000001" customHeight="1" x14ac:dyDescent="0.2">
      <c r="D511" s="15">
        <v>0</v>
      </c>
      <c r="E511" s="15">
        <v>0</v>
      </c>
      <c r="F511" s="15">
        <v>0</v>
      </c>
      <c r="G511" s="15" t="s">
        <v>1114</v>
      </c>
      <c r="H511" s="15" t="s">
        <v>1114</v>
      </c>
      <c r="I511" s="74"/>
      <c r="J511" s="13"/>
      <c r="K511" s="255" cm="1">
        <f t="array" ref="K511">Scope3_Equations.VEERG_15_10_1_1__1_OtherPurchasedGoodsAndServices(E511,IF(J511="kg / amount unit", I511*10^-3, I511))</f>
        <v>0</v>
      </c>
      <c r="L511" s="33"/>
      <c r="M511" s="13"/>
      <c r="N511" s="33"/>
    </row>
    <row r="512" spans="4:14" ht="20.100000000000001" customHeight="1" x14ac:dyDescent="0.2">
      <c r="D512" s="15">
        <v>0</v>
      </c>
      <c r="E512" s="15">
        <v>0</v>
      </c>
      <c r="F512" s="15">
        <v>0</v>
      </c>
      <c r="G512" s="15" t="s">
        <v>1114</v>
      </c>
      <c r="H512" s="15" t="s">
        <v>1114</v>
      </c>
      <c r="I512" s="74"/>
      <c r="J512" s="13"/>
      <c r="K512" s="255" cm="1">
        <f t="array" ref="K512">Scope3_Equations.VEERG_15_10_1_1__1_OtherPurchasedGoodsAndServices(E512,IF(J512="kg / amount unit", I512*10^-3, I512))</f>
        <v>0</v>
      </c>
      <c r="L512" s="33"/>
      <c r="M512" s="13"/>
      <c r="N512" s="33"/>
    </row>
    <row r="513" spans="1:41" ht="20.100000000000001" customHeight="1" x14ac:dyDescent="0.2">
      <c r="D513" s="15">
        <v>0</v>
      </c>
      <c r="E513" s="15">
        <v>0</v>
      </c>
      <c r="F513" s="15">
        <v>0</v>
      </c>
      <c r="G513" s="15" t="s">
        <v>1114</v>
      </c>
      <c r="H513" s="15" t="s">
        <v>1114</v>
      </c>
      <c r="I513" s="74"/>
      <c r="J513" s="13"/>
      <c r="K513" s="255" cm="1">
        <f t="array" ref="K513">Scope3_Equations.VEERG_15_10_1_1__1_OtherPurchasedGoodsAndServices(E513,IF(J513="kg / amount unit", I513*10^-3, I513))</f>
        <v>0</v>
      </c>
      <c r="L513" s="33"/>
      <c r="M513" s="13"/>
      <c r="N513" s="33"/>
    </row>
    <row r="514" spans="1:41" ht="20.100000000000001" customHeight="1" x14ac:dyDescent="0.2">
      <c r="D514" s="15">
        <v>0</v>
      </c>
      <c r="E514" s="15">
        <v>0</v>
      </c>
      <c r="F514" s="15">
        <v>0</v>
      </c>
      <c r="G514" s="15" t="s">
        <v>1114</v>
      </c>
      <c r="H514" s="15" t="s">
        <v>1114</v>
      </c>
      <c r="I514" s="74"/>
      <c r="J514" s="13"/>
      <c r="K514" s="255" cm="1">
        <f t="array" ref="K514">Scope3_Equations.VEERG_15_10_1_1__1_OtherPurchasedGoodsAndServices(E514,IF(J514="kg / amount unit", I514*10^-3, I514))</f>
        <v>0</v>
      </c>
      <c r="L514" s="33"/>
      <c r="M514" s="13"/>
      <c r="N514" s="33"/>
    </row>
    <row r="516" spans="1:41" ht="20.100000000000001" customHeight="1" x14ac:dyDescent="0.2">
      <c r="D516" s="257" t="s">
        <v>1026</v>
      </c>
      <c r="E516" s="85" t="s">
        <v>1114</v>
      </c>
      <c r="F516" s="94" t="str">
        <f>$E$170</f>
        <v>t CO2e</v>
      </c>
    </row>
    <row r="517" spans="1:41" ht="20.100000000000001" customHeight="1" x14ac:dyDescent="0.2">
      <c r="A517" s="131" t="str">
        <f>HYPERLINK("#A1", "▲ Back to top")</f>
        <v>▲ Back to top</v>
      </c>
      <c r="D517" s="257" t="s">
        <v>1029</v>
      </c>
      <c r="E517" s="85">
        <f>SUM(K505:K514)</f>
        <v>4000</v>
      </c>
      <c r="F517" s="94" t="str">
        <f>$E$170</f>
        <v>t CO2e</v>
      </c>
    </row>
    <row r="520" spans="1:41" ht="20.100000000000001" customHeight="1" x14ac:dyDescent="0.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1:41" ht="20.100000000000001" customHeight="1" x14ac:dyDescent="0.2">
      <c r="D521" s="2" t="str" cm="1">
        <f t="array" ref="D521">Scope3_Equations.VEERG_15_11_1_1__1_TotalUpstreamEmissionsFromFuel_Title()</f>
        <v>Total upstream emissions from scope 1 fuel consumption</v>
      </c>
    </row>
    <row r="522" spans="1:41" ht="20.100000000000001" customHeight="1" x14ac:dyDescent="0.2">
      <c r="D522" s="17" t="str" cm="1">
        <f t="array" ref="D522">Scope3_Equations.VEERG_15_11_1_1__1_TotalUpstreamEmissionsFromFuel_Source()</f>
        <v>VEERG 2026: 15.11.1.1, Equation (1)</v>
      </c>
    </row>
    <row r="523" spans="1:41" ht="20.100000000000001" customHeight="1" x14ac:dyDescent="0.2">
      <c r="D523" s="110" t="s">
        <v>321</v>
      </c>
      <c r="E523" s="110" t="str">
        <f ca="1">Common_InputFunctions.Utility_DisplayFunctionName(VEERG_15_11_1_1__1_TotalUpstreamEmissionsFromFuel_Result)</f>
        <v>=Scope3_Equations.VEERG_15_11_1_1__1_TotalUpstreamEmissionsFromFuel</v>
      </c>
    </row>
    <row r="527" spans="1:41" ht="20.100000000000001" customHeight="1" x14ac:dyDescent="0.2">
      <c r="D527" s="75" t="s">
        <v>322</v>
      </c>
      <c r="E527" s="1" t="str" cm="1">
        <f t="array" ref="E527">Scope3_Equations.VEERG_15_11_1_1__1_TotalUpstreamEmissionsFromFuel_Variable()</f>
        <v>E</v>
      </c>
    </row>
    <row r="528" spans="1:41" ht="20.100000000000001" customHeight="1" x14ac:dyDescent="0.2">
      <c r="D528" s="75" t="s">
        <v>118</v>
      </c>
      <c r="E528" s="9" t="str" cm="1">
        <f t="array" ref="E528">Scope3_Equations.VEERG_15_11_1_1__1_TotalUpstreamEmissionsFromFuel_Unit()</f>
        <v>t CO2e</v>
      </c>
    </row>
    <row r="530" spans="3:41" ht="20.100000000000001" customHeight="1" x14ac:dyDescent="0.2">
      <c r="D530" s="127" t="str" cm="1">
        <f t="array" ref="D530:E531">_xlfn.CHOOSECOLS(Scope3_Equations.VEERG_15_11_1_1__1_TotalUpstreamEmissionsFromFuel_Arguments(),1,2)</f>
        <v>E_WTTtransq</v>
      </c>
      <c r="E530" s="128" t="str">
        <v>upstream emissions from scope 1 transport fuel use</v>
      </c>
      <c r="F530" s="129"/>
      <c r="G530" s="127" t="str" cm="1">
        <f t="array" ref="G530:H531">_xlfn.CHOOSECOLS(Scope3_Equations.VEERG_15_11_1_1__1_TotalUpstreamEmissionsFromFuel_Arguments(),3,4)</f>
        <v>t CO2e</v>
      </c>
      <c r="H530" s="125" t="str">
        <v>Calculated by 15.11.1.1 (2)</v>
      </c>
      <c r="I530" s="127">
        <f>VEERG_8_1_1_1__1_FuelCombustionTransport_Result</f>
        <v>20.5016</v>
      </c>
    </row>
    <row r="531" spans="3:41" ht="20.100000000000001" customHeight="1" x14ac:dyDescent="0.2">
      <c r="D531" s="127" t="str">
        <v>E_WTTSCq</v>
      </c>
      <c r="E531" s="128" t="str">
        <v>upstream emissions from scope 1 stationary combustion fuel use</v>
      </c>
      <c r="F531" s="129"/>
      <c r="G531" s="127" t="str">
        <v>t CO2e</v>
      </c>
      <c r="H531" s="125" t="str">
        <v>Calculated by 15.11.1.1 (3)</v>
      </c>
      <c r="I531" s="127">
        <f>VEERG_8_2_1_1__1_FuelCombustionStationary_Result</f>
        <v>6.2923999999999998</v>
      </c>
    </row>
    <row r="533" spans="3:41" ht="20.100000000000001" customHeight="1" x14ac:dyDescent="0.2">
      <c r="D533" s="257" t="s">
        <v>1133</v>
      </c>
      <c r="E533" s="85" cm="1">
        <f t="array" ref="E533">Scope3_Equations.VEERG_15_11_1_1__1_TotalUpstreamEmissionsFromFuel(I530,I531)</f>
        <v>26.794</v>
      </c>
      <c r="F533" s="94" t="str">
        <f>$E$170</f>
        <v>t CO2e</v>
      </c>
    </row>
    <row r="535" spans="3:41" ht="20.100000000000001" customHeight="1" x14ac:dyDescent="0.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0.100000000000001" customHeight="1" x14ac:dyDescent="0.2">
      <c r="D536" s="2" t="str" cm="1">
        <f t="array" ref="D536">Scope3_Equations.VEERG_15_12_1_1__1_UpstreamPurchasedElectricityLocationBased_Title()</f>
        <v>Scope 3 emissions from purchased electricity location based</v>
      </c>
    </row>
    <row r="537" spans="3:41" ht="20.100000000000001" customHeight="1" x14ac:dyDescent="0.2">
      <c r="D537" s="17" t="str" cm="1">
        <f t="array" ref="D537">Scope3_Equations.VEERG_15_12_1_1__1_UpstreamPurchasedElectricityLocationBased_Source()</f>
        <v>VEERG 2026: 15.12.1.1, Equation (1)</v>
      </c>
    </row>
    <row r="538" spans="3:41" ht="20.100000000000001" customHeight="1" x14ac:dyDescent="0.2">
      <c r="D538" s="110" t="s">
        <v>321</v>
      </c>
      <c r="E538" s="110" t="str">
        <f ca="1">Common_InputFunctions.Utility_DisplayFunctionName(VEERG_15_12_1_1__1_UpstreamPurchasedElectricityLocationBased_Result)</f>
        <v>=Scope3_Equations.VEERG_15_12_1_1__1_UpstreamPurchasedElectricityLocationBased</v>
      </c>
    </row>
    <row r="541" spans="3:41" ht="20.100000000000001" customHeight="1" x14ac:dyDescent="0.2">
      <c r="D541" s="75" t="s">
        <v>322</v>
      </c>
      <c r="E541" s="1" t="str" cm="1">
        <f t="array" ref="E541">Scope3_Equations.VEERG_15_12_1_1__1_UpstreamPurchasedElectricityLocationBased_Variable()</f>
        <v>E_3elec</v>
      </c>
    </row>
    <row r="542" spans="3:41" ht="20.100000000000001" customHeight="1" x14ac:dyDescent="0.2">
      <c r="D542" s="75" t="s">
        <v>118</v>
      </c>
      <c r="E542" s="1" t="str" cm="1">
        <f t="array" ref="E542">Scope3_Equations.VEERG_15_12_1_1__1_UpstreamPurchasedElectricityLocationBased_Unit()</f>
        <v>t CO2e</v>
      </c>
    </row>
    <row r="544" spans="3:41" ht="20.100000000000001" customHeight="1" x14ac:dyDescent="0.2">
      <c r="D544" s="127" t="str" cm="1">
        <f t="array" ref="D544:E546">_xlfn.CHOOSECOLS(Scope3_Equations.VEERG_15_12_1_1__1_UpstreamPurchasedElectricityLocationBased_Arguments(),1,2)</f>
        <v>Q_elec</v>
      </c>
      <c r="E544" s="127" t="str">
        <v>amount of electricity purchased from the grid</v>
      </c>
      <c r="F544" s="127"/>
      <c r="G544" s="127" t="str" cm="1">
        <f t="array" ref="G544:H546">_xlfn.CHOOSECOLS(Scope3_Equations.VEERG_15_12_1_1__1_UpstreamPurchasedElectricityLocationBased_Arguments(),3,4)</f>
        <v>kWh</v>
      </c>
      <c r="H544" s="253" t="str">
        <v>Input</v>
      </c>
      <c r="I544" s="128">
        <f>X_Cell_Electricity_Location_AmountPurchasedInkWh</f>
        <v>30000</v>
      </c>
      <c r="J544" s="129"/>
    </row>
    <row r="545" spans="1:41" ht="20.100000000000001" customHeight="1" x14ac:dyDescent="0.2">
      <c r="D545" s="127" t="str">
        <v>EF_3elec</v>
      </c>
      <c r="E545" s="127" t="str">
        <v>scope 3 emission factor for purchased electricity</v>
      </c>
      <c r="F545" s="127"/>
      <c r="G545" s="127" t="str">
        <v>kg CO2e/kWh</v>
      </c>
      <c r="H545" s="125" t="str">
        <v>Constant</v>
      </c>
      <c r="I545" s="128" cm="1">
        <f t="array" ref="I545">Common_InputFunctions.Utility_LookupValueInTableNumber(I546,Table_SourceData_ElectricityEFs[State, Territory or grid description],Table_SourceData_ElectricityEFs[Scope 3 Emission Factors (kg CO2-e/kWh)])</f>
        <v>0.09</v>
      </c>
      <c r="J545" s="129"/>
    </row>
    <row r="546" spans="1:41" ht="20.100000000000001" customHeight="1" x14ac:dyDescent="0.2">
      <c r="D546" s="127" t="str">
        <v>g</v>
      </c>
      <c r="E546" s="128" t="str">
        <v>grid electricity was purchased from</v>
      </c>
      <c r="F546" s="129"/>
      <c r="G546" s="127" t="str">
        <v/>
      </c>
      <c r="H546" s="253" t="str">
        <v>Input</v>
      </c>
      <c r="I546" s="128" t="str">
        <f>X_Cell_Electricity_Location_GridElectricityPurchasedFrom</f>
        <v>Western Australia - North Western Interconnected System (NWIS)</v>
      </c>
      <c r="J546" s="129"/>
    </row>
    <row r="547" spans="1:41" ht="20.100000000000001" customHeight="1" x14ac:dyDescent="0.2">
      <c r="A547" s="131" t="str">
        <f>HYPERLINK("#A1", "▲ Back to top")</f>
        <v>▲ Back to top</v>
      </c>
    </row>
    <row r="548" spans="1:41" ht="20.100000000000001" customHeight="1" x14ac:dyDescent="0.2">
      <c r="D548" s="257" t="s">
        <v>1134</v>
      </c>
      <c r="E548" s="85" cm="1">
        <f t="array" ref="E548">Scope3_Equations.VEERG_15_12_1_1__1_UpstreamPurchasedElectricityLocationBased(I544,I545)</f>
        <v>2.7</v>
      </c>
      <c r="F548" s="94" t="str">
        <f>$E$170</f>
        <v>t CO2e</v>
      </c>
    </row>
    <row r="551" spans="1:41" ht="20.100000000000001" customHeight="1" x14ac:dyDescent="0.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1:41" ht="20.100000000000001" customHeight="1" x14ac:dyDescent="0.2">
      <c r="D552" s="2" t="str" cm="1">
        <f t="array" ref="D552">Scope3_Equations.VEERG_15_12_1_2__1_UpstreamPurchasedElectricityMarketBased_Title()</f>
        <v>Scope 3 emissions from purchased electricity market based</v>
      </c>
    </row>
    <row r="553" spans="1:41" ht="20.100000000000001" customHeight="1" x14ac:dyDescent="0.2">
      <c r="D553" s="17" t="str" cm="1">
        <f t="array" ref="D553">Scope3_Equations.VEERG_15_12_1_2__1_UpstreamPurchasedElectricityMarketBased_Source()</f>
        <v>VEERG 2026: 15.12.1.2, Equation (1)</v>
      </c>
    </row>
    <row r="554" spans="1:41" ht="20.100000000000001" customHeight="1" x14ac:dyDescent="0.2">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1:41" ht="20.100000000000001" customHeight="1" x14ac:dyDescent="0.2">
      <c r="D555" s="110" t="s">
        <v>321</v>
      </c>
      <c r="E555" s="110" t="str">
        <f ca="1">Common_InputFunctions.Utility_DisplayFunctionName(VEERG_15_12_1_2__1_UpstreamPurchasedElectricityMarketBasedVariation_Result)</f>
        <v>=Scope3_Equations.VEERG_15_12_1_2__1_UpstreamPurchasedElectricityMarketBasedVariation</v>
      </c>
    </row>
    <row r="559" spans="1:41" ht="20.100000000000001" customHeight="1" x14ac:dyDescent="0.2">
      <c r="D559" s="75" t="s">
        <v>322</v>
      </c>
      <c r="E559" s="1" t="str" cm="1">
        <f t="array" ref="E559">Scope3_Equations.VEERG_15_12_1_2__1_UpstreamPurchasedElectricityMarketBased_Variable()</f>
        <v>E_3elec</v>
      </c>
    </row>
    <row r="560" spans="1:41" ht="20.100000000000001" customHeight="1" x14ac:dyDescent="0.2">
      <c r="D560" s="75" t="s">
        <v>118</v>
      </c>
      <c r="E560" s="1" t="str" cm="1">
        <f t="array" ref="E560">Scope3_Equations.VEERG_15_12_1_2__1_UpstreamPurchasedElectricityMarketBased_Unit()</f>
        <v>t CO2e</v>
      </c>
    </row>
    <row r="562" spans="3:41" ht="20.100000000000001" customHeight="1" x14ac:dyDescent="0.2">
      <c r="D562" s="127" t="str" cm="1">
        <f t="array" ref="D562:E568">_xlfn.CHOOSECOLS(Scope3_Equations.VEERG_15_12_1_2__1_UpstreamPurchasedElectricityMarketBased_Arguments(),1,2)</f>
        <v>Q_elec</v>
      </c>
      <c r="E562" s="128" t="str">
        <v>amount of electricity purchased from the grid</v>
      </c>
      <c r="F562" s="129"/>
      <c r="G562" s="127" t="str" cm="1">
        <f t="array" ref="G562:H568">_xlfn.CHOOSECOLS(Scope3_Equations.VEERG_15_12_1_2__1_UpstreamPurchasedElectricityMarketBased_Arguments(),3,4)</f>
        <v>kWh</v>
      </c>
      <c r="H562" s="253" t="str">
        <v>Input</v>
      </c>
      <c r="I562" s="258">
        <f>X_Cell_Electricity_Market_AmountPurchasedExcludingGreenPower</f>
        <v>30000</v>
      </c>
    </row>
    <row r="563" spans="3:41" ht="20.100000000000001" customHeight="1" x14ac:dyDescent="0.2">
      <c r="D563" s="127" t="str">
        <v>RPP</v>
      </c>
      <c r="E563" s="128" t="str">
        <v>renewable power percentage under LRET for the applicable period</v>
      </c>
      <c r="F563" s="129"/>
      <c r="G563" s="127" t="str">
        <v>fraction</v>
      </c>
      <c r="H563" s="253" t="str">
        <v>Input</v>
      </c>
      <c r="I563" s="150">
        <f>X_Cell_Electricity_Market_RenewablePowerPercentage</f>
        <v>0.1</v>
      </c>
    </row>
    <row r="564" spans="3:41" ht="20.100000000000001" customHeight="1" x14ac:dyDescent="0.2">
      <c r="D564" s="127" t="str">
        <v>JRPP</v>
      </c>
      <c r="E564" s="128" t="str">
        <v>jurisdictional renewable power percentage for the applicable period</v>
      </c>
      <c r="F564" s="129"/>
      <c r="G564" s="127" t="str">
        <v>fraction</v>
      </c>
      <c r="H564" s="253" t="str">
        <v>Input</v>
      </c>
      <c r="I564" s="150">
        <f>X_Cell_Electricity_Market_JurisdictionalRenewablePowerPercentage</f>
        <v>0.1</v>
      </c>
    </row>
    <row r="565" spans="3:41" ht="20.100000000000001" customHeight="1" x14ac:dyDescent="0.2">
      <c r="D565" s="127" t="str">
        <v>REC_surrendered</v>
      </c>
      <c r="E565" s="128" t="str">
        <v>eligible renewable energy certificates voluntarily surrendered</v>
      </c>
      <c r="F565" s="129"/>
      <c r="G565" s="127" t="str">
        <v>MWh</v>
      </c>
      <c r="H565" s="253" t="str">
        <v>Input</v>
      </c>
      <c r="I565" s="127">
        <f>(X_Cell_Electricity_Market_AmountPurchasedGreenPower*10^-3)+X_Cell_TotalElegibleVoluntarilySurrenderedRECs</f>
        <v>15</v>
      </c>
    </row>
    <row r="566" spans="3:41" ht="20.100000000000001" customHeight="1" x14ac:dyDescent="0.2">
      <c r="D566" s="127" t="str">
        <v>REC_onsite</v>
      </c>
      <c r="E566" s="128" t="str">
        <v>eligible renewable energy certificates issued for onsite generated electricity</v>
      </c>
      <c r="F566" s="129"/>
      <c r="G566" s="127" t="str">
        <v>MWh</v>
      </c>
      <c r="H566" s="253" t="str">
        <v>Input</v>
      </c>
      <c r="I566" s="127">
        <f>X_Cell_TotalElegibleRECsForElectricityProducedOnSite</f>
        <v>0</v>
      </c>
    </row>
    <row r="567" spans="3:41" ht="20.100000000000001" customHeight="1" x14ac:dyDescent="0.2">
      <c r="D567" s="127" t="str">
        <v>EF_RMF3elec</v>
      </c>
      <c r="E567" s="128" t="str">
        <v>scope 3 residual mix emission factor for electricity</v>
      </c>
      <c r="F567" s="129"/>
      <c r="G567" s="127" t="str">
        <v>kg CO2e/kWh</v>
      </c>
      <c r="H567" s="125" t="str">
        <v>Constant</v>
      </c>
      <c r="I567" s="127" cm="1">
        <f t="array" ref="I567">Table_SourceData_ElectricityEFsMarketBased[Scope 3 EF (kg CO2-e/kWh)]</f>
        <v>0.1</v>
      </c>
    </row>
    <row r="568" spans="3:41" ht="20.100000000000001" customHeight="1" x14ac:dyDescent="0.2">
      <c r="D568" s="127" t="str">
        <v>i</v>
      </c>
      <c r="E568" s="128" t="str">
        <v>state</v>
      </c>
      <c r="F568" s="129"/>
      <c r="G568" s="127" t="str">
        <v/>
      </c>
      <c r="H568" s="253" t="str">
        <v>Input</v>
      </c>
      <c r="I568" s="127" t="str">
        <f>X_Cell_Site_State</f>
        <v>Western Australia</v>
      </c>
    </row>
    <row r="570" spans="3:41" ht="20.100000000000001" customHeight="1" x14ac:dyDescent="0.2">
      <c r="D570" s="257" t="s">
        <v>1134</v>
      </c>
      <c r="E570" s="85" cm="1">
        <f t="array" ref="E570">Scope3_Equations.VEERG_15_12_1_2__1_UpstreamPurchasedElectricityMarketBasedVariation(I562,I563,I564,I565,I566,I567)</f>
        <v>0.9</v>
      </c>
      <c r="F570" s="94" t="str">
        <f>$E$170</f>
        <v>t CO2e</v>
      </c>
    </row>
    <row r="573" spans="3:41" ht="20.100000000000001" customHeight="1" x14ac:dyDescent="0.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0.100000000000001" customHeight="1" x14ac:dyDescent="0.2">
      <c r="D574" s="2" t="str" cm="1">
        <f t="array" ref="D574">Scope3_Equations.VEERG_15_13_1_1__1_EmissionsFromManureSentOffSite_Title()</f>
        <v>Emissions from manure sent off site applied to soils in another farming system or enterprise</v>
      </c>
    </row>
    <row r="575" spans="3:41" ht="20.100000000000001" customHeight="1" x14ac:dyDescent="0.2">
      <c r="D575" s="17" t="str" cm="1">
        <f t="array" ref="D575">Scope3_Equations.VEERG_15_13_1_1__1_EmissionsFromManureSentOffSite_Source()</f>
        <v>VEERG 2026: 15.13.1.1, Equation (1)</v>
      </c>
    </row>
    <row r="576" spans="3:41" ht="20.100000000000001" customHeight="1" x14ac:dyDescent="0.2">
      <c r="D576" s="110" t="s">
        <v>321</v>
      </c>
      <c r="E576" s="110" t="str" cm="1">
        <f t="array" aca="1" ref="E576" ca="1">Common_InputFunctions.Utility_DisplayFunctionName(E588)</f>
        <v>=Scope3_Equations.VEERG_15_13_1_1__1_EmissionsFromManureSentOffSite</v>
      </c>
    </row>
    <row r="577" spans="1:18" ht="20.100000000000001" customHeight="1" x14ac:dyDescent="0.2">
      <c r="A577" s="131" t="str">
        <f>HYPERLINK("#A1", "▲ Back to top")</f>
        <v>▲ Back to top</v>
      </c>
    </row>
    <row r="579" spans="1:18" ht="20.100000000000001" customHeight="1" x14ac:dyDescent="0.2">
      <c r="D579" s="75" t="s">
        <v>322</v>
      </c>
      <c r="E579" s="1" t="str" cm="1">
        <f t="array" ref="E579">Scope3_Equations.VEERG_15_13_1_1__1_EmissionsFromManureSentOffSite_Variable()</f>
        <v>E</v>
      </c>
    </row>
    <row r="580" spans="1:18" ht="20.100000000000001" customHeight="1" x14ac:dyDescent="0.2">
      <c r="D580" s="75" t="s">
        <v>118</v>
      </c>
      <c r="E580" s="9" t="str" cm="1">
        <f t="array" ref="E580">Scope3_Equations.VEERG_15_13_1_1__1_EmissionsFromManureSentOffSite_Unit()</f>
        <v>t N2O</v>
      </c>
    </row>
    <row r="582" spans="1:18" ht="20.100000000000001" customHeight="1" x14ac:dyDescent="0.2">
      <c r="D582" s="24" t="s">
        <v>130</v>
      </c>
      <c r="L582" s="24" t="s">
        <v>131</v>
      </c>
    </row>
    <row r="584" spans="1:18" ht="20.100000000000001" customHeight="1" x14ac:dyDescent="0.2">
      <c r="D584" s="127" t="str" cm="1">
        <f t="array" ref="D584:E586">_xlfn.CHOOSECOLS(Scope3_Equations.VEERG_15_13_1_1__1_EmissionsFromManureSentOffSite_Arguments(),1,2)</f>
        <v>E_N2O</v>
      </c>
      <c r="E584" s="128" t="str">
        <v>direct nitrous oxide emissions from application of manure to soils outside of scope 1 boundary</v>
      </c>
      <c r="F584" s="149"/>
      <c r="G584" s="129"/>
      <c r="H584" s="127" t="str" cm="1">
        <f t="array" ref="H584:I586">_xlfn.CHOOSECOLS(Scope3_Equations.VEERG_15_13_1_1__1_EmissionsFromManureSentOffSite_Arguments(),3,4)</f>
        <v>t N2O</v>
      </c>
      <c r="I584" s="125" t="str">
        <v>Calculated</v>
      </c>
      <c r="J584" s="127">
        <f>IFERROR(VEERG_5_2_1_1__1_OrganicFertiliserApplicationN2OEmissions_Result_Method1, 0)</f>
        <v>7.8571428571428577E-3</v>
      </c>
      <c r="L584" s="127" t="str" cm="1">
        <f t="array" ref="L584:M586">_xlfn.CHOOSECOLS(Scope3_Equations.VEERG_15_13_1_1__1_EmissionsFromManureSentOffSite_Arguments(),1,2)</f>
        <v>E_N2O</v>
      </c>
      <c r="M584" s="128" t="str">
        <v>direct nitrous oxide emissions from application of manure to soils outside of scope 1 boundary</v>
      </c>
      <c r="N584" s="149"/>
      <c r="O584" s="129"/>
      <c r="P584" s="127" t="str" cm="1">
        <f t="array" ref="P584:Q586">_xlfn.CHOOSECOLS(Scope3_Equations.VEERG_15_13_1_1__1_EmissionsFromManureSentOffSite_Arguments(),3,4)</f>
        <v>t N2O</v>
      </c>
      <c r="Q584" s="125" t="str">
        <v>Calculated</v>
      </c>
      <c r="R584" s="127">
        <f>IFERROR(VEERG_5_2_1_1__1_OrganicFertiliserApplicationN2OEmissions_Result_Method2, 0)</f>
        <v>1.5714285714285715E-2</v>
      </c>
    </row>
    <row r="585" spans="1:18" ht="20.100000000000001" customHeight="1" x14ac:dyDescent="0.2">
      <c r="D585" s="127" t="str">
        <v>E_ad</v>
      </c>
      <c r="E585" s="128" t="str">
        <v>nitrous oxide emissions from atmospheric deposition of manure to soils</v>
      </c>
      <c r="F585" s="149"/>
      <c r="G585" s="129"/>
      <c r="H585" s="127" t="str">
        <v>t N2O</v>
      </c>
      <c r="I585" s="125" t="str">
        <v>Calculated</v>
      </c>
      <c r="J585" s="127">
        <f>IFERROR(VEERG_5_4_1_3__1_OrganicFertiliserAtmosphericDepositionN2OEmissions_Result_Method1, 0)</f>
        <v>1.6401E-3</v>
      </c>
      <c r="L585" s="127" t="str">
        <v>E_ad</v>
      </c>
      <c r="M585" s="128" t="str">
        <v>nitrous oxide emissions from atmospheric deposition of manure to soils</v>
      </c>
      <c r="N585" s="149"/>
      <c r="O585" s="129"/>
      <c r="P585" s="127" t="str">
        <v>t N2O</v>
      </c>
      <c r="Q585" s="125" t="str">
        <v>Calculated</v>
      </c>
      <c r="R585" s="127">
        <f>IFERROR(VEERG_5_4_1_3__1_OrganicFertiliserAtmosphericDepositionN2OEmissions_Result_Method2, 0)</f>
        <v>4.62E-3</v>
      </c>
    </row>
    <row r="586" spans="1:18" ht="20.100000000000001" customHeight="1" x14ac:dyDescent="0.2">
      <c r="D586" s="127" t="str">
        <v>E_leach</v>
      </c>
      <c r="E586" s="128" t="str">
        <v>nitrous oxide emissions from nitrogen leaching and runoff of manure to soils</v>
      </c>
      <c r="F586" s="149"/>
      <c r="G586" s="129"/>
      <c r="H586" s="127" t="str">
        <v>t N2O</v>
      </c>
      <c r="I586" s="125" t="str">
        <v>Calculated</v>
      </c>
      <c r="J586" s="127">
        <f>IFERROR(VEERG_5_5_1_1__1_FertiliserLeachingAndRunoffN2OEmissions_Result_Method1, 0)</f>
        <v>0</v>
      </c>
      <c r="L586" s="127" t="str">
        <v>E_leach</v>
      </c>
      <c r="M586" s="128" t="str">
        <v>nitrous oxide emissions from nitrogen leaching and runoff of manure to soils</v>
      </c>
      <c r="N586" s="149"/>
      <c r="O586" s="129"/>
      <c r="P586" s="127" t="str">
        <v>t N2O</v>
      </c>
      <c r="Q586" s="125" t="str">
        <v>Calculated</v>
      </c>
      <c r="R586" s="127">
        <f>IFERROR(VEERG_5_5_1_1__1_FertiliserLeachingAndRunoffN2OEmissions_Result_Method2, 0)</f>
        <v>8.2971428571428554E-3</v>
      </c>
    </row>
    <row r="588" spans="1:18" ht="20.100000000000001" customHeight="1" x14ac:dyDescent="0.2">
      <c r="D588" s="257" t="s">
        <v>1134</v>
      </c>
      <c r="E588" s="85" cm="1">
        <f t="array" ref="E588">Scope3_Equations.VEERG_15_13_1_1__1_EmissionsFromManureSentOffSite(J584,J585,J586)</f>
        <v>9.4972428571428579E-3</v>
      </c>
      <c r="F588" s="94" t="str">
        <f>$E$580</f>
        <v>t N2O</v>
      </c>
      <c r="L588" s="257" t="s">
        <v>1134</v>
      </c>
      <c r="M588" s="85" cm="1">
        <f t="array" ref="M588">Scope3_Equations.VEERG_15_13_1_1__1_EmissionsFromManureSentOffSite(R584,R585,R586)</f>
        <v>2.8631428571428572E-2</v>
      </c>
      <c r="N588" s="94" t="str">
        <f>$E$580</f>
        <v>t N2O</v>
      </c>
    </row>
    <row r="590" spans="1:18" ht="20.100000000000001" customHeight="1" x14ac:dyDescent="0.2">
      <c r="D590" s="111" t="str" cm="1">
        <f t="array" ref="D590:E591">Common_Equations.Common_ConvertN2OToCO2e_Arguments()</f>
        <v>EN2O</v>
      </c>
      <c r="E590" s="112" t="str">
        <v>Nitrous oxide emissions (t N2O)</v>
      </c>
      <c r="F590" s="133"/>
      <c r="G590" s="15">
        <f>E588</f>
        <v>9.4972428571428579E-3</v>
      </c>
      <c r="L590" s="111" t="str" cm="1">
        <f t="array" ref="L590:M591">Common_Equations.Common_ConvertN2OToCO2e_Arguments()</f>
        <v>EN2O</v>
      </c>
      <c r="M590" s="112" t="str">
        <v>Nitrous oxide emissions (t N2O)</v>
      </c>
      <c r="N590" s="133"/>
      <c r="O590" s="15">
        <f>M588</f>
        <v>2.8631428571428572E-2</v>
      </c>
    </row>
    <row r="591" spans="1:18" ht="20.100000000000001" customHeight="1" x14ac:dyDescent="0.2">
      <c r="D591" s="111" t="str">
        <v>GWPN2O</v>
      </c>
      <c r="E591" s="112" t="str">
        <v>Global warming potential for nitrous oxide (t CO2-e / t N2O)</v>
      </c>
      <c r="F591" s="133"/>
      <c r="G591" s="15">
        <f>Common_InputFunctions.Utility_LookupValueInTableNumber("N2O",Table_GWPData[Gas],Table_GWPData[CO2-e factor])</f>
        <v>265</v>
      </c>
      <c r="L591" s="111" t="str">
        <v>GWPN2O</v>
      </c>
      <c r="M591" s="112" t="str">
        <v>Global warming potential for nitrous oxide (t CO2-e / t N2O)</v>
      </c>
      <c r="N591" s="133"/>
      <c r="O591" s="15">
        <f>Common_InputFunctions.Utility_LookupValueInTableNumber("N2O",Table_GWPData[Gas],Table_GWPData[CO2-e factor])</f>
        <v>265</v>
      </c>
    </row>
    <row r="593" spans="1:41" ht="20.100000000000001" customHeight="1" x14ac:dyDescent="0.2">
      <c r="D593" s="82" t="s">
        <v>382</v>
      </c>
      <c r="E593" s="82" cm="1">
        <f t="array" ref="E593">Common_Equations.Common_ConvertN2OToCO2e(G590,G591)</f>
        <v>2.5167693571428575</v>
      </c>
      <c r="F593" s="88" t="str" cm="1">
        <f t="array" ref="F593">Common_Equations.Common_ConvertN2OToCO2e_Unit()</f>
        <v>t CO2e</v>
      </c>
      <c r="L593" s="82" t="s">
        <v>382</v>
      </c>
      <c r="M593" s="82" cm="1">
        <f t="array" ref="M593">Common_Equations.Common_ConvertN2OToCO2e(O590,O591)</f>
        <v>7.5873285714285714</v>
      </c>
      <c r="N593" s="88" t="str" cm="1">
        <f t="array" ref="N593">Common_Equations.Common_ConvertN2OToCO2e_Unit()</f>
        <v>t CO2e</v>
      </c>
    </row>
    <row r="596" spans="1:41" ht="20.100000000000001" customHeight="1" x14ac:dyDescent="0.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1:41" ht="20.100000000000001" customHeight="1" x14ac:dyDescent="0.2">
      <c r="D597" s="2" t="str" cm="1">
        <f t="array" ref="D597">Scope3_Equations.VEERG_15_13_1_3__1_EmissionsFromSolidWasteTreatmentFacility_Title()</f>
        <v>Emissions from solid waste sent to a treatment facility</v>
      </c>
    </row>
    <row r="598" spans="1:41" ht="20.100000000000001" customHeight="1" x14ac:dyDescent="0.2">
      <c r="D598" s="17" t="str" cm="1">
        <f t="array" ref="D598">Scope3_Equations.VEERG_15_13_1_3__1_EmissionsFromSolidWasteTreatmentFacility_Source()</f>
        <v>VEERG 2026: 15.13.1.3</v>
      </c>
    </row>
    <row r="600" spans="1:41" ht="20.100000000000001" customHeight="1" x14ac:dyDescent="0.2">
      <c r="D600" s="75" t="s">
        <v>322</v>
      </c>
      <c r="E600" s="1" t="str" cm="1">
        <f t="array" ref="E600">Scope3_Equations.VEERG_15_13_1_3__1_EmissionsFromSolidWasteTreatmentFacility_Variable()</f>
        <v>E</v>
      </c>
    </row>
    <row r="601" spans="1:41" ht="20.100000000000001" customHeight="1" x14ac:dyDescent="0.2">
      <c r="D601" s="75" t="s">
        <v>118</v>
      </c>
      <c r="E601" s="9" t="str" cm="1">
        <f t="array" ref="E601">Scope3_Equations.VEERG_15_13_1_3__1_EmissionsFromSolidWasteTreatmentFacility_Unit()</f>
        <v>t CO2e</v>
      </c>
    </row>
    <row r="603" spans="1:41" ht="20.100000000000001" customHeight="1" x14ac:dyDescent="0.2">
      <c r="D603" s="257" t="s">
        <v>1134</v>
      </c>
      <c r="E603" s="85">
        <f>VEERG_10_1_1_1__1_EmissionsFromWasteManagement_Scope3_Result_Method1</f>
        <v>441.15000000000003</v>
      </c>
      <c r="F603" s="94" t="str">
        <f>E601</f>
        <v>t CO2e</v>
      </c>
    </row>
    <row r="606" spans="1:41" ht="20.100000000000001" customHeight="1" x14ac:dyDescent="0.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1:41" ht="20.100000000000001" customHeight="1" x14ac:dyDescent="0.2">
      <c r="A607" s="131" t="str">
        <f>HYPERLINK("#A1", "▲ Back to top")</f>
        <v>▲ Back to top</v>
      </c>
      <c r="D607" s="2" t="str" cm="1">
        <f t="array" ref="D607">Scope3_Equations.VEERG_15_14_1_1__1_EmbeddedEmissionsFromUpstreamFreight_Title()</f>
        <v>Embedded emissions from upstream freight</v>
      </c>
    </row>
    <row r="608" spans="1:41" ht="20.100000000000001" customHeight="1" x14ac:dyDescent="0.2">
      <c r="D608" s="17" t="str" cm="1">
        <f t="array" ref="D608">Scope3_Equations.VEERG_15_14_1_1__1_EmbeddedEmissionsFromUpstreamFreight_Source()</f>
        <v>VEERG 2026: 15.14.1.1, Equation (1)</v>
      </c>
    </row>
    <row r="609" spans="4:13" ht="20.100000000000001" customHeight="1" x14ac:dyDescent="0.2">
      <c r="D609" s="110" t="s">
        <v>321</v>
      </c>
      <c r="E609" s="110" t="str" cm="1">
        <f t="array" aca="1" ref="E609" ca="1">Common_InputFunctions.Utility_DisplayFunctionName(J624)</f>
        <v>=Scope3_Equations.VEERG_15_14_1_1__1_EmbeddedEmissionsFromUpstreamFreight</v>
      </c>
    </row>
    <row r="613" spans="4:13" ht="20.100000000000001" customHeight="1" x14ac:dyDescent="0.2">
      <c r="D613" s="75" t="s">
        <v>322</v>
      </c>
      <c r="E613" s="1" t="str" cm="1">
        <f t="array" ref="E613">Scope3_Equations.VEERG_15_14_1_1__1_EmbeddedEmissionsFromUpstreamFreight_Variable()</f>
        <v>E</v>
      </c>
    </row>
    <row r="614" spans="4:13" ht="20.100000000000001" customHeight="1" x14ac:dyDescent="0.2">
      <c r="D614" s="75" t="s">
        <v>118</v>
      </c>
      <c r="E614" s="9" t="str" cm="1">
        <f t="array" ref="E614">Scope3_Equations.VEERG_15_14_1_1__1_EmbeddedEmissionsFromUpstreamFreight_Unit()</f>
        <v>t CO2e</v>
      </c>
    </row>
    <row r="616" spans="4:13" ht="20.100000000000001" customHeight="1" x14ac:dyDescent="0.2">
      <c r="D616" s="127" t="str" cm="1">
        <f t="array" ref="D616:E619">_xlfn.CHOOSECOLS(Scope3_Equations.VEERG_15_14_1_1__1_EmbeddedEmissionsFromUpstreamFreight_Arguments(),1,2)</f>
        <v>W_f</v>
      </c>
      <c r="E616" s="128" t="str">
        <v>total mass of goods transported per freight type f</v>
      </c>
      <c r="F616" s="129"/>
      <c r="G616" s="127" t="str" cm="1">
        <f t="array" ref="G616:H619">_xlfn.CHOOSECOLS(Scope3_Equations.VEERG_15_14_1_1__1_EmbeddedEmissionsFromUpstreamFreight_Arguments(),3,4)</f>
        <v>t</v>
      </c>
      <c r="H616" s="253" t="str">
        <v>Input</v>
      </c>
    </row>
    <row r="617" spans="4:13" ht="20.100000000000001" customHeight="1" x14ac:dyDescent="0.2">
      <c r="D617" s="127" t="str">
        <v>D_f</v>
      </c>
      <c r="E617" s="128" t="str">
        <v>total distance transported per freight type f</v>
      </c>
      <c r="F617" s="129"/>
      <c r="G617" s="127" t="str">
        <v>km</v>
      </c>
      <c r="H617" s="253" t="str">
        <v>Input</v>
      </c>
    </row>
    <row r="618" spans="4:13" ht="20.100000000000001" customHeight="1" x14ac:dyDescent="0.2">
      <c r="D618" s="127" t="str">
        <v>EF_f</v>
      </c>
      <c r="E618" s="128" t="str">
        <v>emission factor for freight type f</v>
      </c>
      <c r="F618" s="129"/>
      <c r="G618" s="127" t="str">
        <v>t CO2e/(t km)</v>
      </c>
      <c r="H618" s="125" t="str">
        <v>Constant</v>
      </c>
    </row>
    <row r="619" spans="4:13" ht="20.100000000000001" customHeight="1" x14ac:dyDescent="0.2">
      <c r="D619" s="127" t="str">
        <v>f</v>
      </c>
      <c r="E619" s="128" t="str">
        <v>freight type</v>
      </c>
      <c r="F619" s="129"/>
      <c r="G619" s="127" t="str">
        <v/>
      </c>
      <c r="H619" s="253" t="str">
        <v>Input</v>
      </c>
    </row>
    <row r="621" spans="4:13" ht="20.100000000000001" customHeight="1" x14ac:dyDescent="0.2">
      <c r="D621" s="248" t="s">
        <v>996</v>
      </c>
    </row>
    <row r="623" spans="4:13" ht="20.100000000000001" customHeight="1" x14ac:dyDescent="0.2">
      <c r="D623" s="78" t="s">
        <v>1135</v>
      </c>
      <c r="E623" s="78" t="s">
        <v>1136</v>
      </c>
      <c r="F623" s="78" t="s">
        <v>1137</v>
      </c>
      <c r="G623" s="119" t="s">
        <v>1138</v>
      </c>
      <c r="H623" s="119" t="s">
        <v>1026</v>
      </c>
      <c r="I623" s="78" t="s">
        <v>1075</v>
      </c>
      <c r="J623" s="119" t="s">
        <v>1029</v>
      </c>
      <c r="K623" s="78" t="s">
        <v>1030</v>
      </c>
      <c r="L623" s="78" t="s">
        <v>1031</v>
      </c>
      <c r="M623" s="78" t="s">
        <v>1032</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1114</v>
      </c>
      <c r="H624" s="15" t="s">
        <v>1114</v>
      </c>
      <c r="I624" s="74">
        <v>0.01</v>
      </c>
      <c r="J624" s="15" cm="1">
        <f t="array" ref="J624">Scope3_Equations.VEERG_15_14_1_1__1_EmbeddedEmissionsFromUpstreamFreight(E624,F624,I624)</f>
        <v>5127.2</v>
      </c>
      <c r="K624" s="33"/>
      <c r="L624" s="13"/>
      <c r="M624" s="33"/>
    </row>
    <row r="625" spans="1:13" ht="20.100000000000001" customHeight="1" x14ac:dyDescent="0.2">
      <c r="D625" s="15" t="str">
        <v>Fertiliser supplier to farm</v>
      </c>
      <c r="E625" s="15">
        <v>10</v>
      </c>
      <c r="F625" s="15">
        <v>390</v>
      </c>
      <c r="G625" s="15" t="s">
        <v>1114</v>
      </c>
      <c r="H625" s="15" t="s">
        <v>1114</v>
      </c>
      <c r="I625" s="74">
        <v>0.01</v>
      </c>
      <c r="J625" s="15" cm="1">
        <f t="array" ref="J625">Scope3_Equations.VEERG_15_14_1_1__1_EmbeddedEmissionsFromUpstreamFreight(E625,F625,I625)</f>
        <v>39</v>
      </c>
      <c r="K625" s="33"/>
      <c r="L625" s="13"/>
      <c r="M625" s="33"/>
    </row>
    <row r="626" spans="1:13" ht="20.100000000000001" customHeight="1" x14ac:dyDescent="0.2">
      <c r="D626" s="15">
        <v>0</v>
      </c>
      <c r="E626" s="15">
        <v>0</v>
      </c>
      <c r="F626" s="15">
        <v>0</v>
      </c>
      <c r="G626" s="15" t="s">
        <v>1114</v>
      </c>
      <c r="H626" s="15" t="s">
        <v>1114</v>
      </c>
      <c r="I626" s="74"/>
      <c r="J626" s="15" cm="1">
        <f t="array" ref="J626">Scope3_Equations.VEERG_15_14_1_1__1_EmbeddedEmissionsFromUpstreamFreight(E626,F626,I626)</f>
        <v>0</v>
      </c>
      <c r="K626" s="33"/>
      <c r="L626" s="13"/>
      <c r="M626" s="33"/>
    </row>
    <row r="627" spans="1:13" ht="20.100000000000001" customHeight="1" x14ac:dyDescent="0.2">
      <c r="D627" s="15">
        <v>0</v>
      </c>
      <c r="E627" s="15">
        <v>0</v>
      </c>
      <c r="F627" s="15">
        <v>0</v>
      </c>
      <c r="G627" s="15" t="s">
        <v>1114</v>
      </c>
      <c r="H627" s="15" t="s">
        <v>1114</v>
      </c>
      <c r="I627" s="74"/>
      <c r="J627" s="15" cm="1">
        <f t="array" ref="J627">Scope3_Equations.VEERG_15_14_1_1__1_EmbeddedEmissionsFromUpstreamFreight(E627,F627,I627)</f>
        <v>0</v>
      </c>
      <c r="K627" s="33"/>
      <c r="L627" s="13"/>
      <c r="M627" s="33"/>
    </row>
    <row r="628" spans="1:13" ht="20.100000000000001" customHeight="1" x14ac:dyDescent="0.2">
      <c r="D628" s="15">
        <v>0</v>
      </c>
      <c r="E628" s="15">
        <v>0</v>
      </c>
      <c r="F628" s="15">
        <v>0</v>
      </c>
      <c r="G628" s="15" t="s">
        <v>1114</v>
      </c>
      <c r="H628" s="15" t="s">
        <v>1114</v>
      </c>
      <c r="I628" s="74"/>
      <c r="J628" s="15" cm="1">
        <f t="array" ref="J628">Scope3_Equations.VEERG_15_14_1_1__1_EmbeddedEmissionsFromUpstreamFreight(E628,F628,I628)</f>
        <v>0</v>
      </c>
      <c r="K628" s="33"/>
      <c r="L628" s="13"/>
      <c r="M628" s="33"/>
    </row>
    <row r="629" spans="1:13" ht="20.100000000000001" customHeight="1" x14ac:dyDescent="0.2">
      <c r="D629" s="15">
        <v>0</v>
      </c>
      <c r="E629" s="15">
        <v>0</v>
      </c>
      <c r="F629" s="15">
        <v>0</v>
      </c>
      <c r="G629" s="15" t="s">
        <v>1114</v>
      </c>
      <c r="H629" s="15" t="s">
        <v>1114</v>
      </c>
      <c r="I629" s="74"/>
      <c r="J629" s="15" cm="1">
        <f t="array" ref="J629">Scope3_Equations.VEERG_15_14_1_1__1_EmbeddedEmissionsFromUpstreamFreight(E629,F629,I629)</f>
        <v>0</v>
      </c>
      <c r="K629" s="33"/>
      <c r="L629" s="13"/>
      <c r="M629" s="33"/>
    </row>
    <row r="630" spans="1:13" ht="20.100000000000001" customHeight="1" x14ac:dyDescent="0.2">
      <c r="D630" s="15">
        <v>0</v>
      </c>
      <c r="E630" s="15">
        <v>0</v>
      </c>
      <c r="F630" s="15">
        <v>0</v>
      </c>
      <c r="G630" s="15" t="s">
        <v>1114</v>
      </c>
      <c r="H630" s="15" t="s">
        <v>1114</v>
      </c>
      <c r="I630" s="74"/>
      <c r="J630" s="15" cm="1">
        <f t="array" ref="J630">Scope3_Equations.VEERG_15_14_1_1__1_EmbeddedEmissionsFromUpstreamFreight(E630,F630,I630)</f>
        <v>0</v>
      </c>
      <c r="K630" s="33"/>
      <c r="L630" s="13"/>
      <c r="M630" s="33"/>
    </row>
    <row r="631" spans="1:13" ht="20.100000000000001" customHeight="1" x14ac:dyDescent="0.2">
      <c r="D631" s="15">
        <v>0</v>
      </c>
      <c r="E631" s="15">
        <v>0</v>
      </c>
      <c r="F631" s="15">
        <v>0</v>
      </c>
      <c r="G631" s="15" t="s">
        <v>1114</v>
      </c>
      <c r="H631" s="15" t="s">
        <v>1114</v>
      </c>
      <c r="I631" s="74"/>
      <c r="J631" s="15" cm="1">
        <f t="array" ref="J631">Scope3_Equations.VEERG_15_14_1_1__1_EmbeddedEmissionsFromUpstreamFreight(E631,F631,I631)</f>
        <v>0</v>
      </c>
      <c r="K631" s="33"/>
      <c r="L631" s="13"/>
      <c r="M631" s="33"/>
    </row>
    <row r="632" spans="1:13" ht="20.100000000000001" customHeight="1" x14ac:dyDescent="0.2">
      <c r="D632" s="15">
        <v>0</v>
      </c>
      <c r="E632" s="15">
        <v>0</v>
      </c>
      <c r="F632" s="15">
        <v>0</v>
      </c>
      <c r="G632" s="15" t="s">
        <v>1114</v>
      </c>
      <c r="H632" s="15" t="s">
        <v>1114</v>
      </c>
      <c r="I632" s="74"/>
      <c r="J632" s="15" cm="1">
        <f t="array" ref="J632">Scope3_Equations.VEERG_15_14_1_1__1_EmbeddedEmissionsFromUpstreamFreight(E632,F632,I632)</f>
        <v>0</v>
      </c>
      <c r="K632" s="33"/>
      <c r="L632" s="13"/>
      <c r="M632" s="33"/>
    </row>
    <row r="633" spans="1:13" ht="20.100000000000001" customHeight="1" x14ac:dyDescent="0.2">
      <c r="D633" s="15">
        <v>0</v>
      </c>
      <c r="E633" s="15">
        <v>0</v>
      </c>
      <c r="F633" s="15">
        <v>0</v>
      </c>
      <c r="G633" s="15" t="s">
        <v>1114</v>
      </c>
      <c r="H633" s="15" t="s">
        <v>1114</v>
      </c>
      <c r="I633" s="74"/>
      <c r="J633" s="15" cm="1">
        <f t="array" ref="J633">Scope3_Equations.VEERG_15_14_1_1__1_EmbeddedEmissionsFromUpstreamFreight(E633,F633,I633)</f>
        <v>0</v>
      </c>
      <c r="K633" s="33"/>
      <c r="L633" s="13"/>
      <c r="M633" s="33"/>
    </row>
    <row r="635" spans="1:13" ht="20.100000000000001" customHeight="1" x14ac:dyDescent="0.2">
      <c r="D635" s="87" t="s">
        <v>1139</v>
      </c>
      <c r="E635" s="82" t="s">
        <v>1114</v>
      </c>
      <c r="F635" s="88" t="str">
        <f>$E$105</f>
        <v>t CO2e</v>
      </c>
    </row>
    <row r="636" spans="1:13" ht="20.100000000000001" customHeight="1" x14ac:dyDescent="0.2">
      <c r="D636" s="87" t="s">
        <v>1140</v>
      </c>
      <c r="E636" s="82">
        <f>SUM(J624:J633)</f>
        <v>5166.2</v>
      </c>
      <c r="F636" s="88" t="str">
        <f>$E$105</f>
        <v>t CO2e</v>
      </c>
    </row>
    <row r="637" spans="1:13" ht="20.100000000000001" customHeight="1" x14ac:dyDescent="0.2">
      <c r="A637" s="131" t="str">
        <f>HYPERLINK("#A1", "▲ Back to top")</f>
        <v>▲ Back to top</v>
      </c>
    </row>
    <row r="639" spans="1:13" ht="20.100000000000001" customHeight="1" x14ac:dyDescent="0.2">
      <c r="D639" s="248" t="s">
        <v>1006</v>
      </c>
    </row>
    <row r="641" spans="4:13" ht="20.100000000000001" customHeight="1" x14ac:dyDescent="0.2">
      <c r="D641" s="78" t="s">
        <v>1135</v>
      </c>
      <c r="E641" s="78" t="s">
        <v>1136</v>
      </c>
      <c r="F641" s="78" t="s">
        <v>1137</v>
      </c>
      <c r="G641" s="119" t="s">
        <v>1138</v>
      </c>
      <c r="H641" s="119" t="s">
        <v>1026</v>
      </c>
      <c r="I641" s="78" t="s">
        <v>1075</v>
      </c>
      <c r="J641" s="119" t="s">
        <v>1029</v>
      </c>
      <c r="K641" s="78" t="s">
        <v>1030</v>
      </c>
      <c r="L641" s="78" t="s">
        <v>1031</v>
      </c>
      <c r="M641" s="78" t="s">
        <v>1032</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1114</v>
      </c>
      <c r="H642" s="15" t="s">
        <v>1114</v>
      </c>
      <c r="I642" s="74">
        <v>0.01</v>
      </c>
      <c r="J642" s="15" cm="1">
        <f t="array" ref="J642">Scope3_Equations.VEERG_15_14_1_1__1_EmbeddedEmissionsFromUpstreamFreight(E642,F642,I642)</f>
        <v>676</v>
      </c>
      <c r="K642" s="33"/>
      <c r="L642" s="13"/>
      <c r="M642" s="33"/>
    </row>
    <row r="643" spans="4:13" ht="20.100000000000001" customHeight="1" x14ac:dyDescent="0.2">
      <c r="D643" s="15">
        <v>0</v>
      </c>
      <c r="E643" s="15">
        <v>0</v>
      </c>
      <c r="F643" s="15">
        <v>0</v>
      </c>
      <c r="G643" s="15" t="s">
        <v>1114</v>
      </c>
      <c r="H643" s="15" t="s">
        <v>1114</v>
      </c>
      <c r="I643" s="74"/>
      <c r="J643" s="15" cm="1">
        <f t="array" ref="J643">Scope3_Equations.VEERG_15_14_1_1__1_EmbeddedEmissionsFromUpstreamFreight(E643,F643,I643)</f>
        <v>0</v>
      </c>
      <c r="K643" s="33"/>
      <c r="L643" s="13"/>
      <c r="M643" s="33"/>
    </row>
    <row r="644" spans="4:13" ht="20.100000000000001" customHeight="1" x14ac:dyDescent="0.2">
      <c r="D644" s="15">
        <v>0</v>
      </c>
      <c r="E644" s="15">
        <v>0</v>
      </c>
      <c r="F644" s="15">
        <v>0</v>
      </c>
      <c r="G644" s="15" t="s">
        <v>1114</v>
      </c>
      <c r="H644" s="15" t="s">
        <v>1114</v>
      </c>
      <c r="I644" s="74"/>
      <c r="J644" s="15" cm="1">
        <f t="array" ref="J644">Scope3_Equations.VEERG_15_14_1_1__1_EmbeddedEmissionsFromUpstreamFreight(E644,F644,I644)</f>
        <v>0</v>
      </c>
      <c r="K644" s="33"/>
      <c r="L644" s="13"/>
      <c r="M644" s="33"/>
    </row>
    <row r="645" spans="4:13" ht="20.100000000000001" customHeight="1" x14ac:dyDescent="0.2">
      <c r="D645" s="15">
        <v>0</v>
      </c>
      <c r="E645" s="15">
        <v>0</v>
      </c>
      <c r="F645" s="15">
        <v>0</v>
      </c>
      <c r="G645" s="15" t="s">
        <v>1114</v>
      </c>
      <c r="H645" s="15" t="s">
        <v>1114</v>
      </c>
      <c r="I645" s="74"/>
      <c r="J645" s="15" cm="1">
        <f t="array" ref="J645">Scope3_Equations.VEERG_15_14_1_1__1_EmbeddedEmissionsFromUpstreamFreight(E645,F645,I645)</f>
        <v>0</v>
      </c>
      <c r="K645" s="33"/>
      <c r="L645" s="13"/>
      <c r="M645" s="33"/>
    </row>
    <row r="646" spans="4:13" ht="20.100000000000001" customHeight="1" x14ac:dyDescent="0.2">
      <c r="D646" s="15">
        <v>0</v>
      </c>
      <c r="E646" s="15">
        <v>0</v>
      </c>
      <c r="F646" s="15">
        <v>0</v>
      </c>
      <c r="G646" s="15" t="s">
        <v>1114</v>
      </c>
      <c r="H646" s="15" t="s">
        <v>1114</v>
      </c>
      <c r="I646" s="74"/>
      <c r="J646" s="15" cm="1">
        <f t="array" ref="J646">Scope3_Equations.VEERG_15_14_1_1__1_EmbeddedEmissionsFromUpstreamFreight(E646,F646,I646)</f>
        <v>0</v>
      </c>
      <c r="K646" s="33"/>
      <c r="L646" s="13"/>
      <c r="M646" s="33"/>
    </row>
    <row r="647" spans="4:13" ht="20.100000000000001" customHeight="1" x14ac:dyDescent="0.2">
      <c r="D647" s="15">
        <v>0</v>
      </c>
      <c r="E647" s="15">
        <v>0</v>
      </c>
      <c r="F647" s="15">
        <v>0</v>
      </c>
      <c r="G647" s="15" t="s">
        <v>1114</v>
      </c>
      <c r="H647" s="15" t="s">
        <v>1114</v>
      </c>
      <c r="I647" s="74"/>
      <c r="J647" s="15" cm="1">
        <f t="array" ref="J647">Scope3_Equations.VEERG_15_14_1_1__1_EmbeddedEmissionsFromUpstreamFreight(E647,F647,I647)</f>
        <v>0</v>
      </c>
      <c r="K647" s="33"/>
      <c r="L647" s="13"/>
      <c r="M647" s="33"/>
    </row>
    <row r="648" spans="4:13" ht="20.100000000000001" customHeight="1" x14ac:dyDescent="0.2">
      <c r="D648" s="15">
        <v>0</v>
      </c>
      <c r="E648" s="15">
        <v>0</v>
      </c>
      <c r="F648" s="15">
        <v>0</v>
      </c>
      <c r="G648" s="15" t="s">
        <v>1114</v>
      </c>
      <c r="H648" s="15" t="s">
        <v>1114</v>
      </c>
      <c r="I648" s="74"/>
      <c r="J648" s="15" cm="1">
        <f t="array" ref="J648">Scope3_Equations.VEERG_15_14_1_1__1_EmbeddedEmissionsFromUpstreamFreight(E648,F648,I648)</f>
        <v>0</v>
      </c>
      <c r="K648" s="33"/>
      <c r="L648" s="13"/>
      <c r="M648" s="33"/>
    </row>
    <row r="649" spans="4:13" ht="20.100000000000001" customHeight="1" x14ac:dyDescent="0.2">
      <c r="D649" s="15">
        <v>0</v>
      </c>
      <c r="E649" s="15">
        <v>0</v>
      </c>
      <c r="F649" s="15">
        <v>0</v>
      </c>
      <c r="G649" s="15" t="s">
        <v>1114</v>
      </c>
      <c r="H649" s="15" t="s">
        <v>1114</v>
      </c>
      <c r="I649" s="74"/>
      <c r="J649" s="15" cm="1">
        <f t="array" ref="J649">Scope3_Equations.VEERG_15_14_1_1__1_EmbeddedEmissionsFromUpstreamFreight(E649,F649,I649)</f>
        <v>0</v>
      </c>
      <c r="K649" s="33"/>
      <c r="L649" s="13"/>
      <c r="M649" s="33"/>
    </row>
    <row r="650" spans="4:13" ht="20.100000000000001" customHeight="1" x14ac:dyDescent="0.2">
      <c r="D650" s="15">
        <v>0</v>
      </c>
      <c r="E650" s="15">
        <v>0</v>
      </c>
      <c r="F650" s="15">
        <v>0</v>
      </c>
      <c r="G650" s="15" t="s">
        <v>1114</v>
      </c>
      <c r="H650" s="15" t="s">
        <v>1114</v>
      </c>
      <c r="I650" s="74"/>
      <c r="J650" s="15" cm="1">
        <f t="array" ref="J650">Scope3_Equations.VEERG_15_14_1_1__1_EmbeddedEmissionsFromUpstreamFreight(E650,F650,I650)</f>
        <v>0</v>
      </c>
      <c r="K650" s="33"/>
      <c r="L650" s="13"/>
      <c r="M650" s="33"/>
    </row>
    <row r="651" spans="4:13" ht="20.100000000000001" customHeight="1" x14ac:dyDescent="0.2">
      <c r="D651" s="15">
        <v>0</v>
      </c>
      <c r="E651" s="15">
        <v>0</v>
      </c>
      <c r="F651" s="15">
        <v>0</v>
      </c>
      <c r="G651" s="15" t="s">
        <v>1114</v>
      </c>
      <c r="H651" s="15" t="s">
        <v>1114</v>
      </c>
      <c r="I651" s="74"/>
      <c r="J651" s="15" cm="1">
        <f t="array" ref="J651">Scope3_Equations.VEERG_15_14_1_1__1_EmbeddedEmissionsFromUpstreamFreight(E651,F651,I651)</f>
        <v>0</v>
      </c>
      <c r="K651" s="33"/>
      <c r="L651" s="13"/>
      <c r="M651" s="33"/>
    </row>
    <row r="653" spans="4:13" ht="20.100000000000001" customHeight="1" x14ac:dyDescent="0.2">
      <c r="D653" s="87" t="s">
        <v>1141</v>
      </c>
      <c r="E653" s="82" t="s">
        <v>1114</v>
      </c>
      <c r="F653" s="88" t="str">
        <f>$E$105</f>
        <v>t CO2e</v>
      </c>
    </row>
    <row r="654" spans="4:13" ht="20.100000000000001" customHeight="1" x14ac:dyDescent="0.2">
      <c r="D654" s="87" t="s">
        <v>1142</v>
      </c>
      <c r="E654" s="82">
        <f>SUM(J642:J651)</f>
        <v>676</v>
      </c>
      <c r="F654" s="88" t="str">
        <f>$E$105</f>
        <v>t CO2e</v>
      </c>
    </row>
    <row r="656" spans="4:13" ht="20.100000000000001" customHeight="1" x14ac:dyDescent="0.2">
      <c r="D656" s="84" t="s">
        <v>1026</v>
      </c>
      <c r="E656" s="85" t="s">
        <v>1114</v>
      </c>
      <c r="F656" s="94" t="str">
        <f>$E$105</f>
        <v>t CO2e</v>
      </c>
    </row>
    <row r="657" spans="4:6" ht="20.100000000000001" customHeight="1" x14ac:dyDescent="0.2">
      <c r="D657" s="84" t="s">
        <v>1029</v>
      </c>
      <c r="E657" s="85">
        <f>VEERG_15_14_1_1__1_EmbeddedEmissionsFromUpstreamFreight_Incoming_Result_Method2+VEERG_15_14_1_1__1_EmbeddedEmissionsFromUpstreamFreight_Outgoing_Result_Method2</f>
        <v>5842.2</v>
      </c>
      <c r="F657" s="94" t="str">
        <f>$E$105</f>
        <v>t CO2e</v>
      </c>
    </row>
  </sheetData>
  <dataValidations count="2">
    <dataValidation type="list" allowBlank="1" showInputMessage="1" showErrorMessage="1" sqref="J505:J514" xr:uid="{CA6B7264-11D3-4D5A-94C9-D5BB7C02CC3B}">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E5C33775-1AEB-4182-ABC6-3D90386038B2}">
      <formula1>INDIRECT("Table_SourceData_DataScores_Scope3[Data source]")</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0E951-20C0-4E3F-B9B6-56664CC898A2}">
  <sheetPr>
    <tabColor theme="9" tint="-0.249977111117893"/>
  </sheetPr>
  <dimension ref="A1:U90"/>
  <sheetViews>
    <sheetView showGridLines="0" zoomScaleNormal="100" workbookViewId="0">
      <pane xSplit="1" topLeftCell="B1" activePane="topRight" state="frozenSplit"/>
      <selection pane="topRight" activeCell="A97" sqref="A97"/>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1143</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
      <c r="D7" s="110" t="s">
        <v>321</v>
      </c>
      <c r="E7" s="110" t="str">
        <f ca="1">Common_InputFunctions.Utility_DisplayFunctionName(VEERG_5_2_1_1__1_OrganicFertiliserApplicationN2OEmissions_Result_Method1)</f>
        <v>=Fertiliser_Equations_OrganicN2O.VEERG_5_2_1_1__1_OrganicFertiliserApplicationN2OEmissions</v>
      </c>
      <c r="N7" s="110" t="s">
        <v>321</v>
      </c>
      <c r="O7" s="11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Fertiliser_Equations_OrganicN2O.VEERG_5_2_1_1__1_OrganicFertiliserApplicationN2OEmissions_Variable()</f>
        <v>E_N2O</v>
      </c>
      <c r="N10" s="75" t="s">
        <v>322</v>
      </c>
      <c r="O10" s="1" t="str" cm="1">
        <f t="array" ref="O10">Fertiliser_Equations_OrganicN2O.VEERG_5_2_1_1__1_OrganicFertiliserApplicationN2OEmissions_Variable()</f>
        <v>E_N2O</v>
      </c>
    </row>
    <row r="11" spans="1:21" ht="20.100000000000001" customHeight="1" x14ac:dyDescent="0.2">
      <c r="A11" s="5" t="str">
        <f>HYPERLINK("#'Input - Swine'!A1", "Swine")</f>
        <v>Swine</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tr" cm="1">
        <f t="array" ref="D13:E17">_xlfn.CHOOSECOLS(Fertiliser_Equations_OrganicN2O.VEERG_5_2_1_1__1_OrganicFertiliserApplicationN2OEmissions_Arguments(), 1, 2)</f>
        <v>MNSoil_jf</v>
      </c>
      <c r="E13" s="128" t="str">
        <v>mass of nitrogen in organic fertiliser type f applied to production system j</v>
      </c>
      <c r="F13" s="149"/>
      <c r="G13" s="129"/>
      <c r="H13" s="127" t="str" cm="1">
        <f t="array" ref="H13:I17">_xlfn.CHOOSECOLS(Fertiliser_Equations_OrganicN2O.VEERG_5_2_1_1__1_OrganicFertiliserApplicationN2OEmissions_Arguments(), 3,4)</f>
        <v>kg N</v>
      </c>
      <c r="I13" s="125" t="str">
        <v>Calculated from 5.2.1.1 (2)</v>
      </c>
      <c r="J13" s="127">
        <f>X_Cell_ManureSentOffsite_MassNitrogenManure_Method1</f>
        <v>1000</v>
      </c>
      <c r="N13" s="127" t="str" cm="1">
        <f t="array" ref="N13:O17">_xlfn.CHOOSECOLS(Fertiliser_Equations_OrganicN2O.VEERG_5_2_1_1__1_OrganicFertiliserApplicationN2OEmissions_Arguments(), 1, 2)</f>
        <v>MNSoil_jf</v>
      </c>
      <c r="O13" s="128" t="str">
        <v>mass of nitrogen in organic fertiliser type f applied to production system j</v>
      </c>
      <c r="P13" s="149"/>
      <c r="Q13" s="129"/>
      <c r="R13" s="127" t="str" cm="1">
        <f t="array" ref="R13:S17">_xlfn.CHOOSECOLS(Fertiliser_Equations_OrganicN2O.VEERG_5_2_1_1__1_OrganicFertiliserApplicationN2OEmissions_Arguments(), 3,4)</f>
        <v>kg N</v>
      </c>
      <c r="S13" s="125" t="str">
        <v>Calculated from 5.2.1.1 (2)</v>
      </c>
      <c r="T13" s="127">
        <f>X_Cell_ManureSentOffsite_MassNitrogenManure_Method2</f>
        <v>2000</v>
      </c>
    </row>
    <row r="14" spans="1:21" ht="20.100000000000001" customHeight="1" x14ac:dyDescent="0.2">
      <c r="A14" s="5" t="str">
        <f>HYPERLINK("#'Input - Fuel'!A1", "Fuel")</f>
        <v>Fuel</v>
      </c>
      <c r="D14" s="127" t="str">
        <v>EF_N2Oi</v>
      </c>
      <c r="E14" s="128" t="str">
        <v>emission factor for direct nitrous oxide emissions from organic fertiliser applied to soils and aquatic systems in climate zone i</v>
      </c>
      <c r="F14" s="149"/>
      <c r="G14" s="129"/>
      <c r="H14" s="127" t="str">
        <v>kg N2O-N/kg N</v>
      </c>
      <c r="I14" s="125" t="str">
        <v>Lookup</v>
      </c>
      <c r="J14" s="127">
        <f>Common_InputFunctions.Utility_LookupValueInTableNumber(J17, Table_SourceData_Common_EFOrganicFertCropResidues[Climate Zone],Table_SourceData_Common_EFOrganicFertCropResidues[EFNi &amp; EFN2Oi])</f>
        <v>5.0000000000000001E-3</v>
      </c>
      <c r="N14" s="127" t="str">
        <v>EF_N2Oi</v>
      </c>
      <c r="O14" s="128" t="str">
        <v>emission factor for direct nitrous oxide emissions from organic fertiliser applied to soils and aquatic systems in climate zone i</v>
      </c>
      <c r="P14" s="149"/>
      <c r="Q14" s="129"/>
      <c r="R14" s="127" t="str">
        <v>kg N2O-N/kg N</v>
      </c>
      <c r="S14" s="125" t="str">
        <v>Lookup</v>
      </c>
      <c r="T14" s="127"/>
    </row>
    <row r="15" spans="1:21" ht="20.100000000000001" customHeight="1" x14ac:dyDescent="0.2">
      <c r="A15" s="5" t="str">
        <f>HYPERLINK("#'Input - Electricity'!A1", "Electricity")</f>
        <v>Electricity</v>
      </c>
      <c r="D15" s="127" t="str">
        <v>C_N2O</v>
      </c>
      <c r="E15" s="128" t="str">
        <v>factor to convert elemental mass of nitrous oxide to molecular mass</v>
      </c>
      <c r="F15" s="149"/>
      <c r="G15" s="129"/>
      <c r="H15" s="127" t="str">
        <v/>
      </c>
      <c r="I15" s="125" t="str">
        <v>Constant</v>
      </c>
      <c r="J15" s="127">
        <f>Common_InputFunctions.Utility_LookupValueInTableNumber("N2O",Table_GasToMolecularConversionFactor[Gas],Table_GasToMolecularConversionFactor[Conversion factor combined])</f>
        <v>1.5714285714285714</v>
      </c>
      <c r="N15" s="127" t="str">
        <v>C_N2O</v>
      </c>
      <c r="O15" s="128" t="str">
        <v>factor to convert elemental mass of nitrous oxide to molecular mass</v>
      </c>
      <c r="P15" s="149"/>
      <c r="Q15" s="129"/>
      <c r="R15" s="127" t="str">
        <v/>
      </c>
      <c r="S15" s="125" t="str">
        <v>Constant</v>
      </c>
      <c r="T15" s="127"/>
    </row>
    <row r="16" spans="1:21" ht="20.100000000000001" customHeight="1" x14ac:dyDescent="0.2">
      <c r="A16" s="5" t="str">
        <f>HYPERLINK("#'Input - Common farm inputs'!A1", "Common farm inputs")</f>
        <v>Common farm inputs</v>
      </c>
      <c r="D16" s="127" t="str">
        <v>j</v>
      </c>
      <c r="E16" s="128" t="str">
        <v>Production system</v>
      </c>
      <c r="F16" s="149"/>
      <c r="G16" s="129"/>
      <c r="H16" s="127" t="str">
        <v/>
      </c>
      <c r="I16" s="253" t="str">
        <v>Input</v>
      </c>
      <c r="J16" s="127" t="str">
        <f>X_Cell_ManureSentOffsite_ManureProductionSystem</f>
        <v>Crop</v>
      </c>
      <c r="N16" s="127" t="str">
        <v>j</v>
      </c>
      <c r="O16" s="128" t="str">
        <v>Production system</v>
      </c>
      <c r="P16" s="149"/>
      <c r="Q16" s="129"/>
      <c r="R16" s="127" t="str">
        <v/>
      </c>
      <c r="S16" s="253" t="str">
        <v>Input</v>
      </c>
      <c r="T16" s="127"/>
    </row>
    <row r="17" spans="1:20" ht="20.100000000000001" customHeight="1" x14ac:dyDescent="0.2">
      <c r="A17" s="5" t="str">
        <f>HYPERLINK("#'Input - Livestock farm Inputs'!A1", "Livestock farm Inputs")</f>
        <v>Livestock farm Inputs</v>
      </c>
      <c r="D17" s="127" t="str">
        <v>i</v>
      </c>
      <c r="E17" s="128" t="str">
        <v>Wet or dry climate zone</v>
      </c>
      <c r="F17" s="149"/>
      <c r="G17" s="129"/>
      <c r="H17" s="127" t="str">
        <v/>
      </c>
      <c r="I17" s="253" t="str">
        <v>Input</v>
      </c>
      <c r="J17" s="127" t="str">
        <f>X_Cell_Site_WetOrDryClimateZone</f>
        <v>Dry climate zone</v>
      </c>
      <c r="N17" s="127" t="str">
        <v>i</v>
      </c>
      <c r="O17" s="128" t="str">
        <v>Wet or dry climate zone</v>
      </c>
      <c r="P17" s="149"/>
      <c r="Q17" s="129"/>
      <c r="R17" s="127" t="str">
        <v/>
      </c>
      <c r="S17" s="253" t="str">
        <v>Input</v>
      </c>
      <c r="T17" s="127"/>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84" t="s">
        <v>769</v>
      </c>
      <c r="E19" s="85" cm="1">
        <f t="array" ref="E19">Fertiliser_Equations_OrganicN2O.VEERG_5_2_1_1__1_OrganicFertiliserApplicationN2OEmissions(J13,J14,J15)</f>
        <v>7.8571428571428577E-3</v>
      </c>
      <c r="F19" s="94" t="str">
        <f>$E$11</f>
        <v>t N2O</v>
      </c>
      <c r="N19" s="84" t="s">
        <v>769</v>
      </c>
      <c r="O19" s="85" cm="1">
        <f t="array" ref="O19">Fertiliser_Equations_OrganicN2O.VEERG_5_2_1_1__1_OrganicFertiliserApplicationN2OEmissions(T13,J14,J15)</f>
        <v>1.5714285714285715E-2</v>
      </c>
      <c r="P19" s="94" t="str">
        <f>$E$11</f>
        <v>t N2O</v>
      </c>
    </row>
    <row r="20" spans="1:20" ht="20.100000000000001" customHeight="1" x14ac:dyDescent="0.2">
      <c r="A20" s="5" t="str">
        <f>HYPERLINK("#'Input - Manure sent off-site'!A1", "Manure sent off-site")</f>
        <v>Manure sent off-site</v>
      </c>
    </row>
    <row r="21" spans="1:20" ht="20.100000000000001" customHeight="1" x14ac:dyDescent="0.2">
      <c r="A21" s="5" t="str">
        <f>HYPERLINK("#'Input - Data quality'!A1", "Data quality")</f>
        <v>Data quality</v>
      </c>
    </row>
    <row r="22" spans="1:20" ht="20.100000000000001" customHeight="1" x14ac:dyDescent="0.2">
      <c r="A22" s="5" t="str">
        <f>HYPERLINK("#'Input - Fert Prod System'!A1", "Fert Prod System")</f>
        <v>Fert Prod System</v>
      </c>
    </row>
    <row r="23" spans="1:20" ht="20.100000000000001" customHeight="1" x14ac:dyDescent="0.2">
      <c r="A23" s="5" t="str">
        <f>HYPERLINK("#'Input - Fertiliser'!A1", "Fertiliser")</f>
        <v>Fertiliser</v>
      </c>
    </row>
    <row r="24" spans="1:20" ht="20.100000000000001" customHeight="1" x14ac:dyDescent="0.2">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
      <c r="A26" s="6" t="s">
        <v>2</v>
      </c>
      <c r="D26" s="110" t="s">
        <v>321</v>
      </c>
      <c r="E26" s="110" t="str" cm="1">
        <f t="array" aca="1" ref="E26" ca="1">Common_InputFunctions.Utility_DisplayFunctionName(E35)</f>
        <v>=Fertiliser_Equations_AtmosphericDeposition.VEERG_5_4_1_3__2_MassOfNitrogenVolatilisedFromOrganicFertiliser</v>
      </c>
      <c r="N26" s="110" t="s">
        <v>321</v>
      </c>
      <c r="O26" s="110" t="str" cm="1">
        <f t="array" aca="1" ref="O26" ca="1">Common_InputFunctions.Utility_DisplayFunctionName(O35)</f>
        <v>=Fertiliser_Equations_AtmosphericDeposition.VEERG_5_4_1_3__2_MassOfNitrogenVolatilisedFromOrganicFertiliser</v>
      </c>
    </row>
    <row r="27" spans="1:20" ht="20.100000000000001" customHeight="1" x14ac:dyDescent="0.2">
      <c r="A27" s="5" t="str">
        <f>HYPERLINK("#'3.5.1.1-2 Enteric Methane'!A1", "3.5.1.1-2 Enteric Methane")</f>
        <v>3.5.1.1-2 Enteric Methane</v>
      </c>
    </row>
    <row r="28" spans="1:20" ht="20.100000000000001" customHeight="1" x14ac:dyDescent="0.2">
      <c r="A28" s="5" t="str">
        <f>HYPERLINK("#'4.5.1.1-2 Methane'!A1", "4.5.1.1-2 Manure Methane")</f>
        <v>4.5.1.1-2 Manure Methane</v>
      </c>
    </row>
    <row r="29" spans="1:20" ht="20.100000000000001" customHeight="1" x14ac:dyDescent="0.2">
      <c r="A29" s="5" t="str">
        <f>HYPERLINK("#'4.5.1.3-4 Direct N2O'!A1", "4.5.1.3-4 Manure Direct N2O")</f>
        <v>4.5.1.3-4 Manure Direct N2O</v>
      </c>
      <c r="D29" s="75" t="s">
        <v>322</v>
      </c>
      <c r="E29" s="1" t="str" cm="1">
        <f t="array" ref="E29">Fertiliser_Equations_AtmosphericDeposition.VEERG_5_4_1_3__2_MassOfNitrogenVolatilisedFromOrganicFertiliser_Variable()</f>
        <v>M_volorganicjf</v>
      </c>
      <c r="N29" s="75" t="s">
        <v>322</v>
      </c>
      <c r="O29" s="1" t="str" cm="1">
        <f t="array" ref="O29">Fertiliser_Equations_AtmosphericDeposition.VEERG_5_4_1_3__2_MassOfNitrogenVolatilisedFromOrganicFertiliser_Variable()</f>
        <v>M_volorganicjf</v>
      </c>
    </row>
    <row r="30" spans="1:20" ht="20.100000000000001" customHeight="1" x14ac:dyDescent="0.2">
      <c r="A30" s="5" t="str">
        <f>HYPERLINK("#'4.5.1.5-6 Atmos Dep'!A1", "4.5.1.5-6 Manure Atmos Dep")</f>
        <v>4.5.1.5-6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100000000000001" customHeight="1" x14ac:dyDescent="0.2">
      <c r="A31" s="5" t="str">
        <f>HYPERLINK("#'4.5.1.7-8 Leaching and runoff'!A1", "4.5.1.7-8 Manure Leaching and runoff")</f>
        <v>4.5.1.7-8 Manure Leaching and runoff</v>
      </c>
    </row>
    <row r="32" spans="1:20" ht="20.100000000000001" customHeight="1" x14ac:dyDescent="0.2">
      <c r="A32" s="5" t="str">
        <f>HYPERLINK("#'4.5.1.9 Manure applied to soils'!A1", "4.5.1.9 Manure applied to soils")</f>
        <v>4.5.1.9 Manure applied to soils</v>
      </c>
      <c r="D32" s="127" t="str" cm="1">
        <f t="array" ref="D32:E33">_xlfn.CHOOSECOLS(Fertiliser_Equations_AtmosphericDeposition.VEERG_5_4_1_3__2_MassOfNitrogenVolatilisedFromOrganicFertiliser_Arguments(), 1, 2)</f>
        <v>MNSoil_jf</v>
      </c>
      <c r="E32" s="127" t="str">
        <v>mass of nitrogen in organic fertiliser type f applied to production system j</v>
      </c>
      <c r="F32" s="127"/>
      <c r="G32" s="127" t="str" cm="1">
        <f t="array" ref="G32:H33">_xlfn.CHOOSECOLS(Fertiliser_Equations_AtmosphericDeposition.VEERG_5_4_1_3__2_MassOfNitrogenVolatilisedFromOrganicFertiliser_Arguments(), 3,4)</f>
        <v>kg N</v>
      </c>
      <c r="H32" s="125" t="str">
        <v>Calculated from 5.2.1.1 (2)</v>
      </c>
      <c r="I32" s="127">
        <f>X_Cell_ManureSentOffsite_MassNitrogenManure_Method1</f>
        <v>1000</v>
      </c>
      <c r="N32" s="127" t="str" cm="1">
        <f t="array" ref="N32:O33">_xlfn.CHOOSECOLS(Fertiliser_Equations_AtmosphericDeposition.VEERG_5_4_1_3__2_MassOfNitrogenVolatilisedFromOrganicFertiliser_Arguments(), 1, 2)</f>
        <v>MNSoil_jf</v>
      </c>
      <c r="O32" s="127" t="str">
        <v>mass of nitrogen in organic fertiliser type f applied to production system j</v>
      </c>
      <c r="P32" s="127"/>
      <c r="Q32" s="127" t="str" cm="1">
        <f t="array" ref="Q32:R33">_xlfn.CHOOSECOLS(Fertiliser_Equations_AtmosphericDeposition.VEERG_5_4_1_3__2_MassOfNitrogenVolatilisedFromOrganicFertiliser_Arguments(), 3,4)</f>
        <v>kg N</v>
      </c>
      <c r="R32" s="125" t="str">
        <v>Calculated from 5.2.1.1 (2)</v>
      </c>
      <c r="S32" s="127">
        <f>X_Cell_ManureSentOffsite_MassNitrogenManure_Method2</f>
        <v>2000</v>
      </c>
    </row>
    <row r="33" spans="1:19" ht="20.100000000000001" customHeight="1" x14ac:dyDescent="0.2">
      <c r="A33" s="5" t="str">
        <f>HYPERLINK("#'8.1.1.1-2 Transport fuel'!A1", "8.1.1.1-2 Transport fuel")</f>
        <v>8.1.1.1-2 Transport fuel</v>
      </c>
      <c r="D33" s="127" t="str">
        <v>FracGASM_soil</v>
      </c>
      <c r="E33" s="127" t="str">
        <v>fraction of organic fertiliser N that volatilises</v>
      </c>
      <c r="F33" s="127"/>
      <c r="G33" s="127" t="str">
        <v>(kg NH3-N + NOx-N)/kg N</v>
      </c>
      <c r="H33" s="125" t="str">
        <v>Constant</v>
      </c>
      <c r="I33" s="127">
        <f>Fertiliser_FracGASMSoil_Data</f>
        <v>0.21</v>
      </c>
      <c r="N33" s="127" t="str">
        <v>FracGASM_soil</v>
      </c>
      <c r="O33" s="127" t="str">
        <v>fraction of organic fertiliser N that volatilises</v>
      </c>
      <c r="P33" s="127"/>
      <c r="Q33" s="127" t="str">
        <v>(kg NH3-N + NOx-N)/kg N</v>
      </c>
      <c r="R33" s="125" t="str">
        <v>Constant</v>
      </c>
      <c r="S33" s="127"/>
    </row>
    <row r="34" spans="1:19" ht="20.100000000000001" customHeight="1" x14ac:dyDescent="0.2">
      <c r="A34" s="5" t="str">
        <f>HYPERLINK("#'8.2.1.1-2 Stationary fuel'!A1", "8.2.1.1-2 Stationary fuel")</f>
        <v>8.2.1.1-2 Stationary fuel</v>
      </c>
    </row>
    <row r="35" spans="1:19" ht="20.100000000000001" customHeight="1" x14ac:dyDescent="0.2">
      <c r="A35" s="5" t="str">
        <f>HYPERLINK("#'10.1.1-2 Solid waste treatment'!A1", "10.1.1.1-2 Solid waste")</f>
        <v>10.1.1.1-2 Solid waste</v>
      </c>
      <c r="D35" s="87" t="s">
        <v>1144</v>
      </c>
      <c r="E35" s="82" cm="1">
        <f t="array" ref="E35">Fertiliser_Equations_AtmosphericDeposition.VEERG_5_4_1_3__2_MassOfNitrogenVolatilisedFromOrganicFertiliser(I32,I33)</f>
        <v>210</v>
      </c>
      <c r="F35" s="88" t="str">
        <f>E30</f>
        <v>kg N</v>
      </c>
      <c r="N35" s="87" t="s">
        <v>1144</v>
      </c>
      <c r="O35" s="82" cm="1">
        <f t="array" ref="O35">Fertiliser_Equations_AtmosphericDeposition.VEERG_5_4_1_3__2_MassOfNitrogenVolatilisedFromOrganicFertiliser(S32,I33)</f>
        <v>420</v>
      </c>
      <c r="P35" s="88" t="str">
        <f>O30</f>
        <v>kg N</v>
      </c>
    </row>
    <row r="36" spans="1:19" ht="20.100000000000001" customHeight="1" x14ac:dyDescent="0.2">
      <c r="A36" s="5" t="str">
        <f>HYPERLINK("#'14.1.1-2 Purchased electricity'!A1", "14.1.1-2 Purchased electricity")</f>
        <v>14.1.1-2 Purchased electricity</v>
      </c>
    </row>
    <row r="37" spans="1:19" ht="20.100000000000001" customHeight="1" x14ac:dyDescent="0.2">
      <c r="A37" s="5" t="str">
        <f>HYPERLINK("#'15 Scope 3'!A1", "15 Scope 3")</f>
        <v>15 Scope 3</v>
      </c>
    </row>
    <row r="38" spans="1:19" ht="20.100000000000001" customHeight="1" x14ac:dyDescent="0.2">
      <c r="A38" s="116" t="str">
        <f>HYPERLINK("#'Calcs - Manure sent off-site'!A1", "Calcs - Manure sent off-site")</f>
        <v>Calcs - Manure sent off-site</v>
      </c>
    </row>
    <row r="39" spans="1:19" ht="20.100000000000001" customHeight="1" x14ac:dyDescent="0.2">
      <c r="A39" s="5" t="str">
        <f>HYPERLINK("#'5.1.1.1-2 Inorganic fert N2O'!A1", "5.1.1.1-2 Inorganic fert N2O")</f>
        <v>5.1.1.1-2 Inorganic fert N2O</v>
      </c>
    </row>
    <row r="40" spans="1:19" ht="20.100000000000001" customHeight="1" x14ac:dyDescent="0.2">
      <c r="A40" s="5" t="str">
        <f>HYPERLINK("#'5.1.1.3-4 Inorganic fert CO2'!A1", "5.1.1.3-4 Inorganic fert CO2")</f>
        <v>5.1.1.3-4 Inorganic fert CO2</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5" t="str">
        <f>HYPERLINK("#'5.2.1.1-2 Organic Fert N2O'!A1", "5.2.1.1-2 Organic Fert N2O")</f>
        <v>5.2.1.1-2 Organic Fert N2O</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
      <c r="A42" s="5" t="str">
        <f>HYPERLINK("#'5.3.1.1-2 Lime CO2'!A1", "5.3.1.1-2 Lime CO2")</f>
        <v>5.3.1.1-2 Lime CO2</v>
      </c>
      <c r="D42" s="110" t="s">
        <v>321</v>
      </c>
      <c r="E42" s="110" t="str">
        <f ca="1">Common_InputFunctions.Utility_DisplayFunctionName(VEERG_5_4_1_3__1_OrganicFertiliserAtmosphericDepositionN2OEmissions_Result_Method1)</f>
        <v>=SUM</v>
      </c>
      <c r="N42" s="110" t="s">
        <v>321</v>
      </c>
      <c r="O42" s="11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5" t="str">
        <f>HYPERLINK("#'5.4.1.1-4 Atmos deposition'!A1", "5.4.1.1-4 Atmos deposition")</f>
        <v>5.4.1.1-4 Atmos deposition</v>
      </c>
    </row>
    <row r="44" spans="1:19" ht="20.100000000000001" customHeight="1" x14ac:dyDescent="0.2">
      <c r="A44" s="5" t="str">
        <f>HYPERLINK("#'5.5.1.1-2 Leaching and runoff'!A1", "5.5.1.1-2 Leaching and runoff")</f>
        <v>5.5.1.1-2 Leaching and runoff</v>
      </c>
    </row>
    <row r="45" spans="1:19" ht="20.100000000000001" customHeight="1" x14ac:dyDescent="0.2">
      <c r="D45" s="75" t="s">
        <v>322</v>
      </c>
      <c r="E45" s="1" t="str" cm="1">
        <f t="array" ref="E45">Fertiliser_Equations_AtmosphericDeposition.VEERG_5_4_1_3__1_OrganicFertiliserAtmosphericDepositionN2OEmissions_Variable()</f>
        <v>E_adorganic</v>
      </c>
      <c r="N45" s="75" t="s">
        <v>322</v>
      </c>
      <c r="O45" s="1" t="str" cm="1">
        <f t="array" ref="O45">Fertiliser_Equations_AtmosphericDeposition.VEERG_5_4_1_3__1_OrganicFertiliserAtmosphericDepositionN2OEmissions_Variable()</f>
        <v>E_adorganic</v>
      </c>
    </row>
    <row r="46" spans="1:19" ht="20.100000000000001" customHeight="1" x14ac:dyDescent="0.2">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100000000000001" customHeight="1" x14ac:dyDescent="0.2">
      <c r="A47" s="79" t="s">
        <v>1</v>
      </c>
    </row>
    <row r="48" spans="1:19" ht="20.100000000000001" customHeight="1" x14ac:dyDescent="0.2">
      <c r="A48" s="5" t="str">
        <f>HYPERLINK("#'Constants - Swine'!A1", "Constants - Swine")</f>
        <v>Constants - Swine</v>
      </c>
      <c r="D48" s="127" t="str" cm="1">
        <f t="array" ref="D48:E53">_xlfn.CHOOSECOLS(Fertiliser_Equations_AtmosphericDeposition.VEERG_5_4_1_3__1_OrganicFertiliserAtmosphericDepositionN2OEmissions_Arguments(), 1, 2)</f>
        <v>M_volorganicjf</v>
      </c>
      <c r="E48" s="128" t="str">
        <v>mass of nitrogen volatilised from organic fertiliser applied to production system</v>
      </c>
      <c r="F48" s="129"/>
      <c r="G48" s="127" t="str" cm="1">
        <f t="array" ref="G48:H53">_xlfn.CHOOSECOLS(Fertiliser_Equations_AtmosphericDeposition.VEERG_5_4_1_3__1_OrganicFertiliserAtmosphericDepositionN2OEmissions_Arguments(), 3,4)</f>
        <v>kg N</v>
      </c>
      <c r="H48" s="125" t="str">
        <v>Calculated from 5.4.1.3 (2)</v>
      </c>
      <c r="I48" s="127">
        <f>E35</f>
        <v>210</v>
      </c>
      <c r="N48" s="127" t="str" cm="1">
        <f t="array" ref="N48:O53">_xlfn.CHOOSECOLS(Fertiliser_Equations_AtmosphericDeposition.VEERG_5_4_1_3__1_OrganicFertiliserAtmosphericDepositionN2OEmissions_Arguments(), 1, 2)</f>
        <v>M_volorganicjf</v>
      </c>
      <c r="O48" s="128" t="str">
        <v>mass of nitrogen volatilised from organic fertiliser applied to production system</v>
      </c>
      <c r="P48" s="129"/>
      <c r="Q48" s="127" t="str" cm="1">
        <f t="array" ref="Q48:R53">_xlfn.CHOOSECOLS(Fertiliser_Equations_AtmosphericDeposition.VEERG_5_4_1_3__1_OrganicFertiliserAtmosphericDepositionN2OEmissions_Arguments(), 3,4)</f>
        <v>kg N</v>
      </c>
      <c r="R48" s="125" t="str">
        <v>Calculated from 5.4.1.3 (2)</v>
      </c>
      <c r="S48" s="127">
        <f>O35</f>
        <v>420</v>
      </c>
    </row>
    <row r="49" spans="1:19" ht="20.100000000000001" customHeight="1" x14ac:dyDescent="0.2">
      <c r="A49" s="5" t="str">
        <f>HYPERLINK("#'Constants - Common livestock'!A1", "Constants - Common Livestock")</f>
        <v>Constants - Common Livestock</v>
      </c>
      <c r="D49" s="127" t="str">
        <v>EF_N2Oj</v>
      </c>
      <c r="E49" s="128" t="str">
        <v>emission factor for atmospheric deposition in production system j</v>
      </c>
      <c r="F49" s="129"/>
      <c r="G49" s="127" t="str">
        <v>kg N2O-N/kg N</v>
      </c>
      <c r="H49" s="125" t="str">
        <v>Constant</v>
      </c>
      <c r="I49" s="12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7" t="str">
        <v>EF_N2Oj</v>
      </c>
      <c r="O49" s="128" t="str">
        <v>emission factor for atmospheric deposition in production system j</v>
      </c>
      <c r="P49" s="129"/>
      <c r="Q49" s="127" t="str">
        <v>kg N2O-N/kg N</v>
      </c>
      <c r="R49" s="125" t="str">
        <v>Constant</v>
      </c>
      <c r="S49" s="127"/>
    </row>
    <row r="50" spans="1:19" ht="20.100000000000001" customHeight="1" x14ac:dyDescent="0.2">
      <c r="A50" s="5" t="str">
        <f>HYPERLINK("#'Constants - Electricity'!A1", "Constants - Electricity")</f>
        <v>Constants - Electricity</v>
      </c>
      <c r="D50" s="127" t="str">
        <v>C_N2O</v>
      </c>
      <c r="E50" s="128" t="str">
        <v>factor to convert elemental mass of nitrous oxide to molecular mass</v>
      </c>
      <c r="F50" s="129"/>
      <c r="G50" s="127" t="str">
        <v/>
      </c>
      <c r="H50" s="125" t="str">
        <v>Constant</v>
      </c>
      <c r="I50" s="111">
        <f>Common_InputFunctions.Utility_LookupValueInTableNumber("N2O",Table_GasToMolecularConversionFactor[Gas],Table_GasToMolecularConversionFactor[Conversion factor combined])</f>
        <v>1.5714285714285714</v>
      </c>
      <c r="N50" s="127" t="str">
        <v>C_N2O</v>
      </c>
      <c r="O50" s="128" t="str">
        <v>factor to convert elemental mass of nitrous oxide to molecular mass</v>
      </c>
      <c r="P50" s="129"/>
      <c r="Q50" s="127" t="str">
        <v/>
      </c>
      <c r="R50" s="125" t="str">
        <v>Constant</v>
      </c>
      <c r="S50" s="111"/>
    </row>
    <row r="51" spans="1:19" ht="20.100000000000001" customHeight="1" x14ac:dyDescent="0.2">
      <c r="A51" s="5" t="str">
        <f>HYPERLINK("#'Constants - Fertiliser'!A1", "Constants - Fertiliser")</f>
        <v>Constants - Fertiliser</v>
      </c>
      <c r="D51" s="127" t="str">
        <v>j</v>
      </c>
      <c r="E51" s="128" t="str">
        <v>Production system</v>
      </c>
      <c r="F51" s="129"/>
      <c r="G51" s="127" t="str">
        <v/>
      </c>
      <c r="H51" s="253" t="str">
        <v>Input</v>
      </c>
      <c r="I51" s="127" t="str">
        <f>IF(ISBLANK(X_Cell_ManureSentOffsite_ManureProductionSystem), "Pasture", X_Cell_ManureSentOffsite_ManureProductionSystem)</f>
        <v>Crop</v>
      </c>
      <c r="N51" s="127" t="str">
        <v>j</v>
      </c>
      <c r="O51" s="128" t="str">
        <v>Production system</v>
      </c>
      <c r="P51" s="129"/>
      <c r="Q51" s="127" t="str">
        <v/>
      </c>
      <c r="R51" s="253" t="str">
        <v>Input</v>
      </c>
      <c r="S51" s="127"/>
    </row>
    <row r="52" spans="1:19" ht="20.100000000000001" customHeight="1" x14ac:dyDescent="0.2">
      <c r="A52" s="5" t="str">
        <f>HYPERLINK("#'Constants - Fuel'!A1", "Constants - Fuel")</f>
        <v>Constants - Fuel</v>
      </c>
      <c r="D52" s="127" t="str">
        <v>ir</v>
      </c>
      <c r="E52" s="128" t="str">
        <v>irrigation method</v>
      </c>
      <c r="F52" s="129"/>
      <c r="G52" s="127" t="str">
        <v/>
      </c>
      <c r="H52" s="253" t="str">
        <v>Input</v>
      </c>
      <c r="I52" s="127" t="str">
        <f>IF(ISBLANK(X_Cell_ManureSentOffsite_ManureIrrigationMethod), "Not irrigated", X_Cell_ManureSentOffsite_ManureIrrigationMethod)</f>
        <v>Sprinkler irrigation</v>
      </c>
      <c r="N52" s="127" t="str">
        <v>ir</v>
      </c>
      <c r="O52" s="128" t="str">
        <v>irrigation method</v>
      </c>
      <c r="P52" s="129"/>
      <c r="Q52" s="127" t="str">
        <v/>
      </c>
      <c r="R52" s="253" t="str">
        <v>Input</v>
      </c>
      <c r="S52" s="127"/>
    </row>
    <row r="53" spans="1:19" ht="20.100000000000001" customHeight="1" x14ac:dyDescent="0.2">
      <c r="A53" s="5" t="str">
        <f>HYPERLINK("#'Constants - Scope 3'!A1", "Constants - Scope 3")</f>
        <v>Constants - Scope 3</v>
      </c>
      <c r="D53" s="127" t="str">
        <v>r</v>
      </c>
      <c r="E53" s="128" t="str">
        <v>rainfall region</v>
      </c>
      <c r="F53" s="129"/>
      <c r="G53" s="127" t="str">
        <v/>
      </c>
      <c r="H53" s="253" t="str">
        <v>Input</v>
      </c>
      <c r="I53" s="127" t="str">
        <f>IF(ISBLANK(X_Cell_Site_RainfallZone), "Low rainfall", X_Cell_Site_RainfallZone)</f>
        <v>High rainfall</v>
      </c>
      <c r="N53" s="127" t="str">
        <v>r</v>
      </c>
      <c r="O53" s="128" t="str">
        <v>rainfall region</v>
      </c>
      <c r="P53" s="129"/>
      <c r="Q53" s="127" t="str">
        <v/>
      </c>
      <c r="R53" s="253" t="str">
        <v>Input</v>
      </c>
      <c r="S53" s="127"/>
    </row>
    <row r="54" spans="1:19" ht="20.100000000000001" customHeight="1" x14ac:dyDescent="0.2">
      <c r="A54" s="5" t="str">
        <f>HYPERLINK("#'Constants - Solid Waste'!A1", "Constants - Solid Waste")</f>
        <v>Constants - Solid Waste</v>
      </c>
    </row>
    <row r="55" spans="1:19" ht="20.100000000000001" customHeight="1" x14ac:dyDescent="0.2">
      <c r="A55" s="5" t="str">
        <f>HYPERLINK("#'Constants - Common'!A1", "Constants - Common")</f>
        <v>Constants - Common</v>
      </c>
      <c r="D55" s="84" t="s">
        <v>814</v>
      </c>
      <c r="E55" s="85" cm="1">
        <f t="array" ref="E55">Fertiliser_Equations_AtmosphericDeposition.VEERG_5_4_1_3__1_OrganicFertiliserAtmosphericDepositionN2OEmissions(I48,I49,I50)</f>
        <v>2.31E-3</v>
      </c>
      <c r="F55" s="94" t="str">
        <f>$E$46</f>
        <v>t N2O</v>
      </c>
      <c r="N55" s="84" t="s">
        <v>814</v>
      </c>
      <c r="O55" s="85" cm="1">
        <f t="array" ref="O55">Fertiliser_Equations_AtmosphericDeposition.VEERG_5_4_1_3__1_OrganicFertiliserAtmosphericDepositionN2OEmissions(S48,I49,I50)</f>
        <v>4.62E-3</v>
      </c>
      <c r="P55" s="94" t="str">
        <f>$E$46</f>
        <v>t N2O</v>
      </c>
    </row>
    <row r="56" spans="1:19" ht="20.100000000000001" customHeight="1" x14ac:dyDescent="0.2">
      <c r="A56" s="5" t="str">
        <f>HYPERLINK("#'Acknowledgements'!A1", "Acknowledgements")</f>
        <v>Acknowledgements</v>
      </c>
    </row>
    <row r="59" spans="1:19" ht="20.100000000000001" customHeight="1" x14ac:dyDescent="0.2">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
      <c r="D61" s="110" t="s">
        <v>321</v>
      </c>
      <c r="E61" s="110" t="str" cm="1">
        <f t="array" aca="1" ref="E61" ca="1">Common_InputFunctions.Utility_DisplayFunctionName(E74)</f>
        <v>=Fertiliser_Equations_LeachingAndRunoff.VEERG_5_5_1_1__3_MassOfNitrogenLeachedFromOrganicFertiliser</v>
      </c>
      <c r="N61" s="110" t="s">
        <v>321</v>
      </c>
      <c r="O61" s="110" t="str" cm="1">
        <f t="array" aca="1" ref="O61" ca="1">Common_InputFunctions.Utility_DisplayFunctionName(O74)</f>
        <v>=Fertiliser_Equations_LeachingAndRunoff.VEERG_5_5_1_1__3_MassOfNitrogenLeachedFromOrganicFertiliser</v>
      </c>
    </row>
    <row r="64" spans="1:19" ht="20.100000000000001" customHeight="1" x14ac:dyDescent="0.2">
      <c r="D64" s="75" t="s">
        <v>322</v>
      </c>
      <c r="E64" s="1" t="str" cm="1">
        <f t="array" ref="E64">Fertiliser_Equations_LeachingAndRunoff.VEERG_5_5_1_1__3_MassOfNitrogenLeachedFromOrganicFertiliser_Variable()</f>
        <v>M_leachorganicj</v>
      </c>
      <c r="N64" s="75" t="s">
        <v>322</v>
      </c>
      <c r="O64" s="1" t="str" cm="1">
        <f t="array" ref="O64">Fertiliser_Equations_LeachingAndRunoff.VEERG_5_5_1_1__3_MassOfNitrogenLeachedFromOrganicFertiliser_Variable()</f>
        <v>M_leachorganicj</v>
      </c>
    </row>
    <row r="65" spans="1:19" ht="20.100000000000001" customHeight="1" x14ac:dyDescent="0.2">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7" spans="1:19" ht="20.100000000000001" customHeight="1" x14ac:dyDescent="0.2">
      <c r="A67" s="131" t="str">
        <f>HYPERLINK("#A1", "▲ Back to top")</f>
        <v>▲ Back to top</v>
      </c>
      <c r="D67" s="127" t="str" cm="1">
        <f t="array" ref="D67:E72">_xlfn.CHOOSECOLS(Fertiliser_Equations_LeachingAndRunoff.VEERG_5_5_1_1__3_MassOfNitrogenLeachedFromOrganicFertiliser_Arguments(), 1, 2)</f>
        <v>MNSoil_jf</v>
      </c>
      <c r="E67" s="128" t="str">
        <v>mass of nitrogen in organic fertiliser</v>
      </c>
      <c r="F67" s="129"/>
      <c r="G67" s="127" t="str" cm="1">
        <f t="array" ref="G67:H72">_xlfn.CHOOSECOLS(Fertiliser_Equations_LeachingAndRunoff.VEERG_5_5_1_1__3_MassOfNitrogenLeachedFromOrganicFertiliser_Arguments(), 3,4)</f>
        <v>kg N</v>
      </c>
      <c r="H67" s="125" t="str">
        <v>Calculated from 5.2.1.1 (2)</v>
      </c>
      <c r="I67" s="127">
        <f>X_Cell_ManureSentOffsite_MassNitrogenManure_Method1</f>
        <v>1000</v>
      </c>
      <c r="N67" s="127" t="str" cm="1">
        <f t="array" ref="N67:O72">_xlfn.CHOOSECOLS(Fertiliser_Equations_LeachingAndRunoff.VEERG_5_5_1_1__3_MassOfNitrogenLeachedFromOrganicFertiliser_Arguments(), 1, 2)</f>
        <v>MNSoil_jf</v>
      </c>
      <c r="O67" s="128" t="str">
        <v>mass of nitrogen in organic fertiliser</v>
      </c>
      <c r="P67" s="129"/>
      <c r="Q67" s="127" t="str" cm="1">
        <f t="array" ref="Q67:R72">_xlfn.CHOOSECOLS(Fertiliser_Equations_LeachingAndRunoff.VEERG_5_5_1_1__3_MassOfNitrogenLeachedFromOrganicFertiliser_Arguments(), 3,4)</f>
        <v>kg N</v>
      </c>
      <c r="R67" s="125" t="str">
        <v>Calculated from 5.2.1.1 (2)</v>
      </c>
      <c r="S67" s="127">
        <f>X_Cell_ManureSentOffsite_MassNitrogenManure_Method2</f>
        <v>2000</v>
      </c>
    </row>
    <row r="68" spans="1:19" ht="20.100000000000001" customHeight="1" x14ac:dyDescent="0.2">
      <c r="D68" s="127" t="str">
        <v>FracWETj</v>
      </c>
      <c r="E68" s="128" t="str">
        <v>fraction of N available for leaching and runoff</v>
      </c>
      <c r="F68" s="129"/>
      <c r="G68" s="127" t="str">
        <v>fraction</v>
      </c>
      <c r="H68" s="125" t="str">
        <v>Constant</v>
      </c>
      <c r="I68" s="127">
        <f>Common_InputFunctions.CommonCropping_GetFracWET(I70,I72,Table_SourceData_FracWET[Is in leaching zone],Table_SourceData_FracWET[FracWET],Table_SourceData_FracWETIrrigation[Irrigation type i],Table_SourceData_FracWETIrrigation[FracWET])</f>
        <v>1</v>
      </c>
      <c r="N68" s="127" t="str">
        <v>FracWETj</v>
      </c>
      <c r="O68" s="128" t="str">
        <v>fraction of N available for leaching and runoff</v>
      </c>
      <c r="P68" s="129"/>
      <c r="Q68" s="127" t="str">
        <v>fraction</v>
      </c>
      <c r="R68" s="125" t="str">
        <v>Constant</v>
      </c>
      <c r="S68" s="127"/>
    </row>
    <row r="69" spans="1:19" ht="20.100000000000001" customHeight="1" x14ac:dyDescent="0.2">
      <c r="D69" s="127" t="str">
        <v>FracLEACH</v>
      </c>
      <c r="E69" s="128" t="str">
        <v>fraction of N that is lost through leaching and runoff</v>
      </c>
      <c r="F69" s="129"/>
      <c r="G69" s="127" t="str">
        <v>fraction</v>
      </c>
      <c r="H69" s="125" t="str">
        <v>Constant</v>
      </c>
      <c r="I69" s="127">
        <f>Fertiliser_FracLEACH_Data</f>
        <v>0.24</v>
      </c>
      <c r="N69" s="127" t="str">
        <v>FracLEACH</v>
      </c>
      <c r="O69" s="128" t="str">
        <v>fraction of N that is lost through leaching and runoff</v>
      </c>
      <c r="P69" s="129"/>
      <c r="Q69" s="127" t="str">
        <v>fraction</v>
      </c>
      <c r="R69" s="125" t="str">
        <v>Constant</v>
      </c>
      <c r="S69" s="127"/>
    </row>
    <row r="70" spans="1:19" ht="20.100000000000001" customHeight="1" x14ac:dyDescent="0.2">
      <c r="D70" s="127" t="str">
        <v>z</v>
      </c>
      <c r="E70" s="128" t="str">
        <v>location in leaching zone</v>
      </c>
      <c r="F70" s="129"/>
      <c r="G70" s="127" t="str">
        <v/>
      </c>
      <c r="H70" s="253" t="str">
        <v>Input</v>
      </c>
      <c r="I70" s="127" t="str">
        <f>X_Cell_Site_LeachingZone</f>
        <v>NO - Not in leaching zone</v>
      </c>
      <c r="N70" s="127" t="str">
        <v>z</v>
      </c>
      <c r="O70" s="128" t="str">
        <v>location in leaching zone</v>
      </c>
      <c r="P70" s="129"/>
      <c r="Q70" s="127" t="str">
        <v/>
      </c>
      <c r="R70" s="253" t="str">
        <v>Input</v>
      </c>
      <c r="S70" s="127"/>
    </row>
    <row r="71" spans="1:19" ht="20.100000000000001" customHeight="1" x14ac:dyDescent="0.2">
      <c r="D71" s="127" t="str">
        <v>j</v>
      </c>
      <c r="E71" s="128" t="str">
        <v>production system</v>
      </c>
      <c r="F71" s="129"/>
      <c r="G71" s="127" t="str">
        <v/>
      </c>
      <c r="H71" s="253" t="str">
        <v>Input</v>
      </c>
      <c r="I71" s="127" t="str">
        <f>IF(ISBLANK(X_Cell_ManureSentOffsite_ManureProductionSystem), "Pasture", X_Cell_ManureSentOffsite_ManureProductionSystem)</f>
        <v>Crop</v>
      </c>
      <c r="N71" s="127" t="str">
        <v>j</v>
      </c>
      <c r="O71" s="128" t="str">
        <v>production system</v>
      </c>
      <c r="P71" s="129"/>
      <c r="Q71" s="127" t="str">
        <v/>
      </c>
      <c r="R71" s="253" t="str">
        <v>Input</v>
      </c>
      <c r="S71" s="127"/>
    </row>
    <row r="72" spans="1:19" ht="20.100000000000001" customHeight="1" x14ac:dyDescent="0.2">
      <c r="D72" s="127" t="str">
        <v>ir</v>
      </c>
      <c r="E72" s="128" t="str">
        <v>irrigation method</v>
      </c>
      <c r="F72" s="129"/>
      <c r="G72" s="127" t="str">
        <v/>
      </c>
      <c r="H72" s="253" t="str">
        <v>Input</v>
      </c>
      <c r="I72" s="127" t="str">
        <f>IF(ISBLANK(X_Cell_ManureSentOffsite_ManureIrrigationMethod), "Not irrigated", X_Cell_ManureSentOffsite_ManureIrrigationMethod)</f>
        <v>Sprinkler irrigation</v>
      </c>
      <c r="N72" s="127" t="str">
        <v>ir</v>
      </c>
      <c r="O72" s="128" t="str">
        <v>irrigation method</v>
      </c>
      <c r="P72" s="129"/>
      <c r="Q72" s="127" t="str">
        <v/>
      </c>
      <c r="R72" s="253" t="str">
        <v>Input</v>
      </c>
      <c r="S72" s="127"/>
    </row>
    <row r="74" spans="1:19" ht="20.100000000000001" customHeight="1" x14ac:dyDescent="0.2">
      <c r="D74" s="87" t="s">
        <v>1145</v>
      </c>
      <c r="E74" s="82" cm="1">
        <f t="array" ref="E74">Fertiliser_Equations_LeachingAndRunoff.VEERG_5_5_1_1__3_MassOfNitrogenLeachedFromOrganicFertiliser(I67,I68,I69)</f>
        <v>240</v>
      </c>
      <c r="F74" s="88" t="str">
        <f>$E$65</f>
        <v>kg N</v>
      </c>
      <c r="N74" s="87" t="s">
        <v>1145</v>
      </c>
      <c r="O74" s="82" cm="1">
        <f t="array" ref="O74">Fertiliser_Equations_LeachingAndRunoff.VEERG_5_5_1_1__3_MassOfNitrogenLeachedFromOrganicFertiliser(S67,I68,I69)</f>
        <v>480</v>
      </c>
      <c r="P74" s="88" t="str">
        <f>$E$65</f>
        <v>kg N</v>
      </c>
    </row>
    <row r="77" spans="1:19" ht="20.100000000000001" customHeight="1" x14ac:dyDescent="0.2">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
      <c r="D79" s="110" t="s">
        <v>321</v>
      </c>
      <c r="E79" s="110" t="str">
        <f ca="1">Common_InputFunctions.Utility_DisplayFunctionName(VEERG_5_5_1_1__1_FertiliserLeachingAndRunoffN2OEmissions_Result_Method1)</f>
        <v>=Fertiliser_Equations_LeachingAndRunoff.VEERG_5_5_1_1__1_FertiliserLeachingAndRunoffN2OEmissions</v>
      </c>
      <c r="N79" s="110" t="s">
        <v>321</v>
      </c>
      <c r="O79" s="110"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75" t="s">
        <v>322</v>
      </c>
      <c r="E82" s="1" t="str" cm="1">
        <f t="array" ref="E82">Fertiliser_Equations_LeachingAndRunoff.VEERG_5_5_1_1__1_FertiliserLeachingAndRunoffN2OEmissions_Variable()</f>
        <v>E_fertleach</v>
      </c>
      <c r="N82" s="75" t="s">
        <v>322</v>
      </c>
      <c r="O82" s="1" t="str" cm="1">
        <f t="array" ref="O82">Fertiliser_Equations_LeachingAndRunoff.VEERG_5_5_1_1__1_FertiliserLeachingAndRunoffN2OEmissions_Variable()</f>
        <v>E_fertleach</v>
      </c>
    </row>
    <row r="83" spans="4:20" ht="20.100000000000001" customHeight="1" x14ac:dyDescent="0.2">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5" spans="4:20" ht="20.100000000000001" customHeight="1" x14ac:dyDescent="0.2">
      <c r="D85" s="127" t="str" cm="1">
        <f t="array" ref="D85:E88">_xlfn.CHOOSECOLS(Fertiliser_Equations_LeachingAndRunoff.VEERG_5_5_1_1__1_FertiliserLeachingAndRunoffN2OEmissions_Arguments(), 1, 2)</f>
        <v>M_leachinorganicj</v>
      </c>
      <c r="E85" s="128" t="str">
        <v>mass of nitrogen lost through leaching and runoff from inorganic fertiliser application in production system j</v>
      </c>
      <c r="F85" s="149"/>
      <c r="G85" s="129"/>
      <c r="H85" s="127" t="str" cm="1">
        <f t="array" ref="H85:I88">_xlfn.CHOOSECOLS(Fertiliser_Equations_LeachingAndRunoff.VEERG_5_5_1_1__1_FertiliserLeachingAndRunoffN2OEmissions_Arguments(), 3,4)</f>
        <v>kg N</v>
      </c>
      <c r="I85" s="125" t="str">
        <v>Calculated from 5.5.1.1 (2)</v>
      </c>
      <c r="J85" s="127">
        <v>0</v>
      </c>
      <c r="N85" s="127" t="str" cm="1">
        <f t="array" ref="N85:O88">_xlfn.CHOOSECOLS(Fertiliser_Equations_LeachingAndRunoff.VEERG_5_5_1_1__1_FertiliserLeachingAndRunoffN2OEmissions_Arguments(), 1, 2)</f>
        <v>M_leachinorganicj</v>
      </c>
      <c r="O85" s="128" t="str">
        <v>mass of nitrogen lost through leaching and runoff from inorganic fertiliser application in production system j</v>
      </c>
      <c r="P85" s="149"/>
      <c r="Q85" s="129"/>
      <c r="R85" s="127" t="str" cm="1">
        <f t="array" ref="R85:S88">_xlfn.CHOOSECOLS(Fertiliser_Equations_LeachingAndRunoff.VEERG_5_5_1_1__1_FertiliserLeachingAndRunoffN2OEmissions_Arguments(), 3,4)</f>
        <v>kg N</v>
      </c>
      <c r="S85" s="125" t="str">
        <v>Calculated from 5.5.1.1 (2)</v>
      </c>
      <c r="T85" s="127"/>
    </row>
    <row r="86" spans="4:20" ht="20.100000000000001" customHeight="1" x14ac:dyDescent="0.2">
      <c r="D86" s="127" t="str">
        <v>M_leachorganicj</v>
      </c>
      <c r="E86" s="128" t="str">
        <v>mass of nitrogen lost through leaching and runoff from organic fertiliser application</v>
      </c>
      <c r="F86" s="149"/>
      <c r="G86" s="129"/>
      <c r="H86" s="127" t="str">
        <v>kg N</v>
      </c>
      <c r="I86" s="125" t="str">
        <v>Calculated from 5.5.1.1 (3)</v>
      </c>
      <c r="J86" s="127">
        <f>E74</f>
        <v>240</v>
      </c>
      <c r="N86" s="127" t="str">
        <v>M_leachorganicj</v>
      </c>
      <c r="O86" s="128" t="str">
        <v>mass of nitrogen lost through leaching and runoff from organic fertiliser application</v>
      </c>
      <c r="P86" s="149"/>
      <c r="Q86" s="129"/>
      <c r="R86" s="127" t="str">
        <v>kg N</v>
      </c>
      <c r="S86" s="125" t="str">
        <v>Calculated from 5.5.1.1 (3)</v>
      </c>
      <c r="T86" s="127">
        <f>O74</f>
        <v>480</v>
      </c>
    </row>
    <row r="87" spans="4:20" ht="20.100000000000001" customHeight="1" x14ac:dyDescent="0.2">
      <c r="D87" s="127" t="str">
        <v>EF_leach</v>
      </c>
      <c r="E87" s="128" t="str">
        <v>emission factor for nitrogen leaching and runoff</v>
      </c>
      <c r="F87" s="149"/>
      <c r="G87" s="129"/>
      <c r="H87" s="127" t="str">
        <v>kg N2O-N/kg N</v>
      </c>
      <c r="I87" s="125" t="str">
        <v>Constant</v>
      </c>
      <c r="J87" s="127">
        <f>Fertiliser_EFLeach_Data</f>
        <v>1.0999999999999999E-2</v>
      </c>
      <c r="N87" s="127" t="str">
        <v>EF_leach</v>
      </c>
      <c r="O87" s="128" t="str">
        <v>emission factor for nitrogen leaching and runoff</v>
      </c>
      <c r="P87" s="149"/>
      <c r="Q87" s="129"/>
      <c r="R87" s="127" t="str">
        <v>kg N2O-N/kg N</v>
      </c>
      <c r="S87" s="125" t="str">
        <v>Constant</v>
      </c>
      <c r="T87" s="127"/>
    </row>
    <row r="88" spans="4:20" ht="20.100000000000001" customHeight="1" x14ac:dyDescent="0.2">
      <c r="D88" s="127" t="str">
        <v>C_N2O</v>
      </c>
      <c r="E88" s="128" t="str">
        <v>factor to convert elemental mass of nitrous oxide to molecular mass</v>
      </c>
      <c r="F88" s="149"/>
      <c r="G88" s="129"/>
      <c r="H88" s="127" t="str">
        <v/>
      </c>
      <c r="I88" s="125" t="str">
        <v>Constant</v>
      </c>
      <c r="J88" s="111">
        <f>Common_InputFunctions.Utility_LookupValueInTableNumber("N2O",Table_GasToMolecularConversionFactor[Gas],Table_GasToMolecularConversionFactor[Conversion factor combined])</f>
        <v>1.5714285714285714</v>
      </c>
      <c r="N88" s="127" t="str">
        <v>C_N2O</v>
      </c>
      <c r="O88" s="128" t="str">
        <v>factor to convert elemental mass of nitrous oxide to molecular mass</v>
      </c>
      <c r="P88" s="149"/>
      <c r="Q88" s="129"/>
      <c r="R88" s="127" t="str">
        <v/>
      </c>
      <c r="S88" s="125" t="str">
        <v>Constant</v>
      </c>
      <c r="T88" s="111"/>
    </row>
    <row r="90" spans="4:20" ht="20.100000000000001" customHeight="1" x14ac:dyDescent="0.2">
      <c r="D90" s="84" t="s">
        <v>831</v>
      </c>
      <c r="E90" s="85" cm="1">
        <f t="array" ref="E90">Fertiliser_Equations_LeachingAndRunoff.VEERG_5_5_1_1__1_FertiliserLeachingAndRunoffN2OEmissions(J85,J86,J87,J88)</f>
        <v>4.1485714285714277E-3</v>
      </c>
      <c r="F90" s="94" t="str">
        <f>$E$83</f>
        <v>t N2O</v>
      </c>
      <c r="N90" s="84" t="s">
        <v>831</v>
      </c>
      <c r="O90" s="85" cm="1">
        <f t="array" ref="O90">Fertiliser_Equations_LeachingAndRunoff.VEERG_5_5_1_1__1_FertiliserLeachingAndRunoffN2OEmissions(J85,T86,J87,J88)</f>
        <v>8.2971428571428554E-3</v>
      </c>
      <c r="P90" s="94" t="str">
        <f>$E$83</f>
        <v>t N2O</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EB171-8994-4D3E-A5ED-5CD80FEBA06D}">
  <sheetPr>
    <tabColor theme="2" tint="-0.499984740745262"/>
  </sheetPr>
  <dimension ref="A1:W452"/>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473</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M5" s="1"/>
    </row>
    <row r="6" spans="1:21" ht="20.100000000000001" customHeight="1" x14ac:dyDescent="0.2">
      <c r="D6" s="2" t="s">
        <v>474</v>
      </c>
      <c r="G6" s="2" t="s">
        <v>475</v>
      </c>
      <c r="I6" s="2" t="s">
        <v>476</v>
      </c>
      <c r="M6" s="1"/>
    </row>
    <row r="7" spans="1:21" ht="20.100000000000001" customHeight="1" x14ac:dyDescent="0.2">
      <c r="I7" s="1" t="s">
        <v>477</v>
      </c>
      <c r="M7" s="1"/>
    </row>
    <row r="8" spans="1:21" ht="20.100000000000001" customHeight="1" x14ac:dyDescent="0.2">
      <c r="A8" s="7" t="s">
        <v>0</v>
      </c>
      <c r="D8" s="19" t="s">
        <v>303</v>
      </c>
      <c r="G8" s="19" t="s">
        <v>63</v>
      </c>
      <c r="I8" s="19" t="s">
        <v>478</v>
      </c>
      <c r="M8" s="1"/>
    </row>
    <row r="9" spans="1:21" ht="20.100000000000001" customHeight="1" x14ac:dyDescent="0.2">
      <c r="A9" s="5" t="str">
        <f>HYPERLINK("#'Input - Enterprise'!A1", "Enterprise")</f>
        <v>Enterprise</v>
      </c>
      <c r="D9" s="19" t="s">
        <v>479</v>
      </c>
      <c r="G9" s="19" t="s">
        <v>480</v>
      </c>
      <c r="I9" s="19" t="s">
        <v>290</v>
      </c>
      <c r="M9" s="1"/>
    </row>
    <row r="10" spans="1:21" ht="20.100000000000001" customHeight="1" x14ac:dyDescent="0.2">
      <c r="A10" s="5" t="str">
        <f>HYPERLINK("#'Input - Site'!A1", "Site")</f>
        <v>Site</v>
      </c>
      <c r="D10" s="1" t="s">
        <v>319</v>
      </c>
      <c r="G10" s="19" t="s">
        <v>481</v>
      </c>
      <c r="I10" s="19" t="s">
        <v>291</v>
      </c>
      <c r="M10" s="1"/>
    </row>
    <row r="11" spans="1:21" ht="20.100000000000001" customHeight="1" x14ac:dyDescent="0.2">
      <c r="A11" s="5" t="str">
        <f>HYPERLINK("#'Input - Swine'!A1", "Swine")</f>
        <v>Swine</v>
      </c>
      <c r="G11" s="1" t="s">
        <v>320</v>
      </c>
      <c r="I11" s="19" t="s">
        <v>265</v>
      </c>
      <c r="M11" s="1"/>
    </row>
    <row r="12" spans="1:21" ht="20.100000000000001" customHeight="1" x14ac:dyDescent="0.2">
      <c r="A12" s="5" t="str">
        <f>HYPERLINK("#'Input - Livestock sales'!A1", "Livestock sales")</f>
        <v>Livestock sales</v>
      </c>
      <c r="G12" s="1" t="s">
        <v>482</v>
      </c>
      <c r="I12" s="19" t="s">
        <v>292</v>
      </c>
      <c r="M12" s="1"/>
    </row>
    <row r="13" spans="1:21" ht="20.100000000000001" customHeight="1" x14ac:dyDescent="0.2">
      <c r="A13" s="5" t="str">
        <f>HYPERLINK("#'Input - Pig purchases'!A1", "Pig purchases")</f>
        <v>Pig purchases</v>
      </c>
      <c r="G13" s="1" t="s">
        <v>483</v>
      </c>
      <c r="M13" s="1"/>
    </row>
    <row r="14" spans="1:21" ht="20.100000000000001" customHeight="1" x14ac:dyDescent="0.2">
      <c r="A14" s="5" t="str">
        <f>HYPERLINK("#'Input - Fuel'!A1", "Fuel")</f>
        <v>Fuel</v>
      </c>
      <c r="D14" s="2" t="str" cm="1">
        <f t="array" ref="D14">SourceData_Swine.SourceData_Swine_FracLEACH_DrylotMMS_Title()</f>
        <v>Fraction of nitrogen lost through leaching and runoff for drylot MMS</v>
      </c>
      <c r="M14" s="1"/>
    </row>
    <row r="15" spans="1:21" ht="20.100000000000001" customHeight="1" x14ac:dyDescent="0.2">
      <c r="A15" s="5" t="str">
        <f>HYPERLINK("#'Input - Electricity'!A1", "Electricity")</f>
        <v>Electricity</v>
      </c>
      <c r="D15" s="17" t="str" cm="1">
        <f t="array" ref="D15">SourceData_Swine.SourceData_Swine_FracLEACH_DrylotMMS_Source()</f>
        <v>VEERG 2026: 4.5.2.3 CONSTANT</v>
      </c>
      <c r="M15" s="1"/>
    </row>
    <row r="16" spans="1:21" ht="20.100000000000001" customHeight="1" x14ac:dyDescent="0.2">
      <c r="A16" s="5" t="str">
        <f>HYPERLINK("#'Input - Common farm inputs'!A1", "Common farm inputs")</f>
        <v>Common farm inputs</v>
      </c>
      <c r="D16" s="25" t="str" cm="1">
        <f t="array" ref="D16">SourceData_Swine.SourceData_Swine_FracLEACH_DrylotMMS_Variation()</f>
        <v>VARIATION ON SOURCE: Text refers to 'solid storage' MMS, but equation refers to 'drylot' MMS.</v>
      </c>
      <c r="M16" s="1"/>
    </row>
    <row r="17" spans="1:13" ht="20.100000000000001" customHeight="1" x14ac:dyDescent="0.2">
      <c r="A17" s="5" t="str">
        <f>HYPERLINK("#'Input - Livestock farm Inputs'!A1", "Livestock farm Inputs")</f>
        <v>Livestock farm Inputs</v>
      </c>
      <c r="D17" s="75" t="str" cm="1">
        <f t="array" ref="D17">SourceData_Swine.SourceData_Swine_FracLEACH_DrylotMMS_Variable()</f>
        <v>FracLEACH_MS</v>
      </c>
      <c r="E17" s="1" cm="1">
        <f t="array" ref="E17">SourceData_Swine.SourceData_Swine_FracLEACH_DrylotMMS_Data()</f>
        <v>0.02</v>
      </c>
      <c r="F17" s="9" t="str" cm="1">
        <f t="array" ref="F17">SourceData_Swine.SourceData_Swine_FracLEACH_DrylotMMS_Unit()</f>
        <v>fraction</v>
      </c>
      <c r="M17" s="1"/>
    </row>
    <row r="18" spans="1:13" ht="20.100000000000001" customHeight="1" x14ac:dyDescent="0.2">
      <c r="A18" s="5" t="str">
        <f>HYPERLINK("#'Input - Freight'!A1", "Freight")</f>
        <v>Freight</v>
      </c>
      <c r="M18" s="1"/>
    </row>
    <row r="19" spans="1:13" ht="20.100000000000001" customHeight="1" x14ac:dyDescent="0.2">
      <c r="A19" s="5" t="str">
        <f>HYPERLINK("#'Input - Solid waste'!A1", "Solid waste")</f>
        <v>Solid waste</v>
      </c>
      <c r="D19" s="2" t="str" cm="1">
        <f t="array" ref="D19">SourceData_Swine.SourceData_Swine_MethaneVolatileSolidsEmissionsPotential_Title()</f>
        <v>Emissions potential of methane per kilogram of volatile solids</v>
      </c>
      <c r="M19" s="1"/>
    </row>
    <row r="20" spans="1:13" ht="20.100000000000001" customHeight="1" x14ac:dyDescent="0.2">
      <c r="A20" s="5" t="str">
        <f>HYPERLINK("#'Input - Manure sent off-site'!A1", "Manure sent off-site")</f>
        <v>Manure sent off-site</v>
      </c>
      <c r="D20" s="17" t="e" cm="1">
        <f t="array" aca="1" ref="D20" ca="1">SourceData_Swine.SourceData_Swine_MethaneVolatileSolidsEmissionsPotential_Source()</f>
        <v>#NAME?</v>
      </c>
      <c r="M20" s="1"/>
    </row>
    <row r="21" spans="1:13" ht="20.100000000000001" customHeight="1" x14ac:dyDescent="0.2">
      <c r="A21" s="5" t="str">
        <f>HYPERLINK("#'Input - Data quality'!A1", "Data quality")</f>
        <v>Data quality</v>
      </c>
      <c r="D21" s="75" t="str" cm="1">
        <f t="array" ref="D21">SourceData_Swine.SourceData_Swine_MethaneVolatileSolidsEmissionsPotential_Variable()</f>
        <v>B0</v>
      </c>
      <c r="E21" s="1" cm="1">
        <f t="array" ref="E21">SourceData_Swine.SourceData_Swine_MethaneVolatileSolidsEmissionsPotential_Data()</f>
        <v>0.19</v>
      </c>
      <c r="F21" s="9" t="str" cm="1">
        <f t="array" ref="F21">SourceData_Swine.SourceData_Swine_MethaneVolatileSolidsEmissionsPotential_Unit()</f>
        <v>m3 CH4 / kg VS</v>
      </c>
      <c r="M21" s="1"/>
    </row>
    <row r="22" spans="1:13" ht="20.100000000000001" customHeight="1" x14ac:dyDescent="0.2">
      <c r="A22" s="5" t="str">
        <f>HYPERLINK("#'Input - Fert Prod System'!A1", "Fert Prod System")</f>
        <v>Fert Prod System</v>
      </c>
      <c r="M22" s="1"/>
    </row>
    <row r="23" spans="1:13" ht="20.100000000000001" customHeight="1" x14ac:dyDescent="0.2">
      <c r="A23" s="5" t="str">
        <f>HYPERLINK("#'Input - Fertiliser'!A1", "Fertiliser")</f>
        <v>Fertiliser</v>
      </c>
      <c r="M23" s="1"/>
    </row>
    <row r="24" spans="1:13" ht="20.100000000000001" customHeight="1" x14ac:dyDescent="0.2">
      <c r="D24" s="2" t="str" cm="1">
        <f t="array" ref="D24">SourceData_Swine.SourceData_Swine_MMS_MCFs_Title()</f>
        <v>Methane conversion factor for temperature zone and manure management system.</v>
      </c>
      <c r="H24" s="126" t="s">
        <v>484</v>
      </c>
      <c r="M24" s="1"/>
    </row>
    <row r="25" spans="1:13" ht="20.100000000000001" customHeight="1" x14ac:dyDescent="0.2">
      <c r="D25" s="17" t="str" cm="1">
        <f t="array" ref="D25">SourceData_Swine.SourceData_Swine_MMS_MCFs_Source()</f>
        <v>VEERG 2026: Table A.1.6.4: Swine - MCFs (MCFim)</v>
      </c>
      <c r="H25" s="126" t="s">
        <v>485</v>
      </c>
      <c r="M25" s="1"/>
    </row>
    <row r="26" spans="1:13" ht="20.100000000000001" customHeight="1" x14ac:dyDescent="0.2">
      <c r="A26" s="6" t="s">
        <v>2</v>
      </c>
      <c r="D26" s="2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
      <c r="A27" s="5" t="str">
        <f>HYPERLINK("#'3.5.1.1-2 Enteric Methane'!A1", "3.5.1.1-2 Enteric Methane")</f>
        <v>3.5.1.1-2 Enteric Methane</v>
      </c>
      <c r="M27" s="1"/>
    </row>
    <row r="28" spans="1:13" ht="20.100000000000001" customHeight="1" x14ac:dyDescent="0.2">
      <c r="A28" s="5" t="str">
        <f>HYPERLINK("#'4.5.1.1-2 Methane'!A1", "4.5.1.1-2 Manure Methane")</f>
        <v>4.5.1.1-2 Manure Methane</v>
      </c>
      <c r="D28" s="19" t="s">
        <v>359</v>
      </c>
      <c r="E28" s="19" t="s">
        <v>486</v>
      </c>
      <c r="F28" s="19" t="s">
        <v>487</v>
      </c>
      <c r="G28" s="19" t="s">
        <v>488</v>
      </c>
      <c r="H28" s="19" t="s">
        <v>489</v>
      </c>
      <c r="I28" s="19" t="s">
        <v>490</v>
      </c>
      <c r="J28" s="19" t="s">
        <v>491</v>
      </c>
      <c r="K28" s="19" t="s">
        <v>492</v>
      </c>
      <c r="L28" s="19" t="s">
        <v>493</v>
      </c>
      <c r="M28" s="19" t="s">
        <v>494</v>
      </c>
    </row>
    <row r="29" spans="1:13" ht="20.100000000000001" customHeight="1" x14ac:dyDescent="0.2">
      <c r="A29" s="5" t="str">
        <f>HYPERLINK("#'4.5.1.3-4 Direct N2O'!A1", "4.5.1.3-4 Manure Direct N2O")</f>
        <v>4.5.1.3-4 Manure Direct N2O</v>
      </c>
      <c r="D29" s="19" t="str" cm="1">
        <f t="array" ref="D29">Common_InputFunctions.Utility_DisplayArrayInTable(SourceData_Swine.SourceData_Swine_MMS_MCFs_Data(),Table_SourceData_Swine_MMSMCF[[#Headers],[MMS]],0)</f>
        <v>Outdoor (Dry lot)</v>
      </c>
      <c r="E29" s="19" cm="1">
        <f t="array" ref="E29">Common_InputFunctions.Utility_DisplayArrayInTable(SourceData_Swine.SourceData_Swine_MMS_MCFs_Data(),Table_SourceData_Swine_MMSMCF[[#Headers],[MMS]],0)</f>
        <v>0.01</v>
      </c>
      <c r="F29" s="19" cm="1">
        <f t="array" ref="F29">Common_InputFunctions.Utility_DisplayArrayInTable(SourceData_Swine.SourceData_Swine_MMS_MCFs_Data(),Table_SourceData_Swine_MMSMCF[[#Headers],[MMS]],0)</f>
        <v>0.01</v>
      </c>
      <c r="G29" s="19" cm="1">
        <f t="array" ref="G29">Common_InputFunctions.Utility_DisplayArrayInTable(SourceData_Swine.SourceData_Swine_MMS_MCFs_Data(),Table_SourceData_Swine_MMSMCF[[#Headers],[MMS]],0)</f>
        <v>0.03</v>
      </c>
      <c r="H29" s="19" cm="1">
        <f t="array" ref="H29">Common_InputFunctions.Utility_DisplayArrayInTable(SourceData_Swine.SourceData_Swine_MMS_MCFs_Data(),Table_SourceData_Swine_MMSMCF[[#Headers],[MMS]],0)</f>
        <v>0.03</v>
      </c>
      <c r="I29" s="19" cm="1">
        <f t="array" ref="I29">Common_InputFunctions.Utility_DisplayArrayInTable(SourceData_Swine.SourceData_Swine_MMS_MCFs_Data(),Table_SourceData_Swine_MMSMCF[[#Headers],[MMS]],0)</f>
        <v>0.01</v>
      </c>
      <c r="J29" s="19" cm="1">
        <f t="array" ref="J29">Common_InputFunctions.Utility_DisplayArrayInTable(SourceData_Swine.SourceData_Swine_MMS_MCFs_Data(),Table_SourceData_Swine_MMSMCF[[#Headers],[MMS]],0)</f>
        <v>0.01</v>
      </c>
      <c r="K29" s="19" cm="1">
        <f t="array" ref="K29">Common_InputFunctions.Utility_DisplayArrayInTable(SourceData_Swine.SourceData_Swine_MMS_MCFs_Data(),Table_SourceData_Swine_MMSMCF[[#Headers],[MMS]],0)</f>
        <v>0.01</v>
      </c>
      <c r="L29" s="19" cm="1">
        <f t="array" ref="L29">Common_InputFunctions.Utility_DisplayArrayInTable(SourceData_Swine.SourceData_Swine_MMS_MCFs_Data(),Table_SourceData_Swine_MMSMCF[[#Headers],[MMS]],0)</f>
        <v>0.01</v>
      </c>
      <c r="M29" s="19" t="str" cm="1">
        <f t="array" ref="M29">Common_InputFunctions.Utility_DisplayArrayInTable(SourceData_Swine.SourceData_Swine_MMS_MCFs_Data(),Table_SourceData_Swine_MMSMCF[[#Headers],[MMS]],0)</f>
        <v>Drylot (feed pad)</v>
      </c>
    </row>
    <row r="30" spans="1:13" ht="20.100000000000001" customHeight="1" x14ac:dyDescent="0.2">
      <c r="A30" s="5" t="str">
        <f>HYPERLINK("#'4.5.1.5-6 Atmos Dep'!A1", "4.5.1.5-6 Manure Atmos Dep")</f>
        <v>4.5.1.5-6 Manure Atmos Dep</v>
      </c>
      <c r="D30" s="1" t="str" cm="1">
        <f t="array" ref="D30">Common_InputFunctions.Utility_DisplayArrayInTable(SourceData_Swine.SourceData_Swine_MMS_MCFs_Data(),Table_SourceData_Swine_MMSMCF[[#Headers],[MMS]],0)</f>
        <v>Deep litter</v>
      </c>
      <c r="E30" s="19" cm="1">
        <f t="array" ref="E30">Common_InputFunctions.Utility_DisplayArrayInTable(SourceData_Swine.SourceData_Swine_MMS_MCFs_Data(),Table_SourceData_Swine_MMSMCF[[#Headers],[MMS]],0)</f>
        <v>0.04</v>
      </c>
      <c r="F30" s="19" cm="1">
        <f t="array" ref="F30">Common_InputFunctions.Utility_DisplayArrayInTable(SourceData_Swine.SourceData_Swine_MMS_MCFs_Data(),Table_SourceData_Swine_MMSMCF[[#Headers],[MMS]],0)</f>
        <v>0.04</v>
      </c>
      <c r="G30" s="19" cm="1">
        <f t="array" ref="G30">Common_InputFunctions.Utility_DisplayArrayInTable(SourceData_Swine.SourceData_Swine_MMS_MCFs_Data(),Table_SourceData_Swine_MMSMCF[[#Headers],[MMS]],0)</f>
        <v>0.04</v>
      </c>
      <c r="H30" s="19" cm="1">
        <f t="array" ref="H30">Common_InputFunctions.Utility_DisplayArrayInTable(SourceData_Swine.SourceData_Swine_MMS_MCFs_Data(),Table_SourceData_Swine_MMSMCF[[#Headers],[MMS]],0)</f>
        <v>0.04</v>
      </c>
      <c r="I30" s="19" cm="1">
        <f t="array" ref="I30">Common_InputFunctions.Utility_DisplayArrayInTable(SourceData_Swine.SourceData_Swine_MMS_MCFs_Data(),Table_SourceData_Swine_MMSMCF[[#Headers],[MMS]],0)</f>
        <v>0.04</v>
      </c>
      <c r="J30" s="19" cm="1">
        <f t="array" ref="J30">Common_InputFunctions.Utility_DisplayArrayInTable(SourceData_Swine.SourceData_Swine_MMS_MCFs_Data(),Table_SourceData_Swine_MMSMCF[[#Headers],[MMS]],0)</f>
        <v>0.04</v>
      </c>
      <c r="K30" s="19" cm="1">
        <f t="array" ref="K30">Common_InputFunctions.Utility_DisplayArrayInTable(SourceData_Swine.SourceData_Swine_MMS_MCFs_Data(),Table_SourceData_Swine_MMSMCF[[#Headers],[MMS]],0)</f>
        <v>0.04</v>
      </c>
      <c r="L30" s="19" cm="1">
        <f t="array" ref="L30">Common_InputFunctions.Utility_DisplayArrayInTable(SourceData_Swine.SourceData_Swine_MMS_MCFs_Data(),Table_SourceData_Swine_MMSMCF[[#Headers],[MMS]],0)</f>
        <v>0.04</v>
      </c>
      <c r="M30" s="19" t="str" cm="1">
        <f t="array" ref="M30">Common_InputFunctions.Utility_DisplayArrayInTable(SourceData_Swine.SourceData_Swine_MMS_MCFs_Data(),Table_SourceData_Swine_MMSMCF[[#Headers],[MMS]],0)</f>
        <v>Deep litter</v>
      </c>
    </row>
    <row r="31" spans="1:13" ht="20.100000000000001" customHeight="1" x14ac:dyDescent="0.2">
      <c r="A31" s="5" t="str">
        <f>HYPERLINK("#'4.5.1.7-8 Leaching and runoff'!A1", "4.5.1.7-8 Manure Leaching and runoff")</f>
        <v>4.5.1.7-8 Manure Leaching and runoff</v>
      </c>
      <c r="D31" s="1" t="str" cm="1">
        <f t="array" ref="D31">Common_InputFunctions.Utility_DisplayArrayInTable(SourceData_Swine.SourceData_Swine_MMS_MCFs_Data(),Table_SourceData_Swine_MMSMCF[[#Headers],[MMS]],0)</f>
        <v>Stockpile (Solid storage)</v>
      </c>
      <c r="E31" s="19" cm="1">
        <f t="array" ref="E31">Common_InputFunctions.Utility_DisplayArrayInTable(SourceData_Swine.SourceData_Swine_MMS_MCFs_Data(),Table_SourceData_Swine_MMSMCF[[#Headers],[MMS]],0)</f>
        <v>0.02</v>
      </c>
      <c r="F31" s="19" cm="1">
        <f t="array" ref="F31">Common_InputFunctions.Utility_DisplayArrayInTable(SourceData_Swine.SourceData_Swine_MMS_MCFs_Data(),Table_SourceData_Swine_MMSMCF[[#Headers],[MMS]],0)</f>
        <v>0.02</v>
      </c>
      <c r="G31" s="19" cm="1">
        <f t="array" ref="G31">Common_InputFunctions.Utility_DisplayArrayInTable(SourceData_Swine.SourceData_Swine_MMS_MCFs_Data(),Table_SourceData_Swine_MMSMCF[[#Headers],[MMS]],0)</f>
        <v>0.02</v>
      </c>
      <c r="H31" s="19" cm="1">
        <f t="array" ref="H31">Common_InputFunctions.Utility_DisplayArrayInTable(SourceData_Swine.SourceData_Swine_MMS_MCFs_Data(),Table_SourceData_Swine_MMSMCF[[#Headers],[MMS]],0)</f>
        <v>0.02</v>
      </c>
      <c r="I31" s="19" cm="1">
        <f t="array" ref="I31">Common_InputFunctions.Utility_DisplayArrayInTable(SourceData_Swine.SourceData_Swine_MMS_MCFs_Data(),Table_SourceData_Swine_MMSMCF[[#Headers],[MMS]],0)</f>
        <v>0.02</v>
      </c>
      <c r="J31" s="19" cm="1">
        <f t="array" ref="J31">Common_InputFunctions.Utility_DisplayArrayInTable(SourceData_Swine.SourceData_Swine_MMS_MCFs_Data(),Table_SourceData_Swine_MMSMCF[[#Headers],[MMS]],0)</f>
        <v>0.02</v>
      </c>
      <c r="K31" s="19" cm="1">
        <f t="array" ref="K31">Common_InputFunctions.Utility_DisplayArrayInTable(SourceData_Swine.SourceData_Swine_MMS_MCFs_Data(),Table_SourceData_Swine_MMSMCF[[#Headers],[MMS]],0)</f>
        <v>0.02</v>
      </c>
      <c r="L31" s="19" cm="1">
        <f t="array" ref="L31">Common_InputFunctions.Utility_DisplayArrayInTable(SourceData_Swine.SourceData_Swine_MMS_MCFs_Data(),Table_SourceData_Swine_MMSMCF[[#Headers],[MMS]],0)</f>
        <v>0.02</v>
      </c>
      <c r="M31" s="19" t="str" cm="1">
        <f t="array" ref="M31">Common_InputFunctions.Utility_DisplayArrayInTable(SourceData_Swine.SourceData_Swine_MMS_MCFs_Data(),Table_SourceData_Swine_MMSMCF[[#Headers],[MMS]],0)</f>
        <v>Solid storage</v>
      </c>
    </row>
    <row r="32" spans="1:13" ht="20.100000000000001" customHeight="1" x14ac:dyDescent="0.2">
      <c r="A32" s="5" t="str">
        <f>HYPERLINK("#'4.5.1.9 Manure applied to soils'!A1", "4.5.1.9 Manure applied to soils")</f>
        <v>4.5.1.9 Manure applied to soils</v>
      </c>
      <c r="D32" s="1" t="str" cm="1">
        <f t="array" ref="D32">Common_InputFunctions.Utility_DisplayArrayInTable(SourceData_Swine.SourceData_Swine_MMS_MCFs_Data(),Table_SourceData_Swine_MMSMCF[[#Headers],[MMS]],0)</f>
        <v>Effluent pond (Uncovered anaerobic lagoon)</v>
      </c>
      <c r="E32" s="19" cm="1">
        <f t="array" ref="E32">Common_InputFunctions.Utility_DisplayArrayInTable(SourceData_Swine.SourceData_Swine_MMS_MCFs_Data(),Table_SourceData_Swine_MMSMCF[[#Headers],[MMS]],0)</f>
        <v>0.75</v>
      </c>
      <c r="F32" s="19" cm="1">
        <f t="array" ref="F32">Common_InputFunctions.Utility_DisplayArrayInTable(SourceData_Swine.SourceData_Swine_MMS_MCFs_Data(),Table_SourceData_Swine_MMSMCF[[#Headers],[MMS]],0)</f>
        <v>0.75</v>
      </c>
      <c r="G32" s="19" cm="1">
        <f t="array" ref="G32">Common_InputFunctions.Utility_DisplayArrayInTable(SourceData_Swine.SourceData_Swine_MMS_MCFs_Data(),Table_SourceData_Swine_MMSMCF[[#Headers],[MMS]],0)</f>
        <v>0.78</v>
      </c>
      <c r="H32" s="19" cm="1">
        <f t="array" ref="H32">Common_InputFunctions.Utility_DisplayArrayInTable(SourceData_Swine.SourceData_Swine_MMS_MCFs_Data(),Table_SourceData_Swine_MMSMCF[[#Headers],[MMS]],0)</f>
        <v>0.78</v>
      </c>
      <c r="I32" s="19" cm="1">
        <f t="array" ref="I32">Common_InputFunctions.Utility_DisplayArrayInTable(SourceData_Swine.SourceData_Swine_MMS_MCFs_Data(),Table_SourceData_Swine_MMSMCF[[#Headers],[MMS]],0)</f>
        <v>0.75</v>
      </c>
      <c r="J32" s="19" cm="1">
        <f t="array" ref="J32">Common_InputFunctions.Utility_DisplayArrayInTable(SourceData_Swine.SourceData_Swine_MMS_MCFs_Data(),Table_SourceData_Swine_MMSMCF[[#Headers],[MMS]],0)</f>
        <v>0.7</v>
      </c>
      <c r="K32" s="19" cm="1">
        <f t="array" ref="K32">Common_InputFunctions.Utility_DisplayArrayInTable(SourceData_Swine.SourceData_Swine_MMS_MCFs_Data(),Table_SourceData_Swine_MMSMCF[[#Headers],[MMS]],0)</f>
        <v>0.74</v>
      </c>
      <c r="L32" s="19" cm="1">
        <f t="array" ref="L32">Common_InputFunctions.Utility_DisplayArrayInTable(SourceData_Swine.SourceData_Swine_MMS_MCFs_Data(),Table_SourceData_Swine_MMSMCF[[#Headers],[MMS]],0)</f>
        <v>0.76</v>
      </c>
      <c r="M32" s="19" t="str" cm="1">
        <f t="array" ref="M32">Common_InputFunctions.Utility_DisplayArrayInTable(SourceData_Swine.SourceData_Swine_MMS_MCFs_Data(),Table_SourceData_Swine_MMSMCF[[#Headers],[MMS]],0)</f>
        <v>Anaerobic lagoon</v>
      </c>
    </row>
    <row r="33" spans="1:13" ht="20.100000000000001" customHeight="1" x14ac:dyDescent="0.2">
      <c r="A33" s="5" t="str">
        <f>HYPERLINK("#'8.1.1.1-2 Transport fuel'!A1", "8.1.1.1-2 Transport fuel")</f>
        <v>8.1.1.1-2 Transport fuel</v>
      </c>
      <c r="D33" s="1" t="str" cm="1">
        <f t="array" ref="D33">Common_InputFunctions.Utility_DisplayArrayInTable(SourceData_Swine.SourceData_Swine_MMS_MCFs_Data(),Table_SourceData_Swine_MMSMCF[[#Headers],[MMS]],0)</f>
        <v>Anaerobic digester / Covered lagoon</v>
      </c>
      <c r="E33" s="19" cm="1">
        <f t="array" ref="E33">Common_InputFunctions.Utility_DisplayArrayInTable(SourceData_Swine.SourceData_Swine_MMS_MCFs_Data(),Table_SourceData_Swine_MMSMCF[[#Headers],[MMS]],0)</f>
        <v>0.1</v>
      </c>
      <c r="F33" s="19" cm="1">
        <f t="array" ref="F33">Common_InputFunctions.Utility_DisplayArrayInTable(SourceData_Swine.SourceData_Swine_MMS_MCFs_Data(),Table_SourceData_Swine_MMSMCF[[#Headers],[MMS]],0)</f>
        <v>0.1</v>
      </c>
      <c r="G33" s="19" cm="1">
        <f t="array" ref="G33">Common_InputFunctions.Utility_DisplayArrayInTable(SourceData_Swine.SourceData_Swine_MMS_MCFs_Data(),Table_SourceData_Swine_MMSMCF[[#Headers],[MMS]],0)</f>
        <v>0.1</v>
      </c>
      <c r="H33" s="19" cm="1">
        <f t="array" ref="H33">Common_InputFunctions.Utility_DisplayArrayInTable(SourceData_Swine.SourceData_Swine_MMS_MCFs_Data(),Table_SourceData_Swine_MMSMCF[[#Headers],[MMS]],0)</f>
        <v>0.1</v>
      </c>
      <c r="I33" s="19" cm="1">
        <f t="array" ref="I33">Common_InputFunctions.Utility_DisplayArrayInTable(SourceData_Swine.SourceData_Swine_MMS_MCFs_Data(),Table_SourceData_Swine_MMSMCF[[#Headers],[MMS]],0)</f>
        <v>0.1</v>
      </c>
      <c r="J33" s="19" cm="1">
        <f t="array" ref="J33">Common_InputFunctions.Utility_DisplayArrayInTable(SourceData_Swine.SourceData_Swine_MMS_MCFs_Data(),Table_SourceData_Swine_MMSMCF[[#Headers],[MMS]],0)</f>
        <v>0.1</v>
      </c>
      <c r="K33" s="19" cm="1">
        <f t="array" ref="K33">Common_InputFunctions.Utility_DisplayArrayInTable(SourceData_Swine.SourceData_Swine_MMS_MCFs_Data(),Table_SourceData_Swine_MMSMCF[[#Headers],[MMS]],0)</f>
        <v>0.1</v>
      </c>
      <c r="L33" s="19" cm="1">
        <f t="array" ref="L33">Common_InputFunctions.Utility_DisplayArrayInTable(SourceData_Swine.SourceData_Swine_MMS_MCFs_Data(),Table_SourceData_Swine_MMSMCF[[#Headers],[MMS]],0)</f>
        <v>0.1</v>
      </c>
      <c r="M33" s="19" t="str" cm="1">
        <f t="array" ref="M33">Common_InputFunctions.Utility_DisplayArrayInTable(SourceData_Swine.SourceData_Swine_MMS_MCFs_Data(),Table_SourceData_Swine_MMSMCF[[#Headers],[MMS]],0)</f>
        <v>Digester / covered lagoons</v>
      </c>
    </row>
    <row r="34" spans="1:13" ht="20.100000000000001" customHeight="1" x14ac:dyDescent="0.2">
      <c r="A34" s="5" t="str">
        <f>HYPERLINK("#'8.2.1.1-2 Stationary fuel'!A1", "8.2.1.1-2 Stationary fuel")</f>
        <v>8.2.1.1-2 Stationary fuel</v>
      </c>
      <c r="D34" s="1" t="str" cm="1">
        <f t="array" ref="D34">Common_InputFunctions.Utility_DisplayArrayInTable(SourceData_Swine.SourceData_Swine_MMS_MCFs_Data(),Table_SourceData_Swine_MMSMCF[[#Headers],[MMS]],0)</f>
        <v>Short HRT tank storage &lt; 1 month (pit storage)</v>
      </c>
      <c r="E34" s="19" cm="1">
        <f t="array" ref="E34">Common_InputFunctions.Utility_DisplayArrayInTable(SourceData_Swine.SourceData_Swine_MMS_MCFs_Data(),Table_SourceData_Swine_MMSMCF[[#Headers],[MMS]],0)</f>
        <v>0.03</v>
      </c>
      <c r="F34" s="19" cm="1">
        <f t="array" ref="F34">Common_InputFunctions.Utility_DisplayArrayInTable(SourceData_Swine.SourceData_Swine_MMS_MCFs_Data(),Table_SourceData_Swine_MMSMCF[[#Headers],[MMS]],0)</f>
        <v>0.03</v>
      </c>
      <c r="G34" s="19" cm="1">
        <f t="array" ref="G34">Common_InputFunctions.Utility_DisplayArrayInTable(SourceData_Swine.SourceData_Swine_MMS_MCFs_Data(),Table_SourceData_Swine_MMSMCF[[#Headers],[MMS]],0)</f>
        <v>0.03</v>
      </c>
      <c r="H34" s="19" cm="1">
        <f t="array" ref="H34">Common_InputFunctions.Utility_DisplayArrayInTable(SourceData_Swine.SourceData_Swine_MMS_MCFs_Data(),Table_SourceData_Swine_MMSMCF[[#Headers],[MMS]],0)</f>
        <v>0.03</v>
      </c>
      <c r="I34" s="19" cm="1">
        <f t="array" ref="I34">Common_InputFunctions.Utility_DisplayArrayInTable(SourceData_Swine.SourceData_Swine_MMS_MCFs_Data(),Table_SourceData_Swine_MMSMCF[[#Headers],[MMS]],0)</f>
        <v>0.03</v>
      </c>
      <c r="J34" s="19" cm="1">
        <f t="array" ref="J34">Common_InputFunctions.Utility_DisplayArrayInTable(SourceData_Swine.SourceData_Swine_MMS_MCFs_Data(),Table_SourceData_Swine_MMSMCF[[#Headers],[MMS]],0)</f>
        <v>0.03</v>
      </c>
      <c r="K34" s="19" cm="1">
        <f t="array" ref="K34">Common_InputFunctions.Utility_DisplayArrayInTable(SourceData_Swine.SourceData_Swine_MMS_MCFs_Data(),Table_SourceData_Swine_MMSMCF[[#Headers],[MMS]],0)</f>
        <v>0.03</v>
      </c>
      <c r="L34" s="19" cm="1">
        <f t="array" ref="L34">Common_InputFunctions.Utility_DisplayArrayInTable(SourceData_Swine.SourceData_Swine_MMS_MCFs_Data(),Table_SourceData_Swine_MMSMCF[[#Headers],[MMS]],0)</f>
        <v>0.03</v>
      </c>
      <c r="M34" s="19" t="str" cm="1">
        <f t="array" ref="M34">Common_InputFunctions.Utility_DisplayArrayInTable(SourceData_Swine.SourceData_Swine_MMS_MCFs_Data(),Table_SourceData_Swine_MMSMCF[[#Headers],[MMS]],0)</f>
        <v>Pit storage</v>
      </c>
    </row>
    <row r="35" spans="1:13" ht="20.100000000000001" customHeight="1" x14ac:dyDescent="0.2">
      <c r="A35" s="5" t="str">
        <f>HYPERLINK("#'10.1.1-2 Solid waste treatment'!A1", "10.1.1.1-2 Solid waste")</f>
        <v>10.1.1.1-2 Solid waste</v>
      </c>
      <c r="D35" s="1" t="str" cm="1">
        <f t="array" ref="D35">Common_InputFunctions.Utility_DisplayArrayInTable(SourceData_Swine.SourceData_Swine_MMS_MCFs_Data(),Table_SourceData_Swine_MMSMCF[[#Headers],[MMS]],0)</f>
        <v>Direct Application to soil</v>
      </c>
      <c r="E35" s="19" cm="1">
        <f t="array" ref="E35">Common_InputFunctions.Utility_DisplayArrayInTable(SourceData_Swine.SourceData_Swine_MMS_MCFs_Data(),Table_SourceData_Swine_MMSMCF[[#Headers],[MMS]],0)</f>
        <v>0</v>
      </c>
      <c r="F35" s="19" cm="1">
        <f t="array" ref="F35">Common_InputFunctions.Utility_DisplayArrayInTable(SourceData_Swine.SourceData_Swine_MMS_MCFs_Data(),Table_SourceData_Swine_MMSMCF[[#Headers],[MMS]],0)</f>
        <v>0</v>
      </c>
      <c r="G35" s="19" cm="1">
        <f t="array" ref="G35">Common_InputFunctions.Utility_DisplayArrayInTable(SourceData_Swine.SourceData_Swine_MMS_MCFs_Data(),Table_SourceData_Swine_MMSMCF[[#Headers],[MMS]],0)</f>
        <v>0</v>
      </c>
      <c r="H35" s="19" cm="1">
        <f t="array" ref="H35">Common_InputFunctions.Utility_DisplayArrayInTable(SourceData_Swine.SourceData_Swine_MMS_MCFs_Data(),Table_SourceData_Swine_MMSMCF[[#Headers],[MMS]],0)</f>
        <v>0</v>
      </c>
      <c r="I35" s="19" cm="1">
        <f t="array" ref="I35">Common_InputFunctions.Utility_DisplayArrayInTable(SourceData_Swine.SourceData_Swine_MMS_MCFs_Data(),Table_SourceData_Swine_MMSMCF[[#Headers],[MMS]],0)</f>
        <v>0</v>
      </c>
      <c r="J35" s="19" cm="1">
        <f t="array" ref="J35">Common_InputFunctions.Utility_DisplayArrayInTable(SourceData_Swine.SourceData_Swine_MMS_MCFs_Data(),Table_SourceData_Swine_MMSMCF[[#Headers],[MMS]],0)</f>
        <v>0</v>
      </c>
      <c r="K35" s="19" cm="1">
        <f t="array" ref="K35">Common_InputFunctions.Utility_DisplayArrayInTable(SourceData_Swine.SourceData_Swine_MMS_MCFs_Data(),Table_SourceData_Swine_MMSMCF[[#Headers],[MMS]],0)</f>
        <v>0</v>
      </c>
      <c r="L35" s="19" cm="1">
        <f t="array" ref="L35">Common_InputFunctions.Utility_DisplayArrayInTable(SourceData_Swine.SourceData_Swine_MMS_MCFs_Data(),Table_SourceData_Swine_MMSMCF[[#Headers],[MMS]],0)</f>
        <v>0</v>
      </c>
      <c r="M35" s="19" t="str" cm="1">
        <f t="array" ref="M35">Common_InputFunctions.Utility_DisplayArrayInTable(SourceData_Swine.SourceData_Swine_MMS_MCFs_Data(),Table_SourceData_Swine_MMSMCF[[#Headers],[MMS]],0)</f>
        <v>Direct application</v>
      </c>
    </row>
    <row r="36" spans="1:13" ht="20.100000000000001" customHeight="1" x14ac:dyDescent="0.2">
      <c r="A36" s="5" t="str">
        <f>HYPERLINK("#'14.1.1-2 Purchased electricity'!A1", "14.1.1-2 Purchased electricity")</f>
        <v>14.1.1-2 Purchased electricity</v>
      </c>
      <c r="M36" s="1"/>
    </row>
    <row r="37" spans="1:13" ht="20.100000000000001" customHeight="1" x14ac:dyDescent="0.2">
      <c r="A37" s="5" t="str">
        <f>HYPERLINK("#'15 Scope 3'!A1", "15 Scope 3")</f>
        <v>15 Scope 3</v>
      </c>
      <c r="M37" s="1"/>
    </row>
    <row r="38" spans="1:13" ht="20.100000000000001" customHeight="1" x14ac:dyDescent="0.2">
      <c r="A38" s="5" t="str">
        <f>HYPERLINK("#'Calcs - Manure sent off-site'!A1", "Calcs - Manure sent off-site")</f>
        <v>Calcs - Manure sent off-site</v>
      </c>
      <c r="D38" s="2" t="s">
        <v>495</v>
      </c>
      <c r="G38" s="2" t="s">
        <v>496</v>
      </c>
      <c r="K38" s="2" t="s">
        <v>497</v>
      </c>
      <c r="M38" s="1"/>
    </row>
    <row r="39" spans="1:13" ht="20.100000000000001" customHeight="1" x14ac:dyDescent="0.2">
      <c r="A39" s="5" t="str">
        <f>HYPERLINK("#'5.1.1.1-2 Inorganic fert N2O'!A1", "5.1.1.1-2 Inorganic fert N2O")</f>
        <v>5.1.1.1-2 Inorganic fert N2O</v>
      </c>
      <c r="M39" s="1"/>
    </row>
    <row r="40" spans="1:13" ht="20.100000000000001" customHeight="1" x14ac:dyDescent="0.2">
      <c r="A40" s="5" t="str">
        <f>HYPERLINK("#'5.1.1.3-4 Inorganic fert CO2'!A1", "5.1.1.3-4 Inorganic fert CO2")</f>
        <v>5.1.1.3-4 Inorganic fert CO2</v>
      </c>
      <c r="D40" s="140" t="s">
        <v>359</v>
      </c>
      <c r="E40" s="19" t="s">
        <v>498</v>
      </c>
      <c r="G40" s="140" t="s">
        <v>359</v>
      </c>
      <c r="H40" s="19" t="s">
        <v>498</v>
      </c>
      <c r="K40" s="140" t="s">
        <v>359</v>
      </c>
      <c r="L40" s="19" t="s">
        <v>498</v>
      </c>
      <c r="M40" s="1"/>
    </row>
    <row r="41" spans="1:13" ht="20.100000000000001" customHeight="1" x14ac:dyDescent="0.2">
      <c r="A41" s="5" t="str">
        <f>HYPERLINK("#'5.2.1.1-2 Organic Fert N2O'!A1", "5.2.1.1-2 Organic Fert N2O")</f>
        <v>5.2.1.1-2 Organic Fert N2O</v>
      </c>
      <c r="D41" s="19" t="str">
        <f>'Constants - Common livestock'!$E$10</f>
        <v>Anaerobic lagoon</v>
      </c>
      <c r="E41" s="19" t="str">
        <f>'Constants - Common livestock'!$F$10</f>
        <v>Anaerobic lagoon (m=1)</v>
      </c>
      <c r="G41" s="19" t="str">
        <f>'Constants - Common livestock'!$E$10</f>
        <v>Anaerobic lagoon</v>
      </c>
      <c r="H41" s="19" t="str">
        <f>'Constants - Common livestock'!$F$10</f>
        <v>Anaerobic lagoon (m=1)</v>
      </c>
      <c r="K41" s="19" t="str">
        <f>'Constants - Common livestock'!$E$10</f>
        <v>Anaerobic lagoon</v>
      </c>
      <c r="L41" s="19" t="str">
        <f>'Constants - Common livestock'!$F$10</f>
        <v>Anaerobic lagoon (m=1)</v>
      </c>
      <c r="M41" s="1"/>
    </row>
    <row r="42" spans="1:13" ht="20.100000000000001" customHeight="1" x14ac:dyDescent="0.2">
      <c r="A42" s="5" t="str">
        <f>HYPERLINK("#'5.3.1.1-2 Lime CO2'!A1", "5.3.1.1-2 Lime CO2")</f>
        <v>5.3.1.1-2 Lime CO2</v>
      </c>
      <c r="D42" s="19" t="str">
        <f>'Constants - Common livestock'!$E$15</f>
        <v>Solid storage</v>
      </c>
      <c r="E42" s="19" t="str">
        <f>'Constants - Common livestock'!$F$15</f>
        <v>Solid storage (m=4)</v>
      </c>
      <c r="G42" s="19" t="str">
        <f>'Constants - Common livestock'!$E$16</f>
        <v>Drylot (feed pad)</v>
      </c>
      <c r="H42" s="19" t="str">
        <f>'Constants - Common livestock'!$F$16</f>
        <v>Drylot (feed pad) (m=5)</v>
      </c>
      <c r="K42" s="19" t="str">
        <f>'Constants - Common livestock'!$E$15</f>
        <v>Solid storage</v>
      </c>
      <c r="L42" s="19" t="str">
        <f>'Constants - Common livestock'!$F$15</f>
        <v>Solid storage (m=4)</v>
      </c>
      <c r="M42" s="1"/>
    </row>
    <row r="43" spans="1:13" ht="20.100000000000001" customHeight="1" x14ac:dyDescent="0.2">
      <c r="A43" s="5" t="str">
        <f>HYPERLINK("#'5.4.1.1-4 Atmos deposition'!A1", "5.4.1.1-4 Atmos deposition")</f>
        <v>5.4.1.1-4 Atmos deposition</v>
      </c>
      <c r="D43" s="19" t="str">
        <f>'Constants - Common livestock'!$E$16</f>
        <v>Drylot (feed pad)</v>
      </c>
      <c r="E43" s="19" t="str">
        <f>'Constants - Common livestock'!$F$16</f>
        <v>Drylot (feed pad) (m=5)</v>
      </c>
      <c r="G43" s="19" t="str">
        <f>'Constants - Common livestock'!$E$18</f>
        <v>Digester / covered lagoons</v>
      </c>
      <c r="H43" s="19" t="str">
        <f>'Constants - Common livestock'!$F$18</f>
        <v>Digester / covered lagoons (m=7)</v>
      </c>
      <c r="K43" s="19" t="str">
        <f>'Constants - Common livestock'!$E$16</f>
        <v>Drylot (feed pad)</v>
      </c>
      <c r="L43" s="19" t="str">
        <f>'Constants - Common livestock'!$F$16</f>
        <v>Drylot (feed pad) (m=5)</v>
      </c>
      <c r="M43" s="1"/>
    </row>
    <row r="44" spans="1:13" ht="20.100000000000001" customHeight="1" x14ac:dyDescent="0.2">
      <c r="A44" s="5" t="str">
        <f>HYPERLINK("#'5.5.1.1-2 Leaching and runoff'!A1", "5.5.1.1-2 Leaching and runoff")</f>
        <v>5.5.1.1-2 Leaching and runoff</v>
      </c>
      <c r="D44" s="19" t="str">
        <f>'Constants - Common livestock'!$E$18</f>
        <v>Digester / covered lagoons</v>
      </c>
      <c r="E44" s="19" t="str">
        <f>'Constants - Common livestock'!$F$18</f>
        <v>Digester / covered lagoons (m=7)</v>
      </c>
      <c r="G44" s="19" t="str">
        <f>'Constants - Common livestock'!$E$19</f>
        <v>Deep litter</v>
      </c>
      <c r="H44" s="19" t="str">
        <f>'Constants - Common livestock'!$F$19</f>
        <v>Deep litter (m=8)</v>
      </c>
      <c r="K44" s="19" t="str">
        <f>'Constants - Common livestock'!$E$18</f>
        <v>Digester / covered lagoons</v>
      </c>
      <c r="L44" s="19" t="str">
        <f>'Constants - Common livestock'!$F$18</f>
        <v>Digester / covered lagoons (m=7)</v>
      </c>
      <c r="M44" s="1"/>
    </row>
    <row r="45" spans="1:13" ht="20.100000000000001" customHeight="1" x14ac:dyDescent="0.2">
      <c r="D45" s="19" t="str">
        <f>'Constants - Common livestock'!$E$19</f>
        <v>Deep litter</v>
      </c>
      <c r="E45" s="19" t="str">
        <f>'Constants - Common livestock'!$F$19</f>
        <v>Deep litter (m=8)</v>
      </c>
      <c r="G45" s="19" t="str">
        <f>'Constants - Common livestock'!$E$20</f>
        <v>Pit storage</v>
      </c>
      <c r="H45" s="19" t="str">
        <f>'Constants - Common livestock'!$F$20</f>
        <v>Pit storage (m=9)</v>
      </c>
      <c r="K45" s="19" t="str">
        <f>'Constants - Common livestock'!$E$19</f>
        <v>Deep litter</v>
      </c>
      <c r="L45" s="19" t="str">
        <f>'Constants - Common livestock'!$F$19</f>
        <v>Deep litter (m=8)</v>
      </c>
      <c r="M45" s="1"/>
    </row>
    <row r="46" spans="1:13" ht="20.100000000000001" customHeight="1" x14ac:dyDescent="0.2">
      <c r="D46" s="19" t="str">
        <f>'Constants - Common livestock'!$E$20</f>
        <v>Pit storage</v>
      </c>
      <c r="E46" s="19" t="str">
        <f>'Constants - Common livestock'!$F$20</f>
        <v>Pit storage (m=9)</v>
      </c>
      <c r="K46" s="19" t="str">
        <f>'Constants - Common livestock'!$E$20</f>
        <v>Pit storage</v>
      </c>
      <c r="L46" s="19" t="str">
        <f>'Constants - Common livestock'!$F$20</f>
        <v>Pit storage (m=9)</v>
      </c>
      <c r="M46" s="1"/>
    </row>
    <row r="47" spans="1:13" ht="20.100000000000001" customHeight="1" x14ac:dyDescent="0.2">
      <c r="A47" s="79" t="s">
        <v>1</v>
      </c>
      <c r="D47" s="19" t="str">
        <f>'Constants - Common livestock'!$E$26</f>
        <v>Direct application</v>
      </c>
      <c r="E47" s="19" t="str">
        <f>'Constants - Common livestock'!$F$26</f>
        <v>Direct application (m=13)</v>
      </c>
      <c r="M47" s="1"/>
    </row>
    <row r="48" spans="1:13" ht="20.100000000000001" customHeight="1" x14ac:dyDescent="0.2">
      <c r="A48" s="80" t="str">
        <f>HYPERLINK("#'Constants - Swine'!A1", "Constants - Swine")</f>
        <v>Constants - Swine</v>
      </c>
      <c r="M48" s="1"/>
    </row>
    <row r="49" spans="1:13" ht="20.100000000000001" customHeight="1" x14ac:dyDescent="0.2">
      <c r="A49" s="5" t="str">
        <f>HYPERLINK("#'Constants - Common livestock'!A1", "Constants - Common Livestock")</f>
        <v>Constants - Common Livestock</v>
      </c>
      <c r="M49" s="1"/>
    </row>
    <row r="50" spans="1:13" ht="20.100000000000001" customHeight="1" x14ac:dyDescent="0.2">
      <c r="A50" s="5" t="str">
        <f>HYPERLINK("#'Constants - Electricity'!A1", "Constants - Electricity")</f>
        <v>Constants - Electricity</v>
      </c>
      <c r="M50" s="1"/>
    </row>
    <row r="51" spans="1:13" ht="20.100000000000001" customHeight="1" x14ac:dyDescent="0.2">
      <c r="A51" s="5" t="str">
        <f>HYPERLINK("#'Constants - Fertiliser'!A1", "Constants - Fertiliser")</f>
        <v>Constants - Fertiliser</v>
      </c>
      <c r="D51" s="2" t="s">
        <v>345</v>
      </c>
      <c r="G51" s="2" t="s">
        <v>499</v>
      </c>
      <c r="M51" s="1"/>
    </row>
    <row r="52" spans="1:13" ht="20.100000000000001" customHeight="1" x14ac:dyDescent="0.2">
      <c r="A52" s="5" t="str">
        <f>HYPERLINK("#'Constants - Fuel'!A1", "Constants - Fuel")</f>
        <v>Constants - Fuel</v>
      </c>
      <c r="M52" s="1"/>
    </row>
    <row r="53" spans="1:13" ht="20.100000000000001" customHeight="1" x14ac:dyDescent="0.2">
      <c r="A53" s="5" t="str">
        <f>HYPERLINK("#'Constants - Scope 3'!A1", "Constants - Scope 3")</f>
        <v>Constants - Scope 3</v>
      </c>
      <c r="D53" s="140" t="s">
        <v>359</v>
      </c>
      <c r="E53" s="19" t="s">
        <v>500</v>
      </c>
      <c r="G53" s="19" t="s">
        <v>303</v>
      </c>
      <c r="M53" s="1"/>
    </row>
    <row r="54" spans="1:13" ht="20.100000000000001" customHeight="1" x14ac:dyDescent="0.2">
      <c r="A54" s="5" t="str">
        <f>HYPERLINK("#'Constants - Solid Waste'!A1", "Constants - Solid Waste")</f>
        <v>Constants - Solid Waste</v>
      </c>
      <c r="D54" s="19" t="str">
        <f>'Constants - Common livestock'!$E$10</f>
        <v>Anaerobic lagoon</v>
      </c>
      <c r="E54" s="19">
        <v>0</v>
      </c>
      <c r="G54" s="19"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
      <c r="A55" s="5" t="str">
        <f>HYPERLINK("#'Constants - Common'!A1", "Constants - Common")</f>
        <v>Constants - Common</v>
      </c>
      <c r="D55" s="19" t="str">
        <f>'Constants - Common livestock'!$E$15</f>
        <v>Solid storage</v>
      </c>
      <c r="E55" s="19">
        <v>0</v>
      </c>
      <c r="G55" s="19"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
      <c r="A56" s="5" t="str">
        <f>HYPERLINK("#'Acknowledgements'!A1", "Acknowledgements")</f>
        <v>Acknowledgements</v>
      </c>
      <c r="D56" s="19" t="str">
        <f>'Constants - Common livestock'!$E$16</f>
        <v>Drylot (feed pad)</v>
      </c>
      <c r="E56" s="19">
        <v>0</v>
      </c>
      <c r="G56" s="19"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
      <c r="D57" s="19" t="str">
        <f>'Constants - Common livestock'!$E$18</f>
        <v>Digester / covered lagoons</v>
      </c>
      <c r="E57" s="19">
        <v>0.75</v>
      </c>
      <c r="M57" s="1"/>
    </row>
    <row r="58" spans="1:13" ht="20.100000000000001" customHeight="1" x14ac:dyDescent="0.2">
      <c r="D58" s="19" t="str">
        <f>'Constants - Common livestock'!$E$19</f>
        <v>Deep litter</v>
      </c>
      <c r="E58" s="19">
        <v>0.05</v>
      </c>
      <c r="M58" s="1"/>
    </row>
    <row r="59" spans="1:13" ht="20.100000000000001" customHeight="1" x14ac:dyDescent="0.2">
      <c r="D59" s="19" t="str">
        <f>'Constants - Common livestock'!$E$20</f>
        <v>Pit storage</v>
      </c>
      <c r="E59" s="19">
        <v>0</v>
      </c>
      <c r="M59" s="1"/>
    </row>
    <row r="60" spans="1:13" ht="20.100000000000001" customHeight="1" x14ac:dyDescent="0.2">
      <c r="D60" s="19" t="str">
        <f>'Constants - Common livestock'!$E$26</f>
        <v>Direct application</v>
      </c>
      <c r="E60" s="19">
        <v>0</v>
      </c>
      <c r="M60" s="1"/>
    </row>
    <row r="61" spans="1:13" ht="20.100000000000001" customHeight="1" x14ac:dyDescent="0.2">
      <c r="M61" s="1"/>
    </row>
    <row r="62" spans="1:13" ht="20.100000000000001" customHeight="1" x14ac:dyDescent="0.2">
      <c r="M62" s="1"/>
    </row>
    <row r="63" spans="1:13" ht="20.100000000000001" customHeight="1" x14ac:dyDescent="0.2">
      <c r="D63" s="2" t="str" cm="1">
        <f t="array" ref="D63">SourceData_Swine.SourceData_Swine_VolatileSolids_Title()</f>
        <v>Swine - Volatile solids (VSj) - 2020 to 2024</v>
      </c>
      <c r="M63" s="1"/>
    </row>
    <row r="64" spans="1:13" ht="20.100000000000001" customHeight="1" x14ac:dyDescent="0.2">
      <c r="D64" s="17" t="str" cm="1">
        <f t="array" ref="D64">SourceData_Swine.SourceData_Swine_VolatileSolids_Source()</f>
        <v>VEERG 2026: Table A.1.6.1: Swine - Intake and manure characteristics derived from PigBal</v>
      </c>
      <c r="M64" s="1"/>
    </row>
    <row r="65" spans="1:22" ht="20.100000000000001" customHeight="1" x14ac:dyDescent="0.2">
      <c r="D65" s="25" t="str" cm="1">
        <f t="array" ref="D65">SourceData_Swine.SourceData_Swine_VolatileSolids_Variation()</f>
        <v>VARIATION ON SOURCE DATA: Only uses data for 2020-2024. Use 'Slaughter pigs' data for 'Other j=4' class.</v>
      </c>
      <c r="M65" s="1"/>
    </row>
    <row r="66" spans="1:22" ht="20.100000000000001" customHeight="1" x14ac:dyDescent="0.2">
      <c r="M66" s="1"/>
    </row>
    <row r="67" spans="1:22" ht="20.100000000000001" customHeight="1" x14ac:dyDescent="0.2">
      <c r="A67" s="131" t="str">
        <f>HYPERLINK("#A1", "▲ Back to top")</f>
        <v>▲ Back to top</v>
      </c>
      <c r="D67" s="19" t="s">
        <v>501</v>
      </c>
      <c r="E67" s="19" t="s">
        <v>502</v>
      </c>
      <c r="M67" s="1"/>
    </row>
    <row r="68" spans="1:22" ht="20.100000000000001" customHeight="1" x14ac:dyDescent="0.2">
      <c r="D68" s="19" t="str" cm="1">
        <f t="array" ref="D68">Common_InputFunctions.Utility_DisplayArrayInTable(SourceData_Swine.SourceData_Swine_VolatileSolids_Data(), Table_SourceData_Swine_VolatileSolids[[#Headers],[Class]], 0)</f>
        <v>Boars</v>
      </c>
      <c r="E68" s="19" cm="1">
        <f t="array" ref="E68">Common_InputFunctions.Utility_DisplayArrayInTable(SourceData_Swine.SourceData_Swine_VolatileSolids_Data(), Table_SourceData_Swine_VolatileSolids[[#Headers],[Class]], 0)</f>
        <v>0.4</v>
      </c>
      <c r="M68" s="1"/>
    </row>
    <row r="69" spans="1:22" ht="20.100000000000001" customHeight="1" x14ac:dyDescent="0.2">
      <c r="D69" s="1" t="str" cm="1">
        <f t="array" ref="D69">Common_InputFunctions.Utility_DisplayArrayInTable(SourceData_Swine.SourceData_Swine_VolatileSolids_Data(), Table_SourceData_Swine_VolatileSolids[[#Headers],[Class]], 0)</f>
        <v>Sows</v>
      </c>
      <c r="E69" s="19" cm="1">
        <f t="array" ref="E69">Common_InputFunctions.Utility_DisplayArrayInTable(SourceData_Swine.SourceData_Swine_VolatileSolids_Data(), Table_SourceData_Swine_VolatileSolids[[#Headers],[Class]], 0)</f>
        <v>0.46</v>
      </c>
      <c r="M69" s="1"/>
    </row>
    <row r="70" spans="1:22" ht="20.100000000000001" customHeight="1" x14ac:dyDescent="0.2">
      <c r="D70" s="1" t="str" cm="1">
        <f t="array" ref="D70">Common_InputFunctions.Utility_DisplayArrayInTable(SourceData_Swine.SourceData_Swine_VolatileSolids_Data(), Table_SourceData_Swine_VolatileSolids[[#Headers],[Class]], 0)</f>
        <v>Gilts</v>
      </c>
      <c r="E70" s="19" cm="1">
        <f t="array" ref="E70">Common_InputFunctions.Utility_DisplayArrayInTable(SourceData_Swine.SourceData_Swine_VolatileSolids_Data(), Table_SourceData_Swine_VolatileSolids[[#Headers],[Class]], 0)</f>
        <v>0.55000000000000004</v>
      </c>
      <c r="M70" s="1"/>
    </row>
    <row r="71" spans="1:22" ht="20.100000000000001" customHeight="1" x14ac:dyDescent="0.2">
      <c r="D71" s="1" t="str" cm="1">
        <f t="array" ref="D71">Common_InputFunctions.Utility_DisplayArrayInTable(SourceData_Swine.SourceData_Swine_VolatileSolids_Data(), Table_SourceData_Swine_VolatileSolids[[#Headers],[Class]], 0)</f>
        <v>Others</v>
      </c>
      <c r="E71" s="19" cm="1">
        <f t="array" ref="E71">Common_InputFunctions.Utility_DisplayArrayInTable(SourceData_Swine.SourceData_Swine_VolatileSolids_Data(), Table_SourceData_Swine_VolatileSolids[[#Headers],[Class]], 0)</f>
        <v>0.39</v>
      </c>
      <c r="M71" s="1"/>
      <c r="V71" s="1"/>
    </row>
    <row r="72" spans="1:22" ht="20.100000000000001" customHeight="1" x14ac:dyDescent="0.2">
      <c r="M72" s="1"/>
      <c r="V72" s="1"/>
    </row>
    <row r="73" spans="1:22" ht="20.100000000000001" customHeight="1" x14ac:dyDescent="0.2">
      <c r="M73" s="1"/>
      <c r="V73" s="1"/>
    </row>
    <row r="74" spans="1:22" ht="20.100000000000001" customHeight="1" x14ac:dyDescent="0.2">
      <c r="D74" s="2" t="str" cm="1">
        <f t="array" ref="D74">SourceData_Swine.SourceData_Swine_FeedIntake_Title()</f>
        <v>Swine - Feed intake - ingested as fed  (Ij) - 2020 to 2024</v>
      </c>
      <c r="M74" s="1"/>
      <c r="V74" s="1"/>
    </row>
    <row r="75" spans="1:22" ht="20.100000000000001" customHeight="1" x14ac:dyDescent="0.2">
      <c r="D75" s="17" t="str" cm="1">
        <f t="array" ref="D75">SourceData_Swine.SourceData_Swine_FeedIntake_Source()</f>
        <v>VEERG 2026: Table A.1.6.1: Swine - Intake and manure characteristics derived from PigBal</v>
      </c>
      <c r="M75" s="1"/>
      <c r="V75" s="1"/>
    </row>
    <row r="76" spans="1:22" ht="20.100000000000001" customHeight="1" x14ac:dyDescent="0.2">
      <c r="D76" s="25" t="str" cm="1">
        <f t="array" ref="D76">SourceData_Swine.SourceData_Swine_FeedIntake_Variation()</f>
        <v>VARIATION ON SOURCE DATA: Only uses data for 2020-2024. Use 'Slaughter pigs' data for 'Other j=4' class.</v>
      </c>
      <c r="M76" s="1"/>
      <c r="V76" s="1"/>
    </row>
    <row r="77" spans="1:22" ht="20.100000000000001" customHeight="1" x14ac:dyDescent="0.2">
      <c r="M77" s="1"/>
      <c r="V77" s="1"/>
    </row>
    <row r="78" spans="1:22" ht="20.100000000000001" customHeight="1" x14ac:dyDescent="0.2">
      <c r="D78" s="19" t="s">
        <v>501</v>
      </c>
      <c r="E78" s="19" t="s">
        <v>503</v>
      </c>
      <c r="M78" s="1"/>
      <c r="V78" s="1"/>
    </row>
    <row r="79" spans="1:22" ht="20.100000000000001" customHeight="1" x14ac:dyDescent="0.2">
      <c r="D79" s="19" t="str" cm="1">
        <f t="array" ref="D79">Common_InputFunctions.Utility_DisplayArrayInTable(SourceData_Swine.SourceData_Swine_FeedIntake_Data(), Table_SourceData_Swine_FeedIntake[[#Headers],[Class]], 0)</f>
        <v>Boars</v>
      </c>
      <c r="E79" s="19" cm="1">
        <f t="array" ref="E79">Common_InputFunctions.Utility_DisplayArrayInTable(SourceData_Swine.SourceData_Swine_FeedIntake_Data(), Table_SourceData_Swine_FeedIntake[[#Headers],[Class]], 0)</f>
        <v>2.62</v>
      </c>
      <c r="M79" s="1"/>
      <c r="V79" s="1"/>
    </row>
    <row r="80" spans="1:22" ht="20.100000000000001" customHeight="1" x14ac:dyDescent="0.2">
      <c r="D80" s="19" t="str" cm="1">
        <f t="array" ref="D80">Common_InputFunctions.Utility_DisplayArrayInTable(SourceData_Swine.SourceData_Swine_FeedIntake_Data(), Table_SourceData_Swine_FeedIntake[[#Headers],[Class]], 0)</f>
        <v>Sows</v>
      </c>
      <c r="E80" s="19" cm="1">
        <f t="array" ref="E80">Common_InputFunctions.Utility_DisplayArrayInTable(SourceData_Swine.SourceData_Swine_FeedIntake_Data(), Table_SourceData_Swine_FeedIntake[[#Headers],[Class]], 0)</f>
        <v>2.2999999999999998</v>
      </c>
      <c r="M80" s="1"/>
      <c r="V80" s="1"/>
    </row>
    <row r="81" spans="4:23" ht="20.100000000000001" customHeight="1" x14ac:dyDescent="0.2">
      <c r="D81" s="19" t="str" cm="1">
        <f t="array" ref="D81">Common_InputFunctions.Utility_DisplayArrayInTable(SourceData_Swine.SourceData_Swine_FeedIntake_Data(), Table_SourceData_Swine_FeedIntake[[#Headers],[Class]], 0)</f>
        <v>Gilts</v>
      </c>
      <c r="E81" s="19" cm="1">
        <f t="array" ref="E81">Common_InputFunctions.Utility_DisplayArrayInTable(SourceData_Swine.SourceData_Swine_FeedIntake_Data(), Table_SourceData_Swine_FeedIntake[[#Headers],[Class]], 0)</f>
        <v>2.5</v>
      </c>
      <c r="M81" s="1"/>
      <c r="V81" s="1"/>
    </row>
    <row r="82" spans="4:23" ht="20.100000000000001" customHeight="1" x14ac:dyDescent="0.2">
      <c r="D82" s="19" t="str" cm="1">
        <f t="array" ref="D82">Common_InputFunctions.Utility_DisplayArrayInTable(SourceData_Swine.SourceData_Swine_FeedIntake_Data(), Table_SourceData_Swine_FeedIntake[[#Headers],[Class]], 0)</f>
        <v>Others</v>
      </c>
      <c r="E82" s="19" cm="1">
        <f t="array" ref="E82">Common_InputFunctions.Utility_DisplayArrayInTable(SourceData_Swine.SourceData_Swine_FeedIntake_Data(), Table_SourceData_Swine_FeedIntake[[#Headers],[Class]], 0)</f>
        <v>1.71</v>
      </c>
      <c r="M82" s="1"/>
      <c r="V82" s="1"/>
    </row>
    <row r="83" spans="4:23" ht="20.100000000000001" customHeight="1" x14ac:dyDescent="0.2">
      <c r="M83" s="1"/>
    </row>
    <row r="84" spans="4:23" ht="20.100000000000001" customHeight="1" x14ac:dyDescent="0.2">
      <c r="M84" s="1"/>
    </row>
    <row r="85" spans="4:23" ht="20.100000000000001" customHeight="1" x14ac:dyDescent="0.2">
      <c r="D85" s="2" t="str" cm="1">
        <f t="array" ref="D85">SourceData_Swine.SourceData_Swine_NitrogenInWaste_Title()</f>
        <v>Swine - Nitrogen in waste (NWj) - 2020 to 2024</v>
      </c>
      <c r="M85" s="1"/>
      <c r="V85" s="1"/>
    </row>
    <row r="86" spans="4:23" ht="20.100000000000001" customHeight="1" x14ac:dyDescent="0.2">
      <c r="D86" s="17" t="str" cm="1">
        <f t="array" ref="D86">SourceData_Swine.SourceData_Swine_NitrogenInWaste_Source()</f>
        <v>VEERG 2026: Table A.1.6.1: Swine - Intake and manure characteristics derived from PigBal</v>
      </c>
      <c r="M86" s="1"/>
      <c r="V86" s="1"/>
    </row>
    <row r="87" spans="4:23" ht="20.100000000000001" customHeight="1" x14ac:dyDescent="0.2">
      <c r="D87" s="2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
      <c r="M88" s="1"/>
      <c r="V88" s="1"/>
    </row>
    <row r="89" spans="4:23" ht="20.100000000000001" customHeight="1" x14ac:dyDescent="0.2">
      <c r="D89" s="19" t="s">
        <v>501</v>
      </c>
      <c r="E89" s="19" t="s">
        <v>504</v>
      </c>
      <c r="F89" s="19" t="s">
        <v>505</v>
      </c>
      <c r="G89" s="19" t="s">
        <v>506</v>
      </c>
      <c r="M89" s="1"/>
      <c r="V89" s="1"/>
      <c r="W89" s="1"/>
    </row>
    <row r="90" spans="4:23" ht="20.100000000000001" customHeight="1" x14ac:dyDescent="0.2">
      <c r="D90" s="19" t="str" cm="1">
        <f t="array" ref="D90">Common_InputFunctions.Utility_DisplayArrayInTable(SourceData_Swine.SourceData_Swine_NitrogenInWaste_Data(), Table_SourceData_Swine_NitrogenInWaste[[#Headers],[Class]], 0)</f>
        <v>Boars</v>
      </c>
      <c r="E90" s="19" cm="1">
        <f t="array" ref="E90">Common_InputFunctions.Utility_DisplayArrayInTable(SourceData_Swine.SourceData_Swine_NitrogenInWaste_Data(), Table_SourceData_Swine_NitrogenInWaste[[#Headers],[Class]], 0)</f>
        <v>4.5999999999999999E-2</v>
      </c>
      <c r="F90" s="19" cm="1">
        <f t="array" ref="F90">Common_InputFunctions.Utility_DisplayArrayInTable(SourceData_Swine.SourceData_Swine_NitrogenInWaste_Data(), Table_SourceData_Swine_NitrogenInWaste[[#Headers],[Class]], 0)</f>
        <v>4.5999999999999999E-2</v>
      </c>
      <c r="G90" s="19"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
      <c r="D91" s="19" t="str" cm="1">
        <f t="array" ref="D91">Common_InputFunctions.Utility_DisplayArrayInTable(SourceData_Swine.SourceData_Swine_NitrogenInWaste_Data(), Table_SourceData_Swine_NitrogenInWaste[[#Headers],[Class]], 0)</f>
        <v>Sows</v>
      </c>
      <c r="E91" s="19" cm="1">
        <f t="array" ref="E91">Common_InputFunctions.Utility_DisplayArrayInTable(SourceData_Swine.SourceData_Swine_NitrogenInWaste_Data(), Table_SourceData_Swine_NitrogenInWaste[[#Headers],[Class]], 0)</f>
        <v>4.9000000000000002E-2</v>
      </c>
      <c r="F91" s="19" cm="1">
        <f t="array" ref="F91">Common_InputFunctions.Utility_DisplayArrayInTable(SourceData_Swine.SourceData_Swine_NitrogenInWaste_Data(), Table_SourceData_Swine_NitrogenInWaste[[#Headers],[Class]], 0)</f>
        <v>4.9000000000000002E-2</v>
      </c>
      <c r="G91" s="19"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
      <c r="D92" s="19" t="str" cm="1">
        <f t="array" ref="D92">Common_InputFunctions.Utility_DisplayArrayInTable(SourceData_Swine.SourceData_Swine_NitrogenInWaste_Data(), Table_SourceData_Swine_NitrogenInWaste[[#Headers],[Class]], 0)</f>
        <v>Gilts</v>
      </c>
      <c r="E92" s="19" cm="1">
        <f t="array" ref="E92">Common_InputFunctions.Utility_DisplayArrayInTable(SourceData_Swine.SourceData_Swine_NitrogenInWaste_Data(), Table_SourceData_Swine_NitrogenInWaste[[#Headers],[Class]], 0)</f>
        <v>4.5999999999999999E-2</v>
      </c>
      <c r="F92" s="19" cm="1">
        <f t="array" ref="F92">Common_InputFunctions.Utility_DisplayArrayInTable(SourceData_Swine.SourceData_Swine_NitrogenInWaste_Data(), Table_SourceData_Swine_NitrogenInWaste[[#Headers],[Class]], 0)</f>
        <v>4.5999999999999999E-2</v>
      </c>
      <c r="G92" s="19"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
      <c r="D93" s="19" t="str" cm="1">
        <f t="array" ref="D93">Common_InputFunctions.Utility_DisplayArrayInTable(SourceData_Swine.SourceData_Swine_NitrogenInWaste_Data(), Table_SourceData_Swine_NitrogenInWaste[[#Headers],[Class]], 0)</f>
        <v>Others (kg/head/year)</v>
      </c>
      <c r="E93" s="19" cm="1">
        <f t="array" ref="E93">Common_InputFunctions.Utility_DisplayArrayInTable(SourceData_Swine.SourceData_Swine_NitrogenInWaste_Data(), Table_SourceData_Swine_NitrogenInWaste[[#Headers],[Class]], 0)</f>
        <v>11.4</v>
      </c>
      <c r="F93" s="19" cm="1">
        <f t="array" ref="F93">Common_InputFunctions.Utility_DisplayArrayInTable(SourceData_Swine.SourceData_Swine_NitrogenInWaste_Data(), Table_SourceData_Swine_NitrogenInWaste[[#Headers],[Class]], 0)</f>
        <v>3.1199999999999999E-2</v>
      </c>
      <c r="G93" s="19"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
      <c r="M94" s="1"/>
    </row>
    <row r="95" spans="4:23" ht="20.100000000000001" customHeight="1" x14ac:dyDescent="0.2">
      <c r="M95" s="1"/>
    </row>
    <row r="96" spans="4:23" ht="20.100000000000001" customHeight="1" x14ac:dyDescent="0.2">
      <c r="D96" s="2" t="str" cm="1">
        <f t="array" ref="D96">SourceData_Swine.SourceData_Swine_FractionNVolatilised_Title()</f>
        <v>Swine - Fraction of nitrogen volatilised (FracGASMmT)</v>
      </c>
      <c r="M96" s="1"/>
    </row>
    <row r="97" spans="1:13" ht="20.100000000000001" customHeight="1" x14ac:dyDescent="0.2">
      <c r="A97" s="131" t="str">
        <f>HYPERLINK("#A1", "▲ Back to top")</f>
        <v>▲ Back to top</v>
      </c>
      <c r="D97" s="17" t="str" cm="1">
        <f t="array" ref="D97">SourceData_Swine.SourceData_Swine_FractionNVolatilised_Source()</f>
        <v>VEERG 2026: Table A.1.6.2: Swine - Fraction of N volatilised by MMS ((kg NH3-N + NOx-N)/kgN) (FracGASMmT)</v>
      </c>
      <c r="M97" s="1"/>
    </row>
    <row r="98" spans="1:13" ht="20.100000000000001" customHeight="1" x14ac:dyDescent="0.2">
      <c r="D98" s="25" t="str" cm="1">
        <f t="array" ref="D98">SourceData_Swine.SourceData_Swine_FractionNVolatilised_Variation()</f>
        <v>VARIATION ON SOURCE DATA: Added 'NIR reference column to aid lookup.</v>
      </c>
      <c r="M98" s="1"/>
    </row>
    <row r="99" spans="1:13" ht="20.100000000000001" customHeight="1" x14ac:dyDescent="0.2">
      <c r="D99" s="19" t="s">
        <v>507</v>
      </c>
      <c r="E99" s="19" t="s">
        <v>508</v>
      </c>
      <c r="F99" s="19" t="s">
        <v>509</v>
      </c>
      <c r="M99" s="1"/>
    </row>
    <row r="100" spans="1:13" ht="20.100000000000001" customHeight="1" x14ac:dyDescent="0.2">
      <c r="D100" s="19" t="str" cm="1">
        <f t="array" ref="D100">Common_InputFunctions.Utility_DisplayArrayInTable(SourceData_Swine.SourceData_Swine_FractionNVolatilised_Data(), Table_SourceData_Swine_FracGASM[[#Headers],[MMSm]],0)</f>
        <v>Outdoor (Dry lot)</v>
      </c>
      <c r="E100" s="19" cm="1">
        <f t="array" ref="E100">Common_InputFunctions.Utility_DisplayArrayInTable(SourceData_Swine.SourceData_Swine_FractionNVolatilised_Data(), Table_SourceData_Swine_FracGASM[[#Headers],[MMSm]],0)</f>
        <v>0.3</v>
      </c>
      <c r="F100" s="19" t="str" cm="1">
        <f t="array" ref="F100">Common_InputFunctions.Utility_DisplayArrayInTable(SourceData_Swine.SourceData_Swine_FractionNVolatilised_Data(), Table_SourceData_Swine_FracGASM[[#Headers],[MMSm]],0)</f>
        <v>Drylot (feed pad)</v>
      </c>
      <c r="M100" s="1"/>
    </row>
    <row r="101" spans="1:13" ht="20.100000000000001" customHeight="1" x14ac:dyDescent="0.2">
      <c r="D101" s="19" t="str" cm="1">
        <f t="array" ref="D101">Common_InputFunctions.Utility_DisplayArrayInTable(SourceData_Swine.SourceData_Swine_FractionNVolatilised_Data(), Table_SourceData_Swine_FracGASM[[#Headers],[MMSm]],0)</f>
        <v>Deep litter</v>
      </c>
      <c r="E101" s="19" cm="1">
        <f t="array" ref="E101">Common_InputFunctions.Utility_DisplayArrayInTable(SourceData_Swine.SourceData_Swine_FractionNVolatilised_Data(), Table_SourceData_Swine_FracGASM[[#Headers],[MMSm]],0)</f>
        <v>0.125</v>
      </c>
      <c r="F101" s="19" t="str" cm="1">
        <f t="array" ref="F101">Common_InputFunctions.Utility_DisplayArrayInTable(SourceData_Swine.SourceData_Swine_FractionNVolatilised_Data(), Table_SourceData_Swine_FracGASM[[#Headers],[MMSm]],0)</f>
        <v>Deep litter</v>
      </c>
      <c r="M101" s="1"/>
    </row>
    <row r="102" spans="1:13" ht="20.100000000000001" customHeight="1" x14ac:dyDescent="0.2">
      <c r="D102" s="19" t="str" cm="1">
        <f t="array" ref="D102">Common_InputFunctions.Utility_DisplayArrayInTable(SourceData_Swine.SourceData_Swine_FractionNVolatilised_Data(), Table_SourceData_Swine_FracGASM[[#Headers],[MMSm]],0)</f>
        <v>Stockpile (Solid storage)</v>
      </c>
      <c r="E102" s="19" cm="1">
        <f t="array" ref="E102">Common_InputFunctions.Utility_DisplayArrayInTable(SourceData_Swine.SourceData_Swine_FractionNVolatilised_Data(), Table_SourceData_Swine_FracGASM[[#Headers],[MMSm]],0)</f>
        <v>0.2</v>
      </c>
      <c r="F102" s="19" t="str" cm="1">
        <f t="array" ref="F102">Common_InputFunctions.Utility_DisplayArrayInTable(SourceData_Swine.SourceData_Swine_FractionNVolatilised_Data(), Table_SourceData_Swine_FracGASM[[#Headers],[MMSm]],0)</f>
        <v>Solid storage</v>
      </c>
      <c r="M102" s="1"/>
    </row>
    <row r="103" spans="1:13" ht="20.100000000000001" customHeight="1" x14ac:dyDescent="0.2">
      <c r="D103" s="19" t="str" cm="1">
        <f t="array" ref="D103">Common_InputFunctions.Utility_DisplayArrayInTable(SourceData_Swine.SourceData_Swine_FractionNVolatilised_Data(), Table_SourceData_Swine_FracGASM[[#Headers],[MMSm]],0)</f>
        <v>Effluent pond (Uncovered anaerobic lagoon)</v>
      </c>
      <c r="E103" s="19" cm="1">
        <f t="array" ref="E103">Common_InputFunctions.Utility_DisplayArrayInTable(SourceData_Swine.SourceData_Swine_FractionNVolatilised_Data(), Table_SourceData_Swine_FracGASM[[#Headers],[MMSm]],0)</f>
        <v>0.55000000000000004</v>
      </c>
      <c r="F103" s="19" t="str" cm="1">
        <f t="array" ref="F103">Common_InputFunctions.Utility_DisplayArrayInTable(SourceData_Swine.SourceData_Swine_FractionNVolatilised_Data(), Table_SourceData_Swine_FracGASM[[#Headers],[MMSm]],0)</f>
        <v>Anaerobic lagoon</v>
      </c>
      <c r="M103" s="1"/>
    </row>
    <row r="104" spans="1:13" ht="20.100000000000001" customHeight="1" x14ac:dyDescent="0.2">
      <c r="D104" s="19" t="str" cm="1">
        <f t="array" ref="D104">Common_InputFunctions.Utility_DisplayArrayInTable(SourceData_Swine.SourceData_Swine_FractionNVolatilised_Data(), Table_SourceData_Swine_FracGASM[[#Headers],[MMSm]],0)</f>
        <v>Anaerobic digester / Covered lagoon</v>
      </c>
      <c r="E104" s="19" cm="1">
        <f t="array" ref="E104">Common_InputFunctions.Utility_DisplayArrayInTable(SourceData_Swine.SourceData_Swine_FractionNVolatilised_Data(), Table_SourceData_Swine_FracGASM[[#Headers],[MMSm]],0)</f>
        <v>0</v>
      </c>
      <c r="F104" s="19" t="str" cm="1">
        <f t="array" ref="F104">Common_InputFunctions.Utility_DisplayArrayInTable(SourceData_Swine.SourceData_Swine_FractionNVolatilised_Data(), Table_SourceData_Swine_FracGASM[[#Headers],[MMSm]],0)</f>
        <v>Digester / covered lagoons</v>
      </c>
      <c r="M104" s="1"/>
    </row>
    <row r="105" spans="1:13" ht="20.100000000000001" customHeight="1" x14ac:dyDescent="0.2">
      <c r="D105" s="19" t="str" cm="1">
        <f t="array" ref="D105">Common_InputFunctions.Utility_DisplayArrayInTable(SourceData_Swine.SourceData_Swine_FractionNVolatilised_Data(), Table_SourceData_Swine_FracGASM[[#Headers],[MMSm]],0)</f>
        <v>Short HRT tank storage &lt; 1 month (pit storage)</v>
      </c>
      <c r="E105" s="19" cm="1">
        <f t="array" ref="E105">Common_InputFunctions.Utility_DisplayArrayInTable(SourceData_Swine.SourceData_Swine_FractionNVolatilised_Data(), Table_SourceData_Swine_FracGASM[[#Headers],[MMSm]],0)</f>
        <v>0.25</v>
      </c>
      <c r="F105" s="19" t="str" cm="1">
        <f t="array" ref="F105">Common_InputFunctions.Utility_DisplayArrayInTable(SourceData_Swine.SourceData_Swine_FractionNVolatilised_Data(), Table_SourceData_Swine_FracGASM[[#Headers],[MMSm]],0)</f>
        <v>Pit storage</v>
      </c>
      <c r="M105" s="1"/>
    </row>
    <row r="106" spans="1:13" ht="20.100000000000001" customHeight="1" x14ac:dyDescent="0.2">
      <c r="M106" s="1"/>
    </row>
    <row r="107" spans="1:13" ht="20.100000000000001" customHeight="1" x14ac:dyDescent="0.2">
      <c r="M107" s="1"/>
    </row>
    <row r="108" spans="1:13" ht="20.100000000000001" customHeight="1" x14ac:dyDescent="0.2">
      <c r="D108" s="2" t="str" cm="1">
        <f t="array" ref="D108">SourceData_Swine.SourceData_Swine_NitrousOxideEFs_Title()</f>
        <v>Swine - Nitrous oxide EFs by MMS (EFmT)</v>
      </c>
      <c r="M108" s="1"/>
    </row>
    <row r="109" spans="1:13" ht="20.100000000000001" customHeight="1" x14ac:dyDescent="0.2">
      <c r="D109" s="17" t="str" cm="1">
        <f t="array" ref="D109">SourceData_Swine.SourceData_Swine_NitrousOxideEFs_Source()</f>
        <v>VEERG 2026: Table A.1.6.3: Swine - Nitrous oxide EFs by MMS (kgN2O-N/kgN) (EFmT)</v>
      </c>
      <c r="M109" s="1"/>
    </row>
    <row r="110" spans="1:13" ht="20.100000000000001" customHeight="1" x14ac:dyDescent="0.2">
      <c r="D110" s="25" t="str" cm="1">
        <f t="array" ref="D110">SourceData_Swine.SourceData_Swine_NitrousOxideEFs_Variation()</f>
        <v>VARIATION ON SOURCE DATA: Added 'NIR reference column to aid lookup.</v>
      </c>
      <c r="M110" s="1"/>
    </row>
    <row r="111" spans="1:13" ht="20.100000000000001" customHeight="1" x14ac:dyDescent="0.2">
      <c r="D111" s="19" t="s">
        <v>507</v>
      </c>
      <c r="E111" s="19" t="s">
        <v>510</v>
      </c>
      <c r="F111" s="19" t="s">
        <v>509</v>
      </c>
      <c r="M111" s="1"/>
    </row>
    <row r="112" spans="1:13" ht="20.100000000000001" customHeight="1" x14ac:dyDescent="0.2">
      <c r="D112" s="19" t="str" cm="1">
        <f t="array" ref="D112">Common_InputFunctions.Utility_DisplayArrayInTable(SourceData_Swine.SourceData_Swine_NitrousOxideEFs_Data(), Table_SourceData_Swine_FracGASM28[[#Headers],[MMSm]],0)</f>
        <v>Outdoor (Dry lot)</v>
      </c>
      <c r="E112" s="19" cm="1">
        <f t="array" ref="E112">Common_InputFunctions.Utility_DisplayArrayInTable(SourceData_Swine.SourceData_Swine_NitrousOxideEFs_Data(), Table_SourceData_Swine_FracGASM28[[#Headers],[MMSm]],0)</f>
        <v>0.02</v>
      </c>
      <c r="F112" s="19" t="str" cm="1">
        <f t="array" ref="F112">Common_InputFunctions.Utility_DisplayArrayInTable(SourceData_Swine.SourceData_Swine_NitrousOxideEFs_Data(), Table_SourceData_Swine_FracGASM28[[#Headers],[MMSm]],0)</f>
        <v>Drylot (feed pad)</v>
      </c>
      <c r="M112" s="1"/>
    </row>
    <row r="113" spans="1:22" ht="20.100000000000001" customHeight="1" x14ac:dyDescent="0.2">
      <c r="D113" s="19" t="str" cm="1">
        <f t="array" ref="D113">Common_InputFunctions.Utility_DisplayArrayInTable(SourceData_Swine.SourceData_Swine_NitrousOxideEFs_Data(), Table_SourceData_Swine_FracGASM28[[#Headers],[MMSm]],0)</f>
        <v>Deep litter</v>
      </c>
      <c r="E113" s="19" cm="1">
        <f t="array" ref="E113">Common_InputFunctions.Utility_DisplayArrayInTable(SourceData_Swine.SourceData_Swine_NitrousOxideEFs_Data(), Table_SourceData_Swine_FracGASM28[[#Headers],[MMSm]],0)</f>
        <v>0.01</v>
      </c>
      <c r="F113" s="19" t="str" cm="1">
        <f t="array" ref="F113">Common_InputFunctions.Utility_DisplayArrayInTable(SourceData_Swine.SourceData_Swine_NitrousOxideEFs_Data(), Table_SourceData_Swine_FracGASM28[[#Headers],[MMSm]],0)</f>
        <v>Deep litter</v>
      </c>
      <c r="M113" s="1"/>
    </row>
    <row r="114" spans="1:22" ht="20.100000000000001" customHeight="1" x14ac:dyDescent="0.2">
      <c r="D114" s="19" t="str" cm="1">
        <f t="array" ref="D114">Common_InputFunctions.Utility_DisplayArrayInTable(SourceData_Swine.SourceData_Swine_NitrousOxideEFs_Data(), Table_SourceData_Swine_FracGASM28[[#Headers],[MMSm]],0)</f>
        <v>Stockpile (Solid storage)</v>
      </c>
      <c r="E114" s="19" cm="1">
        <f t="array" ref="E114">Common_InputFunctions.Utility_DisplayArrayInTable(SourceData_Swine.SourceData_Swine_NitrousOxideEFs_Data(), Table_SourceData_Swine_FracGASM28[[#Headers],[MMSm]],0)</f>
        <v>5.0000000000000001E-3</v>
      </c>
      <c r="F114" s="19" t="str" cm="1">
        <f t="array" ref="F114">Common_InputFunctions.Utility_DisplayArrayInTable(SourceData_Swine.SourceData_Swine_NitrousOxideEFs_Data(), Table_SourceData_Swine_FracGASM28[[#Headers],[MMSm]],0)</f>
        <v>Solid storage</v>
      </c>
      <c r="M114" s="1"/>
    </row>
    <row r="115" spans="1:22" ht="20.100000000000001" customHeight="1" x14ac:dyDescent="0.2">
      <c r="D115" s="19" t="str" cm="1">
        <f t="array" ref="D115">Common_InputFunctions.Utility_DisplayArrayInTable(SourceData_Swine.SourceData_Swine_NitrousOxideEFs_Data(), Table_SourceData_Swine_FracGASM28[[#Headers],[MMSm]],0)</f>
        <v>Effluent pond (Uncovered anaerobic lagoon)</v>
      </c>
      <c r="E115" s="19" cm="1">
        <f t="array" ref="E115">Common_InputFunctions.Utility_DisplayArrayInTable(SourceData_Swine.SourceData_Swine_NitrousOxideEFs_Data(), Table_SourceData_Swine_FracGASM28[[#Headers],[MMSm]],0)</f>
        <v>0</v>
      </c>
      <c r="F115" s="19"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
      <c r="D116" s="19" t="str" cm="1">
        <f t="array" ref="D116">Common_InputFunctions.Utility_DisplayArrayInTable(SourceData_Swine.SourceData_Swine_NitrousOxideEFs_Data(), Table_SourceData_Swine_FracGASM28[[#Headers],[MMSm]],0)</f>
        <v>Anaerobic digestor / Covered lagoon</v>
      </c>
      <c r="E116" s="19" cm="1">
        <f t="array" ref="E116">Common_InputFunctions.Utility_DisplayArrayInTable(SourceData_Swine.SourceData_Swine_NitrousOxideEFs_Data(), Table_SourceData_Swine_FracGASM28[[#Headers],[MMSm]],0)</f>
        <v>0</v>
      </c>
      <c r="F116" s="19"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
      <c r="D117" s="19" t="str" cm="1">
        <f t="array" ref="D117">Common_InputFunctions.Utility_DisplayArrayInTable(SourceData_Swine.SourceData_Swine_NitrousOxideEFs_Data(), Table_SourceData_Swine_FracGASM28[[#Headers],[MMSm]],0)</f>
        <v>Short HRT tank storage &lt; 1 month (pit storage)</v>
      </c>
      <c r="E117" s="19" cm="1">
        <f t="array" ref="E117">Common_InputFunctions.Utility_DisplayArrayInTable(SourceData_Swine.SourceData_Swine_NitrousOxideEFs_Data(), Table_SourceData_Swine_FracGASM28[[#Headers],[MMSm]],0)</f>
        <v>2E-3</v>
      </c>
      <c r="F117" s="19"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
      <c r="M118" s="1"/>
    </row>
    <row r="119" spans="1:22" ht="20.100000000000001" customHeight="1" x14ac:dyDescent="0.2">
      <c r="M119" s="1"/>
    </row>
    <row r="120" spans="1:22" ht="20.100000000000001" customHeight="1" x14ac:dyDescent="0.2">
      <c r="D120" s="2" t="str" cm="1">
        <f t="array" ref="D120">SourceData_Swine.SourceData_Swine_MegajoulesPerKilogramMethane_Title()</f>
        <v>Megajoules per kilogram of methane</v>
      </c>
      <c r="M120" s="1"/>
    </row>
    <row r="121" spans="1:22" ht="20.100000000000001" customHeight="1" x14ac:dyDescent="0.2">
      <c r="D121" s="17" t="str" cm="1">
        <f t="array" ref="D121">SourceData_Swine.SourceData_Swine_MegajoulesPerKilogramMethane_Source()</f>
        <v>VEERG 2026: 3.5.2.3 CONSTANT</v>
      </c>
      <c r="M121" s="1"/>
    </row>
    <row r="122" spans="1:22" ht="20.100000000000001" customHeight="1" x14ac:dyDescent="0.2">
      <c r="D122" s="75" t="str" cm="1">
        <f t="array" ref="D122">SourceData_Swine.SourceData_Swine_MegajoulesPerKilogramMethane_Variable()</f>
        <v>F</v>
      </c>
      <c r="E122" s="1" cm="1">
        <f t="array" ref="E122">SourceData_Swine.SourceData_Swine_MegajoulesPerKilogramMethane_Data()</f>
        <v>55.22</v>
      </c>
      <c r="F122" s="9" t="str" cm="1">
        <f t="array" ref="F122">SourceData_Swine.SourceData_Swine_MegajoulesPerKilogramMethane_Unit()</f>
        <v>MJ / kg CH4</v>
      </c>
      <c r="M122" s="1"/>
    </row>
    <row r="123" spans="1:22" ht="20.100000000000001" customHeight="1" x14ac:dyDescent="0.2">
      <c r="M123" s="1"/>
    </row>
    <row r="124" spans="1:22" ht="20.100000000000001" customHeight="1" x14ac:dyDescent="0.2">
      <c r="M124" s="1"/>
    </row>
    <row r="125" spans="1:22" ht="20.100000000000001" customHeight="1" x14ac:dyDescent="0.2">
      <c r="D125" s="2" t="str" cm="1">
        <f t="array" ref="D125">SourceData_Swine.SourceData_Swine_AverageLiveweight_Title()</f>
        <v>Swine - Average liveweight (inventory defaults) (kg) (Wco)</v>
      </c>
      <c r="M125" s="1"/>
      <c r="V125" s="1"/>
    </row>
    <row r="126" spans="1:22" ht="20.100000000000001" customHeight="1" x14ac:dyDescent="0.2">
      <c r="D126" s="17" t="str" cm="1">
        <f t="array" ref="D126">SourceData_Swine.SourceData_Swine_AverageLiveweight_Source()</f>
        <v>VEERG 2026: Table A.1.6.5: Swine - Average liveweight (inventory defaults) (kg) (Wco)</v>
      </c>
      <c r="M126" s="1"/>
      <c r="V126" s="1"/>
    </row>
    <row r="127" spans="1:22" ht="20.100000000000001" customHeight="1" x14ac:dyDescent="0.2">
      <c r="A127" s="131" t="str">
        <f>HYPERLINK("#A1", "▲ Back to top")</f>
        <v>▲ Back to top</v>
      </c>
      <c r="D127" s="19" t="s">
        <v>511</v>
      </c>
      <c r="E127" s="19" t="s">
        <v>512</v>
      </c>
      <c r="M127" s="1"/>
      <c r="V127" s="1"/>
    </row>
    <row r="128" spans="1:22" ht="20.100000000000001" customHeight="1" x14ac:dyDescent="0.2">
      <c r="D128" s="19" t="str" cm="1">
        <f t="array" ref="D128">Common_InputFunctions.Utility_DisplayArrayInTable(SourceData_Swine.SourceData_Swine_AverageLiveweight_Data(),Table_SourceData_Swine_Liveweight[[#Headers],[Livestock type j]],0)</f>
        <v>Sows</v>
      </c>
      <c r="E128" s="19"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
      <c r="D129" s="1" t="str" cm="1">
        <f t="array" ref="D129">Common_InputFunctions.Utility_DisplayArrayInTable(SourceData_Swine.SourceData_Swine_AverageLiveweight_Data(),Table_SourceData_Swine_Liveweight[[#Headers],[Livestock type j]],0)</f>
        <v>Boars</v>
      </c>
      <c r="E129" s="19"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
      <c r="D130" s="1" t="str" cm="1">
        <f t="array" ref="D130">Common_InputFunctions.Utility_DisplayArrayInTable(SourceData_Swine.SourceData_Swine_AverageLiveweight_Data(),Table_SourceData_Swine_Liveweight[[#Headers],[Livestock type j]],0)</f>
        <v>Gilts</v>
      </c>
      <c r="E130" s="19"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
      <c r="D131" s="1" t="str" cm="1">
        <f t="array" ref="D131">Common_InputFunctions.Utility_DisplayArrayInTable(SourceData_Swine.SourceData_Swine_AverageLiveweight_Data(),Table_SourceData_Swine_Liveweight[[#Headers],[Livestock type j]],0)</f>
        <v>Slaughter pigs</v>
      </c>
      <c r="E131" s="19" cm="1">
        <f t="array" ref="E131">Common_InputFunctions.Utility_DisplayArrayInTable(SourceData_Swine.SourceData_Swine_AverageLiveweight_Data(),Table_SourceData_Swine_Liveweight[[#Headers],[Livestock type j]],0)</f>
        <v>39</v>
      </c>
      <c r="M131" s="1"/>
    </row>
    <row r="132" spans="4:22" ht="20.100000000000001" customHeight="1" x14ac:dyDescent="0.2">
      <c r="D132" s="1" t="str" cm="1">
        <f t="array" ref="D132">Common_InputFunctions.Utility_DisplayArrayInTable(SourceData_Swine.SourceData_Swine_AverageLiveweight_Data(),Table_SourceData_Swine_Liveweight[[#Headers],[Livestock type j]],0)</f>
        <v>Slaughter pigs at turnoff</v>
      </c>
      <c r="E132" s="19" cm="1">
        <f t="array" ref="E132">Common_InputFunctions.Utility_DisplayArrayInTable(SourceData_Swine.SourceData_Swine_AverageLiveweight_Data(),Table_SourceData_Swine_Liveweight[[#Headers],[Livestock type j]],0)</f>
        <v>97</v>
      </c>
      <c r="M132" s="1"/>
    </row>
    <row r="133" spans="4:22" ht="20.100000000000001" customHeight="1" x14ac:dyDescent="0.2">
      <c r="M133" s="1"/>
    </row>
    <row r="134" spans="4:22" ht="20.100000000000001" customHeight="1" x14ac:dyDescent="0.2">
      <c r="M134" s="1"/>
    </row>
    <row r="135" spans="4:22" ht="20.100000000000001" customHeight="1" x14ac:dyDescent="0.2">
      <c r="M135" s="1"/>
    </row>
    <row r="136" spans="4:22" ht="20.100000000000001" customHeight="1" x14ac:dyDescent="0.2">
      <c r="M136" s="1"/>
    </row>
    <row r="137" spans="4:22" ht="20.100000000000001" customHeight="1" x14ac:dyDescent="0.2">
      <c r="M137" s="1"/>
    </row>
    <row r="138" spans="4:22" ht="20.100000000000001" customHeight="1" x14ac:dyDescent="0.2">
      <c r="M138" s="1"/>
    </row>
    <row r="139" spans="4:22" ht="20.100000000000001" customHeight="1" x14ac:dyDescent="0.2">
      <c r="M139" s="1"/>
    </row>
    <row r="140" spans="4:22" ht="20.100000000000001" customHeight="1" x14ac:dyDescent="0.2">
      <c r="M140" s="1"/>
    </row>
    <row r="141" spans="4:22" ht="20.100000000000001" customHeight="1" x14ac:dyDescent="0.2">
      <c r="M141" s="1"/>
    </row>
    <row r="142" spans="4:22" ht="20.100000000000001" customHeight="1" x14ac:dyDescent="0.2">
      <c r="M142" s="1"/>
    </row>
    <row r="143" spans="4:22" ht="20.100000000000001" customHeight="1" x14ac:dyDescent="0.2">
      <c r="M143" s="1"/>
    </row>
    <row r="144" spans="4:22" ht="20.100000000000001" customHeight="1" x14ac:dyDescent="0.2">
      <c r="M144" s="1"/>
    </row>
    <row r="145" spans="13:13" ht="20.100000000000001" customHeight="1" x14ac:dyDescent="0.2">
      <c r="M145" s="1"/>
    </row>
    <row r="146" spans="13:13" ht="20.100000000000001" customHeight="1" x14ac:dyDescent="0.2">
      <c r="M146" s="1"/>
    </row>
    <row r="147" spans="13:13" ht="20.100000000000001" customHeight="1" x14ac:dyDescent="0.2">
      <c r="M147" s="1"/>
    </row>
    <row r="148" spans="13:13" ht="20.100000000000001" customHeight="1" x14ac:dyDescent="0.2">
      <c r="M148" s="1"/>
    </row>
    <row r="149" spans="13:13" ht="20.100000000000001" customHeight="1" x14ac:dyDescent="0.2">
      <c r="M149" s="1"/>
    </row>
    <row r="150" spans="13:13" ht="20.100000000000001" customHeight="1" x14ac:dyDescent="0.2">
      <c r="M150" s="1"/>
    </row>
    <row r="151" spans="13:13" ht="20.100000000000001" customHeight="1" x14ac:dyDescent="0.2">
      <c r="M151" s="1"/>
    </row>
    <row r="152" spans="13:13" ht="20.100000000000001" customHeight="1" x14ac:dyDescent="0.2">
      <c r="M152" s="1"/>
    </row>
    <row r="153" spans="13:13" ht="20.100000000000001" customHeight="1" x14ac:dyDescent="0.2">
      <c r="M153" s="1"/>
    </row>
    <row r="154" spans="13:13" ht="20.100000000000001" customHeight="1" x14ac:dyDescent="0.2">
      <c r="M154" s="1"/>
    </row>
    <row r="155" spans="13:13" ht="20.100000000000001" customHeight="1" x14ac:dyDescent="0.2">
      <c r="M155" s="1"/>
    </row>
    <row r="156" spans="13:13" ht="20.100000000000001" customHeight="1" x14ac:dyDescent="0.2">
      <c r="M156" s="1"/>
    </row>
    <row r="157" spans="13:13" ht="20.100000000000001" customHeight="1" x14ac:dyDescent="0.2">
      <c r="M157" s="1"/>
    </row>
    <row r="158" spans="13:13" ht="20.100000000000001" customHeight="1" x14ac:dyDescent="0.2">
      <c r="M158" s="1"/>
    </row>
    <row r="159" spans="13:13" ht="20.100000000000001" customHeight="1" x14ac:dyDescent="0.2">
      <c r="M159" s="1"/>
    </row>
    <row r="160" spans="13:13" ht="20.100000000000001" customHeight="1" x14ac:dyDescent="0.2">
      <c r="M160" s="1"/>
    </row>
    <row r="161" spans="13:13" ht="20.100000000000001" customHeight="1" x14ac:dyDescent="0.2">
      <c r="M161" s="1"/>
    </row>
    <row r="162" spans="13:13" ht="20.100000000000001" customHeight="1" x14ac:dyDescent="0.2">
      <c r="M162" s="1"/>
    </row>
    <row r="163" spans="13:13" ht="20.100000000000001" customHeight="1" x14ac:dyDescent="0.2">
      <c r="M163" s="1"/>
    </row>
    <row r="164" spans="13:13" ht="20.100000000000001" customHeight="1" x14ac:dyDescent="0.2">
      <c r="M164" s="1"/>
    </row>
    <row r="165" spans="13:13" ht="20.100000000000001" customHeight="1" x14ac:dyDescent="0.2">
      <c r="M165" s="1"/>
    </row>
    <row r="166" spans="13:13" ht="20.100000000000001" customHeight="1" x14ac:dyDescent="0.2">
      <c r="M166" s="1"/>
    </row>
    <row r="167" spans="13:13" ht="20.100000000000001" customHeight="1" x14ac:dyDescent="0.2">
      <c r="M167" s="1"/>
    </row>
    <row r="168" spans="13:13" ht="20.100000000000001" customHeight="1" x14ac:dyDescent="0.2">
      <c r="M168" s="1"/>
    </row>
    <row r="169" spans="13:13" ht="20.100000000000001" customHeight="1" x14ac:dyDescent="0.2">
      <c r="M169" s="1"/>
    </row>
    <row r="170" spans="13:13" ht="20.100000000000001" customHeight="1" x14ac:dyDescent="0.2">
      <c r="M170" s="1"/>
    </row>
    <row r="171" spans="13:13" ht="20.100000000000001" customHeight="1" x14ac:dyDescent="0.2">
      <c r="M171" s="1"/>
    </row>
    <row r="172" spans="13:13" ht="20.100000000000001" customHeight="1" x14ac:dyDescent="0.2">
      <c r="M172" s="1"/>
    </row>
    <row r="173" spans="13:13" ht="20.100000000000001" customHeight="1" x14ac:dyDescent="0.2">
      <c r="M173" s="1"/>
    </row>
    <row r="174" spans="13:13" ht="20.100000000000001" customHeight="1" x14ac:dyDescent="0.2">
      <c r="M174" s="1"/>
    </row>
    <row r="175" spans="13:13" ht="20.100000000000001" customHeight="1" x14ac:dyDescent="0.2">
      <c r="M175" s="1"/>
    </row>
    <row r="176" spans="13:13" ht="20.100000000000001" customHeight="1" x14ac:dyDescent="0.2">
      <c r="M176" s="1"/>
    </row>
    <row r="177" spans="13:13" ht="20.100000000000001" customHeight="1" x14ac:dyDescent="0.2">
      <c r="M177" s="1"/>
    </row>
    <row r="178" spans="13:13" ht="20.100000000000001" customHeight="1" x14ac:dyDescent="0.2">
      <c r="M178" s="1"/>
    </row>
    <row r="179" spans="13:13" ht="20.100000000000001" customHeight="1" x14ac:dyDescent="0.2">
      <c r="M179" s="1"/>
    </row>
    <row r="180" spans="13:13" ht="20.100000000000001" customHeight="1" x14ac:dyDescent="0.2">
      <c r="M180" s="1"/>
    </row>
    <row r="181" spans="13:13" ht="20.100000000000001" customHeight="1" x14ac:dyDescent="0.2">
      <c r="M181" s="1"/>
    </row>
    <row r="182" spans="13:13" ht="20.100000000000001" customHeight="1" x14ac:dyDescent="0.2">
      <c r="M182" s="1"/>
    </row>
    <row r="183" spans="13:13" ht="20.100000000000001" customHeight="1" x14ac:dyDescent="0.2">
      <c r="M183" s="1"/>
    </row>
    <row r="184" spans="13:13" ht="20.100000000000001" customHeight="1" x14ac:dyDescent="0.2">
      <c r="M184" s="1"/>
    </row>
    <row r="185" spans="13:13" ht="20.100000000000001" customHeight="1" x14ac:dyDescent="0.2">
      <c r="M185" s="1"/>
    </row>
    <row r="186" spans="13:13" ht="20.100000000000001" customHeight="1" x14ac:dyDescent="0.2">
      <c r="M186" s="1"/>
    </row>
    <row r="187" spans="13:13" ht="20.100000000000001" customHeight="1" x14ac:dyDescent="0.2">
      <c r="M187" s="1"/>
    </row>
    <row r="188" spans="13:13" ht="20.100000000000001" customHeight="1" x14ac:dyDescent="0.2">
      <c r="M188" s="1"/>
    </row>
    <row r="189" spans="13:13" ht="20.100000000000001" customHeight="1" x14ac:dyDescent="0.2">
      <c r="M189" s="1"/>
    </row>
    <row r="190" spans="13:13" ht="20.100000000000001" customHeight="1" x14ac:dyDescent="0.2">
      <c r="M190" s="1"/>
    </row>
    <row r="191" spans="13:13" ht="20.100000000000001" customHeight="1" x14ac:dyDescent="0.2">
      <c r="M191" s="1"/>
    </row>
    <row r="192" spans="13:13" ht="20.100000000000001" customHeight="1" x14ac:dyDescent="0.2">
      <c r="M192" s="1"/>
    </row>
    <row r="193" spans="13:13" ht="20.100000000000001" customHeight="1" x14ac:dyDescent="0.2">
      <c r="M193" s="1"/>
    </row>
    <row r="194" spans="13:13" ht="20.100000000000001" customHeight="1" x14ac:dyDescent="0.2">
      <c r="M194" s="1"/>
    </row>
    <row r="195" spans="13:13" ht="20.100000000000001" customHeight="1" x14ac:dyDescent="0.2">
      <c r="M195" s="1"/>
    </row>
    <row r="196" spans="13:13" ht="20.100000000000001" customHeight="1" x14ac:dyDescent="0.2">
      <c r="M196" s="1"/>
    </row>
    <row r="197" spans="13:13" ht="20.100000000000001" customHeight="1" x14ac:dyDescent="0.2">
      <c r="M197" s="1"/>
    </row>
    <row r="198" spans="13:13" ht="20.100000000000001" customHeight="1" x14ac:dyDescent="0.2">
      <c r="M198" s="1"/>
    </row>
    <row r="199" spans="13:13" ht="20.100000000000001" customHeight="1" x14ac:dyDescent="0.2">
      <c r="M199" s="1"/>
    </row>
    <row r="200" spans="13:13" ht="20.100000000000001" customHeight="1" x14ac:dyDescent="0.2">
      <c r="M200" s="1"/>
    </row>
    <row r="201" spans="13:13" ht="20.100000000000001" customHeight="1" x14ac:dyDescent="0.2">
      <c r="M201" s="1"/>
    </row>
    <row r="202" spans="13:13" ht="20.100000000000001" customHeight="1" x14ac:dyDescent="0.2">
      <c r="M202" s="1"/>
    </row>
    <row r="203" spans="13:13" ht="20.100000000000001" customHeight="1" x14ac:dyDescent="0.2">
      <c r="M203" s="1"/>
    </row>
    <row r="204" spans="13:13" ht="20.100000000000001" customHeight="1" x14ac:dyDescent="0.2">
      <c r="M204" s="1"/>
    </row>
    <row r="205" spans="13:13" ht="20.100000000000001" customHeight="1" x14ac:dyDescent="0.2">
      <c r="M205" s="1"/>
    </row>
    <row r="206" spans="13:13" ht="20.100000000000001" customHeight="1" x14ac:dyDescent="0.2">
      <c r="M206" s="1"/>
    </row>
    <row r="207" spans="13:13" ht="20.100000000000001" customHeight="1" x14ac:dyDescent="0.2">
      <c r="M207" s="1"/>
    </row>
    <row r="208" spans="13:13" ht="20.100000000000001" customHeight="1" x14ac:dyDescent="0.2">
      <c r="M208" s="1"/>
    </row>
    <row r="209" spans="13:13" ht="20.100000000000001" customHeight="1" x14ac:dyDescent="0.2">
      <c r="M209" s="1"/>
    </row>
    <row r="210" spans="13:13" ht="20.100000000000001" customHeight="1" x14ac:dyDescent="0.2">
      <c r="M210" s="1"/>
    </row>
    <row r="211" spans="13:13" ht="20.100000000000001" customHeight="1" x14ac:dyDescent="0.2">
      <c r="M211" s="1"/>
    </row>
    <row r="212" spans="13:13" ht="20.100000000000001" customHeight="1" x14ac:dyDescent="0.2">
      <c r="M212" s="1"/>
    </row>
    <row r="213" spans="13:13" ht="20.100000000000001" customHeight="1" x14ac:dyDescent="0.2">
      <c r="M213" s="1"/>
    </row>
    <row r="214" spans="13:13" ht="20.100000000000001" customHeight="1" x14ac:dyDescent="0.2">
      <c r="M214" s="1"/>
    </row>
    <row r="215" spans="13:13" ht="20.100000000000001" customHeight="1" x14ac:dyDescent="0.2">
      <c r="M215" s="1"/>
    </row>
    <row r="216" spans="13:13" ht="20.100000000000001" customHeight="1" x14ac:dyDescent="0.2">
      <c r="M216" s="1"/>
    </row>
    <row r="217" spans="13:13" ht="20.100000000000001" customHeight="1" x14ac:dyDescent="0.2">
      <c r="M217" s="1"/>
    </row>
    <row r="218" spans="13:13" ht="20.100000000000001" customHeight="1" x14ac:dyDescent="0.2">
      <c r="M218" s="1"/>
    </row>
    <row r="219" spans="13:13" ht="20.100000000000001" customHeight="1" x14ac:dyDescent="0.2">
      <c r="M219" s="1"/>
    </row>
    <row r="220" spans="13:13" ht="20.100000000000001" customHeight="1" x14ac:dyDescent="0.2">
      <c r="M220" s="1"/>
    </row>
    <row r="221" spans="13:13" ht="20.100000000000001" customHeight="1" x14ac:dyDescent="0.2">
      <c r="M221" s="1"/>
    </row>
    <row r="222" spans="13:13" ht="20.100000000000001" customHeight="1" x14ac:dyDescent="0.2">
      <c r="M222" s="1"/>
    </row>
    <row r="223" spans="13:13" ht="20.100000000000001" customHeight="1" x14ac:dyDescent="0.2">
      <c r="M223" s="1"/>
    </row>
    <row r="224" spans="13:13" ht="20.100000000000001" customHeight="1" x14ac:dyDescent="0.2">
      <c r="M224" s="1"/>
    </row>
    <row r="225" spans="13:13" ht="20.100000000000001" customHeight="1" x14ac:dyDescent="0.2">
      <c r="M225" s="1"/>
    </row>
    <row r="226" spans="13:13" ht="20.100000000000001" customHeight="1" x14ac:dyDescent="0.2">
      <c r="M226" s="1"/>
    </row>
    <row r="227" spans="13:13" ht="20.100000000000001" customHeight="1" x14ac:dyDescent="0.2">
      <c r="M227" s="1"/>
    </row>
    <row r="228" spans="13:13" ht="20.100000000000001" customHeight="1" x14ac:dyDescent="0.2">
      <c r="M228" s="1"/>
    </row>
    <row r="229" spans="13:13" ht="20.100000000000001" customHeight="1" x14ac:dyDescent="0.2">
      <c r="M229" s="1"/>
    </row>
    <row r="230" spans="13:13" ht="20.100000000000001" customHeight="1" x14ac:dyDescent="0.2">
      <c r="M230" s="1"/>
    </row>
    <row r="231" spans="13:13" ht="20.100000000000001" customHeight="1" x14ac:dyDescent="0.2">
      <c r="M231" s="1"/>
    </row>
    <row r="232" spans="13:13" ht="20.100000000000001" customHeight="1" x14ac:dyDescent="0.2">
      <c r="M232" s="1"/>
    </row>
    <row r="233" spans="13:13" ht="20.100000000000001" customHeight="1" x14ac:dyDescent="0.2">
      <c r="M233" s="1"/>
    </row>
    <row r="234" spans="13:13" ht="20.100000000000001" customHeight="1" x14ac:dyDescent="0.2">
      <c r="M234" s="1"/>
    </row>
    <row r="235" spans="13:13" ht="20.100000000000001" customHeight="1" x14ac:dyDescent="0.2">
      <c r="M235" s="1"/>
    </row>
    <row r="236" spans="13:13" ht="20.100000000000001" customHeight="1" x14ac:dyDescent="0.2">
      <c r="M236" s="1"/>
    </row>
    <row r="237" spans="13:13" ht="20.100000000000001" customHeight="1" x14ac:dyDescent="0.2">
      <c r="M237" s="1"/>
    </row>
    <row r="238" spans="13:13" ht="20.100000000000001" customHeight="1" x14ac:dyDescent="0.2">
      <c r="M238" s="1"/>
    </row>
    <row r="239" spans="13:13" ht="20.100000000000001" customHeight="1" x14ac:dyDescent="0.2">
      <c r="M239" s="1"/>
    </row>
    <row r="240" spans="13:13" ht="20.100000000000001" customHeight="1" x14ac:dyDescent="0.2">
      <c r="M240" s="1"/>
    </row>
    <row r="241" spans="13:13" ht="20.100000000000001" customHeight="1" x14ac:dyDescent="0.2">
      <c r="M241" s="1"/>
    </row>
    <row r="242" spans="13:13" ht="20.100000000000001" customHeight="1" x14ac:dyDescent="0.2">
      <c r="M242" s="1"/>
    </row>
    <row r="243" spans="13:13" ht="20.100000000000001" customHeight="1" x14ac:dyDescent="0.2">
      <c r="M243" s="1"/>
    </row>
    <row r="244" spans="13:13" ht="20.100000000000001" customHeight="1" x14ac:dyDescent="0.2">
      <c r="M244" s="1"/>
    </row>
    <row r="245" spans="13:13" ht="20.100000000000001" customHeight="1" x14ac:dyDescent="0.2">
      <c r="M245" s="1"/>
    </row>
    <row r="246" spans="13:13" ht="20.100000000000001" customHeight="1" x14ac:dyDescent="0.2">
      <c r="M246" s="1"/>
    </row>
    <row r="247" spans="13:13" ht="20.100000000000001" customHeight="1" x14ac:dyDescent="0.2">
      <c r="M247" s="1"/>
    </row>
    <row r="248" spans="13:13" ht="20.100000000000001" customHeight="1" x14ac:dyDescent="0.2">
      <c r="M248" s="1"/>
    </row>
    <row r="249" spans="13:13" ht="20.100000000000001" customHeight="1" x14ac:dyDescent="0.2">
      <c r="M249" s="1"/>
    </row>
    <row r="250" spans="13:13" ht="20.100000000000001" customHeight="1" x14ac:dyDescent="0.2">
      <c r="M250" s="1"/>
    </row>
    <row r="251" spans="13:13" ht="20.100000000000001" customHeight="1" x14ac:dyDescent="0.2">
      <c r="M251" s="1"/>
    </row>
    <row r="252" spans="13:13" ht="20.100000000000001" customHeight="1" x14ac:dyDescent="0.2">
      <c r="M252" s="1"/>
    </row>
    <row r="253" spans="13:13" ht="20.100000000000001" customHeight="1" x14ac:dyDescent="0.2">
      <c r="M253" s="1"/>
    </row>
    <row r="254" spans="13:13" ht="20.100000000000001" customHeight="1" x14ac:dyDescent="0.2">
      <c r="M254" s="1"/>
    </row>
    <row r="255" spans="13:13" ht="20.100000000000001" customHeight="1" x14ac:dyDescent="0.2">
      <c r="M255" s="1"/>
    </row>
    <row r="256" spans="13:13" ht="20.100000000000001" customHeight="1" x14ac:dyDescent="0.2">
      <c r="M256" s="1"/>
    </row>
    <row r="257" spans="13:13" ht="20.100000000000001" customHeight="1" x14ac:dyDescent="0.2">
      <c r="M257" s="1"/>
    </row>
    <row r="258" spans="13:13" ht="20.100000000000001" customHeight="1" x14ac:dyDescent="0.2">
      <c r="M258" s="1"/>
    </row>
    <row r="259" spans="13:13" ht="20.100000000000001" customHeight="1" x14ac:dyDescent="0.2">
      <c r="M259" s="1"/>
    </row>
    <row r="260" spans="13:13" ht="20.100000000000001" customHeight="1" x14ac:dyDescent="0.2">
      <c r="M260" s="1"/>
    </row>
    <row r="261" spans="13:13" ht="20.100000000000001" customHeight="1" x14ac:dyDescent="0.2">
      <c r="M261" s="1"/>
    </row>
    <row r="262" spans="13:13" ht="20.100000000000001" customHeight="1" x14ac:dyDescent="0.2">
      <c r="M262" s="1"/>
    </row>
    <row r="263" spans="13:13" ht="20.100000000000001" customHeight="1" x14ac:dyDescent="0.2">
      <c r="M263" s="1"/>
    </row>
    <row r="264" spans="13:13" ht="20.100000000000001" customHeight="1" x14ac:dyDescent="0.2">
      <c r="M264" s="1"/>
    </row>
    <row r="265" spans="13:13" ht="20.100000000000001" customHeight="1" x14ac:dyDescent="0.2">
      <c r="M265" s="1"/>
    </row>
    <row r="266" spans="13:13" ht="20.100000000000001" customHeight="1" x14ac:dyDescent="0.2">
      <c r="M266" s="1"/>
    </row>
    <row r="267" spans="13:13" ht="20.100000000000001" customHeight="1" x14ac:dyDescent="0.2">
      <c r="M267" s="1"/>
    </row>
    <row r="268" spans="13:13" ht="20.100000000000001" customHeight="1" x14ac:dyDescent="0.2">
      <c r="M268" s="1"/>
    </row>
    <row r="269" spans="13:13" ht="20.100000000000001" customHeight="1" x14ac:dyDescent="0.2">
      <c r="M269" s="1"/>
    </row>
    <row r="270" spans="13:13" ht="20.100000000000001" customHeight="1" x14ac:dyDescent="0.2">
      <c r="M270" s="1"/>
    </row>
    <row r="271" spans="13:13" ht="20.100000000000001" customHeight="1" x14ac:dyDescent="0.2">
      <c r="M271" s="1"/>
    </row>
    <row r="272" spans="13:13" ht="20.100000000000001" customHeight="1" x14ac:dyDescent="0.2">
      <c r="M272" s="1"/>
    </row>
    <row r="273" spans="13:13" ht="20.100000000000001" customHeight="1" x14ac:dyDescent="0.2">
      <c r="M273" s="1"/>
    </row>
    <row r="274" spans="13:13" ht="20.100000000000001" customHeight="1" x14ac:dyDescent="0.2">
      <c r="M274" s="1"/>
    </row>
    <row r="275" spans="13:13" ht="20.100000000000001" customHeight="1" x14ac:dyDescent="0.2">
      <c r="M275" s="1"/>
    </row>
    <row r="276" spans="13:13" ht="20.100000000000001" customHeight="1" x14ac:dyDescent="0.2">
      <c r="M276" s="1"/>
    </row>
    <row r="277" spans="13:13" ht="20.100000000000001" customHeight="1" x14ac:dyDescent="0.2">
      <c r="M277" s="1"/>
    </row>
    <row r="278" spans="13:13" ht="20.100000000000001" customHeight="1" x14ac:dyDescent="0.2">
      <c r="M278" s="1"/>
    </row>
    <row r="279" spans="13:13" ht="20.100000000000001" customHeight="1" x14ac:dyDescent="0.2">
      <c r="M279" s="1"/>
    </row>
    <row r="280" spans="13:13" ht="20.100000000000001" customHeight="1" x14ac:dyDescent="0.2">
      <c r="M280" s="1"/>
    </row>
    <row r="281" spans="13:13" ht="20.100000000000001" customHeight="1" x14ac:dyDescent="0.2">
      <c r="M281" s="1"/>
    </row>
    <row r="282" spans="13:13" ht="20.100000000000001" customHeight="1" x14ac:dyDescent="0.2">
      <c r="M282" s="1"/>
    </row>
    <row r="283" spans="13:13" ht="20.100000000000001" customHeight="1" x14ac:dyDescent="0.2">
      <c r="M283" s="1"/>
    </row>
    <row r="284" spans="13:13" ht="20.100000000000001" customHeight="1" x14ac:dyDescent="0.2">
      <c r="M284" s="1"/>
    </row>
    <row r="285" spans="13:13" ht="20.100000000000001" customHeight="1" x14ac:dyDescent="0.2">
      <c r="M285" s="1"/>
    </row>
    <row r="286" spans="13:13" ht="20.100000000000001" customHeight="1" x14ac:dyDescent="0.2">
      <c r="M286" s="1"/>
    </row>
    <row r="287" spans="13:13" ht="20.100000000000001" customHeight="1" x14ac:dyDescent="0.2">
      <c r="M287" s="1"/>
    </row>
    <row r="288" spans="13:13" ht="20.100000000000001" customHeight="1" x14ac:dyDescent="0.2">
      <c r="M288" s="1"/>
    </row>
    <row r="289" spans="13:13" ht="20.100000000000001" customHeight="1" x14ac:dyDescent="0.2">
      <c r="M289" s="1"/>
    </row>
    <row r="290" spans="13:13" ht="20.100000000000001" customHeight="1" x14ac:dyDescent="0.2">
      <c r="M290" s="1"/>
    </row>
    <row r="291" spans="13:13" ht="20.100000000000001" customHeight="1" x14ac:dyDescent="0.2">
      <c r="M291" s="1"/>
    </row>
    <row r="292" spans="13:13" ht="20.100000000000001" customHeight="1" x14ac:dyDescent="0.2">
      <c r="M292" s="1"/>
    </row>
    <row r="293" spans="13:13" ht="20.100000000000001" customHeight="1" x14ac:dyDescent="0.2">
      <c r="M293" s="1"/>
    </row>
    <row r="294" spans="13:13" ht="20.100000000000001" customHeight="1" x14ac:dyDescent="0.2">
      <c r="M294" s="1"/>
    </row>
    <row r="295" spans="13:13" ht="20.100000000000001" customHeight="1" x14ac:dyDescent="0.2">
      <c r="M295" s="1"/>
    </row>
    <row r="296" spans="13:13" ht="20.100000000000001" customHeight="1" x14ac:dyDescent="0.2">
      <c r="M296" s="1"/>
    </row>
    <row r="297" spans="13:13" ht="20.100000000000001" customHeight="1" x14ac:dyDescent="0.2">
      <c r="M297" s="1"/>
    </row>
    <row r="298" spans="13:13" ht="20.100000000000001" customHeight="1" x14ac:dyDescent="0.2">
      <c r="M298" s="1"/>
    </row>
    <row r="299" spans="13:13" ht="20.100000000000001" customHeight="1" x14ac:dyDescent="0.2">
      <c r="M299" s="1"/>
    </row>
    <row r="300" spans="13:13" ht="20.100000000000001" customHeight="1" x14ac:dyDescent="0.2">
      <c r="M300" s="1"/>
    </row>
    <row r="301" spans="13:13" ht="20.100000000000001" customHeight="1" x14ac:dyDescent="0.2">
      <c r="M301" s="1"/>
    </row>
    <row r="302" spans="13:13" ht="20.100000000000001" customHeight="1" x14ac:dyDescent="0.2">
      <c r="M302" s="1"/>
    </row>
    <row r="303" spans="13:13" ht="20.100000000000001" customHeight="1" x14ac:dyDescent="0.2">
      <c r="M303" s="1"/>
    </row>
    <row r="304" spans="13:13" ht="20.100000000000001" customHeight="1" x14ac:dyDescent="0.2">
      <c r="M304" s="1"/>
    </row>
    <row r="305" spans="13:13" ht="20.100000000000001" customHeight="1" x14ac:dyDescent="0.2">
      <c r="M305" s="1"/>
    </row>
    <row r="306" spans="13:13" ht="20.100000000000001" customHeight="1" x14ac:dyDescent="0.2">
      <c r="M306" s="1"/>
    </row>
    <row r="307" spans="13:13" ht="20.100000000000001" customHeight="1" x14ac:dyDescent="0.2">
      <c r="M307" s="1"/>
    </row>
    <row r="308" spans="13:13" ht="20.100000000000001" customHeight="1" x14ac:dyDescent="0.2">
      <c r="M308" s="1"/>
    </row>
    <row r="309" spans="13:13" ht="20.100000000000001" customHeight="1" x14ac:dyDescent="0.2">
      <c r="M309" s="1"/>
    </row>
    <row r="310" spans="13:13" ht="20.100000000000001" customHeight="1" x14ac:dyDescent="0.2">
      <c r="M310" s="1"/>
    </row>
    <row r="311" spans="13:13" ht="20.100000000000001" customHeight="1" x14ac:dyDescent="0.2">
      <c r="M311" s="1"/>
    </row>
    <row r="312" spans="13:13" ht="20.100000000000001" customHeight="1" x14ac:dyDescent="0.2">
      <c r="M312" s="1"/>
    </row>
    <row r="313" spans="13:13" ht="20.100000000000001" customHeight="1" x14ac:dyDescent="0.2">
      <c r="M313" s="1"/>
    </row>
    <row r="314" spans="13:13" ht="20.100000000000001" customHeight="1" x14ac:dyDescent="0.2">
      <c r="M314" s="1"/>
    </row>
    <row r="315" spans="13:13" ht="20.100000000000001" customHeight="1" x14ac:dyDescent="0.2">
      <c r="M315" s="1"/>
    </row>
    <row r="316" spans="13:13" ht="20.100000000000001" customHeight="1" x14ac:dyDescent="0.2">
      <c r="M316" s="1"/>
    </row>
    <row r="317" spans="13:13" ht="20.100000000000001" customHeight="1" x14ac:dyDescent="0.2">
      <c r="M317" s="1"/>
    </row>
    <row r="318" spans="13:13" ht="20.100000000000001" customHeight="1" x14ac:dyDescent="0.2">
      <c r="M318" s="1"/>
    </row>
    <row r="319" spans="13:13" ht="20.100000000000001" customHeight="1" x14ac:dyDescent="0.2">
      <c r="M319" s="1"/>
    </row>
    <row r="320" spans="13:13" ht="20.100000000000001" customHeight="1" x14ac:dyDescent="0.2">
      <c r="M320" s="1"/>
    </row>
    <row r="321" spans="13:13" ht="20.100000000000001" customHeight="1" x14ac:dyDescent="0.2">
      <c r="M321" s="1"/>
    </row>
    <row r="322" spans="13:13" ht="20.100000000000001" customHeight="1" x14ac:dyDescent="0.2">
      <c r="M322" s="1"/>
    </row>
    <row r="323" spans="13:13" ht="20.100000000000001" customHeight="1" x14ac:dyDescent="0.2">
      <c r="M323" s="1"/>
    </row>
    <row r="324" spans="13:13" ht="20.100000000000001" customHeight="1" x14ac:dyDescent="0.2">
      <c r="M324" s="1"/>
    </row>
    <row r="325" spans="13:13" ht="20.100000000000001" customHeight="1" x14ac:dyDescent="0.2">
      <c r="M325" s="1"/>
    </row>
    <row r="326" spans="13:13" ht="20.100000000000001" customHeight="1" x14ac:dyDescent="0.2">
      <c r="M326" s="1"/>
    </row>
    <row r="327" spans="13:13" ht="20.100000000000001" customHeight="1" x14ac:dyDescent="0.2">
      <c r="M327" s="1"/>
    </row>
    <row r="328" spans="13:13" ht="20.100000000000001" customHeight="1" x14ac:dyDescent="0.2">
      <c r="M328" s="1"/>
    </row>
    <row r="329" spans="13:13" ht="20.100000000000001" customHeight="1" x14ac:dyDescent="0.2">
      <c r="M329" s="1"/>
    </row>
    <row r="330" spans="13:13" ht="20.100000000000001" customHeight="1" x14ac:dyDescent="0.2">
      <c r="M330" s="1"/>
    </row>
    <row r="331" spans="13:13" ht="20.100000000000001" customHeight="1" x14ac:dyDescent="0.2">
      <c r="M331" s="1"/>
    </row>
    <row r="332" spans="13:13" ht="20.100000000000001" customHeight="1" x14ac:dyDescent="0.2">
      <c r="M332" s="1"/>
    </row>
    <row r="333" spans="13:13" ht="20.100000000000001" customHeight="1" x14ac:dyDescent="0.2">
      <c r="M333" s="1"/>
    </row>
    <row r="334" spans="13:13" ht="20.100000000000001" customHeight="1" x14ac:dyDescent="0.2">
      <c r="M334" s="1"/>
    </row>
    <row r="335" spans="13:13" ht="20.100000000000001" customHeight="1" x14ac:dyDescent="0.2">
      <c r="M335" s="1"/>
    </row>
    <row r="336" spans="13:13" ht="20.100000000000001" customHeight="1" x14ac:dyDescent="0.2">
      <c r="M336" s="1"/>
    </row>
    <row r="337" spans="13:13" ht="20.100000000000001" customHeight="1" x14ac:dyDescent="0.2">
      <c r="M337" s="1"/>
    </row>
    <row r="338" spans="13:13" ht="20.100000000000001" customHeight="1" x14ac:dyDescent="0.2">
      <c r="M338" s="1"/>
    </row>
    <row r="339" spans="13:13" ht="20.100000000000001" customHeight="1" x14ac:dyDescent="0.2">
      <c r="M339" s="1"/>
    </row>
    <row r="340" spans="13:13" ht="20.100000000000001" customHeight="1" x14ac:dyDescent="0.2">
      <c r="M340" s="1"/>
    </row>
    <row r="341" spans="13:13" ht="20.100000000000001" customHeight="1" x14ac:dyDescent="0.2">
      <c r="M341" s="1"/>
    </row>
    <row r="342" spans="13:13" ht="20.100000000000001" customHeight="1" x14ac:dyDescent="0.2">
      <c r="M342" s="1"/>
    </row>
    <row r="343" spans="13:13" ht="20.100000000000001" customHeight="1" x14ac:dyDescent="0.2">
      <c r="M343" s="1"/>
    </row>
    <row r="344" spans="13:13" ht="20.100000000000001" customHeight="1" x14ac:dyDescent="0.2">
      <c r="M344" s="1"/>
    </row>
    <row r="345" spans="13:13" ht="20.100000000000001" customHeight="1" x14ac:dyDescent="0.2">
      <c r="M345" s="1"/>
    </row>
    <row r="346" spans="13:13" ht="20.100000000000001" customHeight="1" x14ac:dyDescent="0.2">
      <c r="M346" s="1"/>
    </row>
    <row r="347" spans="13:13" ht="20.100000000000001" customHeight="1" x14ac:dyDescent="0.2">
      <c r="M347" s="1"/>
    </row>
    <row r="348" spans="13:13" ht="20.100000000000001" customHeight="1" x14ac:dyDescent="0.2">
      <c r="M348" s="1"/>
    </row>
    <row r="349" spans="13:13" ht="20.100000000000001" customHeight="1" x14ac:dyDescent="0.2">
      <c r="M349" s="1"/>
    </row>
    <row r="350" spans="13:13" ht="20.100000000000001" customHeight="1" x14ac:dyDescent="0.2">
      <c r="M350" s="1"/>
    </row>
    <row r="351" spans="13:13" ht="20.100000000000001" customHeight="1" x14ac:dyDescent="0.2">
      <c r="M351" s="1"/>
    </row>
    <row r="352" spans="13:13" ht="20.100000000000001" customHeight="1" x14ac:dyDescent="0.2">
      <c r="M352" s="1"/>
    </row>
    <row r="353" spans="13:13" ht="20.100000000000001" customHeight="1" x14ac:dyDescent="0.2">
      <c r="M353" s="1"/>
    </row>
    <row r="354" spans="13:13" ht="20.100000000000001" customHeight="1" x14ac:dyDescent="0.2">
      <c r="M354" s="1"/>
    </row>
    <row r="355" spans="13:13" ht="20.100000000000001" customHeight="1" x14ac:dyDescent="0.2">
      <c r="M355" s="1"/>
    </row>
    <row r="356" spans="13:13" ht="20.100000000000001" customHeight="1" x14ac:dyDescent="0.2">
      <c r="M356" s="1"/>
    </row>
    <row r="357" spans="13:13" ht="20.100000000000001" customHeight="1" x14ac:dyDescent="0.2">
      <c r="M357" s="1"/>
    </row>
    <row r="358" spans="13:13" ht="20.100000000000001" customHeight="1" x14ac:dyDescent="0.2">
      <c r="M358" s="1"/>
    </row>
    <row r="359" spans="13:13" ht="20.100000000000001" customHeight="1" x14ac:dyDescent="0.2">
      <c r="M359" s="1"/>
    </row>
    <row r="360" spans="13:13" ht="20.100000000000001" customHeight="1" x14ac:dyDescent="0.2">
      <c r="M360" s="1"/>
    </row>
    <row r="361" spans="13:13" ht="20.100000000000001" customHeight="1" x14ac:dyDescent="0.2">
      <c r="M361" s="1"/>
    </row>
    <row r="362" spans="13:13" ht="20.100000000000001" customHeight="1" x14ac:dyDescent="0.2">
      <c r="M362" s="1"/>
    </row>
    <row r="363" spans="13:13" ht="20.100000000000001" customHeight="1" x14ac:dyDescent="0.2">
      <c r="M363" s="1"/>
    </row>
    <row r="364" spans="13:13" ht="20.100000000000001" customHeight="1" x14ac:dyDescent="0.2">
      <c r="M364" s="1"/>
    </row>
    <row r="365" spans="13:13" ht="20.100000000000001" customHeight="1" x14ac:dyDescent="0.2">
      <c r="M365" s="1"/>
    </row>
    <row r="366" spans="13:13" ht="20.100000000000001" customHeight="1" x14ac:dyDescent="0.2">
      <c r="M366" s="1"/>
    </row>
    <row r="367" spans="13:13" ht="20.100000000000001" customHeight="1" x14ac:dyDescent="0.2">
      <c r="M367" s="1"/>
    </row>
    <row r="368" spans="13:13" ht="20.100000000000001" customHeight="1" x14ac:dyDescent="0.2">
      <c r="M368" s="1"/>
    </row>
    <row r="369" spans="13:13" ht="20.100000000000001" customHeight="1" x14ac:dyDescent="0.2">
      <c r="M369" s="1"/>
    </row>
    <row r="370" spans="13:13" ht="20.100000000000001" customHeight="1" x14ac:dyDescent="0.2">
      <c r="M370" s="1"/>
    </row>
    <row r="371" spans="13:13" ht="20.100000000000001" customHeight="1" x14ac:dyDescent="0.2">
      <c r="M371" s="1"/>
    </row>
    <row r="372" spans="13:13" ht="20.100000000000001" customHeight="1" x14ac:dyDescent="0.2">
      <c r="M372" s="1"/>
    </row>
    <row r="373" spans="13:13" ht="20.100000000000001" customHeight="1" x14ac:dyDescent="0.2">
      <c r="M373" s="1"/>
    </row>
    <row r="374" spans="13:13" ht="20.100000000000001" customHeight="1" x14ac:dyDescent="0.2">
      <c r="M374" s="1"/>
    </row>
    <row r="375" spans="13:13" ht="20.100000000000001" customHeight="1" x14ac:dyDescent="0.2">
      <c r="M375" s="1"/>
    </row>
    <row r="376" spans="13:13" ht="20.100000000000001" customHeight="1" x14ac:dyDescent="0.2">
      <c r="M376" s="1"/>
    </row>
    <row r="377" spans="13:13" ht="20.100000000000001" customHeight="1" x14ac:dyDescent="0.2">
      <c r="M377" s="1"/>
    </row>
    <row r="378" spans="13:13" ht="20.100000000000001" customHeight="1" x14ac:dyDescent="0.2">
      <c r="M378" s="1"/>
    </row>
    <row r="379" spans="13:13" ht="20.100000000000001" customHeight="1" x14ac:dyDescent="0.2">
      <c r="M379" s="1"/>
    </row>
    <row r="380" spans="13:13" ht="20.100000000000001" customHeight="1" x14ac:dyDescent="0.2">
      <c r="M380" s="1"/>
    </row>
    <row r="381" spans="13:13" ht="20.100000000000001" customHeight="1" x14ac:dyDescent="0.2">
      <c r="M381" s="1"/>
    </row>
    <row r="382" spans="13:13" ht="20.100000000000001" customHeight="1" x14ac:dyDescent="0.2">
      <c r="M382" s="1"/>
    </row>
    <row r="383" spans="13:13" ht="20.100000000000001" customHeight="1" x14ac:dyDescent="0.2">
      <c r="M383" s="1"/>
    </row>
    <row r="384" spans="13:13" ht="20.100000000000001" customHeight="1" x14ac:dyDescent="0.2">
      <c r="M384" s="1"/>
    </row>
    <row r="385" spans="13:13" ht="20.100000000000001" customHeight="1" x14ac:dyDescent="0.2">
      <c r="M385" s="1"/>
    </row>
    <row r="386" spans="13:13" ht="20.100000000000001" customHeight="1" x14ac:dyDescent="0.2">
      <c r="M386" s="1"/>
    </row>
    <row r="387" spans="13:13" ht="20.100000000000001" customHeight="1" x14ac:dyDescent="0.2">
      <c r="M387" s="1"/>
    </row>
    <row r="388" spans="13:13" ht="20.100000000000001" customHeight="1" x14ac:dyDescent="0.2">
      <c r="M388" s="1"/>
    </row>
    <row r="389" spans="13:13" ht="20.100000000000001" customHeight="1" x14ac:dyDescent="0.2">
      <c r="M389" s="1"/>
    </row>
    <row r="390" spans="13:13" ht="20.100000000000001" customHeight="1" x14ac:dyDescent="0.2">
      <c r="M390" s="1"/>
    </row>
    <row r="391" spans="13:13" ht="20.100000000000001" customHeight="1" x14ac:dyDescent="0.2">
      <c r="M391" s="1"/>
    </row>
    <row r="392" spans="13:13" ht="20.100000000000001" customHeight="1" x14ac:dyDescent="0.2">
      <c r="M392" s="1"/>
    </row>
    <row r="393" spans="13:13" ht="20.100000000000001" customHeight="1" x14ac:dyDescent="0.2">
      <c r="M393" s="1"/>
    </row>
    <row r="394" spans="13:13" ht="20.100000000000001" customHeight="1" x14ac:dyDescent="0.2">
      <c r="M394" s="1"/>
    </row>
    <row r="395" spans="13:13" ht="20.100000000000001" customHeight="1" x14ac:dyDescent="0.2">
      <c r="M395" s="1"/>
    </row>
    <row r="396" spans="13:13" ht="20.100000000000001" customHeight="1" x14ac:dyDescent="0.2">
      <c r="M396" s="1"/>
    </row>
    <row r="397" spans="13:13" ht="20.100000000000001" customHeight="1" x14ac:dyDescent="0.2">
      <c r="M397" s="1"/>
    </row>
    <row r="398" spans="13:13" ht="20.100000000000001" customHeight="1" x14ac:dyDescent="0.2">
      <c r="M398" s="1"/>
    </row>
    <row r="399" spans="13:13" ht="20.100000000000001" customHeight="1" x14ac:dyDescent="0.2">
      <c r="M399" s="1"/>
    </row>
    <row r="400" spans="13:13" ht="20.100000000000001" customHeight="1" x14ac:dyDescent="0.2">
      <c r="M400" s="1"/>
    </row>
    <row r="401" spans="13:13" ht="20.100000000000001" customHeight="1" x14ac:dyDescent="0.2">
      <c r="M401" s="1"/>
    </row>
    <row r="402" spans="13:13" ht="20.100000000000001" customHeight="1" x14ac:dyDescent="0.2">
      <c r="M402" s="1"/>
    </row>
    <row r="403" spans="13:13" ht="20.100000000000001" customHeight="1" x14ac:dyDescent="0.2">
      <c r="M403" s="1"/>
    </row>
    <row r="404" spans="13:13" ht="20.100000000000001" customHeight="1" x14ac:dyDescent="0.2">
      <c r="M404" s="1"/>
    </row>
    <row r="405" spans="13:13" ht="20.100000000000001" customHeight="1" x14ac:dyDescent="0.2">
      <c r="M405" s="1"/>
    </row>
    <row r="406" spans="13:13" ht="20.100000000000001" customHeight="1" x14ac:dyDescent="0.2">
      <c r="M406" s="1"/>
    </row>
    <row r="407" spans="13:13" ht="20.100000000000001" customHeight="1" x14ac:dyDescent="0.2">
      <c r="M407" s="1"/>
    </row>
    <row r="408" spans="13:13" ht="20.100000000000001" customHeight="1" x14ac:dyDescent="0.2">
      <c r="M408" s="1"/>
    </row>
    <row r="409" spans="13:13" ht="20.100000000000001" customHeight="1" x14ac:dyDescent="0.2">
      <c r="M409" s="1"/>
    </row>
    <row r="410" spans="13:13" ht="20.100000000000001" customHeight="1" x14ac:dyDescent="0.2">
      <c r="M410" s="1"/>
    </row>
    <row r="411" spans="13:13" ht="20.100000000000001" customHeight="1" x14ac:dyDescent="0.2">
      <c r="M411" s="1"/>
    </row>
    <row r="412" spans="13:13" ht="20.100000000000001" customHeight="1" x14ac:dyDescent="0.2">
      <c r="M412" s="1"/>
    </row>
    <row r="413" spans="13:13" ht="20.100000000000001" customHeight="1" x14ac:dyDescent="0.2">
      <c r="M413" s="1"/>
    </row>
    <row r="414" spans="13:13" ht="20.100000000000001" customHeight="1" x14ac:dyDescent="0.2">
      <c r="M414" s="1"/>
    </row>
    <row r="415" spans="13:13" ht="20.100000000000001" customHeight="1" x14ac:dyDescent="0.2">
      <c r="M415" s="1"/>
    </row>
    <row r="416" spans="13:13" ht="20.100000000000001" customHeight="1" x14ac:dyDescent="0.2">
      <c r="M416" s="1"/>
    </row>
    <row r="417" spans="13:13" ht="20.100000000000001" customHeight="1" x14ac:dyDescent="0.2">
      <c r="M417" s="1"/>
    </row>
    <row r="418" spans="13:13" ht="20.100000000000001" customHeight="1" x14ac:dyDescent="0.2">
      <c r="M418" s="1"/>
    </row>
    <row r="419" spans="13:13" ht="20.100000000000001" customHeight="1" x14ac:dyDescent="0.2">
      <c r="M419" s="1"/>
    </row>
    <row r="420" spans="13:13" ht="20.100000000000001" customHeight="1" x14ac:dyDescent="0.2">
      <c r="M420" s="1"/>
    </row>
    <row r="421" spans="13:13" ht="20.100000000000001" customHeight="1" x14ac:dyDescent="0.2">
      <c r="M421" s="1"/>
    </row>
    <row r="422" spans="13:13" ht="20.100000000000001" customHeight="1" x14ac:dyDescent="0.2">
      <c r="M422" s="1"/>
    </row>
    <row r="423" spans="13:13" ht="20.100000000000001" customHeight="1" x14ac:dyDescent="0.2">
      <c r="M423" s="1"/>
    </row>
    <row r="424" spans="13:13" ht="20.100000000000001" customHeight="1" x14ac:dyDescent="0.2">
      <c r="M424" s="1"/>
    </row>
    <row r="425" spans="13:13" ht="20.100000000000001" customHeight="1" x14ac:dyDescent="0.2">
      <c r="M425" s="1"/>
    </row>
    <row r="426" spans="13:13" ht="20.100000000000001" customHeight="1" x14ac:dyDescent="0.2">
      <c r="M426" s="1"/>
    </row>
    <row r="427" spans="13:13" ht="20.100000000000001" customHeight="1" x14ac:dyDescent="0.2">
      <c r="M427" s="1"/>
    </row>
    <row r="428" spans="13:13" ht="20.100000000000001" customHeight="1" x14ac:dyDescent="0.2">
      <c r="M428" s="1"/>
    </row>
    <row r="429" spans="13:13" ht="20.100000000000001" customHeight="1" x14ac:dyDescent="0.2">
      <c r="M429" s="1"/>
    </row>
    <row r="430" spans="13:13" ht="20.100000000000001" customHeight="1" x14ac:dyDescent="0.2">
      <c r="M430" s="1"/>
    </row>
    <row r="431" spans="13:13" ht="20.100000000000001" customHeight="1" x14ac:dyDescent="0.2">
      <c r="M431" s="1"/>
    </row>
    <row r="432" spans="13:13" ht="20.100000000000001" customHeight="1" x14ac:dyDescent="0.2">
      <c r="M432" s="1"/>
    </row>
    <row r="433" spans="13:13" ht="20.100000000000001" customHeight="1" x14ac:dyDescent="0.2">
      <c r="M433" s="1"/>
    </row>
    <row r="434" spans="13:13" ht="20.100000000000001" customHeight="1" x14ac:dyDescent="0.2">
      <c r="M434" s="1"/>
    </row>
    <row r="435" spans="13:13" ht="20.100000000000001" customHeight="1" x14ac:dyDescent="0.2">
      <c r="M435" s="1"/>
    </row>
    <row r="436" spans="13:13" ht="20.100000000000001" customHeight="1" x14ac:dyDescent="0.2">
      <c r="M436" s="1"/>
    </row>
    <row r="437" spans="13:13" ht="20.100000000000001" customHeight="1" x14ac:dyDescent="0.2">
      <c r="M437" s="1"/>
    </row>
    <row r="438" spans="13:13" ht="20.100000000000001" customHeight="1" x14ac:dyDescent="0.2">
      <c r="M438" s="1"/>
    </row>
    <row r="439" spans="13:13" ht="20.100000000000001" customHeight="1" x14ac:dyDescent="0.2">
      <c r="M439" s="1"/>
    </row>
    <row r="440" spans="13:13" ht="20.100000000000001" customHeight="1" x14ac:dyDescent="0.2">
      <c r="M440" s="1"/>
    </row>
    <row r="441" spans="13:13" ht="20.100000000000001" customHeight="1" x14ac:dyDescent="0.2">
      <c r="M441" s="1"/>
    </row>
    <row r="442" spans="13:13" ht="20.100000000000001" customHeight="1" x14ac:dyDescent="0.2">
      <c r="M442" s="1"/>
    </row>
    <row r="443" spans="13:13" ht="20.100000000000001" customHeight="1" x14ac:dyDescent="0.2">
      <c r="M443" s="1"/>
    </row>
    <row r="444" spans="13:13" ht="20.100000000000001" customHeight="1" x14ac:dyDescent="0.2">
      <c r="M444" s="1"/>
    </row>
    <row r="445" spans="13:13" ht="20.100000000000001" customHeight="1" x14ac:dyDescent="0.2">
      <c r="M445" s="1"/>
    </row>
    <row r="446" spans="13:13" ht="20.100000000000001" customHeight="1" x14ac:dyDescent="0.2">
      <c r="M446" s="1"/>
    </row>
    <row r="447" spans="13:13" ht="20.100000000000001" customHeight="1" x14ac:dyDescent="0.2">
      <c r="M447" s="1"/>
    </row>
    <row r="448" spans="13:13" ht="20.100000000000001" customHeight="1" x14ac:dyDescent="0.2">
      <c r="M448" s="1"/>
    </row>
    <row r="449" spans="13:13" ht="20.100000000000001" customHeight="1" x14ac:dyDescent="0.2">
      <c r="M449" s="1"/>
    </row>
    <row r="450" spans="13:13" ht="20.100000000000001" customHeight="1" x14ac:dyDescent="0.2">
      <c r="M450" s="1"/>
    </row>
    <row r="451" spans="13:13" ht="20.100000000000001" customHeight="1" x14ac:dyDescent="0.2">
      <c r="M451" s="1"/>
    </row>
    <row r="452" spans="13:13" ht="20.100000000000001" customHeight="1" x14ac:dyDescent="0.2">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A7162-C0C2-484D-A81D-58AD5541023F}">
  <sheetPr>
    <tabColor theme="2" tint="-0.499984740745262"/>
  </sheetPr>
  <dimension ref="A1:M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1175</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
      <c r="D7" s="24" t="str" cm="1">
        <f t="array" ref="D7">CommonLivestock_SourceData.SourceData_Livestock_Common_SymbolsMMS_Vairable()</f>
        <v>MMS</v>
      </c>
      <c r="E7" s="24"/>
      <c r="F7" s="24"/>
      <c r="G7" s="24"/>
      <c r="H7" s="24"/>
    </row>
    <row r="8" spans="1:13" ht="20.100000000000001" customHeight="1" x14ac:dyDescent="0.2">
      <c r="A8" s="7" t="s">
        <v>0</v>
      </c>
      <c r="D8" s="17" t="str" cm="1">
        <f t="array" ref="D8">CommonLivestock_SourceData.SourceData_Livestock_Common_SymbolsMMS_Source()</f>
        <v>National Inventory Report 2023 Volume 1: Table 5.12</v>
      </c>
      <c r="E8" s="24"/>
      <c r="F8" s="24"/>
      <c r="G8" s="24"/>
      <c r="H8" s="24"/>
    </row>
    <row r="9" spans="1:13" ht="20.100000000000001" customHeight="1" x14ac:dyDescent="0.2">
      <c r="A9" s="5" t="str">
        <f>HYPERLINK("#'Input - Enterprise'!A1", "Enterprise")</f>
        <v>Enterprise</v>
      </c>
      <c r="D9" s="26" t="s">
        <v>1176</v>
      </c>
      <c r="E9" s="19" t="s">
        <v>1177</v>
      </c>
      <c r="F9" s="19" t="s">
        <v>498</v>
      </c>
      <c r="G9" s="24"/>
    </row>
    <row r="10" spans="1:13" ht="20.100000000000001" customHeight="1" x14ac:dyDescent="0.2">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
      <c r="A11" s="5" t="str">
        <f>HYPERLINK("#'Input - Swine'!A1", "Swine")</f>
        <v>Swine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
      <c r="A13" s="5" t="str">
        <f>HYPERLINK("#'Input - Pig purchases'!A1", "Pig purchases")</f>
        <v>Pig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
      <c r="A27" s="5" t="str">
        <f>HYPERLINK("#'3.5.1.1-2 Enteric Methane'!A1", "3.5.1.1-2 Enteric Methane")</f>
        <v>3.5.1.1-2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
      <c r="A28" s="5" t="str">
        <f>HYPERLINK("#'4.5.1.1-2 Methane'!A1", "4.5.1.1-2 Manure Methane")</f>
        <v>4.5.1.1-2 Manure Methane</v>
      </c>
      <c r="G28" s="24"/>
      <c r="H28" s="24"/>
    </row>
    <row r="29" spans="1:8" ht="20.100000000000001" customHeight="1" x14ac:dyDescent="0.2">
      <c r="A29" s="5" t="str">
        <f>HYPERLINK("#'4.5.1.3-4 Direct N2O'!A1", "4.5.1.3-4 Manure Direct N2O")</f>
        <v>4.5.1.3-4 Manure Direct N2O</v>
      </c>
    </row>
    <row r="30" spans="1:8" ht="20.100000000000001" customHeight="1" x14ac:dyDescent="0.2">
      <c r="A30" s="5" t="str">
        <f>HYPERLINK("#'4.5.1.5-6 Atmos Dep'!A1", "4.5.1.5-6 Manure Atmos Dep")</f>
        <v>4.5.1.5-6 Manure Atmos Dep</v>
      </c>
    </row>
    <row r="31" spans="1:8" ht="20.100000000000001" customHeight="1" x14ac:dyDescent="0.2">
      <c r="A31" s="5" t="str">
        <f>HYPERLINK("#'4.5.1.7-8 Leaching and runoff'!A1", "4.5.1.7-8 Manure Leaching and runoff")</f>
        <v>4.5.1.7-8 Manure Leaching and runoff</v>
      </c>
    </row>
    <row r="32" spans="1:8"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80"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29134-47DF-43CB-B992-3CD086A1CF24}">
  <sheetPr>
    <tabColor theme="2" tint="-0.499984740745262"/>
  </sheetPr>
  <dimension ref="A1:AI56"/>
  <sheetViews>
    <sheetView showGridLines="0" zoomScaleNormal="100" workbookViewId="0">
      <pane xSplit="1" topLeftCell="B1" activePane="topRight" state="frozenSplit"/>
      <selection pane="topRight" activeCell="A187" sqref="A18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564</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
      <c r="D6" s="17" t="str" cm="1">
        <f t="array" ref="D6">Electricity_SourceData.Electricity_Scope2Scope3LocationBased_Source()</f>
        <v>Australian National Greenhouse Accounts Factors 2025 - Table 1</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51" t="s">
        <v>565</v>
      </c>
      <c r="E9" s="151" t="s">
        <v>566</v>
      </c>
      <c r="F9" s="151" t="s">
        <v>567</v>
      </c>
    </row>
    <row r="10" spans="1:35" ht="20.100000000000001" customHeight="1" x14ac:dyDescent="0.2">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Swine'!A1", "Swine")</f>
        <v>Swine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Pig purchases'!A1", "Pig purchases")</f>
        <v>Pig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100000000000001" customHeight="1" x14ac:dyDescent="0.2">
      <c r="A23" s="5" t="str">
        <f>HYPERLINK("#'Input - Fertiliser'!A1", "Fertiliser")</f>
        <v>Fertiliser</v>
      </c>
    </row>
    <row r="24" spans="1:8" ht="20.100000000000001" customHeight="1" x14ac:dyDescent="0.2">
      <c r="D24" s="152" t="s">
        <v>565</v>
      </c>
      <c r="E24" s="152" t="s">
        <v>568</v>
      </c>
      <c r="F24" s="152" t="s">
        <v>569</v>
      </c>
      <c r="G24" s="152" t="s">
        <v>570</v>
      </c>
      <c r="H24" s="152" t="s">
        <v>571</v>
      </c>
    </row>
    <row r="25" spans="1:8" ht="20.100000000000001" customHeight="1" x14ac:dyDescent="0.2">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6" t="s">
        <v>2</v>
      </c>
    </row>
    <row r="27" spans="1:8" ht="20.100000000000001" customHeight="1" x14ac:dyDescent="0.2">
      <c r="A27" s="5" t="str">
        <f>HYPERLINK("#'3.5.1.1-2 Enteric Methane'!A1", "3.5.1.1-2 Enteric Methane")</f>
        <v>3.5.1.1-2 Enteric Methane</v>
      </c>
    </row>
    <row r="28" spans="1:8" ht="20.100000000000001" customHeight="1" x14ac:dyDescent="0.2">
      <c r="A28" s="5" t="str">
        <f>HYPERLINK("#'4.5.1.1-2 Methane'!A1", "4.5.1.1-2 Manure Methane")</f>
        <v>4.5.1.1-2 Manure Methane</v>
      </c>
    </row>
    <row r="29" spans="1:8" ht="20.100000000000001" customHeight="1" x14ac:dyDescent="0.2">
      <c r="A29" s="5" t="str">
        <f>HYPERLINK("#'4.5.1.3-4 Direct N2O'!A1", "4.5.1.3-4 Manure Direct N2O")</f>
        <v>4.5.1.3-4 Manure Direct N2O</v>
      </c>
    </row>
    <row r="30" spans="1:8" ht="20.100000000000001" customHeight="1" x14ac:dyDescent="0.2">
      <c r="A30" s="5" t="str">
        <f>HYPERLINK("#'4.5.1.5-6 Atmos Dep'!A1", "4.5.1.5-6 Manure Atmos Dep")</f>
        <v>4.5.1.5-6 Manure Atmos Dep</v>
      </c>
    </row>
    <row r="31" spans="1:8" ht="20.100000000000001" customHeight="1" x14ac:dyDescent="0.2">
      <c r="A31" s="5" t="str">
        <f>HYPERLINK("#'4.5.1.7-8 Leaching and runoff'!A1", "4.5.1.7-8 Manure Leaching and runoff")</f>
        <v>4.5.1.7-8 Manure Leaching and runoff</v>
      </c>
    </row>
    <row r="32" spans="1:8"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80"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tableParts count="2">
    <tablePart r:id="rId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0A3E-76A2-4D44-9B0F-EB82097A4709}">
  <dimension ref="A1:AM223"/>
  <sheetViews>
    <sheetView showGridLines="0" zoomScaleNormal="100" workbookViewId="0">
      <pane xSplit="1" topLeftCell="B1" activePane="topRight" state="frozenSplit"/>
      <selection pane="topRight" activeCell="A127" sqref="A127"/>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832</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tr" cm="1">
        <f t="array" ref="D5">Fertiliser_SourceData.Fertiliser_ChemicalCompoundElements_Title()</f>
        <v>Common inorganic fertilisers</v>
      </c>
      <c r="E5" s="158"/>
      <c r="F5" s="158"/>
      <c r="G5" s="158"/>
      <c r="H5" s="158"/>
      <c r="I5" s="158"/>
      <c r="J5" s="158"/>
    </row>
    <row r="6" spans="1:36" ht="20.100000000000001" customHeight="1" x14ac:dyDescent="0.2">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5" t="str" cm="1">
        <f t="array" ref="D7:D18">Fertiliser_SourceData.Fertiliser_ChemicalCompoundElements_Variation()</f>
        <v>VARIATION ON SOURCE</v>
      </c>
    </row>
    <row r="8" spans="1:36" ht="20.100000000000001" customHeight="1" x14ac:dyDescent="0.2">
      <c r="A8" s="7" t="s">
        <v>0</v>
      </c>
      <c r="D8" s="25" t="str">
        <v>Added 'Basis' column to allow cross-referencing with table Table A.2.2.6: Fraction of inorganic fertiliser f that volatilises as NH3 and NOx ((kg NH3-N + NOx-N)/kg N) (FracGASFf)</v>
      </c>
    </row>
    <row r="9" spans="1:36" ht="20.100000000000001" customHeight="1" x14ac:dyDescent="0.2">
      <c r="A9" s="5" t="str">
        <f>HYPERLINK("#'Input - Enterprise'!A1", "Enterprise")</f>
        <v>Enterprise</v>
      </c>
      <c r="D9" s="25" t="str">
        <v>Added extra fertiliser types and generic chemical compounds to allow for custom NPKS blends</v>
      </c>
    </row>
    <row r="10" spans="1:36" ht="20.100000000000001" customHeight="1" x14ac:dyDescent="0.2">
      <c r="A10" s="5" t="str">
        <f>HYPERLINK("#'Input - Site'!A1", "Site")</f>
        <v>Site</v>
      </c>
      <c r="D10" s="25" t="str">
        <v>Added extra 'Scope 3 definition' column to allow mapping with scope 3 data</v>
      </c>
    </row>
    <row r="11" spans="1:36" ht="20.100000000000001" customHeight="1" x14ac:dyDescent="0.2">
      <c r="A11" s="5" t="str">
        <f>HYPERLINK("#'Input - Swine'!A1", "Swine")</f>
        <v>Swine</v>
      </c>
      <c r="D11" s="25" t="str">
        <v>Added 'Source' column</v>
      </c>
    </row>
    <row r="12" spans="1:36" ht="20.100000000000001" customHeight="1" x14ac:dyDescent="0.2">
      <c r="A12" s="5" t="str">
        <f>HYPERLINK("#'Input - Livestock sales'!A1", "Livestock sales")</f>
        <v>Livestock sales</v>
      </c>
      <c r="D12" s="25" t="str">
        <v>Combined data from Table A.2.2.3 and Table A.2.2.4 into one table to aid lookup.</v>
      </c>
    </row>
    <row r="13" spans="1:36" ht="20.100000000000001" customHeight="1" x14ac:dyDescent="0.2">
      <c r="A13" s="5" t="str">
        <f>HYPERLINK("#'Input - Pig purchases'!A1", "Pig purchases")</f>
        <v>Pig purchases</v>
      </c>
      <c r="D13" s="25" t="str">
        <v>Excluded 'References' column</v>
      </c>
    </row>
    <row r="14" spans="1:36" ht="20.100000000000001" customHeight="1" x14ac:dyDescent="0.2">
      <c r="A14" s="5" t="str">
        <f>HYPERLINK("#'Input - Fuel'!A1", "Fuel")</f>
        <v>Fuel</v>
      </c>
      <c r="D14" s="25" t="str">
        <v>Excluded 'Ammonium sulfate' as it is a duplicate of 'Sulphate of ammonia (SOA)'</v>
      </c>
    </row>
    <row r="15" spans="1:36" ht="20.100000000000001" customHeight="1" x14ac:dyDescent="0.2">
      <c r="A15" s="5" t="str">
        <f>HYPERLINK("#'Input - Electricity'!A1", "Electricity")</f>
        <v>Electricity</v>
      </c>
      <c r="D15" s="25" t="str">
        <v>Excluded 'Calcium nitrate' as no scope 3 value available.</v>
      </c>
    </row>
    <row r="16" spans="1:36" ht="20.100000000000001" customHeight="1" x14ac:dyDescent="0.2">
      <c r="A16" s="5" t="str">
        <f>HYPERLINK("#'Input - Common farm inputs'!A1", "Common farm inputs")</f>
        <v>Common farm inputs</v>
      </c>
      <c r="D16" s="25" t="str">
        <v>Set 'Nitrogen - Generic' basis as 'Urea-based fertilisers, as urea is the most commonly used form of nitrogen in Australian fertilisers</v>
      </c>
    </row>
    <row r="17" spans="1:22" ht="20.100000000000001" customHeight="1" x14ac:dyDescent="0.2">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Solid waste'!A1", "Solid waste")</f>
        <v>Solid waste</v>
      </c>
      <c r="D19" t="s">
        <v>754</v>
      </c>
      <c r="E19" t="s">
        <v>833</v>
      </c>
      <c r="F19" t="s">
        <v>834</v>
      </c>
      <c r="G19" t="s">
        <v>808</v>
      </c>
      <c r="H19" t="s">
        <v>835</v>
      </c>
      <c r="I19" t="s">
        <v>558</v>
      </c>
      <c r="K19" s="19" t="s">
        <v>754</v>
      </c>
      <c r="L19" s="19" t="s">
        <v>833</v>
      </c>
      <c r="Q19" s="19" t="s">
        <v>754</v>
      </c>
      <c r="R19" s="19" t="s">
        <v>833</v>
      </c>
      <c r="V19" s="19" t="s">
        <v>558</v>
      </c>
    </row>
    <row r="20" spans="1:22" ht="20.100000000000001" customHeight="1" x14ac:dyDescent="0.2">
      <c r="A20" s="5" t="str">
        <f>HYPERLINK("#'Input - Manure sent off-site'!A1", "Manure sent off-site")</f>
        <v>Manure sent off-site</v>
      </c>
      <c r="D20" s="152" t="str" cm="1">
        <f t="array" ref="D20">Common_InputFunctions.Utility_DisplayArrayInTable(Fertiliser_SourceData.Fertiliser_ChemicalCompoundElements_Data(),Table_Fertiliser_ChemicalCompounds[[#Headers],[Fertiliser type f]], 0)</f>
        <v>Monoammonium phosphate (MAP)</v>
      </c>
      <c r="E20" s="152" cm="1">
        <f t="array" ref="E20">Common_InputFunctions.Utility_DisplayArrayInTable(Fertiliser_SourceData.Fertiliser_ChemicalCompoundElements_Data(),Table_Fertiliser_ChemicalCompounds[[#Headers],[Fertiliser type f]], 0)</f>
        <v>0.1</v>
      </c>
      <c r="F20" s="152" cm="1">
        <f t="array" ref="F20">Common_InputFunctions.Utility_DisplayArrayInTable(Fertiliser_SourceData.Fertiliser_ChemicalCompoundElements_Data(),Table_Fertiliser_ChemicalCompounds[[#Headers],[Fertiliser type f]], 0)</f>
        <v>0</v>
      </c>
      <c r="G20" s="152" t="str" cm="1">
        <f t="array" ref="G20">Common_InputFunctions.Utility_DisplayArrayInTable(Fertiliser_SourceData.Fertiliser_ChemicalCompoundElements_Data(),Table_Fertiliser_ChemicalCompounds[[#Headers],[Fertiliser type f]], 0)</f>
        <v>Ammonium-based fertilisers</v>
      </c>
      <c r="H20" s="152" t="str" cm="1">
        <f t="array" ref="H20">Common_InputFunctions.Utility_DisplayArrayInTable(Fertiliser_SourceData.Fertiliser_ChemicalCompoundElements_Data(),Table_Fertiliser_ChemicalCompounds[[#Headers],[Fertiliser type f]], 0)</f>
        <v>Monoammonium phosphate (MAP)</v>
      </c>
      <c r="I20" s="15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5" t="str">
        <f>HYPERLINK("#'Input - Data quality'!A1", "Data quality")</f>
        <v>Data quality</v>
      </c>
      <c r="D21" s="152" t="str" cm="1">
        <f t="array" ref="D21">Common_InputFunctions.Utility_DisplayArrayInTable(Fertiliser_SourceData.Fertiliser_ChemicalCompoundElements_Data(),Table_Fertiliser_ChemicalCompounds[[#Headers],[Fertiliser type f]], 0)</f>
        <v>Diammonium phosphate (DAP)</v>
      </c>
      <c r="E21" s="152" cm="1">
        <f t="array" ref="E21">Common_InputFunctions.Utility_DisplayArrayInTable(Fertiliser_SourceData.Fertiliser_ChemicalCompoundElements_Data(),Table_Fertiliser_ChemicalCompounds[[#Headers],[Fertiliser type f]], 0)</f>
        <v>0.18</v>
      </c>
      <c r="F21" s="152" cm="1">
        <f t="array" ref="F21">Common_InputFunctions.Utility_DisplayArrayInTable(Fertiliser_SourceData.Fertiliser_ChemicalCompoundElements_Data(),Table_Fertiliser_ChemicalCompounds[[#Headers],[Fertiliser type f]], 0)</f>
        <v>0</v>
      </c>
      <c r="G21" s="152" t="str" cm="1">
        <f t="array" ref="G21">Common_InputFunctions.Utility_DisplayArrayInTable(Fertiliser_SourceData.Fertiliser_ChemicalCompoundElements_Data(),Table_Fertiliser_ChemicalCompounds[[#Headers],[Fertiliser type f]], 0)</f>
        <v>Ammonium-based fertilisers</v>
      </c>
      <c r="H21" s="152" t="str" cm="1">
        <f t="array" ref="H21">Common_InputFunctions.Utility_DisplayArrayInTable(Fertiliser_SourceData.Fertiliser_ChemicalCompoundElements_Data(),Table_Fertiliser_ChemicalCompounds[[#Headers],[Fertiliser type f]], 0)</f>
        <v>Diammonium phosphate (DAP)</v>
      </c>
      <c r="I21" s="15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5" t="str">
        <f>HYPERLINK("#'Input - Fert Prod System'!A1", "Fert Prod System")</f>
        <v>Fert Prod System</v>
      </c>
      <c r="D22" s="152" t="str" cm="1">
        <f t="array" ref="D22">Common_InputFunctions.Utility_DisplayArrayInTable(Fertiliser_SourceData.Fertiliser_ChemicalCompoundElements_Data(),Table_Fertiliser_ChemicalCompounds[[#Headers],[Fertiliser type f]], 0)</f>
        <v>Urea</v>
      </c>
      <c r="E22" s="152" cm="1">
        <f t="array" ref="E22">Common_InputFunctions.Utility_DisplayArrayInTable(Fertiliser_SourceData.Fertiliser_ChemicalCompoundElements_Data(),Table_Fertiliser_ChemicalCompounds[[#Headers],[Fertiliser type f]], 0)</f>
        <v>0.46</v>
      </c>
      <c r="F22" s="152" cm="1">
        <f t="array" ref="F22">Common_InputFunctions.Utility_DisplayArrayInTable(Fertiliser_SourceData.Fertiliser_ChemicalCompoundElements_Data(),Table_Fertiliser_ChemicalCompounds[[#Headers],[Fertiliser type f]], 0)</f>
        <v>1</v>
      </c>
      <c r="G22" s="152" t="str" cm="1">
        <f t="array" ref="G22">Common_InputFunctions.Utility_DisplayArrayInTable(Fertiliser_SourceData.Fertiliser_ChemicalCompoundElements_Data(),Table_Fertiliser_ChemicalCompounds[[#Headers],[Fertiliser type f]], 0)</f>
        <v>Urea-based fertilisers</v>
      </c>
      <c r="H22" s="152" t="str" cm="1">
        <f t="array" ref="H22">Common_InputFunctions.Utility_DisplayArrayInTable(Fertiliser_SourceData.Fertiliser_ChemicalCompoundElements_Data(),Table_Fertiliser_ChemicalCompounds[[#Headers],[Fertiliser type f]], 0)</f>
        <v>Urea</v>
      </c>
      <c r="I22" s="15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5" t="str">
        <f>HYPERLINK("#'Input - Fertiliser'!A1", "Fertiliser")</f>
        <v>Fertiliser</v>
      </c>
      <c r="D23" s="152" t="str" cm="1">
        <f t="array" ref="D23">Common_InputFunctions.Utility_DisplayArrayInTable(Fertiliser_SourceData.Fertiliser_ChemicalCompoundElements_Data(),Table_Fertiliser_ChemicalCompounds[[#Headers],[Fertiliser type f]], 0)</f>
        <v>Sulphate of ammonia (SOA)</v>
      </c>
      <c r="E23" s="152" cm="1">
        <f t="array" ref="E23">Common_InputFunctions.Utility_DisplayArrayInTable(Fertiliser_SourceData.Fertiliser_ChemicalCompoundElements_Data(),Table_Fertiliser_ChemicalCompounds[[#Headers],[Fertiliser type f]], 0)</f>
        <v>0.21</v>
      </c>
      <c r="F23" s="152" cm="1">
        <f t="array" ref="F23">Common_InputFunctions.Utility_DisplayArrayInTable(Fertiliser_SourceData.Fertiliser_ChemicalCompoundElements_Data(),Table_Fertiliser_ChemicalCompounds[[#Headers],[Fertiliser type f]], 0)</f>
        <v>0</v>
      </c>
      <c r="G23" s="152" t="str" cm="1">
        <f t="array" ref="G23">Common_InputFunctions.Utility_DisplayArrayInTable(Fertiliser_SourceData.Fertiliser_ChemicalCompoundElements_Data(),Table_Fertiliser_ChemicalCompounds[[#Headers],[Fertiliser type f]], 0)</f>
        <v>Ammonium-based fertilisers</v>
      </c>
      <c r="H23" s="152" t="str" cm="1">
        <f t="array" ref="H23">Common_InputFunctions.Utility_DisplayArrayInTable(Fertiliser_SourceData.Fertiliser_ChemicalCompoundElements_Data(),Table_Fertiliser_ChemicalCompounds[[#Headers],[Fertiliser type f]], 0)</f>
        <v>Sulphate of ammonia (SOA)</v>
      </c>
      <c r="I23" s="15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D24" s="152" t="str" cm="1">
        <f t="array" ref="D24">Common_InputFunctions.Utility_DisplayArrayInTable(Fertiliser_SourceData.Fertiliser_ChemicalCompoundElements_Data(),Table_Fertiliser_ChemicalCompounds[[#Headers],[Fertiliser type f]], 0)</f>
        <v>Urea-ammonium nitrate (UAN)</v>
      </c>
      <c r="E24" s="152" cm="1">
        <f t="array" ref="E24">Common_InputFunctions.Utility_DisplayArrayInTable(Fertiliser_SourceData.Fertiliser_ChemicalCompoundElements_Data(),Table_Fertiliser_ChemicalCompounds[[#Headers],[Fertiliser type f]], 0)</f>
        <v>0.32</v>
      </c>
      <c r="F24" s="152" cm="1">
        <f t="array" ref="F24">Common_InputFunctions.Utility_DisplayArrayInTable(Fertiliser_SourceData.Fertiliser_ChemicalCompoundElements_Data(),Table_Fertiliser_ChemicalCompounds[[#Headers],[Fertiliser type f]], 0)</f>
        <v>0.35</v>
      </c>
      <c r="G24" s="152" t="str" cm="1">
        <f t="array" ref="G24">Common_InputFunctions.Utility_DisplayArrayInTable(Fertiliser_SourceData.Fertiliser_ChemicalCompoundElements_Data(),Table_Fertiliser_ChemicalCompounds[[#Headers],[Fertiliser type f]], 0)</f>
        <v>Urea-based fertilisers</v>
      </c>
      <c r="H24" s="152" t="str" cm="1">
        <f t="array" ref="H24">Common_InputFunctions.Utility_DisplayArrayInTable(Fertiliser_SourceData.Fertiliser_ChemicalCompoundElements_Data(),Table_Fertiliser_ChemicalCompounds[[#Headers],[Fertiliser type f]], 0)</f>
        <v>Urea-ammonium nitrate (UAN)</v>
      </c>
      <c r="I24" s="15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
      <c r="D25" s="152" t="str" cm="1">
        <f t="array" ref="D25">Common_InputFunctions.Utility_DisplayArrayInTable(Fertiliser_SourceData.Fertiliser_ChemicalCompoundElements_Data(),Table_Fertiliser_ChemicalCompounds[[#Headers],[Fertiliser type f]], 0)</f>
        <v>Ammonium nitrate (AN)</v>
      </c>
      <c r="E25" s="152" cm="1">
        <f t="array" ref="E25">Common_InputFunctions.Utility_DisplayArrayInTable(Fertiliser_SourceData.Fertiliser_ChemicalCompoundElements_Data(),Table_Fertiliser_ChemicalCompounds[[#Headers],[Fertiliser type f]], 0)</f>
        <v>0.33700000000000002</v>
      </c>
      <c r="F25" s="152" cm="1">
        <f t="array" ref="F25">Common_InputFunctions.Utility_DisplayArrayInTable(Fertiliser_SourceData.Fertiliser_ChemicalCompoundElements_Data(),Table_Fertiliser_ChemicalCompounds[[#Headers],[Fertiliser type f]], 0)</f>
        <v>0</v>
      </c>
      <c r="G25" s="152" t="str" cm="1">
        <f t="array" ref="G25">Common_InputFunctions.Utility_DisplayArrayInTable(Fertiliser_SourceData.Fertiliser_ChemicalCompoundElements_Data(),Table_Fertiliser_ChemicalCompounds[[#Headers],[Fertiliser type f]], 0)</f>
        <v>Ammonium-nitrate based fertilisers</v>
      </c>
      <c r="H25" s="152" t="str" cm="1">
        <f t="array" ref="H25">Common_InputFunctions.Utility_DisplayArrayInTable(Fertiliser_SourceData.Fertiliser_ChemicalCompoundElements_Data(),Table_Fertiliser_ChemicalCompounds[[#Headers],[Fertiliser type f]], 0)</f>
        <v>Ammonium nitrate (AN)</v>
      </c>
      <c r="I25" s="15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
      <c r="A26" s="6" t="s">
        <v>2</v>
      </c>
      <c r="D26" s="152" t="str" cm="1">
        <f t="array" ref="D26">Common_InputFunctions.Utility_DisplayArrayInTable(Fertiliser_SourceData.Fertiliser_ChemicalCompoundElements_Data(),Table_Fertiliser_ChemicalCompounds[[#Headers],[Fertiliser type f]], 0)</f>
        <v>Calcium ammonium nitrate (CAN)</v>
      </c>
      <c r="E26" s="152" cm="1">
        <f t="array" ref="E26">Common_InputFunctions.Utility_DisplayArrayInTable(Fertiliser_SourceData.Fertiliser_ChemicalCompoundElements_Data(),Table_Fertiliser_ChemicalCompounds[[#Headers],[Fertiliser type f]], 0)</f>
        <v>0.27</v>
      </c>
      <c r="F26" s="152" cm="1">
        <f t="array" ref="F26">Common_InputFunctions.Utility_DisplayArrayInTable(Fertiliser_SourceData.Fertiliser_ChemicalCompoundElements_Data(),Table_Fertiliser_ChemicalCompounds[[#Headers],[Fertiliser type f]], 0)</f>
        <v>0</v>
      </c>
      <c r="G26" s="152" t="str" cm="1">
        <f t="array" ref="G26">Common_InputFunctions.Utility_DisplayArrayInTable(Fertiliser_SourceData.Fertiliser_ChemicalCompoundElements_Data(),Table_Fertiliser_ChemicalCompounds[[#Headers],[Fertiliser type f]], 0)</f>
        <v>Ammonium-nitrate based fertilisers</v>
      </c>
      <c r="H26" s="152" t="str" cm="1">
        <f t="array" ref="H26">Common_InputFunctions.Utility_DisplayArrayInTable(Fertiliser_SourceData.Fertiliser_ChemicalCompoundElements_Data(),Table_Fertiliser_ChemicalCompounds[[#Headers],[Fertiliser type f]], 0)</f>
        <v>Calcium ammonium nitrate (CAN)</v>
      </c>
      <c r="I26" s="15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
      <c r="A27" s="5" t="str">
        <f>HYPERLINK("#'3.5.1.1-2 Enteric Methane'!A1", "3.5.1.1-2 Enteric Methane")</f>
        <v>3.5.1.1-2 Enteric Methane</v>
      </c>
      <c r="D27" s="152" t="str" cm="1">
        <f t="array" ref="D27">Common_InputFunctions.Utility_DisplayArrayInTable(Fertiliser_SourceData.Fertiliser_ChemicalCompoundElements_Data(),Table_Fertiliser_ChemicalCompounds[[#Headers],[Fertiliser type f]], 0)</f>
        <v>Nitrogen - Ammoniacal</v>
      </c>
      <c r="E27" s="152" cm="1">
        <f t="array" ref="E27">Common_InputFunctions.Utility_DisplayArrayInTable(Fertiliser_SourceData.Fertiliser_ChemicalCompoundElements_Data(),Table_Fertiliser_ChemicalCompounds[[#Headers],[Fertiliser type f]], 0)</f>
        <v>1</v>
      </c>
      <c r="F27" s="152" cm="1">
        <f t="array" ref="F27">Common_InputFunctions.Utility_DisplayArrayInTable(Fertiliser_SourceData.Fertiliser_ChemicalCompoundElements_Data(),Table_Fertiliser_ChemicalCompounds[[#Headers],[Fertiliser type f]], 0)</f>
        <v>0</v>
      </c>
      <c r="G27" s="152" t="str" cm="1">
        <f t="array" ref="G27">Common_InputFunctions.Utility_DisplayArrayInTable(Fertiliser_SourceData.Fertiliser_ChemicalCompoundElements_Data(),Table_Fertiliser_ChemicalCompounds[[#Headers],[Fertiliser type f]], 0)</f>
        <v>Ammonium-based fertilisers</v>
      </c>
      <c r="H27" s="152" t="str" cm="1">
        <f t="array" ref="H27">Common_InputFunctions.Utility_DisplayArrayInTable(Fertiliser_SourceData.Fertiliser_ChemicalCompoundElements_Data(),Table_Fertiliser_ChemicalCompounds[[#Headers],[Fertiliser type f]], 0)</f>
        <v>Nitrogen - Ammoniacal</v>
      </c>
      <c r="I27" s="15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
      <c r="A28" s="5" t="str">
        <f>HYPERLINK("#'4.5.1.1-2 Methane'!A1", "4.5.1.1-2 Manure Methane")</f>
        <v>4.5.1.1-2 Manure Methane</v>
      </c>
      <c r="D28" s="152" t="str" cm="1">
        <f t="array" ref="D28">Common_InputFunctions.Utility_DisplayArrayInTable(Fertiliser_SourceData.Fertiliser_ChemicalCompoundElements_Data(),Table_Fertiliser_ChemicalCompounds[[#Headers],[Fertiliser type f]], 0)</f>
        <v>Nitrogen - Nitrate</v>
      </c>
      <c r="E28" s="152" cm="1">
        <f t="array" ref="E28">Common_InputFunctions.Utility_DisplayArrayInTable(Fertiliser_SourceData.Fertiliser_ChemicalCompoundElements_Data(),Table_Fertiliser_ChemicalCompounds[[#Headers],[Fertiliser type f]], 0)</f>
        <v>1</v>
      </c>
      <c r="F28" s="152" cm="1">
        <f t="array" ref="F28">Common_InputFunctions.Utility_DisplayArrayInTable(Fertiliser_SourceData.Fertiliser_ChemicalCompoundElements_Data(),Table_Fertiliser_ChemicalCompounds[[#Headers],[Fertiliser type f]], 0)</f>
        <v>0</v>
      </c>
      <c r="G28" s="152" t="str" cm="1">
        <f t="array" ref="G28">Common_InputFunctions.Utility_DisplayArrayInTable(Fertiliser_SourceData.Fertiliser_ChemicalCompoundElements_Data(),Table_Fertiliser_ChemicalCompounds[[#Headers],[Fertiliser type f]], 0)</f>
        <v>Nitrate-based fertilisers</v>
      </c>
      <c r="H28" s="152" t="str" cm="1">
        <f t="array" ref="H28">Common_InputFunctions.Utility_DisplayArrayInTable(Fertiliser_SourceData.Fertiliser_ChemicalCompoundElements_Data(),Table_Fertiliser_ChemicalCompounds[[#Headers],[Fertiliser type f]], 0)</f>
        <v>Nitrogen from Nitrate</v>
      </c>
      <c r="I28" s="15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
      <c r="A29" s="5" t="str">
        <f>HYPERLINK("#'4.5.1.3-4 Direct N2O'!A1", "4.5.1.3-4 Manure Direct N2O")</f>
        <v>4.5.1.3-4 Manure Direct N2O</v>
      </c>
      <c r="D29" s="152" t="str" cm="1">
        <f t="array" ref="D29">Common_InputFunctions.Utility_DisplayArrayInTable(Fertiliser_SourceData.Fertiliser_ChemicalCompoundElements_Data(),Table_Fertiliser_ChemicalCompounds[[#Headers],[Fertiliser type f]], 0)</f>
        <v>Nitrogen - Generic</v>
      </c>
      <c r="E29" s="152" cm="1">
        <f t="array" ref="E29">Common_InputFunctions.Utility_DisplayArrayInTable(Fertiliser_SourceData.Fertiliser_ChemicalCompoundElements_Data(),Table_Fertiliser_ChemicalCompounds[[#Headers],[Fertiliser type f]], 0)</f>
        <v>1</v>
      </c>
      <c r="F29" s="152" cm="1">
        <f t="array" ref="F29">Common_InputFunctions.Utility_DisplayArrayInTable(Fertiliser_SourceData.Fertiliser_ChemicalCompoundElements_Data(),Table_Fertiliser_ChemicalCompounds[[#Headers],[Fertiliser type f]], 0)</f>
        <v>0</v>
      </c>
      <c r="G29" s="152" t="str" cm="1">
        <f t="array" ref="G29">Common_InputFunctions.Utility_DisplayArrayInTable(Fertiliser_SourceData.Fertiliser_ChemicalCompoundElements_Data(),Table_Fertiliser_ChemicalCompounds[[#Headers],[Fertiliser type f]], 0)</f>
        <v>Urea-based fertilisers</v>
      </c>
      <c r="H29" s="152" t="str" cm="1">
        <f t="array" ref="H29">Common_InputFunctions.Utility_DisplayArrayInTable(Fertiliser_SourceData.Fertiliser_ChemicalCompoundElements_Data(),Table_Fertiliser_ChemicalCompounds[[#Headers],[Fertiliser type f]], 0)</f>
        <v>Nitrogen from fertiliser</v>
      </c>
      <c r="I29" s="15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5" t="str">
        <f>HYPERLINK("#'4.5.1.5-6 Atmos Dep'!A1", "4.5.1.5-6 Manure Atmos Dep")</f>
        <v>4.5.1.5-6 Manure Atmos Dep</v>
      </c>
      <c r="D30" s="152" t="str" cm="1">
        <f t="array" ref="D30">Common_InputFunctions.Utility_DisplayArrayInTable(Fertiliser_SourceData.Fertiliser_ChemicalCompoundElements_Data(),Table_Fertiliser_ChemicalCompounds[[#Headers],[Fertiliser type f]], 0)</f>
        <v>Phosphorus - Generic</v>
      </c>
      <c r="E30" s="152" cm="1">
        <f t="array" ref="E30">Common_InputFunctions.Utility_DisplayArrayInTable(Fertiliser_SourceData.Fertiliser_ChemicalCompoundElements_Data(),Table_Fertiliser_ChemicalCompounds[[#Headers],[Fertiliser type f]], 0)</f>
        <v>0</v>
      </c>
      <c r="F30" s="152" cm="1">
        <f t="array" ref="F30">Common_InputFunctions.Utility_DisplayArrayInTable(Fertiliser_SourceData.Fertiliser_ChemicalCompoundElements_Data(),Table_Fertiliser_ChemicalCompounds[[#Headers],[Fertiliser type f]], 0)</f>
        <v>0</v>
      </c>
      <c r="G30" s="152" t="str" cm="1">
        <f t="array" ref="G30">Common_InputFunctions.Utility_DisplayArrayInTable(Fertiliser_SourceData.Fertiliser_ChemicalCompoundElements_Data(),Table_Fertiliser_ChemicalCompounds[[#Headers],[Fertiliser type f]], 0)</f>
        <v>Other fertilisers</v>
      </c>
      <c r="H30" s="152" t="str" cm="1">
        <f t="array" ref="H30">Common_InputFunctions.Utility_DisplayArrayInTable(Fertiliser_SourceData.Fertiliser_ChemicalCompoundElements_Data(),Table_Fertiliser_ChemicalCompounds[[#Headers],[Fertiliser type f]], 0)</f>
        <v>Phosphorus from fertiliser</v>
      </c>
      <c r="I30" s="15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HYPERLINK("#'4.5.1.7-8 Leaching and runoff'!A1", "4.5.1.7-8 Manure Leaching and runoff")</f>
        <v>4.5.1.7-8 Manure Leaching and runoff</v>
      </c>
      <c r="D31" s="152" t="str" cm="1">
        <f t="array" ref="D31">Common_InputFunctions.Utility_DisplayArrayInTable(Fertiliser_SourceData.Fertiliser_ChemicalCompoundElements_Data(),Table_Fertiliser_ChemicalCompounds[[#Headers],[Fertiliser type f]], 0)</f>
        <v>Potassium - Generic</v>
      </c>
      <c r="E31" s="152" cm="1">
        <f t="array" ref="E31">Common_InputFunctions.Utility_DisplayArrayInTable(Fertiliser_SourceData.Fertiliser_ChemicalCompoundElements_Data(),Table_Fertiliser_ChemicalCompounds[[#Headers],[Fertiliser type f]], 0)</f>
        <v>0</v>
      </c>
      <c r="F31" s="152" cm="1">
        <f t="array" ref="F31">Common_InputFunctions.Utility_DisplayArrayInTable(Fertiliser_SourceData.Fertiliser_ChemicalCompoundElements_Data(),Table_Fertiliser_ChemicalCompounds[[#Headers],[Fertiliser type f]], 0)</f>
        <v>0</v>
      </c>
      <c r="G31" s="152" t="str" cm="1">
        <f t="array" ref="G31">Common_InputFunctions.Utility_DisplayArrayInTable(Fertiliser_SourceData.Fertiliser_ChemicalCompoundElements_Data(),Table_Fertiliser_ChemicalCompounds[[#Headers],[Fertiliser type f]], 0)</f>
        <v>Other fertilisers</v>
      </c>
      <c r="H31" s="152" t="str" cm="1">
        <f t="array" ref="H31">Common_InputFunctions.Utility_DisplayArrayInTable(Fertiliser_SourceData.Fertiliser_ChemicalCompoundElements_Data(),Table_Fertiliser_ChemicalCompounds[[#Headers],[Fertiliser type f]], 0)</f>
        <v>Potassium from fertiliser</v>
      </c>
      <c r="I31" s="15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HYPERLINK("#'4.5.1.9 Manure applied to soils'!A1", "4.5.1.9 Manure applied to soils")</f>
        <v>4.5.1.9 Manure applied to soils</v>
      </c>
      <c r="D32" s="152" t="str" cm="1">
        <f t="array" ref="D32">Common_InputFunctions.Utility_DisplayArrayInTable(Fertiliser_SourceData.Fertiliser_ChemicalCompoundElements_Data(),Table_Fertiliser_ChemicalCompounds[[#Headers],[Fertiliser type f]], 0)</f>
        <v>Sulfur - Generic</v>
      </c>
      <c r="E32" s="152" cm="1">
        <f t="array" ref="E32">Common_InputFunctions.Utility_DisplayArrayInTable(Fertiliser_SourceData.Fertiliser_ChemicalCompoundElements_Data(),Table_Fertiliser_ChemicalCompounds[[#Headers],[Fertiliser type f]], 0)</f>
        <v>0</v>
      </c>
      <c r="F32" s="152" cm="1">
        <f t="array" ref="F32">Common_InputFunctions.Utility_DisplayArrayInTable(Fertiliser_SourceData.Fertiliser_ChemicalCompoundElements_Data(),Table_Fertiliser_ChemicalCompounds[[#Headers],[Fertiliser type f]], 0)</f>
        <v>0</v>
      </c>
      <c r="G32" s="152" t="str" cm="1">
        <f t="array" ref="G32">Common_InputFunctions.Utility_DisplayArrayInTable(Fertiliser_SourceData.Fertiliser_ChemicalCompoundElements_Data(),Table_Fertiliser_ChemicalCompounds[[#Headers],[Fertiliser type f]], 0)</f>
        <v>Other fertilisers</v>
      </c>
      <c r="H32" s="152" t="str" cm="1">
        <f t="array" ref="H32">Common_InputFunctions.Utility_DisplayArrayInTable(Fertiliser_SourceData.Fertiliser_ChemicalCompoundElements_Data(),Table_Fertiliser_ChemicalCompounds[[#Headers],[Fertiliser type f]], 0)</f>
        <v>Sulfur from fertiliser</v>
      </c>
      <c r="I32" s="15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HYPERLINK("#'8.1.1.1-2 Transport fuel'!A1", "8.1.1.1-2 Transport fuel")</f>
        <v>8.1.1.1-2 Transport fuel</v>
      </c>
      <c r="D33" s="152" t="str" cm="1">
        <f t="array" ref="D33">Common_InputFunctions.Utility_DisplayArrayInTable(Fertiliser_SourceData.Fertiliser_ChemicalCompoundElements_Data(),Table_Fertiliser_ChemicalCompounds[[#Headers],[Fertiliser type f]], 0)</f>
        <v>Zinc - Generic</v>
      </c>
      <c r="E33" s="152" cm="1">
        <f t="array" ref="E33">Common_InputFunctions.Utility_DisplayArrayInTable(Fertiliser_SourceData.Fertiliser_ChemicalCompoundElements_Data(),Table_Fertiliser_ChemicalCompounds[[#Headers],[Fertiliser type f]], 0)</f>
        <v>0</v>
      </c>
      <c r="F33" s="152" cm="1">
        <f t="array" ref="F33">Common_InputFunctions.Utility_DisplayArrayInTable(Fertiliser_SourceData.Fertiliser_ChemicalCompoundElements_Data(),Table_Fertiliser_ChemicalCompounds[[#Headers],[Fertiliser type f]], 0)</f>
        <v>0</v>
      </c>
      <c r="G33" s="152" t="str" cm="1">
        <f t="array" ref="G33">Common_InputFunctions.Utility_DisplayArrayInTable(Fertiliser_SourceData.Fertiliser_ChemicalCompoundElements_Data(),Table_Fertiliser_ChemicalCompounds[[#Headers],[Fertiliser type f]], 0)</f>
        <v>Other fertilisers</v>
      </c>
      <c r="H33" s="152" t="str" cm="1">
        <f t="array" ref="H33">Common_InputFunctions.Utility_DisplayArrayInTable(Fertiliser_SourceData.Fertiliser_ChemicalCompoundElements_Data(),Table_Fertiliser_ChemicalCompounds[[#Headers],[Fertiliser type f]], 0)</f>
        <v>Zinc from fertiliser</v>
      </c>
      <c r="I33" s="15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HYPERLINK("#'8.2.1.1-2 Stationary fuel'!A1", "8.2.1.1-2 Stationary fuel")</f>
        <v>8.2.1.1-2 Stationary fuel</v>
      </c>
      <c r="D34" s="152" t="str" cm="1">
        <f t="array" ref="D34">Common_InputFunctions.Utility_DisplayArrayInTable(Fertiliser_SourceData.Fertiliser_ChemicalCompoundElements_Data(),Table_Fertiliser_ChemicalCompounds[[#Headers],[Fertiliser type f]], 0)</f>
        <v>Muriate of potash (MOP)</v>
      </c>
      <c r="E34" s="152" cm="1">
        <f t="array" ref="E34">Common_InputFunctions.Utility_DisplayArrayInTable(Fertiliser_SourceData.Fertiliser_ChemicalCompoundElements_Data(),Table_Fertiliser_ChemicalCompounds[[#Headers],[Fertiliser type f]], 0)</f>
        <v>0</v>
      </c>
      <c r="F34" s="152" cm="1">
        <f t="array" ref="F34">Common_InputFunctions.Utility_DisplayArrayInTable(Fertiliser_SourceData.Fertiliser_ChemicalCompoundElements_Data(),Table_Fertiliser_ChemicalCompounds[[#Headers],[Fertiliser type f]], 0)</f>
        <v>0</v>
      </c>
      <c r="G34" s="152" t="str" cm="1">
        <f t="array" ref="G34">Common_InputFunctions.Utility_DisplayArrayInTable(Fertiliser_SourceData.Fertiliser_ChemicalCompoundElements_Data(),Table_Fertiliser_ChemicalCompounds[[#Headers],[Fertiliser type f]], 0)</f>
        <v>Other fertilisers</v>
      </c>
      <c r="H34" s="152" t="str" cm="1">
        <f t="array" ref="H34">Common_InputFunctions.Utility_DisplayArrayInTable(Fertiliser_SourceData.Fertiliser_ChemicalCompoundElements_Data(),Table_Fertiliser_ChemicalCompounds[[#Headers],[Fertiliser type f]], 0)</f>
        <v>Muriate of potash (MOP)</v>
      </c>
      <c r="I34" s="15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HYPERLINK("#'10.1.1-2 Solid waste treatment'!A1", "10.1.1.1-2 Solid waste")</f>
        <v>10.1.1.1-2 Solid waste</v>
      </c>
      <c r="D35" s="152" t="str" cm="1">
        <f t="array" ref="D35">Common_InputFunctions.Utility_DisplayArrayInTable(Fertiliser_SourceData.Fertiliser_ChemicalCompoundElements_Data(),Table_Fertiliser_ChemicalCompounds[[#Headers],[Fertiliser type f]], 0)</f>
        <v>Double superphosphate</v>
      </c>
      <c r="E35" s="152" cm="1">
        <f t="array" ref="E35">Common_InputFunctions.Utility_DisplayArrayInTable(Fertiliser_SourceData.Fertiliser_ChemicalCompoundElements_Data(),Table_Fertiliser_ChemicalCompounds[[#Headers],[Fertiliser type f]], 0)</f>
        <v>0</v>
      </c>
      <c r="F35" s="152" cm="1">
        <f t="array" ref="F35">Common_InputFunctions.Utility_DisplayArrayInTable(Fertiliser_SourceData.Fertiliser_ChemicalCompoundElements_Data(),Table_Fertiliser_ChemicalCompounds[[#Headers],[Fertiliser type f]], 0)</f>
        <v>0</v>
      </c>
      <c r="G35" s="152" t="str" cm="1">
        <f t="array" ref="G35">Common_InputFunctions.Utility_DisplayArrayInTable(Fertiliser_SourceData.Fertiliser_ChemicalCompoundElements_Data(),Table_Fertiliser_ChemicalCompounds[[#Headers],[Fertiliser type f]], 0)</f>
        <v>Other fertilisers</v>
      </c>
      <c r="H35" s="152" t="str" cm="1">
        <f t="array" ref="H35">Common_InputFunctions.Utility_DisplayArrayInTable(Fertiliser_SourceData.Fertiliser_ChemicalCompoundElements_Data(),Table_Fertiliser_ChemicalCompounds[[#Headers],[Fertiliser type f]], 0)</f>
        <v>Double superphosphate</v>
      </c>
      <c r="I35" s="15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HYPERLINK("#'14.1.1-2 Purchased electricity'!A1", "14.1.1-2 Purchased electricity")</f>
        <v>14.1.1-2 Purchased electricity</v>
      </c>
      <c r="D36" s="152" t="str" cm="1">
        <f t="array" ref="D36">Common_InputFunctions.Utility_DisplayArrayInTable(Fertiliser_SourceData.Fertiliser_ChemicalCompoundElements_Data(),Table_Fertiliser_ChemicalCompounds[[#Headers],[Fertiliser type f]], 0)</f>
        <v>Single superphosphate (SSP)</v>
      </c>
      <c r="E36" s="152" cm="1">
        <f t="array" ref="E36">Common_InputFunctions.Utility_DisplayArrayInTable(Fertiliser_SourceData.Fertiliser_ChemicalCompoundElements_Data(),Table_Fertiliser_ChemicalCompounds[[#Headers],[Fertiliser type f]], 0)</f>
        <v>0</v>
      </c>
      <c r="F36" s="152" cm="1">
        <f t="array" ref="F36">Common_InputFunctions.Utility_DisplayArrayInTable(Fertiliser_SourceData.Fertiliser_ChemicalCompoundElements_Data(),Table_Fertiliser_ChemicalCompounds[[#Headers],[Fertiliser type f]], 0)</f>
        <v>0</v>
      </c>
      <c r="G36" s="152" t="str" cm="1">
        <f t="array" ref="G36">Common_InputFunctions.Utility_DisplayArrayInTable(Fertiliser_SourceData.Fertiliser_ChemicalCompoundElements_Data(),Table_Fertiliser_ChemicalCompounds[[#Headers],[Fertiliser type f]], 0)</f>
        <v>Other fertilisers</v>
      </c>
      <c r="H36" s="152" t="str" cm="1">
        <f t="array" ref="H36">Common_InputFunctions.Utility_DisplayArrayInTable(Fertiliser_SourceData.Fertiliser_ChemicalCompoundElements_Data(),Table_Fertiliser_ChemicalCompounds[[#Headers],[Fertiliser type f]], 0)</f>
        <v>Single superphosphate (SSP)</v>
      </c>
      <c r="I36" s="15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HYPERLINK("#'15 Scope 3'!A1", "15 Scope 3")</f>
        <v>15 Scope 3</v>
      </c>
      <c r="D37" s="152" t="str" cm="1">
        <f t="array" ref="D37">Common_InputFunctions.Utility_DisplayArrayInTable(Fertiliser_SourceData.Fertiliser_ChemicalCompoundElements_Data(),Table_Fertiliser_ChemicalCompounds[[#Headers],[Fertiliser type f]], 0)</f>
        <v>Ammonia</v>
      </c>
      <c r="E37" s="152" cm="1">
        <f t="array" ref="E37">Common_InputFunctions.Utility_DisplayArrayInTable(Fertiliser_SourceData.Fertiliser_ChemicalCompoundElements_Data(),Table_Fertiliser_ChemicalCompounds[[#Headers],[Fertiliser type f]], 0)</f>
        <v>0.82350000000000001</v>
      </c>
      <c r="F37" s="152" cm="1">
        <f t="array" ref="F37">Common_InputFunctions.Utility_DisplayArrayInTable(Fertiliser_SourceData.Fertiliser_ChemicalCompoundElements_Data(),Table_Fertiliser_ChemicalCompounds[[#Headers],[Fertiliser type f]], 0)</f>
        <v>0</v>
      </c>
      <c r="G37" s="152" t="str" cm="1">
        <f t="array" ref="G37">Common_InputFunctions.Utility_DisplayArrayInTable(Fertiliser_SourceData.Fertiliser_ChemicalCompoundElements_Data(),Table_Fertiliser_ChemicalCompounds[[#Headers],[Fertiliser type f]], 0)</f>
        <v>Ammonium-based fertilisers</v>
      </c>
      <c r="H37" s="152" t="str" cm="1">
        <f t="array" ref="H37">Common_InputFunctions.Utility_DisplayArrayInTable(Fertiliser_SourceData.Fertiliser_ChemicalCompoundElements_Data(),Table_Fertiliser_ChemicalCompounds[[#Headers],[Fertiliser type f]], 0)</f>
        <v>Ammonia</v>
      </c>
      <c r="I37" s="15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A38" s="5" t="str">
        <f>HYPERLINK("#'Calcs - Manure sent off-site'!A1", "Calcs - Manure sent off-site")</f>
        <v>Calcs - Manure sent off-site</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
      <c r="A39" s="5" t="str">
        <f>HYPERLINK("#'5.1.1.1-2 Inorganic fert N2O'!A1", "5.1.1.1-2 Inorganic fert N2O")</f>
        <v>5.1.1.1-2 Inorganic fert N2O</v>
      </c>
    </row>
    <row r="40" spans="1:10" ht="20.100000000000001" customHeight="1" x14ac:dyDescent="0.2">
      <c r="A40" s="5" t="str">
        <f>HYPERLINK("#'5.1.1.3-4 Inorganic fert CO2'!A1", "5.1.1.3-4 Inorganic fert CO2")</f>
        <v>5.1.1.3-4 Inorganic fert CO2</v>
      </c>
      <c r="D40" s="2" t="s">
        <v>836</v>
      </c>
      <c r="F40" s="2" t="s">
        <v>837</v>
      </c>
      <c r="H40" s="2" t="s">
        <v>475</v>
      </c>
      <c r="J40" s="2" t="s">
        <v>838</v>
      </c>
    </row>
    <row r="41" spans="1:10" ht="20.100000000000001" customHeight="1" x14ac:dyDescent="0.2">
      <c r="A41" s="5" t="str">
        <f>HYPERLINK("#'5.2.1.1-2 Organic Fert N2O'!A1", "5.2.1.1-2 Organic Fert N2O")</f>
        <v>5.2.1.1-2 Organic Fert N2O</v>
      </c>
      <c r="D41" s="19" t="s">
        <v>303</v>
      </c>
      <c r="F41" s="19" t="s">
        <v>303</v>
      </c>
      <c r="H41" s="19" t="s">
        <v>63</v>
      </c>
      <c r="J41" s="19" t="s">
        <v>839</v>
      </c>
    </row>
    <row r="42" spans="1:10" ht="20.100000000000001" customHeight="1" x14ac:dyDescent="0.2">
      <c r="A42" s="5" t="str">
        <f>HYPERLINK("#'5.3.1.1-2 Lime CO2'!A1", "5.3.1.1-2 Lime CO2")</f>
        <v>5.3.1.1-2 Lime CO2</v>
      </c>
      <c r="D42" s="19" t="s">
        <v>479</v>
      </c>
      <c r="F42" s="19" t="s">
        <v>479</v>
      </c>
      <c r="H42" s="19" t="s">
        <v>480</v>
      </c>
      <c r="J42" s="19" t="s">
        <v>840</v>
      </c>
    </row>
    <row r="43" spans="1:10" ht="20.100000000000001" customHeight="1" x14ac:dyDescent="0.2">
      <c r="A43" s="5" t="str">
        <f>HYPERLINK("#'5.4.1.1-4 Atmos deposition'!A1", "5.4.1.1-4 Atmos deposition")</f>
        <v>5.4.1.1-4 Atmos deposition</v>
      </c>
      <c r="D43" s="1" t="s">
        <v>319</v>
      </c>
      <c r="F43" s="1" t="s">
        <v>841</v>
      </c>
      <c r="H43" s="19" t="s">
        <v>481</v>
      </c>
      <c r="J43" s="1" t="s">
        <v>738</v>
      </c>
    </row>
    <row r="44" spans="1:10" ht="20.100000000000001" customHeight="1" x14ac:dyDescent="0.2">
      <c r="A44" s="5" t="str">
        <f>HYPERLINK("#'5.5.1.1-2 Leaching and runoff'!A1", "5.5.1.1-2 Leaching and runoff")</f>
        <v>5.5.1.1-2 Leaching and runoff</v>
      </c>
      <c r="F44" s="1" t="s">
        <v>671</v>
      </c>
      <c r="H44" s="1" t="s">
        <v>320</v>
      </c>
      <c r="J44" s="1" t="s">
        <v>842</v>
      </c>
    </row>
    <row r="45" spans="1:10" ht="20.100000000000001" customHeight="1" x14ac:dyDescent="0.2">
      <c r="F45" s="1" t="s">
        <v>776</v>
      </c>
      <c r="H45" s="1" t="s">
        <v>482</v>
      </c>
      <c r="J45" s="1" t="s">
        <v>737</v>
      </c>
    </row>
    <row r="46" spans="1:10" ht="20.100000000000001" customHeight="1" x14ac:dyDescent="0.2">
      <c r="H46" s="1" t="s">
        <v>483</v>
      </c>
      <c r="J46" s="1" t="s">
        <v>739</v>
      </c>
    </row>
    <row r="47" spans="1:10" ht="20.100000000000001" customHeight="1" x14ac:dyDescent="0.2">
      <c r="A47" s="79" t="s">
        <v>1</v>
      </c>
    </row>
    <row r="48" spans="1:10" ht="20.100000000000001" customHeight="1" x14ac:dyDescent="0.2">
      <c r="A48" s="5" t="str">
        <f>HYPERLINK("#'Constants - Swine'!A1", "Constants - Swine")</f>
        <v>Constants - Swine</v>
      </c>
      <c r="D48" s="2" t="str" cm="1">
        <f t="array" ref="D48">Fertiliser_SourceData.Fertiliser_FracGASF_Title()</f>
        <v>Fraction of inorganic fertiliser that volatilises as NH3 and NOx</v>
      </c>
      <c r="G48" s="158"/>
    </row>
    <row r="49" spans="1:8" ht="20.100000000000001" customHeight="1" x14ac:dyDescent="0.2">
      <c r="A49" s="5" t="str">
        <f>HYPERLINK("#'Constants - Common livestock'!A1", "Constants - Common Livestock")</f>
        <v>Constants - Common Livestock</v>
      </c>
      <c r="D49" s="17" t="str" cm="1">
        <f t="array" ref="D49">Fertiliser_SourceData.Fertiliser_FracGASF_Source()</f>
        <v>Table A.2.2.6: Fraction of inorganic fertiliser f that volatilises as NH3 and NOx ((kg NH3-N + NOx-N)/kg N) (FracGASFf)</v>
      </c>
      <c r="G49" s="158"/>
    </row>
    <row r="50" spans="1:8" ht="20.100000000000001" customHeight="1" x14ac:dyDescent="0.2">
      <c r="A50" s="5" t="str">
        <f>HYPERLINK("#'Constants - Electricity'!A1", "Constants - Electricity")</f>
        <v>Constants - Electricity</v>
      </c>
      <c r="D50" s="19" t="s">
        <v>754</v>
      </c>
      <c r="E50" s="19" t="s">
        <v>843</v>
      </c>
      <c r="G50" s="158"/>
    </row>
    <row r="51" spans="1:8" ht="20.100000000000001" customHeight="1" x14ac:dyDescent="0.2">
      <c r="A51" s="80" t="str">
        <f>HYPERLINK("#'Constants - Fertiliser'!A1", "Constants - Fertiliser")</f>
        <v>Constants - Fertiliser</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8"/>
    </row>
    <row r="52" spans="1:8" ht="20.100000000000001" customHeight="1" x14ac:dyDescent="0.2">
      <c r="A52" s="5" t="str">
        <f>HYPERLINK("#'Constants - Fuel'!A1", "Constants - Fuel")</f>
        <v>Constants - Fuel</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8"/>
    </row>
    <row r="53" spans="1:8" ht="20.100000000000001" customHeight="1" x14ac:dyDescent="0.2">
      <c r="A53" s="5" t="str">
        <f>HYPERLINK("#'Constants - Scope 3'!A1", "Constants - Scope 3")</f>
        <v>Constants -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8"/>
    </row>
    <row r="54" spans="1:8" ht="20.100000000000001" customHeight="1" x14ac:dyDescent="0.2">
      <c r="A54" s="5" t="str">
        <f>HYPERLINK("#'Constants - Solid Waste'!A1", "Constants - Solid Waste")</f>
        <v>Constants - Solid Waste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8"/>
      <c r="H54" s="158"/>
    </row>
    <row r="55" spans="1:8" ht="20.100000000000001" customHeight="1" x14ac:dyDescent="0.2">
      <c r="A55" s="5" t="str">
        <f>HYPERLINK("#'Constants - Common'!A1", "Constants - Common")</f>
        <v>Constants - Common</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8"/>
      <c r="H55" s="158"/>
    </row>
    <row r="56" spans="1:8" ht="20.100000000000001" customHeight="1" x14ac:dyDescent="0.2">
      <c r="A56" s="5" t="str">
        <f>HYPERLINK("#'Acknowledgements'!A1", "Acknowledgements")</f>
        <v>Acknowledgements</v>
      </c>
    </row>
    <row r="58" spans="1:8" ht="20.100000000000001" customHeight="1" x14ac:dyDescent="0.2">
      <c r="D58" s="2" t="str" cm="1">
        <f t="array" ref="D58">Fertiliser_SourceData.Fertiliser_EFUreaCO2_Title()</f>
        <v>Emission factor for carbon emissions from urea application</v>
      </c>
    </row>
    <row r="59" spans="1:8" ht="20.100000000000001" customHeight="1" x14ac:dyDescent="0.2">
      <c r="D59" s="17" t="str" cm="1">
        <f t="array" ref="D59">Fertiliser_SourceData.Fertiliser_EFUreaCO2_Source()</f>
        <v>VEERG 2026: 5.1.2.2 Constant Parameters</v>
      </c>
    </row>
    <row r="60" spans="1:8" ht="20.100000000000001" customHeight="1" x14ac:dyDescent="0.2">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3" spans="1:8" ht="20.100000000000001" customHeight="1" x14ac:dyDescent="0.2">
      <c r="D63" s="2" t="str" cm="1">
        <f t="array" ref="D63">Fertiliser_SourceData.Fertiliser_LimeDolomiteGypsumConstants_Title()</f>
        <v>Constants for lime, dolomite and gypsum</v>
      </c>
    </row>
    <row r="64" spans="1:8" ht="20.100000000000001" customHeight="1" x14ac:dyDescent="0.2">
      <c r="D64" s="17" t="str" cm="1">
        <f t="array" ref="D64">Fertiliser_SourceData.Fertiliser_LimeDolomiteGypsumConstants_Source()</f>
        <v>VEERG 2026: 5.3.2.3 Constant Parameters</v>
      </c>
    </row>
    <row r="65" spans="1:6" ht="20.100000000000001" customHeight="1" x14ac:dyDescent="0.2">
      <c r="D65" s="19" t="s">
        <v>797</v>
      </c>
      <c r="E65" s="19" t="s">
        <v>844</v>
      </c>
      <c r="F65" s="19" t="s">
        <v>412</v>
      </c>
    </row>
    <row r="66" spans="1:6" ht="20.100000000000001" customHeight="1" x14ac:dyDescent="0.2">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A67" s="131" t="str">
        <f>HYPERLINK("#A1", "▲ Back to top")</f>
        <v>▲ Back to top</v>
      </c>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71" spans="1:6" ht="20.100000000000001" customHeight="1" x14ac:dyDescent="0.2">
      <c r="D71" s="2" t="str" cm="1">
        <f t="array" ref="D71">Fertiliser_SourceData.Fertiliser_FracGASMSoil_Title()</f>
        <v>Fraction of organic fertiliser that volatilises as NH3 and NOx</v>
      </c>
    </row>
    <row r="72" spans="1:6" ht="20.100000000000001" customHeight="1" x14ac:dyDescent="0.2">
      <c r="D72" s="17" t="str" cm="1">
        <f t="array" ref="D72">Fertiliser_SourceData.Fertiliser_FracGASMSoil_Source()</f>
        <v>VEERG 2026: 5.4.2.3 Constant Parameters</v>
      </c>
    </row>
    <row r="73" spans="1:6" ht="20.100000000000001" customHeight="1" x14ac:dyDescent="0.2">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1:6" ht="20.100000000000001" customHeight="1" x14ac:dyDescent="0.2">
      <c r="D76" s="2" t="str" cm="1">
        <f t="array" ref="D76">Fertiliser_SourceData.Fertiliser_FracLEACH_Title()</f>
        <v>Fraction of nitrogen that is lost through leaching and runoff</v>
      </c>
    </row>
    <row r="77" spans="1:6" ht="20.100000000000001" customHeight="1" x14ac:dyDescent="0.2">
      <c r="D77" s="17" t="str" cm="1">
        <f t="array" ref="D77">Fertiliser_SourceData.Fertiliser_FracLEACH_Source()</f>
        <v>VEERG 2026: 5.5.2.3 Constant Parameters</v>
      </c>
    </row>
    <row r="78" spans="1:6" ht="20.100000000000001" customHeight="1" x14ac:dyDescent="0.2">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81" spans="4:39" ht="20.100000000000001" customHeight="1" x14ac:dyDescent="0.2">
      <c r="D81" s="2" t="str" cm="1">
        <f t="array" ref="D81">Fertiliser_SourceData.Fertiliser_EFLeach_Title()</f>
        <v>Emission factor for nitrogen leaching and runoff</v>
      </c>
    </row>
    <row r="82" spans="4:39" ht="20.100000000000001" customHeight="1" x14ac:dyDescent="0.2">
      <c r="D82" s="17" t="str" cm="1">
        <f t="array" ref="D82">Fertiliser_SourceData.Fertiliser_EFLeach_Source()</f>
        <v>VEERG 2026: 5.5.2.3 Constant Parameters</v>
      </c>
    </row>
    <row r="83" spans="4:39" ht="20.100000000000001" customHeight="1" x14ac:dyDescent="0.2">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4:39" ht="20.100000000000001" customHeight="1" x14ac:dyDescent="0.2">
      <c r="D87" s="2" t="s">
        <v>845</v>
      </c>
      <c r="E87" s="158"/>
      <c r="F87" s="158"/>
      <c r="G87" s="158"/>
      <c r="H87" s="158"/>
      <c r="I87" s="158"/>
      <c r="J87" s="158"/>
      <c r="K87" s="158"/>
      <c r="L87" s="158"/>
      <c r="N87" s="158"/>
      <c r="O87" s="158"/>
      <c r="P87" s="158"/>
      <c r="Q87" s="158"/>
      <c r="R87" s="158"/>
      <c r="S87" s="158"/>
      <c r="T87" s="158"/>
      <c r="U87" s="158"/>
    </row>
    <row r="88" spans="4:39" ht="20.100000000000001" customHeight="1" x14ac:dyDescent="0.2">
      <c r="D88" s="158"/>
    </row>
    <row r="89" spans="4:39" ht="20.100000000000001" customHeight="1" x14ac:dyDescent="0.2">
      <c r="D89" s="240" t="s">
        <v>846</v>
      </c>
      <c r="E89" s="19" t="s">
        <v>132</v>
      </c>
      <c r="F89" s="19" t="s">
        <v>118</v>
      </c>
      <c r="G89" s="200" t="s">
        <v>683</v>
      </c>
      <c r="H89" s="200" t="s">
        <v>847</v>
      </c>
      <c r="I89" s="200" t="s">
        <v>700</v>
      </c>
      <c r="J89" s="200" t="s">
        <v>701</v>
      </c>
      <c r="K89" s="200" t="s">
        <v>848</v>
      </c>
      <c r="L89" s="200" t="s">
        <v>849</v>
      </c>
      <c r="M89" s="200" t="s">
        <v>850</v>
      </c>
      <c r="N89" s="200" t="s">
        <v>851</v>
      </c>
      <c r="O89" s="200" t="s">
        <v>685</v>
      </c>
      <c r="P89" s="200" t="s">
        <v>686</v>
      </c>
      <c r="Q89" s="19" t="s">
        <v>687</v>
      </c>
      <c r="R89" s="19" t="s">
        <v>688</v>
      </c>
      <c r="S89" s="19" t="s">
        <v>689</v>
      </c>
      <c r="T89" s="19" t="s">
        <v>690</v>
      </c>
      <c r="U89" s="200" t="s">
        <v>691</v>
      </c>
      <c r="V89" s="200" t="s">
        <v>692</v>
      </c>
      <c r="W89" s="19" t="s">
        <v>693</v>
      </c>
      <c r="X89" s="200" t="s">
        <v>694</v>
      </c>
      <c r="Y89" s="200" t="s">
        <v>695</v>
      </c>
      <c r="Z89" s="200" t="s">
        <v>696</v>
      </c>
      <c r="AA89" s="200" t="s">
        <v>852</v>
      </c>
      <c r="AB89" s="200" t="s">
        <v>853</v>
      </c>
      <c r="AC89" s="19" t="s">
        <v>854</v>
      </c>
      <c r="AD89" s="19" t="s">
        <v>855</v>
      </c>
      <c r="AE89" s="19" t="s">
        <v>856</v>
      </c>
      <c r="AF89" s="19" t="s">
        <v>857</v>
      </c>
      <c r="AG89" s="19" t="s">
        <v>858</v>
      </c>
      <c r="AH89" s="19" t="s">
        <v>859</v>
      </c>
      <c r="AK89" s="1"/>
      <c r="AL89" s="1"/>
      <c r="AM89" s="1"/>
    </row>
    <row r="90" spans="4:39" ht="20.100000000000001" customHeight="1" x14ac:dyDescent="0.2">
      <c r="D90" s="152" t="str" cm="1">
        <f t="array" ref="D90">Common_InputFunctions.Utility_DisplayArrayInTable(Fertiliser_SourceData.Fertiliser_Products_Data1(), FertiliserProducts[[#Headers],[Company]],1)</f>
        <v>Campbells fertilisers Australia</v>
      </c>
      <c r="E90" s="152" t="str" cm="1">
        <f t="array" ref="E90">Common_InputFunctions.Utility_DisplayArrayInTable(Fertiliser_SourceData.Fertiliser_Products_Data1(), FertiliserProducts[[#Headers],[Company]],1)</f>
        <v>Aqua Finish</v>
      </c>
      <c r="F90" s="152" t="str" cm="1">
        <f t="array" ref="F90">Common_InputFunctions.Utility_DisplayArrayInTable(Fertiliser_SourceData.Fertiliser_Products_Data1(), FertiliserProducts[[#Headers],[Company]],1)</f>
        <v>L</v>
      </c>
      <c r="G90" s="152" cm="1">
        <f t="array" ref="G90">Common_InputFunctions.Utility_DisplayArrayInTable(Fertiliser_SourceData.Fertiliser_Products_Data1(), FertiliserProducts[[#Headers],[Company]],1)</f>
        <v>1.26</v>
      </c>
      <c r="H90" s="152" t="str" cm="1">
        <f t="array" ref="H90">Common_InputFunctions.Utility_DisplayArrayInTable(Fertiliser_SourceData.Fertiliser_Products_Data1(), FertiliserProducts[[#Headers],[Company]],1)</f>
        <v/>
      </c>
      <c r="I90" s="152" t="str" cm="1">
        <f t="array" ref="I90">Common_InputFunctions.Utility_DisplayArrayInTable(Fertiliser_SourceData.Fertiliser_Products_Data1(), FertiliserProducts[[#Headers],[Company]],1)</f>
        <v/>
      </c>
      <c r="J90" s="152" t="str" cm="1">
        <f t="array" ref="J90">Common_InputFunctions.Utility_DisplayArrayInTable(Fertiliser_SourceData.Fertiliser_Products_Data1(), FertiliserProducts[[#Headers],[Company]],1)</f>
        <v/>
      </c>
      <c r="K90" s="152" cm="1">
        <f t="array" ref="K90">Common_InputFunctions.Utility_DisplayArrayInTable(Fertiliser_SourceData.Fertiliser_Products_Data1(), FertiliserProducts[[#Headers],[Company]],1)</f>
        <v>2.6</v>
      </c>
      <c r="L90" s="152" cm="1">
        <f t="array" ref="L90">Common_InputFunctions.Utility_DisplayArrayInTable(Fertiliser_SourceData.Fertiliser_Products_Data1(), FertiliserProducts[[#Headers],[Company]],1)</f>
        <v>4</v>
      </c>
      <c r="M90" s="152" cm="1">
        <f t="array" ref="M90">Common_InputFunctions.Utility_DisplayArrayInTable(Fertiliser_SourceData.Fertiliser_Products_Data1(), FertiliserProducts[[#Headers],[Company]],1)</f>
        <v>22.5</v>
      </c>
      <c r="N90" s="152" t="str" cm="1">
        <f t="array" ref="N90">Common_InputFunctions.Utility_DisplayArrayInTable(Fertiliser_SourceData.Fertiliser_Products_Data1(), FertiliserProducts[[#Headers],[Company]],1)</f>
        <v/>
      </c>
      <c r="O90" s="152" t="str" cm="1">
        <f t="array" ref="O90">Common_InputFunctions.Utility_DisplayArrayInTable(Fertiliser_SourceData.Fertiliser_Products_Data1(), FertiliserProducts[[#Headers],[Company]],1)</f>
        <v>Potassium - Generic</v>
      </c>
      <c r="P90" s="152" cm="1">
        <f t="array" ref="P90">Common_InputFunctions.Utility_DisplayArrayInTable(Fertiliser_SourceData.Fertiliser_Products_Data1(), FertiliserProducts[[#Headers],[Company]],1)</f>
        <v>0.22500000000000001</v>
      </c>
      <c r="Q90" s="152" t="str" cm="1">
        <f t="array" ref="Q90">Common_InputFunctions.Utility_DisplayArrayInTable(Fertiliser_SourceData.Fertiliser_Products_Data1(), FertiliserProducts[[#Headers],[Company]],1)</f>
        <v>Phosphorus - Generic</v>
      </c>
      <c r="R90" s="152" cm="1">
        <f t="array" ref="R90">Common_InputFunctions.Utility_DisplayArrayInTable(Fertiliser_SourceData.Fertiliser_Products_Data1(), FertiliserProducts[[#Headers],[Company]],1)</f>
        <v>0.04</v>
      </c>
      <c r="S90" s="152" t="str" cm="1">
        <f t="array" ref="S90">Common_InputFunctions.Utility_DisplayArrayInTable(Fertiliser_SourceData.Fertiliser_Products_Data1(), FertiliserProducts[[#Headers],[Company]],1)</f>
        <v>Nitrogen - Generic</v>
      </c>
      <c r="T90" s="152" cm="1">
        <f t="array" ref="T90">Common_InputFunctions.Utility_DisplayArrayInTable(Fertiliser_SourceData.Fertiliser_Products_Data1(), FertiliserProducts[[#Headers],[Company]],1)</f>
        <v>2.5999999999999999E-2</v>
      </c>
      <c r="U90" s="152" t="str" cm="1">
        <f t="array" ref="U90">Common_InputFunctions.Utility_DisplayArrayInTable(Fertiliser_SourceData.Fertiliser_Products_Data1(), FertiliserProducts[[#Headers],[Company]],1)</f>
        <v/>
      </c>
      <c r="V90" s="152" t="str" cm="1">
        <f t="array" ref="V90">Common_InputFunctions.Utility_DisplayArrayInTable(Fertiliser_SourceData.Fertiliser_Products_Data1(), FertiliserProducts[[#Headers],[Company]],1)</f>
        <v/>
      </c>
      <c r="W90" s="152" t="str" cm="1">
        <f t="array" ref="W90">Common_InputFunctions.Utility_DisplayArrayInTable(Fertiliser_SourceData.Fertiliser_Products_Data1(), FertiliserProducts[[#Headers],[Company]],1)</f>
        <v/>
      </c>
      <c r="X90" s="152" t="str" cm="1">
        <f t="array" ref="X90">Common_InputFunctions.Utility_DisplayArrayInTable(Fertiliser_SourceData.Fertiliser_Products_Data1(), FertiliserProducts[[#Headers],[Company]],1)</f>
        <v/>
      </c>
      <c r="Y90" s="152" t="str" cm="1">
        <f t="array" ref="Y90">Common_InputFunctions.Utility_DisplayArrayInTable(Fertiliser_SourceData.Fertiliser_Products_Data1(), FertiliserProducts[[#Headers],[Company]],1)</f>
        <v/>
      </c>
      <c r="Z90" s="152" t="str" cm="1">
        <f t="array" ref="Z90">Common_InputFunctions.Utility_DisplayArrayInTable(Fertiliser_SourceData.Fertiliser_Products_Data1(), FertiliserProducts[[#Headers],[Company]],1)</f>
        <v/>
      </c>
      <c r="AA90" s="152" t="str" cm="1">
        <f t="array" ref="AA90">Common_InputFunctions.Utility_DisplayArrayInTable(Fertiliser_SourceData.Fertiliser_Products_Data1(), FertiliserProducts[[#Headers],[Company]],1)</f>
        <v/>
      </c>
      <c r="AB90" s="152" t="str" cm="1">
        <f t="array" ref="AB90">Common_InputFunctions.Utility_DisplayArrayInTable(Fertiliser_SourceData.Fertiliser_Products_Data1(), FertiliserProducts[[#Headers],[Company]],1)</f>
        <v/>
      </c>
      <c r="AC90" s="152" t="str" cm="1">
        <f t="array" ref="AC90">Common_InputFunctions.Utility_DisplayArrayInTable(Fertiliser_SourceData.Fertiliser_Products_Data1(), FertiliserProducts[[#Headers],[Company]],1)</f>
        <v/>
      </c>
      <c r="AD90" s="152" t="str" cm="1">
        <f t="array" ref="AD90">Common_InputFunctions.Utility_DisplayArrayInTable(Fertiliser_SourceData.Fertiliser_Products_Data1(), FertiliserProducts[[#Headers],[Company]],1)</f>
        <v/>
      </c>
      <c r="AE90" s="152" t="str" cm="1">
        <f t="array" ref="AE90">Common_InputFunctions.Utility_DisplayArrayInTable(Fertiliser_SourceData.Fertiliser_Products_Data1(), FertiliserProducts[[#Headers],[Company]],1)</f>
        <v/>
      </c>
      <c r="AF90" s="152" t="str" cm="1">
        <f t="array" ref="AF90">Common_InputFunctions.Utility_DisplayArrayInTable(Fertiliser_SourceData.Fertiliser_Products_Data1(), FertiliserProducts[[#Headers],[Company]],1)</f>
        <v/>
      </c>
      <c r="AG90" s="152" t="str" cm="1">
        <f t="array" ref="AG90">Common_InputFunctions.Utility_DisplayArrayInTable(Fertiliser_SourceData.Fertiliser_Products_Data1(), FertiliserProducts[[#Headers],[Company]],1)</f>
        <v/>
      </c>
      <c r="AH90" s="152" t="str" cm="1">
        <f t="array" ref="AH90">Common_InputFunctions.Utility_DisplayArrayInTable(Fertiliser_SourceData.Fertiliser_Products_Data1(), FertiliserProducts[[#Headers],[Company]],1)</f>
        <v/>
      </c>
      <c r="AK90" s="1"/>
      <c r="AL90" s="1"/>
      <c r="AM90" s="1"/>
    </row>
    <row r="91" spans="4:39" ht="20.100000000000001" customHeight="1" x14ac:dyDescent="0.2">
      <c r="D91" s="152" t="str" cm="1">
        <f t="array" ref="D91">Common_InputFunctions.Utility_DisplayArrayInTable(Fertiliser_SourceData.Fertiliser_Products_Data1(), FertiliserProducts[[#Headers],[Company]],1)</f>
        <v>Campbells fertilisers Australia</v>
      </c>
      <c r="E91" s="152" t="str" cm="1">
        <f t="array" ref="E91">Common_InputFunctions.Utility_DisplayArrayInTable(Fertiliser_SourceData.Fertiliser_Products_Data1(), FertiliserProducts[[#Headers],[Company]],1)</f>
        <v>Aqua Grow</v>
      </c>
      <c r="F91" s="152" t="str" cm="1">
        <f t="array" ref="F91">Common_InputFunctions.Utility_DisplayArrayInTable(Fertiliser_SourceData.Fertiliser_Products_Data1(), FertiliserProducts[[#Headers],[Company]],1)</f>
        <v>L</v>
      </c>
      <c r="G91" s="152" cm="1">
        <f t="array" ref="G91">Common_InputFunctions.Utility_DisplayArrayInTable(Fertiliser_SourceData.Fertiliser_Products_Data1(), FertiliserProducts[[#Headers],[Company]],1)</f>
        <v>1.26</v>
      </c>
      <c r="H91" s="152" t="str" cm="1">
        <f t="array" ref="H91">Common_InputFunctions.Utility_DisplayArrayInTable(Fertiliser_SourceData.Fertiliser_Products_Data1(), FertiliserProducts[[#Headers],[Company]],1)</f>
        <v/>
      </c>
      <c r="I91" s="152" t="str" cm="1">
        <f t="array" ref="I91">Common_InputFunctions.Utility_DisplayArrayInTable(Fertiliser_SourceData.Fertiliser_Products_Data1(), FertiliserProducts[[#Headers],[Company]],1)</f>
        <v/>
      </c>
      <c r="J91" s="152" t="str" cm="1">
        <f t="array" ref="J91">Common_InputFunctions.Utility_DisplayArrayInTable(Fertiliser_SourceData.Fertiliser_Products_Data1(), FertiliserProducts[[#Headers],[Company]],1)</f>
        <v/>
      </c>
      <c r="K91" s="152" cm="1">
        <f t="array" ref="K91">Common_InputFunctions.Utility_DisplayArrayInTable(Fertiliser_SourceData.Fertiliser_Products_Data1(), FertiliserProducts[[#Headers],[Company]],1)</f>
        <v>9.6</v>
      </c>
      <c r="L91" s="152" cm="1">
        <f t="array" ref="L91">Common_InputFunctions.Utility_DisplayArrayInTable(Fertiliser_SourceData.Fertiliser_Products_Data1(), FertiliserProducts[[#Headers],[Company]],1)</f>
        <v>5</v>
      </c>
      <c r="M91" s="152" cm="1">
        <f t="array" ref="M91">Common_InputFunctions.Utility_DisplayArrayInTable(Fertiliser_SourceData.Fertiliser_Products_Data1(), FertiliserProducts[[#Headers],[Company]],1)</f>
        <v>10.5</v>
      </c>
      <c r="N91" s="152" t="str" cm="1">
        <f t="array" ref="N91">Common_InputFunctions.Utility_DisplayArrayInTable(Fertiliser_SourceData.Fertiliser_Products_Data1(), FertiliserProducts[[#Headers],[Company]],1)</f>
        <v/>
      </c>
      <c r="O91" s="152" t="str" cm="1">
        <f t="array" ref="O91">Common_InputFunctions.Utility_DisplayArrayInTable(Fertiliser_SourceData.Fertiliser_Products_Data1(), FertiliserProducts[[#Headers],[Company]],1)</f>
        <v>Potassium - Generic</v>
      </c>
      <c r="P91" s="152" cm="1">
        <f t="array" ref="P91">Common_InputFunctions.Utility_DisplayArrayInTable(Fertiliser_SourceData.Fertiliser_Products_Data1(), FertiliserProducts[[#Headers],[Company]],1)</f>
        <v>0.105</v>
      </c>
      <c r="Q91" s="152" t="str" cm="1">
        <f t="array" ref="Q91">Common_InputFunctions.Utility_DisplayArrayInTable(Fertiliser_SourceData.Fertiliser_Products_Data1(), FertiliserProducts[[#Headers],[Company]],1)</f>
        <v>Nitrogen - Generic</v>
      </c>
      <c r="R91" s="152" cm="1">
        <f t="array" ref="R91">Common_InputFunctions.Utility_DisplayArrayInTable(Fertiliser_SourceData.Fertiliser_Products_Data1(), FertiliserProducts[[#Headers],[Company]],1)</f>
        <v>9.6000000000000002E-2</v>
      </c>
      <c r="S91" s="152" t="str" cm="1">
        <f t="array" ref="S91">Common_InputFunctions.Utility_DisplayArrayInTable(Fertiliser_SourceData.Fertiliser_Products_Data1(), FertiliserProducts[[#Headers],[Company]],1)</f>
        <v>Phosphorus - Generic</v>
      </c>
      <c r="T91" s="152" cm="1">
        <f t="array" ref="T91">Common_InputFunctions.Utility_DisplayArrayInTable(Fertiliser_SourceData.Fertiliser_Products_Data1(), FertiliserProducts[[#Headers],[Company]],1)</f>
        <v>0.05</v>
      </c>
      <c r="U91" s="152" t="str" cm="1">
        <f t="array" ref="U91">Common_InputFunctions.Utility_DisplayArrayInTable(Fertiliser_SourceData.Fertiliser_Products_Data1(), FertiliserProducts[[#Headers],[Company]],1)</f>
        <v/>
      </c>
      <c r="V91" s="152" t="str" cm="1">
        <f t="array" ref="V91">Common_InputFunctions.Utility_DisplayArrayInTable(Fertiliser_SourceData.Fertiliser_Products_Data1(), FertiliserProducts[[#Headers],[Company]],1)</f>
        <v/>
      </c>
      <c r="W91" s="152" t="str" cm="1">
        <f t="array" ref="W91">Common_InputFunctions.Utility_DisplayArrayInTable(Fertiliser_SourceData.Fertiliser_Products_Data1(), FertiliserProducts[[#Headers],[Company]],1)</f>
        <v/>
      </c>
      <c r="X91" s="152" t="str" cm="1">
        <f t="array" ref="X91">Common_InputFunctions.Utility_DisplayArrayInTable(Fertiliser_SourceData.Fertiliser_Products_Data1(), FertiliserProducts[[#Headers],[Company]],1)</f>
        <v/>
      </c>
      <c r="Y91" s="152" t="str" cm="1">
        <f t="array" ref="Y91">Common_InputFunctions.Utility_DisplayArrayInTable(Fertiliser_SourceData.Fertiliser_Products_Data1(), FertiliserProducts[[#Headers],[Company]],1)</f>
        <v/>
      </c>
      <c r="Z91" s="152" t="str" cm="1">
        <f t="array" ref="Z91">Common_InputFunctions.Utility_DisplayArrayInTable(Fertiliser_SourceData.Fertiliser_Products_Data1(), FertiliserProducts[[#Headers],[Company]],1)</f>
        <v/>
      </c>
      <c r="AA91" s="152" t="str" cm="1">
        <f t="array" ref="AA91">Common_InputFunctions.Utility_DisplayArrayInTable(Fertiliser_SourceData.Fertiliser_Products_Data1(), FertiliserProducts[[#Headers],[Company]],1)</f>
        <v/>
      </c>
      <c r="AB91" s="152" t="str" cm="1">
        <f t="array" ref="AB91">Common_InputFunctions.Utility_DisplayArrayInTable(Fertiliser_SourceData.Fertiliser_Products_Data1(), FertiliserProducts[[#Headers],[Company]],1)</f>
        <v/>
      </c>
      <c r="AC91" s="152" t="str" cm="1">
        <f t="array" ref="AC91">Common_InputFunctions.Utility_DisplayArrayInTable(Fertiliser_SourceData.Fertiliser_Products_Data1(), FertiliserProducts[[#Headers],[Company]],1)</f>
        <v/>
      </c>
      <c r="AD91" s="152" t="str" cm="1">
        <f t="array" ref="AD91">Common_InputFunctions.Utility_DisplayArrayInTable(Fertiliser_SourceData.Fertiliser_Products_Data1(), FertiliserProducts[[#Headers],[Company]],1)</f>
        <v/>
      </c>
      <c r="AE91" s="152" t="str" cm="1">
        <f t="array" ref="AE91">Common_InputFunctions.Utility_DisplayArrayInTable(Fertiliser_SourceData.Fertiliser_Products_Data1(), FertiliserProducts[[#Headers],[Company]],1)</f>
        <v/>
      </c>
      <c r="AF91" s="152" t="str" cm="1">
        <f t="array" ref="AF91">Common_InputFunctions.Utility_DisplayArrayInTable(Fertiliser_SourceData.Fertiliser_Products_Data1(), FertiliserProducts[[#Headers],[Company]],1)</f>
        <v/>
      </c>
      <c r="AG91" s="152" t="str" cm="1">
        <f t="array" ref="AG91">Common_InputFunctions.Utility_DisplayArrayInTable(Fertiliser_SourceData.Fertiliser_Products_Data1(), FertiliserProducts[[#Headers],[Company]],1)</f>
        <v/>
      </c>
      <c r="AH91" s="152" t="str" cm="1">
        <f t="array" ref="AH91">Common_InputFunctions.Utility_DisplayArrayInTable(Fertiliser_SourceData.Fertiliser_Products_Data1(), FertiliserProducts[[#Headers],[Company]],1)</f>
        <v/>
      </c>
      <c r="AK91" s="1"/>
      <c r="AL91" s="1"/>
      <c r="AM91" s="1"/>
    </row>
    <row r="92" spans="4:39" ht="20.100000000000001" customHeight="1" x14ac:dyDescent="0.2">
      <c r="D92" s="152" t="str" cm="1">
        <f t="array" ref="D92">Common_InputFunctions.Utility_DisplayArrayInTable(Fertiliser_SourceData.Fertiliser_Products_Data1(), FertiliserProducts[[#Headers],[Company]],1)</f>
        <v>Campbells fertilisers Australia</v>
      </c>
      <c r="E92" s="152" t="str" cm="1">
        <f t="array" ref="E92">Common_InputFunctions.Utility_DisplayArrayInTable(Fertiliser_SourceData.Fertiliser_Products_Data1(), FertiliserProducts[[#Headers],[Company]],1)</f>
        <v>Aqua Nitro AN</v>
      </c>
      <c r="F92" s="152" t="str" cm="1">
        <f t="array" ref="F92">Common_InputFunctions.Utility_DisplayArrayInTable(Fertiliser_SourceData.Fertiliser_Products_Data1(), FertiliserProducts[[#Headers],[Company]],1)</f>
        <v>L</v>
      </c>
      <c r="G92" s="152" cm="1">
        <f t="array" ref="G92">Common_InputFunctions.Utility_DisplayArrayInTable(Fertiliser_SourceData.Fertiliser_Products_Data1(), FertiliserProducts[[#Headers],[Company]],1)</f>
        <v>1.24</v>
      </c>
      <c r="H92" s="152" t="str" cm="1">
        <f t="array" ref="H92">Common_InputFunctions.Utility_DisplayArrayInTable(Fertiliser_SourceData.Fertiliser_Products_Data1(), FertiliserProducts[[#Headers],[Company]],1)</f>
        <v/>
      </c>
      <c r="I92" s="152" t="str" cm="1">
        <f t="array" ref="I92">Common_InputFunctions.Utility_DisplayArrayInTable(Fertiliser_SourceData.Fertiliser_Products_Data1(), FertiliserProducts[[#Headers],[Company]],1)</f>
        <v/>
      </c>
      <c r="J92" s="152" t="str" cm="1">
        <f t="array" ref="J92">Common_InputFunctions.Utility_DisplayArrayInTable(Fertiliser_SourceData.Fertiliser_Products_Data1(), FertiliserProducts[[#Headers],[Company]],1)</f>
        <v/>
      </c>
      <c r="K92" s="152" cm="1">
        <f t="array" ref="K92">Common_InputFunctions.Utility_DisplayArrayInTable(Fertiliser_SourceData.Fertiliser_Products_Data1(), FertiliserProducts[[#Headers],[Company]],1)</f>
        <v>22.3</v>
      </c>
      <c r="L92" s="152" t="str" cm="1">
        <f t="array" ref="L92">Common_InputFunctions.Utility_DisplayArrayInTable(Fertiliser_SourceData.Fertiliser_Products_Data1(), FertiliserProducts[[#Headers],[Company]],1)</f>
        <v/>
      </c>
      <c r="M92" s="152" t="str" cm="1">
        <f t="array" ref="M92">Common_InputFunctions.Utility_DisplayArrayInTable(Fertiliser_SourceData.Fertiliser_Products_Data1(), FertiliserProducts[[#Headers],[Company]],1)</f>
        <v/>
      </c>
      <c r="N92" s="152" t="str" cm="1">
        <f t="array" ref="N92">Common_InputFunctions.Utility_DisplayArrayInTable(Fertiliser_SourceData.Fertiliser_Products_Data1(), FertiliserProducts[[#Headers],[Company]],1)</f>
        <v/>
      </c>
      <c r="O92" s="152" t="str" cm="1">
        <f t="array" ref="O92">Common_InputFunctions.Utility_DisplayArrayInTable(Fertiliser_SourceData.Fertiliser_Products_Data1(), FertiliserProducts[[#Headers],[Company]],1)</f>
        <v>Nitrogen - Ammoniacal</v>
      </c>
      <c r="P92" s="152" cm="1">
        <f t="array" ref="P92">Common_InputFunctions.Utility_DisplayArrayInTable(Fertiliser_SourceData.Fertiliser_Products_Data1(), FertiliserProducts[[#Headers],[Company]],1)</f>
        <v>0.223</v>
      </c>
      <c r="Q92" s="152" t="str" cm="1">
        <f t="array" ref="Q92">Common_InputFunctions.Utility_DisplayArrayInTable(Fertiliser_SourceData.Fertiliser_Products_Data1(), FertiliserProducts[[#Headers],[Company]],1)</f>
        <v/>
      </c>
      <c r="R92" s="152" t="str" cm="1">
        <f t="array" ref="R92">Common_InputFunctions.Utility_DisplayArrayInTable(Fertiliser_SourceData.Fertiliser_Products_Data1(), FertiliserProducts[[#Headers],[Company]],1)</f>
        <v/>
      </c>
      <c r="S92" s="152" t="str" cm="1">
        <f t="array" ref="S92">Common_InputFunctions.Utility_DisplayArrayInTable(Fertiliser_SourceData.Fertiliser_Products_Data1(), FertiliserProducts[[#Headers],[Company]],1)</f>
        <v/>
      </c>
      <c r="T92" s="152" t="str" cm="1">
        <f t="array" ref="T92">Common_InputFunctions.Utility_DisplayArrayInTable(Fertiliser_SourceData.Fertiliser_Products_Data1(), FertiliserProducts[[#Headers],[Company]],1)</f>
        <v/>
      </c>
      <c r="U92" s="152" t="str" cm="1">
        <f t="array" ref="U92">Common_InputFunctions.Utility_DisplayArrayInTable(Fertiliser_SourceData.Fertiliser_Products_Data1(), FertiliserProducts[[#Headers],[Company]],1)</f>
        <v/>
      </c>
      <c r="V92" s="152" t="str" cm="1">
        <f t="array" ref="V92">Common_InputFunctions.Utility_DisplayArrayInTable(Fertiliser_SourceData.Fertiliser_Products_Data1(), FertiliserProducts[[#Headers],[Company]],1)</f>
        <v/>
      </c>
      <c r="W92" s="152" t="str" cm="1">
        <f t="array" ref="W92">Common_InputFunctions.Utility_DisplayArrayInTable(Fertiliser_SourceData.Fertiliser_Products_Data1(), FertiliserProducts[[#Headers],[Company]],1)</f>
        <v/>
      </c>
      <c r="X92" s="152" t="str" cm="1">
        <f t="array" ref="X92">Common_InputFunctions.Utility_DisplayArrayInTable(Fertiliser_SourceData.Fertiliser_Products_Data1(), FertiliserProducts[[#Headers],[Company]],1)</f>
        <v/>
      </c>
      <c r="Y92" s="152" t="str" cm="1">
        <f t="array" ref="Y92">Common_InputFunctions.Utility_DisplayArrayInTable(Fertiliser_SourceData.Fertiliser_Products_Data1(), FertiliserProducts[[#Headers],[Company]],1)</f>
        <v/>
      </c>
      <c r="Z92" s="152" t="str" cm="1">
        <f t="array" ref="Z92">Common_InputFunctions.Utility_DisplayArrayInTable(Fertiliser_SourceData.Fertiliser_Products_Data1(), FertiliserProducts[[#Headers],[Company]],1)</f>
        <v/>
      </c>
      <c r="AA92" s="152" t="str" cm="1">
        <f t="array" ref="AA92">Common_InputFunctions.Utility_DisplayArrayInTable(Fertiliser_SourceData.Fertiliser_Products_Data1(), FertiliserProducts[[#Headers],[Company]],1)</f>
        <v/>
      </c>
      <c r="AB92" s="152" t="str" cm="1">
        <f t="array" ref="AB92">Common_InputFunctions.Utility_DisplayArrayInTable(Fertiliser_SourceData.Fertiliser_Products_Data1(), FertiliserProducts[[#Headers],[Company]],1)</f>
        <v/>
      </c>
      <c r="AC92" s="152" t="str" cm="1">
        <f t="array" ref="AC92">Common_InputFunctions.Utility_DisplayArrayInTable(Fertiliser_SourceData.Fertiliser_Products_Data1(), FertiliserProducts[[#Headers],[Company]],1)</f>
        <v/>
      </c>
      <c r="AD92" s="152" t="str" cm="1">
        <f t="array" ref="AD92">Common_InputFunctions.Utility_DisplayArrayInTable(Fertiliser_SourceData.Fertiliser_Products_Data1(), FertiliserProducts[[#Headers],[Company]],1)</f>
        <v/>
      </c>
      <c r="AE92" s="152" t="str" cm="1">
        <f t="array" ref="AE92">Common_InputFunctions.Utility_DisplayArrayInTable(Fertiliser_SourceData.Fertiliser_Products_Data1(), FertiliserProducts[[#Headers],[Company]],1)</f>
        <v/>
      </c>
      <c r="AF92" s="152" t="str" cm="1">
        <f t="array" ref="AF92">Common_InputFunctions.Utility_DisplayArrayInTable(Fertiliser_SourceData.Fertiliser_Products_Data1(), FertiliserProducts[[#Headers],[Company]],1)</f>
        <v/>
      </c>
      <c r="AG92" s="152" t="str" cm="1">
        <f t="array" ref="AG92">Common_InputFunctions.Utility_DisplayArrayInTable(Fertiliser_SourceData.Fertiliser_Products_Data1(), FertiliserProducts[[#Headers],[Company]],1)</f>
        <v/>
      </c>
      <c r="AH92" s="152" t="str" cm="1">
        <f t="array" ref="AH92">Common_InputFunctions.Utility_DisplayArrayInTable(Fertiliser_SourceData.Fertiliser_Products_Data1(), FertiliserProducts[[#Headers],[Company]],1)</f>
        <v/>
      </c>
      <c r="AK92" s="1"/>
      <c r="AL92" s="1"/>
      <c r="AM92" s="1"/>
    </row>
    <row r="93" spans="4:39" ht="20.100000000000001" customHeight="1" x14ac:dyDescent="0.2">
      <c r="D93" s="152" t="str" cm="1">
        <f t="array" ref="D93">Common_InputFunctions.Utility_DisplayArrayInTable(Fertiliser_SourceData.Fertiliser_Products_Data1(), FertiliserProducts[[#Headers],[Company]],1)</f>
        <v>Campbells fertilisers Australia</v>
      </c>
      <c r="E93" s="152" t="str" cm="1">
        <f t="array" ref="E93">Common_InputFunctions.Utility_DisplayArrayInTable(Fertiliser_SourceData.Fertiliser_Products_Data1(), FertiliserProducts[[#Headers],[Company]],1)</f>
        <v>Aqua NitroCal</v>
      </c>
      <c r="F93" s="152" t="str" cm="1">
        <f t="array" ref="F93">Common_InputFunctions.Utility_DisplayArrayInTable(Fertiliser_SourceData.Fertiliser_Products_Data1(), FertiliserProducts[[#Headers],[Company]],1)</f>
        <v>L</v>
      </c>
      <c r="G93" s="152" cm="1">
        <f t="array" ref="G93">Common_InputFunctions.Utility_DisplayArrayInTable(Fertiliser_SourceData.Fertiliser_Products_Data1(), FertiliserProducts[[#Headers],[Company]],1)</f>
        <v>1.5</v>
      </c>
      <c r="H93" s="152" t="str" cm="1">
        <f t="array" ref="H93">Common_InputFunctions.Utility_DisplayArrayInTable(Fertiliser_SourceData.Fertiliser_Products_Data1(), FertiliserProducts[[#Headers],[Company]],1)</f>
        <v/>
      </c>
      <c r="I93" s="152" t="str" cm="1">
        <f t="array" ref="I93">Common_InputFunctions.Utility_DisplayArrayInTable(Fertiliser_SourceData.Fertiliser_Products_Data1(), FertiliserProducts[[#Headers],[Company]],1)</f>
        <v/>
      </c>
      <c r="J93" s="152" t="str" cm="1">
        <f t="array" ref="J93">Common_InputFunctions.Utility_DisplayArrayInTable(Fertiliser_SourceData.Fertiliser_Products_Data1(), FertiliserProducts[[#Headers],[Company]],1)</f>
        <v/>
      </c>
      <c r="K93" s="152" cm="1">
        <f t="array" ref="K93">Common_InputFunctions.Utility_DisplayArrayInTable(Fertiliser_SourceData.Fertiliser_Products_Data1(), FertiliserProducts[[#Headers],[Company]],1)</f>
        <v>13.2</v>
      </c>
      <c r="L93" s="152" t="str" cm="1">
        <f t="array" ref="L93">Common_InputFunctions.Utility_DisplayArrayInTable(Fertiliser_SourceData.Fertiliser_Products_Data1(), FertiliserProducts[[#Headers],[Company]],1)</f>
        <v/>
      </c>
      <c r="M93" s="152" t="str" cm="1">
        <f t="array" ref="M93">Common_InputFunctions.Utility_DisplayArrayInTable(Fertiliser_SourceData.Fertiliser_Products_Data1(), FertiliserProducts[[#Headers],[Company]],1)</f>
        <v/>
      </c>
      <c r="N93" s="152" t="str" cm="1">
        <f t="array" ref="N93">Common_InputFunctions.Utility_DisplayArrayInTable(Fertiliser_SourceData.Fertiliser_Products_Data1(), FertiliserProducts[[#Headers],[Company]],1)</f>
        <v/>
      </c>
      <c r="O93" s="152" t="str" cm="1">
        <f t="array" ref="O93">Common_InputFunctions.Utility_DisplayArrayInTable(Fertiliser_SourceData.Fertiliser_Products_Data1(), FertiliserProducts[[#Headers],[Company]],1)</f>
        <v>Calcium</v>
      </c>
      <c r="P93" s="152" cm="1">
        <f t="array" ref="P93">Common_InputFunctions.Utility_DisplayArrayInTable(Fertiliser_SourceData.Fertiliser_Products_Data1(), FertiliserProducts[[#Headers],[Company]],1)</f>
        <v>0.16200000000000001</v>
      </c>
      <c r="Q93" s="152" t="str" cm="1">
        <f t="array" ref="Q93">Common_InputFunctions.Utility_DisplayArrayInTable(Fertiliser_SourceData.Fertiliser_Products_Data1(), FertiliserProducts[[#Headers],[Company]],1)</f>
        <v>Nitrogen - Nitrate</v>
      </c>
      <c r="R93" s="152" cm="1">
        <f t="array" ref="R93">Common_InputFunctions.Utility_DisplayArrayInTable(Fertiliser_SourceData.Fertiliser_Products_Data1(), FertiliserProducts[[#Headers],[Company]],1)</f>
        <v>0.13200000000000001</v>
      </c>
      <c r="S93" s="152" t="str" cm="1">
        <f t="array" ref="S93">Common_InputFunctions.Utility_DisplayArrayInTable(Fertiliser_SourceData.Fertiliser_Products_Data1(), FertiliserProducts[[#Headers],[Company]],1)</f>
        <v/>
      </c>
      <c r="T93" s="152" t="str" cm="1">
        <f t="array" ref="T93">Common_InputFunctions.Utility_DisplayArrayInTable(Fertiliser_SourceData.Fertiliser_Products_Data1(), FertiliserProducts[[#Headers],[Company]],1)</f>
        <v/>
      </c>
      <c r="U93" s="152" t="str" cm="1">
        <f t="array" ref="U93">Common_InputFunctions.Utility_DisplayArrayInTable(Fertiliser_SourceData.Fertiliser_Products_Data1(), FertiliserProducts[[#Headers],[Company]],1)</f>
        <v/>
      </c>
      <c r="V93" s="152" t="str" cm="1">
        <f t="array" ref="V93">Common_InputFunctions.Utility_DisplayArrayInTable(Fertiliser_SourceData.Fertiliser_Products_Data1(), FertiliserProducts[[#Headers],[Company]],1)</f>
        <v/>
      </c>
      <c r="W93" s="152" t="str" cm="1">
        <f t="array" ref="W93">Common_InputFunctions.Utility_DisplayArrayInTable(Fertiliser_SourceData.Fertiliser_Products_Data1(), FertiliserProducts[[#Headers],[Company]],1)</f>
        <v/>
      </c>
      <c r="X93" s="152" t="str" cm="1">
        <f t="array" ref="X93">Common_InputFunctions.Utility_DisplayArrayInTable(Fertiliser_SourceData.Fertiliser_Products_Data1(), FertiliserProducts[[#Headers],[Company]],1)</f>
        <v/>
      </c>
      <c r="Y93" s="152" t="str" cm="1">
        <f t="array" ref="Y93">Common_InputFunctions.Utility_DisplayArrayInTable(Fertiliser_SourceData.Fertiliser_Products_Data1(), FertiliserProducts[[#Headers],[Company]],1)</f>
        <v/>
      </c>
      <c r="Z93" s="152" t="str" cm="1">
        <f t="array" ref="Z93">Common_InputFunctions.Utility_DisplayArrayInTable(Fertiliser_SourceData.Fertiliser_Products_Data1(), FertiliserProducts[[#Headers],[Company]],1)</f>
        <v/>
      </c>
      <c r="AA93" s="152" t="str" cm="1">
        <f t="array" ref="AA93">Common_InputFunctions.Utility_DisplayArrayInTable(Fertiliser_SourceData.Fertiliser_Products_Data1(), FertiliserProducts[[#Headers],[Company]],1)</f>
        <v/>
      </c>
      <c r="AB93" s="152" t="str" cm="1">
        <f t="array" ref="AB93">Common_InputFunctions.Utility_DisplayArrayInTable(Fertiliser_SourceData.Fertiliser_Products_Data1(), FertiliserProducts[[#Headers],[Company]],1)</f>
        <v/>
      </c>
      <c r="AC93" s="152" t="str" cm="1">
        <f t="array" ref="AC93">Common_InputFunctions.Utility_DisplayArrayInTable(Fertiliser_SourceData.Fertiliser_Products_Data1(), FertiliserProducts[[#Headers],[Company]],1)</f>
        <v/>
      </c>
      <c r="AD93" s="152" t="str" cm="1">
        <f t="array" ref="AD93">Common_InputFunctions.Utility_DisplayArrayInTable(Fertiliser_SourceData.Fertiliser_Products_Data1(), FertiliserProducts[[#Headers],[Company]],1)</f>
        <v/>
      </c>
      <c r="AE93" s="152" t="str" cm="1">
        <f t="array" ref="AE93">Common_InputFunctions.Utility_DisplayArrayInTable(Fertiliser_SourceData.Fertiliser_Products_Data1(), FertiliserProducts[[#Headers],[Company]],1)</f>
        <v/>
      </c>
      <c r="AF93" s="152" t="str" cm="1">
        <f t="array" ref="AF93">Common_InputFunctions.Utility_DisplayArrayInTable(Fertiliser_SourceData.Fertiliser_Products_Data1(), FertiliserProducts[[#Headers],[Company]],1)</f>
        <v/>
      </c>
      <c r="AG93" s="152" t="str" cm="1">
        <f t="array" ref="AG93">Common_InputFunctions.Utility_DisplayArrayInTable(Fertiliser_SourceData.Fertiliser_Products_Data1(), FertiliserProducts[[#Headers],[Company]],1)</f>
        <v/>
      </c>
      <c r="AH93" s="152" t="str" cm="1">
        <f t="array" ref="AH93">Common_InputFunctions.Utility_DisplayArrayInTable(Fertiliser_SourceData.Fertiliser_Products_Data1(), FertiliserProducts[[#Headers],[Company]],1)</f>
        <v/>
      </c>
      <c r="AK93" s="1"/>
      <c r="AL93" s="1"/>
      <c r="AM93" s="1"/>
    </row>
    <row r="94" spans="4:39" ht="20.100000000000001" customHeight="1" x14ac:dyDescent="0.2">
      <c r="D94" s="152" t="str" cm="1">
        <f t="array" ref="D94">Common_InputFunctions.Utility_DisplayArrayInTable(Fertiliser_SourceData.Fertiliser_Products_Data1(), FertiliserProducts[[#Headers],[Company]],1)</f>
        <v>Campbells fertilisers Australia</v>
      </c>
      <c r="E94" s="152" t="str" cm="1">
        <f t="array" ref="E94">Common_InputFunctions.Utility_DisplayArrayInTable(Fertiliser_SourceData.Fertiliser_Products_Data1(), FertiliserProducts[[#Headers],[Company]],1)</f>
        <v>Aqua NitroCal (VI)</v>
      </c>
      <c r="F94" s="152" t="str" cm="1">
        <f t="array" ref="F94">Common_InputFunctions.Utility_DisplayArrayInTable(Fertiliser_SourceData.Fertiliser_Products_Data1(), FertiliserProducts[[#Headers],[Company]],1)</f>
        <v>L</v>
      </c>
      <c r="G94" s="152" cm="1">
        <f t="array" ref="G94">Common_InputFunctions.Utility_DisplayArrayInTable(Fertiliser_SourceData.Fertiliser_Products_Data1(), FertiliserProducts[[#Headers],[Company]],1)</f>
        <v>1.5</v>
      </c>
      <c r="H94" s="152" t="str" cm="1">
        <f t="array" ref="H94">Common_InputFunctions.Utility_DisplayArrayInTable(Fertiliser_SourceData.Fertiliser_Products_Data1(), FertiliserProducts[[#Headers],[Company]],1)</f>
        <v/>
      </c>
      <c r="I94" s="152" t="str" cm="1">
        <f t="array" ref="I94">Common_InputFunctions.Utility_DisplayArrayInTable(Fertiliser_SourceData.Fertiliser_Products_Data1(), FertiliserProducts[[#Headers],[Company]],1)</f>
        <v/>
      </c>
      <c r="J94" s="152" t="str" cm="1">
        <f t="array" ref="J94">Common_InputFunctions.Utility_DisplayArrayInTable(Fertiliser_SourceData.Fertiliser_Products_Data1(), FertiliserProducts[[#Headers],[Company]],1)</f>
        <v/>
      </c>
      <c r="K94" s="152" cm="1">
        <f t="array" ref="K94">Common_InputFunctions.Utility_DisplayArrayInTable(Fertiliser_SourceData.Fertiliser_Products_Data1(), FertiliserProducts[[#Headers],[Company]],1)</f>
        <v>13.2</v>
      </c>
      <c r="L94" s="152" t="str" cm="1">
        <f t="array" ref="L94">Common_InputFunctions.Utility_DisplayArrayInTable(Fertiliser_SourceData.Fertiliser_Products_Data1(), FertiliserProducts[[#Headers],[Company]],1)</f>
        <v/>
      </c>
      <c r="M94" s="152" t="str" cm="1">
        <f t="array" ref="M94">Common_InputFunctions.Utility_DisplayArrayInTable(Fertiliser_SourceData.Fertiliser_Products_Data1(), FertiliserProducts[[#Headers],[Company]],1)</f>
        <v/>
      </c>
      <c r="N94" s="152" t="str" cm="1">
        <f t="array" ref="N94">Common_InputFunctions.Utility_DisplayArrayInTable(Fertiliser_SourceData.Fertiliser_Products_Data1(), FertiliserProducts[[#Headers],[Company]],1)</f>
        <v/>
      </c>
      <c r="O94" s="152" t="str" cm="1">
        <f t="array" ref="O94">Common_InputFunctions.Utility_DisplayArrayInTable(Fertiliser_SourceData.Fertiliser_Products_Data1(), FertiliserProducts[[#Headers],[Company]],1)</f>
        <v>Calcium</v>
      </c>
      <c r="P94" s="152" cm="1">
        <f t="array" ref="P94">Common_InputFunctions.Utility_DisplayArrayInTable(Fertiliser_SourceData.Fertiliser_Products_Data1(), FertiliserProducts[[#Headers],[Company]],1)</f>
        <v>0.187</v>
      </c>
      <c r="Q94" s="152" t="str" cm="1">
        <f t="array" ref="Q94">Common_InputFunctions.Utility_DisplayArrayInTable(Fertiliser_SourceData.Fertiliser_Products_Data1(), FertiliserProducts[[#Headers],[Company]],1)</f>
        <v>Nitrogen - Nitrate</v>
      </c>
      <c r="R94" s="152" cm="1">
        <f t="array" ref="R94">Common_InputFunctions.Utility_DisplayArrayInTable(Fertiliser_SourceData.Fertiliser_Products_Data1(), FertiliserProducts[[#Headers],[Company]],1)</f>
        <v>0.13200000000000001</v>
      </c>
      <c r="S94" s="152" t="str" cm="1">
        <f t="array" ref="S94">Common_InputFunctions.Utility_DisplayArrayInTable(Fertiliser_SourceData.Fertiliser_Products_Data1(), FertiliserProducts[[#Headers],[Company]],1)</f>
        <v/>
      </c>
      <c r="T94" s="152" t="str" cm="1">
        <f t="array" ref="T94">Common_InputFunctions.Utility_DisplayArrayInTable(Fertiliser_SourceData.Fertiliser_Products_Data1(), FertiliserProducts[[#Headers],[Company]],1)</f>
        <v/>
      </c>
      <c r="U94" s="152" t="str" cm="1">
        <f t="array" ref="U94">Common_InputFunctions.Utility_DisplayArrayInTable(Fertiliser_SourceData.Fertiliser_Products_Data1(), FertiliserProducts[[#Headers],[Company]],1)</f>
        <v/>
      </c>
      <c r="V94" s="152" t="str" cm="1">
        <f t="array" ref="V94">Common_InputFunctions.Utility_DisplayArrayInTable(Fertiliser_SourceData.Fertiliser_Products_Data1(), FertiliserProducts[[#Headers],[Company]],1)</f>
        <v/>
      </c>
      <c r="W94" s="152" t="str" cm="1">
        <f t="array" ref="W94">Common_InputFunctions.Utility_DisplayArrayInTable(Fertiliser_SourceData.Fertiliser_Products_Data1(), FertiliserProducts[[#Headers],[Company]],1)</f>
        <v/>
      </c>
      <c r="X94" s="152" t="str" cm="1">
        <f t="array" ref="X94">Common_InputFunctions.Utility_DisplayArrayInTable(Fertiliser_SourceData.Fertiliser_Products_Data1(), FertiliserProducts[[#Headers],[Company]],1)</f>
        <v/>
      </c>
      <c r="Y94" s="152" t="str" cm="1">
        <f t="array" ref="Y94">Common_InputFunctions.Utility_DisplayArrayInTable(Fertiliser_SourceData.Fertiliser_Products_Data1(), FertiliserProducts[[#Headers],[Company]],1)</f>
        <v/>
      </c>
      <c r="Z94" s="152" t="str" cm="1">
        <f t="array" ref="Z94">Common_InputFunctions.Utility_DisplayArrayInTable(Fertiliser_SourceData.Fertiliser_Products_Data1(), FertiliserProducts[[#Headers],[Company]],1)</f>
        <v/>
      </c>
      <c r="AA94" s="152" t="str" cm="1">
        <f t="array" ref="AA94">Common_InputFunctions.Utility_DisplayArrayInTable(Fertiliser_SourceData.Fertiliser_Products_Data1(), FertiliserProducts[[#Headers],[Company]],1)</f>
        <v/>
      </c>
      <c r="AB94" s="152" t="str" cm="1">
        <f t="array" ref="AB94">Common_InputFunctions.Utility_DisplayArrayInTable(Fertiliser_SourceData.Fertiliser_Products_Data1(), FertiliserProducts[[#Headers],[Company]],1)</f>
        <v/>
      </c>
      <c r="AC94" s="152" t="str" cm="1">
        <f t="array" ref="AC94">Common_InputFunctions.Utility_DisplayArrayInTable(Fertiliser_SourceData.Fertiliser_Products_Data1(), FertiliserProducts[[#Headers],[Company]],1)</f>
        <v/>
      </c>
      <c r="AD94" s="152" t="str" cm="1">
        <f t="array" ref="AD94">Common_InputFunctions.Utility_DisplayArrayInTable(Fertiliser_SourceData.Fertiliser_Products_Data1(), FertiliserProducts[[#Headers],[Company]],1)</f>
        <v/>
      </c>
      <c r="AE94" s="152" t="str" cm="1">
        <f t="array" ref="AE94">Common_InputFunctions.Utility_DisplayArrayInTable(Fertiliser_SourceData.Fertiliser_Products_Data1(), FertiliserProducts[[#Headers],[Company]],1)</f>
        <v/>
      </c>
      <c r="AF94" s="152" t="str" cm="1">
        <f t="array" ref="AF94">Common_InputFunctions.Utility_DisplayArrayInTable(Fertiliser_SourceData.Fertiliser_Products_Data1(), FertiliserProducts[[#Headers],[Company]],1)</f>
        <v/>
      </c>
      <c r="AG94" s="152" t="str" cm="1">
        <f t="array" ref="AG94">Common_InputFunctions.Utility_DisplayArrayInTable(Fertiliser_SourceData.Fertiliser_Products_Data1(), FertiliserProducts[[#Headers],[Company]],1)</f>
        <v/>
      </c>
      <c r="AH94" s="152" t="str" cm="1">
        <f t="array" ref="AH94">Common_InputFunctions.Utility_DisplayArrayInTable(Fertiliser_SourceData.Fertiliser_Products_Data1(), FertiliserProducts[[#Headers],[Company]],1)</f>
        <v/>
      </c>
      <c r="AK94" s="1"/>
      <c r="AL94" s="1"/>
      <c r="AM94" s="1"/>
    </row>
    <row r="95" spans="4:39" ht="20.100000000000001" customHeight="1" x14ac:dyDescent="0.2">
      <c r="D95" s="152" t="str" cm="1">
        <f t="array" ref="D95">Common_InputFunctions.Utility_DisplayArrayInTable(Fertiliser_SourceData.Fertiliser_Products_Data1(), FertiliserProducts[[#Headers],[Company]],1)</f>
        <v>Campbells fertilisers Australia</v>
      </c>
      <c r="E95" s="152" t="str" cm="1">
        <f t="array" ref="E95">Common_InputFunctions.Utility_DisplayArrayInTable(Fertiliser_SourceData.Fertiliser_Products_Data1(), FertiliserProducts[[#Headers],[Company]],1)</f>
        <v>Aqua NitroCal Ultimate</v>
      </c>
      <c r="F95" s="152" t="str" cm="1">
        <f t="array" ref="F95">Common_InputFunctions.Utility_DisplayArrayInTable(Fertiliser_SourceData.Fertiliser_Products_Data1(), FertiliserProducts[[#Headers],[Company]],1)</f>
        <v>L</v>
      </c>
      <c r="G95" s="152" cm="1">
        <f t="array" ref="G95">Common_InputFunctions.Utility_DisplayArrayInTable(Fertiliser_SourceData.Fertiliser_Products_Data1(), FertiliserProducts[[#Headers],[Company]],1)</f>
        <v>1.5</v>
      </c>
      <c r="H95" s="152" t="str" cm="1">
        <f t="array" ref="H95">Common_InputFunctions.Utility_DisplayArrayInTable(Fertiliser_SourceData.Fertiliser_Products_Data1(), FertiliserProducts[[#Headers],[Company]],1)</f>
        <v/>
      </c>
      <c r="I95" s="152" t="str" cm="1">
        <f t="array" ref="I95">Common_InputFunctions.Utility_DisplayArrayInTable(Fertiliser_SourceData.Fertiliser_Products_Data1(), FertiliserProducts[[#Headers],[Company]],1)</f>
        <v/>
      </c>
      <c r="J95" s="152" t="str" cm="1">
        <f t="array" ref="J95">Common_InputFunctions.Utility_DisplayArrayInTable(Fertiliser_SourceData.Fertiliser_Products_Data1(), FertiliserProducts[[#Headers],[Company]],1)</f>
        <v/>
      </c>
      <c r="K95" s="152" cm="1">
        <f t="array" ref="K95">Common_InputFunctions.Utility_DisplayArrayInTable(Fertiliser_SourceData.Fertiliser_Products_Data1(), FertiliserProducts[[#Headers],[Company]],1)</f>
        <v>13.2</v>
      </c>
      <c r="L95" s="152" t="str" cm="1">
        <f t="array" ref="L95">Common_InputFunctions.Utility_DisplayArrayInTable(Fertiliser_SourceData.Fertiliser_Products_Data1(), FertiliserProducts[[#Headers],[Company]],1)</f>
        <v/>
      </c>
      <c r="M95" s="152" t="str" cm="1">
        <f t="array" ref="M95">Common_InputFunctions.Utility_DisplayArrayInTable(Fertiliser_SourceData.Fertiliser_Products_Data1(), FertiliserProducts[[#Headers],[Company]],1)</f>
        <v/>
      </c>
      <c r="N95" s="152" t="str" cm="1">
        <f t="array" ref="N95">Common_InputFunctions.Utility_DisplayArrayInTable(Fertiliser_SourceData.Fertiliser_Products_Data1(), FertiliserProducts[[#Headers],[Company]],1)</f>
        <v/>
      </c>
      <c r="O95" s="152" t="str" cm="1">
        <f t="array" ref="O95">Common_InputFunctions.Utility_DisplayArrayInTable(Fertiliser_SourceData.Fertiliser_Products_Data1(), FertiliserProducts[[#Headers],[Company]],1)</f>
        <v>Calcium</v>
      </c>
      <c r="P95" s="152" cm="1">
        <f t="array" ref="P95">Common_InputFunctions.Utility_DisplayArrayInTable(Fertiliser_SourceData.Fertiliser_Products_Data1(), FertiliserProducts[[#Headers],[Company]],1)</f>
        <v>0.183</v>
      </c>
      <c r="Q95" s="152" t="str" cm="1">
        <f t="array" ref="Q95">Common_InputFunctions.Utility_DisplayArrayInTable(Fertiliser_SourceData.Fertiliser_Products_Data1(), FertiliserProducts[[#Headers],[Company]],1)</f>
        <v>Nitrogen - Nitrate</v>
      </c>
      <c r="R95" s="152" cm="1">
        <f t="array" ref="R95">Common_InputFunctions.Utility_DisplayArrayInTable(Fertiliser_SourceData.Fertiliser_Products_Data1(), FertiliserProducts[[#Headers],[Company]],1)</f>
        <v>0.13200000000000001</v>
      </c>
      <c r="S95" s="152" t="str" cm="1">
        <f t="array" ref="S95">Common_InputFunctions.Utility_DisplayArrayInTable(Fertiliser_SourceData.Fertiliser_Products_Data1(), FertiliserProducts[[#Headers],[Company]],1)</f>
        <v/>
      </c>
      <c r="T95" s="152" t="str" cm="1">
        <f t="array" ref="T95">Common_InputFunctions.Utility_DisplayArrayInTable(Fertiliser_SourceData.Fertiliser_Products_Data1(), FertiliserProducts[[#Headers],[Company]],1)</f>
        <v/>
      </c>
      <c r="U95" s="152" t="str" cm="1">
        <f t="array" ref="U95">Common_InputFunctions.Utility_DisplayArrayInTable(Fertiliser_SourceData.Fertiliser_Products_Data1(), FertiliserProducts[[#Headers],[Company]],1)</f>
        <v/>
      </c>
      <c r="V95" s="152" t="str" cm="1">
        <f t="array" ref="V95">Common_InputFunctions.Utility_DisplayArrayInTable(Fertiliser_SourceData.Fertiliser_Products_Data1(), FertiliserProducts[[#Headers],[Company]],1)</f>
        <v/>
      </c>
      <c r="W95" s="152" t="str" cm="1">
        <f t="array" ref="W95">Common_InputFunctions.Utility_DisplayArrayInTable(Fertiliser_SourceData.Fertiliser_Products_Data1(), FertiliserProducts[[#Headers],[Company]],1)</f>
        <v/>
      </c>
      <c r="X95" s="152" t="str" cm="1">
        <f t="array" ref="X95">Common_InputFunctions.Utility_DisplayArrayInTable(Fertiliser_SourceData.Fertiliser_Products_Data1(), FertiliserProducts[[#Headers],[Company]],1)</f>
        <v/>
      </c>
      <c r="Y95" s="152" t="str" cm="1">
        <f t="array" ref="Y95">Common_InputFunctions.Utility_DisplayArrayInTable(Fertiliser_SourceData.Fertiliser_Products_Data1(), FertiliserProducts[[#Headers],[Company]],1)</f>
        <v/>
      </c>
      <c r="Z95" s="152" t="str" cm="1">
        <f t="array" ref="Z95">Common_InputFunctions.Utility_DisplayArrayInTable(Fertiliser_SourceData.Fertiliser_Products_Data1(), FertiliserProducts[[#Headers],[Company]],1)</f>
        <v/>
      </c>
      <c r="AA95" s="152" t="str" cm="1">
        <f t="array" ref="AA95">Common_InputFunctions.Utility_DisplayArrayInTable(Fertiliser_SourceData.Fertiliser_Products_Data1(), FertiliserProducts[[#Headers],[Company]],1)</f>
        <v/>
      </c>
      <c r="AB95" s="152" t="str" cm="1">
        <f t="array" ref="AB95">Common_InputFunctions.Utility_DisplayArrayInTable(Fertiliser_SourceData.Fertiliser_Products_Data1(), FertiliserProducts[[#Headers],[Company]],1)</f>
        <v/>
      </c>
      <c r="AC95" s="152" t="str" cm="1">
        <f t="array" ref="AC95">Common_InputFunctions.Utility_DisplayArrayInTable(Fertiliser_SourceData.Fertiliser_Products_Data1(), FertiliserProducts[[#Headers],[Company]],1)</f>
        <v/>
      </c>
      <c r="AD95" s="152" t="str" cm="1">
        <f t="array" ref="AD95">Common_InputFunctions.Utility_DisplayArrayInTable(Fertiliser_SourceData.Fertiliser_Products_Data1(), FertiliserProducts[[#Headers],[Company]],1)</f>
        <v/>
      </c>
      <c r="AE95" s="152" t="str" cm="1">
        <f t="array" ref="AE95">Common_InputFunctions.Utility_DisplayArrayInTable(Fertiliser_SourceData.Fertiliser_Products_Data1(), FertiliserProducts[[#Headers],[Company]],1)</f>
        <v/>
      </c>
      <c r="AF95" s="152" t="str" cm="1">
        <f t="array" ref="AF95">Common_InputFunctions.Utility_DisplayArrayInTable(Fertiliser_SourceData.Fertiliser_Products_Data1(), FertiliserProducts[[#Headers],[Company]],1)</f>
        <v/>
      </c>
      <c r="AG95" s="152" t="str" cm="1">
        <f t="array" ref="AG95">Common_InputFunctions.Utility_DisplayArrayInTable(Fertiliser_SourceData.Fertiliser_Products_Data1(), FertiliserProducts[[#Headers],[Company]],1)</f>
        <v/>
      </c>
      <c r="AH95" s="152" t="str" cm="1">
        <f t="array" ref="AH95">Common_InputFunctions.Utility_DisplayArrayInTable(Fertiliser_SourceData.Fertiliser_Products_Data1(), FertiliserProducts[[#Headers],[Company]],1)</f>
        <v/>
      </c>
      <c r="AK95" s="1"/>
      <c r="AL95" s="1"/>
      <c r="AM95" s="1"/>
    </row>
    <row r="96" spans="4:39" ht="20.100000000000001" customHeight="1" x14ac:dyDescent="0.2">
      <c r="D96" s="152" t="str" cm="1">
        <f t="array" ref="D96">Common_InputFunctions.Utility_DisplayArrayInTable(Fertiliser_SourceData.Fertiliser_Products_Data1(), FertiliserProducts[[#Headers],[Company]],1)</f>
        <v>Campbells fertilisers Australia</v>
      </c>
      <c r="E96" s="152" t="str" cm="1">
        <f t="array" ref="E96">Common_InputFunctions.Utility_DisplayArrayInTable(Fertiliser_SourceData.Fertiliser_Products_Data1(), FertiliserProducts[[#Headers],[Company]],1)</f>
        <v>Aqua Start</v>
      </c>
      <c r="F96" s="152" t="str" cm="1">
        <f t="array" ref="F96">Common_InputFunctions.Utility_DisplayArrayInTable(Fertiliser_SourceData.Fertiliser_Products_Data1(), FertiliserProducts[[#Headers],[Company]],1)</f>
        <v>L</v>
      </c>
      <c r="G96" s="152" cm="1">
        <f t="array" ref="G96">Common_InputFunctions.Utility_DisplayArrayInTable(Fertiliser_SourceData.Fertiliser_Products_Data1(), FertiliserProducts[[#Headers],[Company]],1)</f>
        <v>1.25</v>
      </c>
      <c r="H96" s="152" t="str" cm="1">
        <f t="array" ref="H96">Common_InputFunctions.Utility_DisplayArrayInTable(Fertiliser_SourceData.Fertiliser_Products_Data1(), FertiliserProducts[[#Headers],[Company]],1)</f>
        <v/>
      </c>
      <c r="I96" s="152" t="str" cm="1">
        <f t="array" ref="I96">Common_InputFunctions.Utility_DisplayArrayInTable(Fertiliser_SourceData.Fertiliser_Products_Data1(), FertiliserProducts[[#Headers],[Company]],1)</f>
        <v/>
      </c>
      <c r="J96" s="152" t="str" cm="1">
        <f t="array" ref="J96">Common_InputFunctions.Utility_DisplayArrayInTable(Fertiliser_SourceData.Fertiliser_Products_Data1(), FertiliserProducts[[#Headers],[Company]],1)</f>
        <v/>
      </c>
      <c r="K96" s="152" cm="1">
        <f t="array" ref="K96">Common_InputFunctions.Utility_DisplayArrayInTable(Fertiliser_SourceData.Fertiliser_Products_Data1(), FertiliserProducts[[#Headers],[Company]],1)</f>
        <v>10.3</v>
      </c>
      <c r="L96" s="152" cm="1">
        <f t="array" ref="L96">Common_InputFunctions.Utility_DisplayArrayInTable(Fertiliser_SourceData.Fertiliser_Products_Data1(), FertiliserProducts[[#Headers],[Company]],1)</f>
        <v>10</v>
      </c>
      <c r="M96" s="152" cm="1">
        <f t="array" ref="M96">Common_InputFunctions.Utility_DisplayArrayInTable(Fertiliser_SourceData.Fertiliser_Products_Data1(), FertiliserProducts[[#Headers],[Company]],1)</f>
        <v>3.4</v>
      </c>
      <c r="N96" s="152" t="str" cm="1">
        <f t="array" ref="N96">Common_InputFunctions.Utility_DisplayArrayInTable(Fertiliser_SourceData.Fertiliser_Products_Data1(), FertiliserProducts[[#Headers],[Company]],1)</f>
        <v/>
      </c>
      <c r="O96" s="152" t="str" cm="1">
        <f t="array" ref="O96">Common_InputFunctions.Utility_DisplayArrayInTable(Fertiliser_SourceData.Fertiliser_Products_Data1(), FertiliserProducts[[#Headers],[Company]],1)</f>
        <v>Nitrogen - Generic</v>
      </c>
      <c r="P96" s="152" cm="1">
        <f t="array" ref="P96">Common_InputFunctions.Utility_DisplayArrayInTable(Fertiliser_SourceData.Fertiliser_Products_Data1(), FertiliserProducts[[#Headers],[Company]],1)</f>
        <v>0.10299999999999999</v>
      </c>
      <c r="Q96" s="152" t="str" cm="1">
        <f t="array" ref="Q96">Common_InputFunctions.Utility_DisplayArrayInTable(Fertiliser_SourceData.Fertiliser_Products_Data1(), FertiliserProducts[[#Headers],[Company]],1)</f>
        <v>Phosphorus - Generic</v>
      </c>
      <c r="R96" s="152" cm="1">
        <f t="array" ref="R96">Common_InputFunctions.Utility_DisplayArrayInTable(Fertiliser_SourceData.Fertiliser_Products_Data1(), FertiliserProducts[[#Headers],[Company]],1)</f>
        <v>0.1</v>
      </c>
      <c r="S96" s="152" t="str" cm="1">
        <f t="array" ref="S96">Common_InputFunctions.Utility_DisplayArrayInTable(Fertiliser_SourceData.Fertiliser_Products_Data1(), FertiliserProducts[[#Headers],[Company]],1)</f>
        <v>Potassium - Generic</v>
      </c>
      <c r="T96" s="152" cm="1">
        <f t="array" ref="T96">Common_InputFunctions.Utility_DisplayArrayInTable(Fertiliser_SourceData.Fertiliser_Products_Data1(), FertiliserProducts[[#Headers],[Company]],1)</f>
        <v>3.4000000000000002E-2</v>
      </c>
      <c r="U96" s="152" t="str" cm="1">
        <f t="array" ref="U96">Common_InputFunctions.Utility_DisplayArrayInTable(Fertiliser_SourceData.Fertiliser_Products_Data1(), FertiliserProducts[[#Headers],[Company]],1)</f>
        <v/>
      </c>
      <c r="V96" s="152" t="str" cm="1">
        <f t="array" ref="V96">Common_InputFunctions.Utility_DisplayArrayInTable(Fertiliser_SourceData.Fertiliser_Products_Data1(), FertiliserProducts[[#Headers],[Company]],1)</f>
        <v/>
      </c>
      <c r="W96" s="152" t="str" cm="1">
        <f t="array" ref="W96">Common_InputFunctions.Utility_DisplayArrayInTable(Fertiliser_SourceData.Fertiliser_Products_Data1(), FertiliserProducts[[#Headers],[Company]],1)</f>
        <v/>
      </c>
      <c r="X96" s="152" t="str" cm="1">
        <f t="array" ref="X96">Common_InputFunctions.Utility_DisplayArrayInTable(Fertiliser_SourceData.Fertiliser_Products_Data1(), FertiliserProducts[[#Headers],[Company]],1)</f>
        <v/>
      </c>
      <c r="Y96" s="152" t="str" cm="1">
        <f t="array" ref="Y96">Common_InputFunctions.Utility_DisplayArrayInTable(Fertiliser_SourceData.Fertiliser_Products_Data1(), FertiliserProducts[[#Headers],[Company]],1)</f>
        <v/>
      </c>
      <c r="Z96" s="152" t="str" cm="1">
        <f t="array" ref="Z96">Common_InputFunctions.Utility_DisplayArrayInTable(Fertiliser_SourceData.Fertiliser_Products_Data1(), FertiliserProducts[[#Headers],[Company]],1)</f>
        <v/>
      </c>
      <c r="AA96" s="152" t="str" cm="1">
        <f t="array" ref="AA96">Common_InputFunctions.Utility_DisplayArrayInTable(Fertiliser_SourceData.Fertiliser_Products_Data1(), FertiliserProducts[[#Headers],[Company]],1)</f>
        <v/>
      </c>
      <c r="AB96" s="152" t="str" cm="1">
        <f t="array" ref="AB96">Common_InputFunctions.Utility_DisplayArrayInTable(Fertiliser_SourceData.Fertiliser_Products_Data1(), FertiliserProducts[[#Headers],[Company]],1)</f>
        <v/>
      </c>
      <c r="AC96" s="152" t="str" cm="1">
        <f t="array" ref="AC96">Common_InputFunctions.Utility_DisplayArrayInTable(Fertiliser_SourceData.Fertiliser_Products_Data1(), FertiliserProducts[[#Headers],[Company]],1)</f>
        <v/>
      </c>
      <c r="AD96" s="152" t="str" cm="1">
        <f t="array" ref="AD96">Common_InputFunctions.Utility_DisplayArrayInTable(Fertiliser_SourceData.Fertiliser_Products_Data1(), FertiliserProducts[[#Headers],[Company]],1)</f>
        <v/>
      </c>
      <c r="AE96" s="152" t="str" cm="1">
        <f t="array" ref="AE96">Common_InputFunctions.Utility_DisplayArrayInTable(Fertiliser_SourceData.Fertiliser_Products_Data1(), FertiliserProducts[[#Headers],[Company]],1)</f>
        <v/>
      </c>
      <c r="AF96" s="152" t="str" cm="1">
        <f t="array" ref="AF96">Common_InputFunctions.Utility_DisplayArrayInTable(Fertiliser_SourceData.Fertiliser_Products_Data1(), FertiliserProducts[[#Headers],[Company]],1)</f>
        <v/>
      </c>
      <c r="AG96" s="152" t="str" cm="1">
        <f t="array" ref="AG96">Common_InputFunctions.Utility_DisplayArrayInTable(Fertiliser_SourceData.Fertiliser_Products_Data1(), FertiliserProducts[[#Headers],[Company]],1)</f>
        <v/>
      </c>
      <c r="AH96" s="152" t="str" cm="1">
        <f t="array" ref="AH96">Common_InputFunctions.Utility_DisplayArrayInTable(Fertiliser_SourceData.Fertiliser_Products_Data1(), FertiliserProducts[[#Headers],[Company]],1)</f>
        <v/>
      </c>
      <c r="AK96" s="1"/>
      <c r="AL96" s="1"/>
      <c r="AM96" s="1"/>
    </row>
    <row r="97" spans="1:39" ht="20.100000000000001" customHeight="1" x14ac:dyDescent="0.2">
      <c r="A97" s="131" t="str">
        <f>HYPERLINK("#A1", "▲ Back to top")</f>
        <v>▲ Back to top</v>
      </c>
      <c r="D97" s="152" t="str" cm="1">
        <f t="array" ref="D97">Common_InputFunctions.Utility_DisplayArrayInTable(Fertiliser_SourceData.Fertiliser_Products_Data1(), FertiliserProducts[[#Headers],[Company]],1)</f>
        <v>Campbells fertilisers Australia</v>
      </c>
      <c r="E97" s="152" t="str" cm="1">
        <f t="array" ref="E97">Common_InputFunctions.Utility_DisplayArrayInTable(Fertiliser_SourceData.Fertiliser_Products_Data1(), FertiliserProducts[[#Headers],[Company]],1)</f>
        <v>Aqua Thio-Complete</v>
      </c>
      <c r="F97" s="152" t="str" cm="1">
        <f t="array" ref="F97">Common_InputFunctions.Utility_DisplayArrayInTable(Fertiliser_SourceData.Fertiliser_Products_Data1(), FertiliserProducts[[#Headers],[Company]],1)</f>
        <v>L</v>
      </c>
      <c r="G97" s="152" cm="1">
        <f t="array" ref="G97">Common_InputFunctions.Utility_DisplayArrayInTable(Fertiliser_SourceData.Fertiliser_Products_Data1(), FertiliserProducts[[#Headers],[Company]],1)</f>
        <v>1.43</v>
      </c>
      <c r="H97" s="152" t="str" cm="1">
        <f t="array" ref="H97">Common_InputFunctions.Utility_DisplayArrayInTable(Fertiliser_SourceData.Fertiliser_Products_Data1(), FertiliserProducts[[#Headers],[Company]],1)</f>
        <v/>
      </c>
      <c r="I97" s="152" t="str" cm="1">
        <f t="array" ref="I97">Common_InputFunctions.Utility_DisplayArrayInTable(Fertiliser_SourceData.Fertiliser_Products_Data1(), FertiliserProducts[[#Headers],[Company]],1)</f>
        <v/>
      </c>
      <c r="J97" s="152" t="str" cm="1">
        <f t="array" ref="J97">Common_InputFunctions.Utility_DisplayArrayInTable(Fertiliser_SourceData.Fertiliser_Products_Data1(), FertiliserProducts[[#Headers],[Company]],1)</f>
        <v/>
      </c>
      <c r="K97" s="152" cm="1">
        <f t="array" ref="K97">Common_InputFunctions.Utility_DisplayArrayInTable(Fertiliser_SourceData.Fertiliser_Products_Data1(), FertiliserProducts[[#Headers],[Company]],1)</f>
        <v>2.5</v>
      </c>
      <c r="L97" s="152" cm="1">
        <f t="array" ref="L97">Common_InputFunctions.Utility_DisplayArrayInTable(Fertiliser_SourceData.Fertiliser_Products_Data1(), FertiliserProducts[[#Headers],[Company]],1)</f>
        <v>3.8</v>
      </c>
      <c r="M97" s="152" cm="1">
        <f t="array" ref="M97">Common_InputFunctions.Utility_DisplayArrayInTable(Fertiliser_SourceData.Fertiliser_Products_Data1(), FertiliserProducts[[#Headers],[Company]],1)</f>
        <v>22.5</v>
      </c>
      <c r="N97" s="152" t="str" cm="1">
        <f t="array" ref="N97">Common_InputFunctions.Utility_DisplayArrayInTable(Fertiliser_SourceData.Fertiliser_Products_Data1(), FertiliserProducts[[#Headers],[Company]],1)</f>
        <v/>
      </c>
      <c r="O97" s="152" t="str" cm="1">
        <f t="array" ref="O97">Common_InputFunctions.Utility_DisplayArrayInTable(Fertiliser_SourceData.Fertiliser_Products_Data1(), FertiliserProducts[[#Headers],[Company]],1)</f>
        <v>Potassium - Generic</v>
      </c>
      <c r="P97" s="152" cm="1">
        <f t="array" ref="P97">Common_InputFunctions.Utility_DisplayArrayInTable(Fertiliser_SourceData.Fertiliser_Products_Data1(), FertiliserProducts[[#Headers],[Company]],1)</f>
        <v>0.22500000000000001</v>
      </c>
      <c r="Q97" s="152" t="str" cm="1">
        <f t="array" ref="Q97">Common_InputFunctions.Utility_DisplayArrayInTable(Fertiliser_SourceData.Fertiliser_Products_Data1(), FertiliserProducts[[#Headers],[Company]],1)</f>
        <v>Phosphorus - Generic</v>
      </c>
      <c r="R97" s="152" cm="1">
        <f t="array" ref="R97">Common_InputFunctions.Utility_DisplayArrayInTable(Fertiliser_SourceData.Fertiliser_Products_Data1(), FertiliserProducts[[#Headers],[Company]],1)</f>
        <v>3.7999999999999999E-2</v>
      </c>
      <c r="S97" s="152" t="str" cm="1">
        <f t="array" ref="S97">Common_InputFunctions.Utility_DisplayArrayInTable(Fertiliser_SourceData.Fertiliser_Products_Data1(), FertiliserProducts[[#Headers],[Company]],1)</f>
        <v>Nitrogen - Generic</v>
      </c>
      <c r="T97" s="152" cm="1">
        <f t="array" ref="T97">Common_InputFunctions.Utility_DisplayArrayInTable(Fertiliser_SourceData.Fertiliser_Products_Data1(), FertiliserProducts[[#Headers],[Company]],1)</f>
        <v>2.5000000000000001E-2</v>
      </c>
      <c r="U97" s="152" t="str" cm="1">
        <f t="array" ref="U97">Common_InputFunctions.Utility_DisplayArrayInTable(Fertiliser_SourceData.Fertiliser_Products_Data1(), FertiliserProducts[[#Headers],[Company]],1)</f>
        <v/>
      </c>
      <c r="V97" s="152" t="str" cm="1">
        <f t="array" ref="V97">Common_InputFunctions.Utility_DisplayArrayInTable(Fertiliser_SourceData.Fertiliser_Products_Data1(), FertiliserProducts[[#Headers],[Company]],1)</f>
        <v/>
      </c>
      <c r="W97" s="152" t="str" cm="1">
        <f t="array" ref="W97">Common_InputFunctions.Utility_DisplayArrayInTable(Fertiliser_SourceData.Fertiliser_Products_Data1(), FertiliserProducts[[#Headers],[Company]],1)</f>
        <v/>
      </c>
      <c r="X97" s="152" t="str" cm="1">
        <f t="array" ref="X97">Common_InputFunctions.Utility_DisplayArrayInTable(Fertiliser_SourceData.Fertiliser_Products_Data1(), FertiliserProducts[[#Headers],[Company]],1)</f>
        <v/>
      </c>
      <c r="Y97" s="152" t="str" cm="1">
        <f t="array" ref="Y97">Common_InputFunctions.Utility_DisplayArrayInTable(Fertiliser_SourceData.Fertiliser_Products_Data1(), FertiliserProducts[[#Headers],[Company]],1)</f>
        <v/>
      </c>
      <c r="Z97" s="152" t="str" cm="1">
        <f t="array" ref="Z97">Common_InputFunctions.Utility_DisplayArrayInTable(Fertiliser_SourceData.Fertiliser_Products_Data1(), FertiliserProducts[[#Headers],[Company]],1)</f>
        <v/>
      </c>
      <c r="AA97" s="152" t="str" cm="1">
        <f t="array" ref="AA97">Common_InputFunctions.Utility_DisplayArrayInTable(Fertiliser_SourceData.Fertiliser_Products_Data1(), FertiliserProducts[[#Headers],[Company]],1)</f>
        <v/>
      </c>
      <c r="AB97" s="152" t="str" cm="1">
        <f t="array" ref="AB97">Common_InputFunctions.Utility_DisplayArrayInTable(Fertiliser_SourceData.Fertiliser_Products_Data1(), FertiliserProducts[[#Headers],[Company]],1)</f>
        <v/>
      </c>
      <c r="AC97" s="152" t="str" cm="1">
        <f t="array" ref="AC97">Common_InputFunctions.Utility_DisplayArrayInTable(Fertiliser_SourceData.Fertiliser_Products_Data1(), FertiliserProducts[[#Headers],[Company]],1)</f>
        <v/>
      </c>
      <c r="AD97" s="152" t="str" cm="1">
        <f t="array" ref="AD97">Common_InputFunctions.Utility_DisplayArrayInTable(Fertiliser_SourceData.Fertiliser_Products_Data1(), FertiliserProducts[[#Headers],[Company]],1)</f>
        <v/>
      </c>
      <c r="AE97" s="152" t="str" cm="1">
        <f t="array" ref="AE97">Common_InputFunctions.Utility_DisplayArrayInTable(Fertiliser_SourceData.Fertiliser_Products_Data1(), FertiliserProducts[[#Headers],[Company]],1)</f>
        <v/>
      </c>
      <c r="AF97" s="152" t="str" cm="1">
        <f t="array" ref="AF97">Common_InputFunctions.Utility_DisplayArrayInTable(Fertiliser_SourceData.Fertiliser_Products_Data1(), FertiliserProducts[[#Headers],[Company]],1)</f>
        <v/>
      </c>
      <c r="AG97" s="152" t="str" cm="1">
        <f t="array" ref="AG97">Common_InputFunctions.Utility_DisplayArrayInTable(Fertiliser_SourceData.Fertiliser_Products_Data1(), FertiliserProducts[[#Headers],[Company]],1)</f>
        <v/>
      </c>
      <c r="AH97" s="152" t="str" cm="1">
        <f t="array" ref="AH97">Common_InputFunctions.Utility_DisplayArrayInTable(Fertiliser_SourceData.Fertiliser_Products_Data1(), FertiliserProducts[[#Headers],[Company]],1)</f>
        <v/>
      </c>
      <c r="AK97" s="1"/>
      <c r="AL97" s="1"/>
      <c r="AM97" s="1"/>
    </row>
    <row r="98" spans="1:39" ht="20.100000000000001" customHeight="1" x14ac:dyDescent="0.2">
      <c r="D98" s="152" t="str" cm="1">
        <f t="array" ref="D98">Common_InputFunctions.Utility_DisplayArrayInTable(Fertiliser_SourceData.Fertiliser_Products_Data1(), FertiliserProducts[[#Headers],[Company]],1)</f>
        <v>Campbells fertilisers Australia</v>
      </c>
      <c r="E98" s="152" t="str" cm="1">
        <f t="array" ref="E98">Common_InputFunctions.Utility_DisplayArrayInTable(Fertiliser_SourceData.Fertiliser_Products_Data1(), FertiliserProducts[[#Headers],[Company]],1)</f>
        <v>Aqua Thio-Emerge</v>
      </c>
      <c r="F98" s="152" t="str" cm="1">
        <f t="array" ref="F98">Common_InputFunctions.Utility_DisplayArrayInTable(Fertiliser_SourceData.Fertiliser_Products_Data1(), FertiliserProducts[[#Headers],[Company]],1)</f>
        <v>L</v>
      </c>
      <c r="G98" s="152" cm="1">
        <f t="array" ref="G98">Common_InputFunctions.Utility_DisplayArrayInTable(Fertiliser_SourceData.Fertiliser_Products_Data1(), FertiliserProducts[[#Headers],[Company]],1)</f>
        <v>1.29</v>
      </c>
      <c r="H98" s="152" t="str" cm="1">
        <f t="array" ref="H98">Common_InputFunctions.Utility_DisplayArrayInTable(Fertiliser_SourceData.Fertiliser_Products_Data1(), FertiliserProducts[[#Headers],[Company]],1)</f>
        <v/>
      </c>
      <c r="I98" s="152" t="str" cm="1">
        <f t="array" ref="I98">Common_InputFunctions.Utility_DisplayArrayInTable(Fertiliser_SourceData.Fertiliser_Products_Data1(), FertiliserProducts[[#Headers],[Company]],1)</f>
        <v/>
      </c>
      <c r="J98" s="152" t="str" cm="1">
        <f t="array" ref="J98">Common_InputFunctions.Utility_DisplayArrayInTable(Fertiliser_SourceData.Fertiliser_Products_Data1(), FertiliserProducts[[#Headers],[Company]],1)</f>
        <v/>
      </c>
      <c r="K98" s="152" cm="1">
        <f t="array" ref="K98">Common_InputFunctions.Utility_DisplayArrayInTable(Fertiliser_SourceData.Fertiliser_Products_Data1(), FertiliserProducts[[#Headers],[Company]],1)</f>
        <v>10.5</v>
      </c>
      <c r="L98" s="152" cm="1">
        <f t="array" ref="L98">Common_InputFunctions.Utility_DisplayArrayInTable(Fertiliser_SourceData.Fertiliser_Products_Data1(), FertiliserProducts[[#Headers],[Company]],1)</f>
        <v>9.4</v>
      </c>
      <c r="M98" s="152" cm="1">
        <f t="array" ref="M98">Common_InputFunctions.Utility_DisplayArrayInTable(Fertiliser_SourceData.Fertiliser_Products_Data1(), FertiliserProducts[[#Headers],[Company]],1)</f>
        <v>4</v>
      </c>
      <c r="N98" s="152" cm="1">
        <f t="array" ref="N98">Common_InputFunctions.Utility_DisplayArrayInTable(Fertiliser_SourceData.Fertiliser_Products_Data1(), FertiliserProducts[[#Headers],[Company]],1)</f>
        <v>3</v>
      </c>
      <c r="O98" s="152" t="str" cm="1">
        <f t="array" ref="O98">Common_InputFunctions.Utility_DisplayArrayInTable(Fertiliser_SourceData.Fertiliser_Products_Data1(), FertiliserProducts[[#Headers],[Company]],1)</f>
        <v>Nitrogen - Generic</v>
      </c>
      <c r="P98" s="152" cm="1">
        <f t="array" ref="P98">Common_InputFunctions.Utility_DisplayArrayInTable(Fertiliser_SourceData.Fertiliser_Products_Data1(), FertiliserProducts[[#Headers],[Company]],1)</f>
        <v>0.105</v>
      </c>
      <c r="Q98" s="152" t="str" cm="1">
        <f t="array" ref="Q98">Common_InputFunctions.Utility_DisplayArrayInTable(Fertiliser_SourceData.Fertiliser_Products_Data1(), FertiliserProducts[[#Headers],[Company]],1)</f>
        <v>Phosphorus - Generic</v>
      </c>
      <c r="R98" s="152" cm="1">
        <f t="array" ref="R98">Common_InputFunctions.Utility_DisplayArrayInTable(Fertiliser_SourceData.Fertiliser_Products_Data1(), FertiliserProducts[[#Headers],[Company]],1)</f>
        <v>9.4E-2</v>
      </c>
      <c r="S98" s="152" t="str" cm="1">
        <f t="array" ref="S98">Common_InputFunctions.Utility_DisplayArrayInTable(Fertiliser_SourceData.Fertiliser_Products_Data1(), FertiliserProducts[[#Headers],[Company]],1)</f>
        <v>Potassium - Generic</v>
      </c>
      <c r="T98" s="152" cm="1">
        <f t="array" ref="T98">Common_InputFunctions.Utility_DisplayArrayInTable(Fertiliser_SourceData.Fertiliser_Products_Data1(), FertiliserProducts[[#Headers],[Company]],1)</f>
        <v>0.04</v>
      </c>
      <c r="U98" s="152" t="str" cm="1">
        <f t="array" ref="U98">Common_InputFunctions.Utility_DisplayArrayInTable(Fertiliser_SourceData.Fertiliser_Products_Data1(), FertiliserProducts[[#Headers],[Company]],1)</f>
        <v>Sulfur - Generic</v>
      </c>
      <c r="V98" s="152" cm="1">
        <f t="array" ref="V98">Common_InputFunctions.Utility_DisplayArrayInTable(Fertiliser_SourceData.Fertiliser_Products_Data1(), FertiliserProducts[[#Headers],[Company]],1)</f>
        <v>0.03</v>
      </c>
      <c r="W98" s="152" t="str" cm="1">
        <f t="array" ref="W98">Common_InputFunctions.Utility_DisplayArrayInTable(Fertiliser_SourceData.Fertiliser_Products_Data1(), FertiliserProducts[[#Headers],[Company]],1)</f>
        <v/>
      </c>
      <c r="X98" s="152" t="str" cm="1">
        <f t="array" ref="X98">Common_InputFunctions.Utility_DisplayArrayInTable(Fertiliser_SourceData.Fertiliser_Products_Data1(), FertiliserProducts[[#Headers],[Company]],1)</f>
        <v/>
      </c>
      <c r="Y98" s="152" t="str" cm="1">
        <f t="array" ref="Y98">Common_InputFunctions.Utility_DisplayArrayInTable(Fertiliser_SourceData.Fertiliser_Products_Data1(), FertiliserProducts[[#Headers],[Company]],1)</f>
        <v/>
      </c>
      <c r="Z98" s="152" t="str" cm="1">
        <f t="array" ref="Z98">Common_InputFunctions.Utility_DisplayArrayInTable(Fertiliser_SourceData.Fertiliser_Products_Data1(), FertiliserProducts[[#Headers],[Company]],1)</f>
        <v/>
      </c>
      <c r="AA98" s="152" t="str" cm="1">
        <f t="array" ref="AA98">Common_InputFunctions.Utility_DisplayArrayInTable(Fertiliser_SourceData.Fertiliser_Products_Data1(), FertiliserProducts[[#Headers],[Company]],1)</f>
        <v/>
      </c>
      <c r="AB98" s="152" t="str" cm="1">
        <f t="array" ref="AB98">Common_InputFunctions.Utility_DisplayArrayInTable(Fertiliser_SourceData.Fertiliser_Products_Data1(), FertiliserProducts[[#Headers],[Company]],1)</f>
        <v/>
      </c>
      <c r="AC98" s="152" t="str" cm="1">
        <f t="array" ref="AC98">Common_InputFunctions.Utility_DisplayArrayInTable(Fertiliser_SourceData.Fertiliser_Products_Data1(), FertiliserProducts[[#Headers],[Company]],1)</f>
        <v/>
      </c>
      <c r="AD98" s="152" t="str" cm="1">
        <f t="array" ref="AD98">Common_InputFunctions.Utility_DisplayArrayInTable(Fertiliser_SourceData.Fertiliser_Products_Data1(), FertiliserProducts[[#Headers],[Company]],1)</f>
        <v/>
      </c>
      <c r="AE98" s="152" t="str" cm="1">
        <f t="array" ref="AE98">Common_InputFunctions.Utility_DisplayArrayInTable(Fertiliser_SourceData.Fertiliser_Products_Data1(), FertiliserProducts[[#Headers],[Company]],1)</f>
        <v/>
      </c>
      <c r="AF98" s="152" t="str" cm="1">
        <f t="array" ref="AF98">Common_InputFunctions.Utility_DisplayArrayInTable(Fertiliser_SourceData.Fertiliser_Products_Data1(), FertiliserProducts[[#Headers],[Company]],1)</f>
        <v/>
      </c>
      <c r="AG98" s="152" t="str" cm="1">
        <f t="array" ref="AG98">Common_InputFunctions.Utility_DisplayArrayInTable(Fertiliser_SourceData.Fertiliser_Products_Data1(), FertiliserProducts[[#Headers],[Company]],1)</f>
        <v/>
      </c>
      <c r="AH98" s="152" t="str" cm="1">
        <f t="array" ref="AH98">Common_InputFunctions.Utility_DisplayArrayInTable(Fertiliser_SourceData.Fertiliser_Products_Data1(), FertiliserProducts[[#Headers],[Company]],1)</f>
        <v/>
      </c>
      <c r="AK98" s="1"/>
      <c r="AL98" s="1"/>
      <c r="AM98" s="1"/>
    </row>
    <row r="99" spans="1:39" ht="20.100000000000001" customHeight="1" x14ac:dyDescent="0.2">
      <c r="D99" s="152" t="str" cm="1">
        <f t="array" ref="D99">Common_InputFunctions.Utility_DisplayArrayInTable(Fertiliser_SourceData.Fertiliser_Products_Data1(), FertiliserProducts[[#Headers],[Company]],1)</f>
        <v>Campbells fertilisers Australia</v>
      </c>
      <c r="E99" s="152" t="str" cm="1">
        <f t="array" ref="E99">Common_InputFunctions.Utility_DisplayArrayInTable(Fertiliser_SourceData.Fertiliser_Products_Data1(), FertiliserProducts[[#Headers],[Company]],1)</f>
        <v>Aqua Thio-Flourish</v>
      </c>
      <c r="F99" s="152" t="str" cm="1">
        <f t="array" ref="F99">Common_InputFunctions.Utility_DisplayArrayInTable(Fertiliser_SourceData.Fertiliser_Products_Data1(), FertiliserProducts[[#Headers],[Company]],1)</f>
        <v>L</v>
      </c>
      <c r="G99" s="152" cm="1">
        <f t="array" ref="G99">Common_InputFunctions.Utility_DisplayArrayInTable(Fertiliser_SourceData.Fertiliser_Products_Data1(), FertiliserProducts[[#Headers],[Company]],1)</f>
        <v>1.32</v>
      </c>
      <c r="H99" s="152" t="str" cm="1">
        <f t="array" ref="H99">Common_InputFunctions.Utility_DisplayArrayInTable(Fertiliser_SourceData.Fertiliser_Products_Data1(), FertiliserProducts[[#Headers],[Company]],1)</f>
        <v/>
      </c>
      <c r="I99" s="152" t="str" cm="1">
        <f t="array" ref="I99">Common_InputFunctions.Utility_DisplayArrayInTable(Fertiliser_SourceData.Fertiliser_Products_Data1(), FertiliserProducts[[#Headers],[Company]],1)</f>
        <v/>
      </c>
      <c r="J99" s="152" t="str" cm="1">
        <f t="array" ref="J99">Common_InputFunctions.Utility_DisplayArrayInTable(Fertiliser_SourceData.Fertiliser_Products_Data1(), FertiliserProducts[[#Headers],[Company]],1)</f>
        <v/>
      </c>
      <c r="K99" s="152" cm="1">
        <f t="array" ref="K99">Common_InputFunctions.Utility_DisplayArrayInTable(Fertiliser_SourceData.Fertiliser_Products_Data1(), FertiliserProducts[[#Headers],[Company]],1)</f>
        <v>9.5</v>
      </c>
      <c r="L99" s="152" cm="1">
        <f t="array" ref="L99">Common_InputFunctions.Utility_DisplayArrayInTable(Fertiliser_SourceData.Fertiliser_Products_Data1(), FertiliserProducts[[#Headers],[Company]],1)</f>
        <v>4.7</v>
      </c>
      <c r="M99" s="152" cm="1">
        <f t="array" ref="M99">Common_InputFunctions.Utility_DisplayArrayInTable(Fertiliser_SourceData.Fertiliser_Products_Data1(), FertiliserProducts[[#Headers],[Company]],1)</f>
        <v>10.8</v>
      </c>
      <c r="N99" s="152" cm="1">
        <f t="array" ref="N99">Common_InputFunctions.Utility_DisplayArrayInTable(Fertiliser_SourceData.Fertiliser_Products_Data1(), FertiliserProducts[[#Headers],[Company]],1)</f>
        <v>8.1</v>
      </c>
      <c r="O99" s="152" t="str" cm="1">
        <f t="array" ref="O99">Common_InputFunctions.Utility_DisplayArrayInTable(Fertiliser_SourceData.Fertiliser_Products_Data1(), FertiliserProducts[[#Headers],[Company]],1)</f>
        <v>Potassium - Generic</v>
      </c>
      <c r="P99" s="152" cm="1">
        <f t="array" ref="P99">Common_InputFunctions.Utility_DisplayArrayInTable(Fertiliser_SourceData.Fertiliser_Products_Data1(), FertiliserProducts[[#Headers],[Company]],1)</f>
        <v>0.108</v>
      </c>
      <c r="Q99" s="152" t="str" cm="1">
        <f t="array" ref="Q99">Common_InputFunctions.Utility_DisplayArrayInTable(Fertiliser_SourceData.Fertiliser_Products_Data1(), FertiliserProducts[[#Headers],[Company]],1)</f>
        <v>Nitrogen - Generic</v>
      </c>
      <c r="R99" s="152" cm="1">
        <f t="array" ref="R99">Common_InputFunctions.Utility_DisplayArrayInTable(Fertiliser_SourceData.Fertiliser_Products_Data1(), FertiliserProducts[[#Headers],[Company]],1)</f>
        <v>9.5000000000000001E-2</v>
      </c>
      <c r="S99" s="152" t="str" cm="1">
        <f t="array" ref="S99">Common_InputFunctions.Utility_DisplayArrayInTable(Fertiliser_SourceData.Fertiliser_Products_Data1(), FertiliserProducts[[#Headers],[Company]],1)</f>
        <v>Sulfur - Generic</v>
      </c>
      <c r="T99" s="152" cm="1">
        <f t="array" ref="T99">Common_InputFunctions.Utility_DisplayArrayInTable(Fertiliser_SourceData.Fertiliser_Products_Data1(), FertiliserProducts[[#Headers],[Company]],1)</f>
        <v>8.1000000000000003E-2</v>
      </c>
      <c r="U99" s="152" t="str" cm="1">
        <f t="array" ref="U99">Common_InputFunctions.Utility_DisplayArrayInTable(Fertiliser_SourceData.Fertiliser_Products_Data1(), FertiliserProducts[[#Headers],[Company]],1)</f>
        <v>Phosphorus - Generic</v>
      </c>
      <c r="V99" s="152" cm="1">
        <f t="array" ref="V99">Common_InputFunctions.Utility_DisplayArrayInTable(Fertiliser_SourceData.Fertiliser_Products_Data1(), FertiliserProducts[[#Headers],[Company]],1)</f>
        <v>4.7E-2</v>
      </c>
      <c r="W99" s="152" t="str" cm="1">
        <f t="array" ref="W99">Common_InputFunctions.Utility_DisplayArrayInTable(Fertiliser_SourceData.Fertiliser_Products_Data1(), FertiliserProducts[[#Headers],[Company]],1)</f>
        <v/>
      </c>
      <c r="X99" s="152" t="str" cm="1">
        <f t="array" ref="X99">Common_InputFunctions.Utility_DisplayArrayInTable(Fertiliser_SourceData.Fertiliser_Products_Data1(), FertiliserProducts[[#Headers],[Company]],1)</f>
        <v/>
      </c>
      <c r="Y99" s="152" t="str" cm="1">
        <f t="array" ref="Y99">Common_InputFunctions.Utility_DisplayArrayInTable(Fertiliser_SourceData.Fertiliser_Products_Data1(), FertiliserProducts[[#Headers],[Company]],1)</f>
        <v/>
      </c>
      <c r="Z99" s="152" t="str" cm="1">
        <f t="array" ref="Z99">Common_InputFunctions.Utility_DisplayArrayInTable(Fertiliser_SourceData.Fertiliser_Products_Data1(), FertiliserProducts[[#Headers],[Company]],1)</f>
        <v/>
      </c>
      <c r="AA99" s="152" t="str" cm="1">
        <f t="array" ref="AA99">Common_InputFunctions.Utility_DisplayArrayInTable(Fertiliser_SourceData.Fertiliser_Products_Data1(), FertiliserProducts[[#Headers],[Company]],1)</f>
        <v/>
      </c>
      <c r="AB99" s="152" t="str" cm="1">
        <f t="array" ref="AB99">Common_InputFunctions.Utility_DisplayArrayInTable(Fertiliser_SourceData.Fertiliser_Products_Data1(), FertiliserProducts[[#Headers],[Company]],1)</f>
        <v/>
      </c>
      <c r="AC99" s="152" t="str" cm="1">
        <f t="array" ref="AC99">Common_InputFunctions.Utility_DisplayArrayInTable(Fertiliser_SourceData.Fertiliser_Products_Data1(), FertiliserProducts[[#Headers],[Company]],1)</f>
        <v/>
      </c>
      <c r="AD99" s="152" t="str" cm="1">
        <f t="array" ref="AD99">Common_InputFunctions.Utility_DisplayArrayInTable(Fertiliser_SourceData.Fertiliser_Products_Data1(), FertiliserProducts[[#Headers],[Company]],1)</f>
        <v/>
      </c>
      <c r="AE99" s="152" t="str" cm="1">
        <f t="array" ref="AE99">Common_InputFunctions.Utility_DisplayArrayInTable(Fertiliser_SourceData.Fertiliser_Products_Data1(), FertiliserProducts[[#Headers],[Company]],1)</f>
        <v/>
      </c>
      <c r="AF99" s="152" t="str" cm="1">
        <f t="array" ref="AF99">Common_InputFunctions.Utility_DisplayArrayInTable(Fertiliser_SourceData.Fertiliser_Products_Data1(), FertiliserProducts[[#Headers],[Company]],1)</f>
        <v/>
      </c>
      <c r="AG99" s="152" t="str" cm="1">
        <f t="array" ref="AG99">Common_InputFunctions.Utility_DisplayArrayInTable(Fertiliser_SourceData.Fertiliser_Products_Data1(), FertiliserProducts[[#Headers],[Company]],1)</f>
        <v/>
      </c>
      <c r="AH99" s="152" t="str" cm="1">
        <f t="array" ref="AH99">Common_InputFunctions.Utility_DisplayArrayInTable(Fertiliser_SourceData.Fertiliser_Products_Data1(), FertiliserProducts[[#Headers],[Company]],1)</f>
        <v/>
      </c>
      <c r="AK99" s="1"/>
      <c r="AL99" s="1"/>
      <c r="AM99" s="1"/>
    </row>
    <row r="100" spans="1:39" ht="20.100000000000001" customHeight="1" x14ac:dyDescent="0.2">
      <c r="D100" s="152" t="str" cm="1">
        <f t="array" ref="D100">Common_InputFunctions.Utility_DisplayArrayInTable(Fertiliser_SourceData.Fertiliser_Products_Data1(), FertiliserProducts[[#Headers],[Company]],1)</f>
        <v>Campbells fertilisers Australia</v>
      </c>
      <c r="E100" s="152" t="str" cm="1">
        <f t="array" ref="E100">Common_InputFunctions.Utility_DisplayArrayInTable(Fertiliser_SourceData.Fertiliser_Products_Data1(), FertiliserProducts[[#Headers],[Company]],1)</f>
        <v>Boost-It</v>
      </c>
      <c r="F100" s="152" t="str" cm="1">
        <f t="array" ref="F100">Common_InputFunctions.Utility_DisplayArrayInTable(Fertiliser_SourceData.Fertiliser_Products_Data1(), FertiliserProducts[[#Headers],[Company]],1)</f>
        <v>kg</v>
      </c>
      <c r="G100" s="152" cm="1">
        <f t="array" ref="G100">Common_InputFunctions.Utility_DisplayArrayInTable(Fertiliser_SourceData.Fertiliser_Products_Data1(), FertiliserProducts[[#Headers],[Company]],1)</f>
        <v>1</v>
      </c>
      <c r="H100" s="152" t="str" cm="1">
        <f t="array" ref="H100">Common_InputFunctions.Utility_DisplayArrayInTable(Fertiliser_SourceData.Fertiliser_Products_Data1(), FertiliserProducts[[#Headers],[Company]],1)</f>
        <v/>
      </c>
      <c r="I100" s="152" t="str" cm="1">
        <f t="array" ref="I100">Common_InputFunctions.Utility_DisplayArrayInTable(Fertiliser_SourceData.Fertiliser_Products_Data1(), FertiliserProducts[[#Headers],[Company]],1)</f>
        <v/>
      </c>
      <c r="J100" s="152" t="str" cm="1">
        <f t="array" ref="J100">Common_InputFunctions.Utility_DisplayArrayInTable(Fertiliser_SourceData.Fertiliser_Products_Data1(), FertiliserProducts[[#Headers],[Company]],1)</f>
        <v/>
      </c>
      <c r="K100" s="152" cm="1">
        <f t="array" ref="K100">Common_InputFunctions.Utility_DisplayArrayInTable(Fertiliser_SourceData.Fertiliser_Products_Data1(), FertiliserProducts[[#Headers],[Company]],1)</f>
        <v>24</v>
      </c>
      <c r="L100" s="152" cm="1">
        <f t="array" ref="L100">Common_InputFunctions.Utility_DisplayArrayInTable(Fertiliser_SourceData.Fertiliser_Products_Data1(), FertiliserProducts[[#Headers],[Company]],1)</f>
        <v>5.2</v>
      </c>
      <c r="M100" s="152" cm="1">
        <f t="array" ref="M100">Common_InputFunctions.Utility_DisplayArrayInTable(Fertiliser_SourceData.Fertiliser_Products_Data1(), FertiliserProducts[[#Headers],[Company]],1)</f>
        <v>8</v>
      </c>
      <c r="N100" s="152" cm="1">
        <f t="array" ref="N100">Common_InputFunctions.Utility_DisplayArrayInTable(Fertiliser_SourceData.Fertiliser_Products_Data1(), FertiliserProducts[[#Headers],[Company]],1)</f>
        <v>5.3</v>
      </c>
      <c r="O100" s="152" t="str" cm="1">
        <f t="array" ref="O100">Common_InputFunctions.Utility_DisplayArrayInTable(Fertiliser_SourceData.Fertiliser_Products_Data1(), FertiliserProducts[[#Headers],[Company]],1)</f>
        <v>Urea</v>
      </c>
      <c r="P100" s="152" cm="1">
        <f t="array" ref="P100">Common_InputFunctions.Utility_DisplayArrayInTable(Fertiliser_SourceData.Fertiliser_Products_Data1(), FertiliserProducts[[#Headers],[Company]],1)</f>
        <v>0.52173899999999995</v>
      </c>
      <c r="Q100" s="152" t="str" cm="1">
        <f t="array" ref="Q100">Common_InputFunctions.Utility_DisplayArrayInTable(Fertiliser_SourceData.Fertiliser_Products_Data1(), FertiliserProducts[[#Headers],[Company]],1)</f>
        <v>Potassium - Generic</v>
      </c>
      <c r="R100" s="152" cm="1">
        <f t="array" ref="R100">Common_InputFunctions.Utility_DisplayArrayInTable(Fertiliser_SourceData.Fertiliser_Products_Data1(), FertiliserProducts[[#Headers],[Company]],1)</f>
        <v>0.08</v>
      </c>
      <c r="S100" s="152" t="str" cm="1">
        <f t="array" ref="S100">Common_InputFunctions.Utility_DisplayArrayInTable(Fertiliser_SourceData.Fertiliser_Products_Data1(), FertiliserProducts[[#Headers],[Company]],1)</f>
        <v>Sulfur - Generic</v>
      </c>
      <c r="T100" s="152" cm="1">
        <f t="array" ref="T100">Common_InputFunctions.Utility_DisplayArrayInTable(Fertiliser_SourceData.Fertiliser_Products_Data1(), FertiliserProducts[[#Headers],[Company]],1)</f>
        <v>5.2999999999999999E-2</v>
      </c>
      <c r="U100" s="152" t="str" cm="1">
        <f t="array" ref="U100">Common_InputFunctions.Utility_DisplayArrayInTable(Fertiliser_SourceData.Fertiliser_Products_Data1(), FertiliserProducts[[#Headers],[Company]],1)</f>
        <v>Phosphorus - Generic</v>
      </c>
      <c r="V100" s="152" cm="1">
        <f t="array" ref="V100">Common_InputFunctions.Utility_DisplayArrayInTable(Fertiliser_SourceData.Fertiliser_Products_Data1(), FertiliserProducts[[#Headers],[Company]],1)</f>
        <v>5.1999999999999998E-2</v>
      </c>
      <c r="W100" s="152" t="str" cm="1">
        <f t="array" ref="W100">Common_InputFunctions.Utility_DisplayArrayInTable(Fertiliser_SourceData.Fertiliser_Products_Data1(), FertiliserProducts[[#Headers],[Company]],1)</f>
        <v>Magnesium</v>
      </c>
      <c r="X100" s="152" cm="1">
        <f t="array" ref="X100">Common_InputFunctions.Utility_DisplayArrayInTable(Fertiliser_SourceData.Fertiliser_Products_Data1(), FertiliserProducts[[#Headers],[Company]],1)</f>
        <v>1.2999999999999999E-2</v>
      </c>
      <c r="Y100" s="152" t="str" cm="1">
        <f t="array" ref="Y100">Common_InputFunctions.Utility_DisplayArrayInTable(Fertiliser_SourceData.Fertiliser_Products_Data1(), FertiliserProducts[[#Headers],[Company]],1)</f>
        <v>Zinc</v>
      </c>
      <c r="Z100" s="152" cm="1">
        <f t="array" ref="Z100">Common_InputFunctions.Utility_DisplayArrayInTable(Fertiliser_SourceData.Fertiliser_Products_Data1(), FertiliserProducts[[#Headers],[Company]],1)</f>
        <v>2E-3</v>
      </c>
      <c r="AA100" s="152" t="str" cm="1">
        <f t="array" ref="AA100">Common_InputFunctions.Utility_DisplayArrayInTable(Fertiliser_SourceData.Fertiliser_Products_Data1(), FertiliserProducts[[#Headers],[Company]],1)</f>
        <v>Manganese</v>
      </c>
      <c r="AB100" s="152" cm="1">
        <f t="array" ref="AB100">Common_InputFunctions.Utility_DisplayArrayInTable(Fertiliser_SourceData.Fertiliser_Products_Data1(), FertiliserProducts[[#Headers],[Company]],1)</f>
        <v>3.5000000000000001E-3</v>
      </c>
      <c r="AC100" s="152" t="str" cm="1">
        <f t="array" ref="AC100">Common_InputFunctions.Utility_DisplayArrayInTable(Fertiliser_SourceData.Fertiliser_Products_Data1(), FertiliserProducts[[#Headers],[Company]],1)</f>
        <v>Iron</v>
      </c>
      <c r="AD100" s="152" cm="1">
        <f t="array" ref="AD100">Common_InputFunctions.Utility_DisplayArrayInTable(Fertiliser_SourceData.Fertiliser_Products_Data1(), FertiliserProducts[[#Headers],[Company]],1)</f>
        <v>1.2999999999999999E-3</v>
      </c>
      <c r="AE100" s="152" t="str" cm="1">
        <f t="array" ref="AE100">Common_InputFunctions.Utility_DisplayArrayInTable(Fertiliser_SourceData.Fertiliser_Products_Data1(), FertiliserProducts[[#Headers],[Company]],1)</f>
        <v>Copper</v>
      </c>
      <c r="AF100" s="152" cm="1">
        <f t="array" ref="AF100">Common_InputFunctions.Utility_DisplayArrayInTable(Fertiliser_SourceData.Fertiliser_Products_Data1(), FertiliserProducts[[#Headers],[Company]],1)</f>
        <v>6.9999999999999999E-4</v>
      </c>
      <c r="AG100" s="152" t="str" cm="1">
        <f t="array" ref="AG100">Common_InputFunctions.Utility_DisplayArrayInTable(Fertiliser_SourceData.Fertiliser_Products_Data1(), FertiliserProducts[[#Headers],[Company]],1)</f>
        <v>Boron</v>
      </c>
      <c r="AH100" s="152" cm="1">
        <f t="array" ref="AH100">Common_InputFunctions.Utility_DisplayArrayInTable(Fertiliser_SourceData.Fertiliser_Products_Data1(), FertiliserProducts[[#Headers],[Company]],1)</f>
        <v>6.9999999999999999E-4</v>
      </c>
      <c r="AK100" s="1"/>
      <c r="AL100" s="1"/>
      <c r="AM100" s="1"/>
    </row>
    <row r="101" spans="1:39" ht="20.100000000000001" customHeight="1" x14ac:dyDescent="0.2">
      <c r="D101" s="152" t="str" cm="1">
        <f t="array" ref="D101">Common_InputFunctions.Utility_DisplayArrayInTable(Fertiliser_SourceData.Fertiliser_Products_Data1(), FertiliserProducts[[#Headers],[Company]],1)</f>
        <v>Campbells fertilisers Australia</v>
      </c>
      <c r="E101" s="152" t="str" cm="1">
        <f t="array" ref="E101">Common_InputFunctions.Utility_DisplayArrayInTable(Fertiliser_SourceData.Fertiliser_Products_Data1(), FertiliserProducts[[#Headers],[Company]],1)</f>
        <v>Bronze</v>
      </c>
      <c r="F101" s="152" t="str" cm="1">
        <f t="array" ref="F101">Common_InputFunctions.Utility_DisplayArrayInTable(Fertiliser_SourceData.Fertiliser_Products_Data1(), FertiliserProducts[[#Headers],[Company]],1)</f>
        <v>kg</v>
      </c>
      <c r="G101" s="152" cm="1">
        <f t="array" ref="G101">Common_InputFunctions.Utility_DisplayArrayInTable(Fertiliser_SourceData.Fertiliser_Products_Data1(), FertiliserProducts[[#Headers],[Company]],1)</f>
        <v>1</v>
      </c>
      <c r="H101" s="152" t="str" cm="1">
        <f t="array" ref="H101">Common_InputFunctions.Utility_DisplayArrayInTable(Fertiliser_SourceData.Fertiliser_Products_Data1(), FertiliserProducts[[#Headers],[Company]],1)</f>
        <v/>
      </c>
      <c r="I101" s="152" t="str" cm="1">
        <f t="array" ref="I101">Common_InputFunctions.Utility_DisplayArrayInTable(Fertiliser_SourceData.Fertiliser_Products_Data1(), FertiliserProducts[[#Headers],[Company]],1)</f>
        <v/>
      </c>
      <c r="J101" s="152" t="str" cm="1">
        <f t="array" ref="J101">Common_InputFunctions.Utility_DisplayArrayInTable(Fertiliser_SourceData.Fertiliser_Products_Data1(), FertiliserProducts[[#Headers],[Company]],1)</f>
        <v/>
      </c>
      <c r="K101" s="152" cm="1">
        <f t="array" ref="K101">Common_InputFunctions.Utility_DisplayArrayInTable(Fertiliser_SourceData.Fertiliser_Products_Data1(), FertiliserProducts[[#Headers],[Company]],1)</f>
        <v>17</v>
      </c>
      <c r="L101" s="152" cm="1">
        <f t="array" ref="L101">Common_InputFunctions.Utility_DisplayArrayInTable(Fertiliser_SourceData.Fertiliser_Products_Data1(), FertiliserProducts[[#Headers],[Company]],1)</f>
        <v>0.04</v>
      </c>
      <c r="M101" s="152" cm="1">
        <f t="array" ref="M101">Common_InputFunctions.Utility_DisplayArrayInTable(Fertiliser_SourceData.Fertiliser_Products_Data1(), FertiliserProducts[[#Headers],[Company]],1)</f>
        <v>11.6</v>
      </c>
      <c r="N101" s="152" cm="1">
        <f t="array" ref="N101">Common_InputFunctions.Utility_DisplayArrayInTable(Fertiliser_SourceData.Fertiliser_Products_Data1(), FertiliserProducts[[#Headers],[Company]],1)</f>
        <v>0.5</v>
      </c>
      <c r="O101" s="152" t="str" cm="1">
        <f t="array" ref="O101">Common_InputFunctions.Utility_DisplayArrayInTable(Fertiliser_SourceData.Fertiliser_Products_Data1(), FertiliserProducts[[#Headers],[Company]],1)</f>
        <v>Muriate of potash (MOP)</v>
      </c>
      <c r="P101" s="152" cm="1">
        <f t="array" ref="P101">Common_InputFunctions.Utility_DisplayArrayInTable(Fertiliser_SourceData.Fertiliser_Products_Data1(), FertiliserProducts[[#Headers],[Company]],1)</f>
        <v>0.23200000000000001</v>
      </c>
      <c r="Q101" s="152" t="str" cm="1">
        <f t="array" ref="Q101">Common_InputFunctions.Utility_DisplayArrayInTable(Fertiliser_SourceData.Fertiliser_Products_Data1(), FertiliserProducts[[#Headers],[Company]],1)</f>
        <v>Nitrogen - Generic</v>
      </c>
      <c r="R101" s="152" cm="1">
        <f t="array" ref="R101">Common_InputFunctions.Utility_DisplayArrayInTable(Fertiliser_SourceData.Fertiliser_Products_Data1(), FertiliserProducts[[#Headers],[Company]],1)</f>
        <v>0.17</v>
      </c>
      <c r="S101" s="152" t="str" cm="1">
        <f t="array" ref="S101">Common_InputFunctions.Utility_DisplayArrayInTable(Fertiliser_SourceData.Fertiliser_Products_Data1(), FertiliserProducts[[#Headers],[Company]],1)</f>
        <v>Sulfur - Generic</v>
      </c>
      <c r="T101" s="152" cm="1">
        <f t="array" ref="T101">Common_InputFunctions.Utility_DisplayArrayInTable(Fertiliser_SourceData.Fertiliser_Products_Data1(), FertiliserProducts[[#Headers],[Company]],1)</f>
        <v>5.0000000000000001E-3</v>
      </c>
      <c r="U101" s="152" t="str" cm="1">
        <f t="array" ref="U101">Common_InputFunctions.Utility_DisplayArrayInTable(Fertiliser_SourceData.Fertiliser_Products_Data1(), FertiliserProducts[[#Headers],[Company]],1)</f>
        <v>Magnesium</v>
      </c>
      <c r="V101" s="152" cm="1">
        <f t="array" ref="V101">Common_InputFunctions.Utility_DisplayArrayInTable(Fertiliser_SourceData.Fertiliser_Products_Data1(), FertiliserProducts[[#Headers],[Company]],1)</f>
        <v>2.3999999999999998E-3</v>
      </c>
      <c r="W101" s="152" t="str" cm="1">
        <f t="array" ref="W101">Common_InputFunctions.Utility_DisplayArrayInTable(Fertiliser_SourceData.Fertiliser_Products_Data1(), FertiliserProducts[[#Headers],[Company]],1)</f>
        <v>Phosphorus - Generic</v>
      </c>
      <c r="X101" s="152" cm="1">
        <f t="array" ref="X101">Common_InputFunctions.Utility_DisplayArrayInTable(Fertiliser_SourceData.Fertiliser_Products_Data1(), FertiliserProducts[[#Headers],[Company]],1)</f>
        <v>4.0000000000000002E-4</v>
      </c>
      <c r="Y101" s="152" t="str" cm="1">
        <f t="array" ref="Y101">Common_InputFunctions.Utility_DisplayArrayInTable(Fertiliser_SourceData.Fertiliser_Products_Data1(), FertiliserProducts[[#Headers],[Company]],1)</f>
        <v/>
      </c>
      <c r="Z101" s="152" t="str" cm="1">
        <f t="array" ref="Z101">Common_InputFunctions.Utility_DisplayArrayInTable(Fertiliser_SourceData.Fertiliser_Products_Data1(), FertiliserProducts[[#Headers],[Company]],1)</f>
        <v/>
      </c>
      <c r="AA101" s="152" t="str" cm="1">
        <f t="array" ref="AA101">Common_InputFunctions.Utility_DisplayArrayInTable(Fertiliser_SourceData.Fertiliser_Products_Data1(), FertiliserProducts[[#Headers],[Company]],1)</f>
        <v/>
      </c>
      <c r="AB101" s="152" t="str" cm="1">
        <f t="array" ref="AB101">Common_InputFunctions.Utility_DisplayArrayInTable(Fertiliser_SourceData.Fertiliser_Products_Data1(), FertiliserProducts[[#Headers],[Company]],1)</f>
        <v/>
      </c>
      <c r="AC101" s="152" t="str" cm="1">
        <f t="array" ref="AC101">Common_InputFunctions.Utility_DisplayArrayInTable(Fertiliser_SourceData.Fertiliser_Products_Data1(), FertiliserProducts[[#Headers],[Company]],1)</f>
        <v/>
      </c>
      <c r="AD101" s="152" t="str" cm="1">
        <f t="array" ref="AD101">Common_InputFunctions.Utility_DisplayArrayInTable(Fertiliser_SourceData.Fertiliser_Products_Data1(), FertiliserProducts[[#Headers],[Company]],1)</f>
        <v/>
      </c>
      <c r="AE101" s="152" t="str" cm="1">
        <f t="array" ref="AE101">Common_InputFunctions.Utility_DisplayArrayInTable(Fertiliser_SourceData.Fertiliser_Products_Data1(), FertiliserProducts[[#Headers],[Company]],1)</f>
        <v/>
      </c>
      <c r="AF101" s="152" t="str" cm="1">
        <f t="array" ref="AF101">Common_InputFunctions.Utility_DisplayArrayInTable(Fertiliser_SourceData.Fertiliser_Products_Data1(), FertiliserProducts[[#Headers],[Company]],1)</f>
        <v/>
      </c>
      <c r="AG101" s="152" t="str" cm="1">
        <f t="array" ref="AG101">Common_InputFunctions.Utility_DisplayArrayInTable(Fertiliser_SourceData.Fertiliser_Products_Data1(), FertiliserProducts[[#Headers],[Company]],1)</f>
        <v/>
      </c>
      <c r="AH101" s="152" t="str" cm="1">
        <f t="array" ref="AH101">Common_InputFunctions.Utility_DisplayArrayInTable(Fertiliser_SourceData.Fertiliser_Products_Data1(), FertiliserProducts[[#Headers],[Company]],1)</f>
        <v/>
      </c>
      <c r="AK101" s="1"/>
      <c r="AL101" s="1"/>
      <c r="AM101" s="1"/>
    </row>
    <row r="102" spans="1:39" ht="20.100000000000001" customHeight="1" x14ac:dyDescent="0.2">
      <c r="D102" s="152" t="str" cm="1">
        <f t="array" ref="D102">Common_InputFunctions.Utility_DisplayArrayInTable(Fertiliser_SourceData.Fertiliser_Products_Data1(), FertiliserProducts[[#Headers],[Company]],1)</f>
        <v>Campbells fertilisers Australia</v>
      </c>
      <c r="E102" s="152" t="str" cm="1">
        <f t="array" ref="E102">Common_InputFunctions.Utility_DisplayArrayInTable(Fertiliser_SourceData.Fertiliser_Products_Data1(), FertiliserProducts[[#Headers],[Company]],1)</f>
        <v>Calbit C</v>
      </c>
      <c r="F102" s="152" t="str" cm="1">
        <f t="array" ref="F102">Common_InputFunctions.Utility_DisplayArrayInTable(Fertiliser_SourceData.Fertiliser_Products_Data1(), FertiliserProducts[[#Headers],[Company]],1)</f>
        <v>L</v>
      </c>
      <c r="G102" s="152" cm="1">
        <f t="array" ref="G102">Common_InputFunctions.Utility_DisplayArrayInTable(Fertiliser_SourceData.Fertiliser_Products_Data1(), FertiliserProducts[[#Headers],[Company]],1)</f>
        <v>1.45</v>
      </c>
      <c r="H102" s="152" t="str" cm="1">
        <f t="array" ref="H102">Common_InputFunctions.Utility_DisplayArrayInTable(Fertiliser_SourceData.Fertiliser_Products_Data1(), FertiliserProducts[[#Headers],[Company]],1)</f>
        <v/>
      </c>
      <c r="I102" s="152" t="str" cm="1">
        <f t="array" ref="I102">Common_InputFunctions.Utility_DisplayArrayInTable(Fertiliser_SourceData.Fertiliser_Products_Data1(), FertiliserProducts[[#Headers],[Company]],1)</f>
        <v/>
      </c>
      <c r="J102" s="152" t="str" cm="1">
        <f t="array" ref="J102">Common_InputFunctions.Utility_DisplayArrayInTable(Fertiliser_SourceData.Fertiliser_Products_Data1(), FertiliserProducts[[#Headers],[Company]],1)</f>
        <v/>
      </c>
      <c r="K102" s="152" t="str" cm="1">
        <f t="array" ref="K102">Common_InputFunctions.Utility_DisplayArrayInTable(Fertiliser_SourceData.Fertiliser_Products_Data1(), FertiliserProducts[[#Headers],[Company]],1)</f>
        <v/>
      </c>
      <c r="L102" s="152" t="str" cm="1">
        <f t="array" ref="L102">Common_InputFunctions.Utility_DisplayArrayInTable(Fertiliser_SourceData.Fertiliser_Products_Data1(), FertiliserProducts[[#Headers],[Company]],1)</f>
        <v/>
      </c>
      <c r="M102" s="152" t="str" cm="1">
        <f t="array" ref="M102">Common_InputFunctions.Utility_DisplayArrayInTable(Fertiliser_SourceData.Fertiliser_Products_Data1(), FertiliserProducts[[#Headers],[Company]],1)</f>
        <v/>
      </c>
      <c r="N102" s="152" t="str" cm="1">
        <f t="array" ref="N102">Common_InputFunctions.Utility_DisplayArrayInTable(Fertiliser_SourceData.Fertiliser_Products_Data1(), FertiliserProducts[[#Headers],[Company]],1)</f>
        <v/>
      </c>
      <c r="O102" s="152" t="str" cm="1">
        <f t="array" ref="O102">Common_InputFunctions.Utility_DisplayArrayInTable(Fertiliser_SourceData.Fertiliser_Products_Data1(), FertiliserProducts[[#Headers],[Company]],1)</f>
        <v>Calcium</v>
      </c>
      <c r="P102" s="152" cm="1">
        <f t="array" ref="P102">Common_InputFunctions.Utility_DisplayArrayInTable(Fertiliser_SourceData.Fertiliser_Products_Data1(), FertiliserProducts[[#Headers],[Company]],1)</f>
        <v>0.107</v>
      </c>
      <c r="Q102" s="152" t="str" cm="1">
        <f t="array" ref="Q102">Common_InputFunctions.Utility_DisplayArrayInTable(Fertiliser_SourceData.Fertiliser_Products_Data1(), FertiliserProducts[[#Headers],[Company]],1)</f>
        <v/>
      </c>
      <c r="R102" s="152" t="str" cm="1">
        <f t="array" ref="R102">Common_InputFunctions.Utility_DisplayArrayInTable(Fertiliser_SourceData.Fertiliser_Products_Data1(), FertiliserProducts[[#Headers],[Company]],1)</f>
        <v/>
      </c>
      <c r="S102" s="152" t="str" cm="1">
        <f t="array" ref="S102">Common_InputFunctions.Utility_DisplayArrayInTable(Fertiliser_SourceData.Fertiliser_Products_Data1(), FertiliserProducts[[#Headers],[Company]],1)</f>
        <v/>
      </c>
      <c r="T102" s="152" t="str" cm="1">
        <f t="array" ref="T102">Common_InputFunctions.Utility_DisplayArrayInTable(Fertiliser_SourceData.Fertiliser_Products_Data1(), FertiliserProducts[[#Headers],[Company]],1)</f>
        <v/>
      </c>
      <c r="U102" s="152" t="str" cm="1">
        <f t="array" ref="U102">Common_InputFunctions.Utility_DisplayArrayInTable(Fertiliser_SourceData.Fertiliser_Products_Data1(), FertiliserProducts[[#Headers],[Company]],1)</f>
        <v/>
      </c>
      <c r="V102" s="152" t="str" cm="1">
        <f t="array" ref="V102">Common_InputFunctions.Utility_DisplayArrayInTable(Fertiliser_SourceData.Fertiliser_Products_Data1(), FertiliserProducts[[#Headers],[Company]],1)</f>
        <v/>
      </c>
      <c r="W102" s="152" t="str" cm="1">
        <f t="array" ref="W102">Common_InputFunctions.Utility_DisplayArrayInTable(Fertiliser_SourceData.Fertiliser_Products_Data1(), FertiliserProducts[[#Headers],[Company]],1)</f>
        <v/>
      </c>
      <c r="X102" s="152" t="str" cm="1">
        <f t="array" ref="X102">Common_InputFunctions.Utility_DisplayArrayInTable(Fertiliser_SourceData.Fertiliser_Products_Data1(), FertiliserProducts[[#Headers],[Company]],1)</f>
        <v/>
      </c>
      <c r="Y102" s="152" t="str" cm="1">
        <f t="array" ref="Y102">Common_InputFunctions.Utility_DisplayArrayInTable(Fertiliser_SourceData.Fertiliser_Products_Data1(), FertiliserProducts[[#Headers],[Company]],1)</f>
        <v/>
      </c>
      <c r="Z102" s="152" t="str" cm="1">
        <f t="array" ref="Z102">Common_InputFunctions.Utility_DisplayArrayInTable(Fertiliser_SourceData.Fertiliser_Products_Data1(), FertiliserProducts[[#Headers],[Company]],1)</f>
        <v/>
      </c>
      <c r="AA102" s="152" t="str" cm="1">
        <f t="array" ref="AA102">Common_InputFunctions.Utility_DisplayArrayInTable(Fertiliser_SourceData.Fertiliser_Products_Data1(), FertiliserProducts[[#Headers],[Company]],1)</f>
        <v/>
      </c>
      <c r="AB102" s="152" t="str" cm="1">
        <f t="array" ref="AB102">Common_InputFunctions.Utility_DisplayArrayInTable(Fertiliser_SourceData.Fertiliser_Products_Data1(), FertiliserProducts[[#Headers],[Company]],1)</f>
        <v/>
      </c>
      <c r="AC102" s="152" t="str" cm="1">
        <f t="array" ref="AC102">Common_InputFunctions.Utility_DisplayArrayInTable(Fertiliser_SourceData.Fertiliser_Products_Data1(), FertiliserProducts[[#Headers],[Company]],1)</f>
        <v/>
      </c>
      <c r="AD102" s="152" t="str" cm="1">
        <f t="array" ref="AD102">Common_InputFunctions.Utility_DisplayArrayInTable(Fertiliser_SourceData.Fertiliser_Products_Data1(), FertiliserProducts[[#Headers],[Company]],1)</f>
        <v/>
      </c>
      <c r="AE102" s="152" t="str" cm="1">
        <f t="array" ref="AE102">Common_InputFunctions.Utility_DisplayArrayInTable(Fertiliser_SourceData.Fertiliser_Products_Data1(), FertiliserProducts[[#Headers],[Company]],1)</f>
        <v/>
      </c>
      <c r="AF102" s="152" t="str" cm="1">
        <f t="array" ref="AF102">Common_InputFunctions.Utility_DisplayArrayInTable(Fertiliser_SourceData.Fertiliser_Products_Data1(), FertiliserProducts[[#Headers],[Company]],1)</f>
        <v/>
      </c>
      <c r="AG102" s="152" t="str" cm="1">
        <f t="array" ref="AG102">Common_InputFunctions.Utility_DisplayArrayInTable(Fertiliser_SourceData.Fertiliser_Products_Data1(), FertiliserProducts[[#Headers],[Company]],1)</f>
        <v/>
      </c>
      <c r="AH102" s="152" t="str" cm="1">
        <f t="array" ref="AH102">Common_InputFunctions.Utility_DisplayArrayInTable(Fertiliser_SourceData.Fertiliser_Products_Data1(), FertiliserProducts[[#Headers],[Company]],1)</f>
        <v/>
      </c>
      <c r="AK102" s="1"/>
      <c r="AL102" s="1"/>
      <c r="AM102" s="1"/>
    </row>
    <row r="103" spans="1:39" ht="20.100000000000001" customHeight="1" x14ac:dyDescent="0.2">
      <c r="D103" s="152" t="str" cm="1">
        <f t="array" ref="D103">Common_InputFunctions.Utility_DisplayArrayInTable(Fertiliser_SourceData.Fertiliser_Products_Data1(), FertiliserProducts[[#Headers],[Company]],1)</f>
        <v>Campbells fertilisers Australia</v>
      </c>
      <c r="E103" s="152" t="str" cm="1">
        <f t="array" ref="E103">Common_InputFunctions.Utility_DisplayArrayInTable(Fertiliser_SourceData.Fertiliser_Products_Data1(), FertiliserProducts[[#Headers],[Company]],1)</f>
        <v>Compass</v>
      </c>
      <c r="F103" s="152" t="str" cm="1">
        <f t="array" ref="F103">Common_InputFunctions.Utility_DisplayArrayInTable(Fertiliser_SourceData.Fertiliser_Products_Data1(), FertiliserProducts[[#Headers],[Company]],1)</f>
        <v>kg</v>
      </c>
      <c r="G103" s="152" cm="1">
        <f t="array" ref="G103">Common_InputFunctions.Utility_DisplayArrayInTable(Fertiliser_SourceData.Fertiliser_Products_Data1(), FertiliserProducts[[#Headers],[Company]],1)</f>
        <v>1</v>
      </c>
      <c r="H103" s="152" t="str" cm="1">
        <f t="array" ref="H103">Common_InputFunctions.Utility_DisplayArrayInTable(Fertiliser_SourceData.Fertiliser_Products_Data1(), FertiliserProducts[[#Headers],[Company]],1)</f>
        <v/>
      </c>
      <c r="I103" s="152" t="str" cm="1">
        <f t="array" ref="I103">Common_InputFunctions.Utility_DisplayArrayInTable(Fertiliser_SourceData.Fertiliser_Products_Data1(), FertiliserProducts[[#Headers],[Company]],1)</f>
        <v/>
      </c>
      <c r="J103" s="152" t="str" cm="1">
        <f t="array" ref="J103">Common_InputFunctions.Utility_DisplayArrayInTable(Fertiliser_SourceData.Fertiliser_Products_Data1(), FertiliserProducts[[#Headers],[Company]],1)</f>
        <v/>
      </c>
      <c r="K103" s="152" cm="1">
        <f t="array" ref="K103">Common_InputFunctions.Utility_DisplayArrayInTable(Fertiliser_SourceData.Fertiliser_Products_Data1(), FertiliserProducts[[#Headers],[Company]],1)</f>
        <v>15</v>
      </c>
      <c r="L103" s="152" cm="1">
        <f t="array" ref="L103">Common_InputFunctions.Utility_DisplayArrayInTable(Fertiliser_SourceData.Fertiliser_Products_Data1(), FertiliserProducts[[#Headers],[Company]],1)</f>
        <v>6.5</v>
      </c>
      <c r="M103" s="152" cm="1">
        <f t="array" ref="M103">Common_InputFunctions.Utility_DisplayArrayInTable(Fertiliser_SourceData.Fertiliser_Products_Data1(), FertiliserProducts[[#Headers],[Company]],1)</f>
        <v>12.5</v>
      </c>
      <c r="N103" s="152" cm="1">
        <f t="array" ref="N103">Common_InputFunctions.Utility_DisplayArrayInTable(Fertiliser_SourceData.Fertiliser_Products_Data1(), FertiliserProducts[[#Headers],[Company]],1)</f>
        <v>6</v>
      </c>
      <c r="O103" s="152" t="str" cm="1">
        <f t="array" ref="O103">Common_InputFunctions.Utility_DisplayArrayInTable(Fertiliser_SourceData.Fertiliser_Products_Data1(), FertiliserProducts[[#Headers],[Company]],1)</f>
        <v>Nitrogen - Ammoniacal</v>
      </c>
      <c r="P103" s="152" cm="1">
        <f t="array" ref="P103">Common_InputFunctions.Utility_DisplayArrayInTable(Fertiliser_SourceData.Fertiliser_Products_Data1(), FertiliserProducts[[#Headers],[Company]],1)</f>
        <v>7.4999999999999997E-2</v>
      </c>
      <c r="Q103" s="152" t="str" cm="1">
        <f t="array" ref="Q103">Common_InputFunctions.Utility_DisplayArrayInTable(Fertiliser_SourceData.Fertiliser_Products_Data1(), FertiliserProducts[[#Headers],[Company]],1)</f>
        <v>Nitrogen - Nitrate</v>
      </c>
      <c r="R103" s="152" cm="1">
        <f t="array" ref="R103">Common_InputFunctions.Utility_DisplayArrayInTable(Fertiliser_SourceData.Fertiliser_Products_Data1(), FertiliserProducts[[#Headers],[Company]],1)</f>
        <v>7.4999999999999997E-2</v>
      </c>
      <c r="S103" s="152" t="str" cm="1">
        <f t="array" ref="S103">Common_InputFunctions.Utility_DisplayArrayInTable(Fertiliser_SourceData.Fertiliser_Products_Data1(), FertiliserProducts[[#Headers],[Company]],1)</f>
        <v>Potassium - Generic</v>
      </c>
      <c r="T103" s="152" cm="1">
        <f t="array" ref="T103">Common_InputFunctions.Utility_DisplayArrayInTable(Fertiliser_SourceData.Fertiliser_Products_Data1(), FertiliserProducts[[#Headers],[Company]],1)</f>
        <v>0.125</v>
      </c>
      <c r="U103" s="152" t="str" cm="1">
        <f t="array" ref="U103">Common_InputFunctions.Utility_DisplayArrayInTable(Fertiliser_SourceData.Fertiliser_Products_Data1(), FertiliserProducts[[#Headers],[Company]],1)</f>
        <v>Phosphorus - Generic</v>
      </c>
      <c r="V103" s="152" cm="1">
        <f t="array" ref="V103">Common_InputFunctions.Utility_DisplayArrayInTable(Fertiliser_SourceData.Fertiliser_Products_Data1(), FertiliserProducts[[#Headers],[Company]],1)</f>
        <v>6.5000000000000002E-2</v>
      </c>
      <c r="W103" s="152" t="str" cm="1">
        <f t="array" ref="W103">Common_InputFunctions.Utility_DisplayArrayInTable(Fertiliser_SourceData.Fertiliser_Products_Data1(), FertiliserProducts[[#Headers],[Company]],1)</f>
        <v>Sulfur - Generic</v>
      </c>
      <c r="X103" s="152" cm="1">
        <f t="array" ref="X103">Common_InputFunctions.Utility_DisplayArrayInTable(Fertiliser_SourceData.Fertiliser_Products_Data1(), FertiliserProducts[[#Headers],[Company]],1)</f>
        <v>0.06</v>
      </c>
      <c r="Y103" s="152" t="str" cm="1">
        <f t="array" ref="Y103">Common_InputFunctions.Utility_DisplayArrayInTable(Fertiliser_SourceData.Fertiliser_Products_Data1(), FertiliserProducts[[#Headers],[Company]],1)</f>
        <v/>
      </c>
      <c r="Z103" s="152" t="str" cm="1">
        <f t="array" ref="Z103">Common_InputFunctions.Utility_DisplayArrayInTable(Fertiliser_SourceData.Fertiliser_Products_Data1(), FertiliserProducts[[#Headers],[Company]],1)</f>
        <v/>
      </c>
      <c r="AA103" s="152" t="str" cm="1">
        <f t="array" ref="AA103">Common_InputFunctions.Utility_DisplayArrayInTable(Fertiliser_SourceData.Fertiliser_Products_Data1(), FertiliserProducts[[#Headers],[Company]],1)</f>
        <v/>
      </c>
      <c r="AB103" s="152" t="str" cm="1">
        <f t="array" ref="AB103">Common_InputFunctions.Utility_DisplayArrayInTable(Fertiliser_SourceData.Fertiliser_Products_Data1(), FertiliserProducts[[#Headers],[Company]],1)</f>
        <v/>
      </c>
      <c r="AC103" s="152" t="str" cm="1">
        <f t="array" ref="AC103">Common_InputFunctions.Utility_DisplayArrayInTable(Fertiliser_SourceData.Fertiliser_Products_Data1(), FertiliserProducts[[#Headers],[Company]],1)</f>
        <v/>
      </c>
      <c r="AD103" s="152" t="str" cm="1">
        <f t="array" ref="AD103">Common_InputFunctions.Utility_DisplayArrayInTable(Fertiliser_SourceData.Fertiliser_Products_Data1(), FertiliserProducts[[#Headers],[Company]],1)</f>
        <v/>
      </c>
      <c r="AE103" s="152" t="str" cm="1">
        <f t="array" ref="AE103">Common_InputFunctions.Utility_DisplayArrayInTable(Fertiliser_SourceData.Fertiliser_Products_Data1(), FertiliserProducts[[#Headers],[Company]],1)</f>
        <v/>
      </c>
      <c r="AF103" s="152" t="str" cm="1">
        <f t="array" ref="AF103">Common_InputFunctions.Utility_DisplayArrayInTable(Fertiliser_SourceData.Fertiliser_Products_Data1(), FertiliserProducts[[#Headers],[Company]],1)</f>
        <v/>
      </c>
      <c r="AG103" s="152" t="str" cm="1">
        <f t="array" ref="AG103">Common_InputFunctions.Utility_DisplayArrayInTable(Fertiliser_SourceData.Fertiliser_Products_Data1(), FertiliserProducts[[#Headers],[Company]],1)</f>
        <v/>
      </c>
      <c r="AH103" s="152" t="str" cm="1">
        <f t="array" ref="AH103">Common_InputFunctions.Utility_DisplayArrayInTable(Fertiliser_SourceData.Fertiliser_Products_Data1(), FertiliserProducts[[#Headers],[Company]],1)</f>
        <v/>
      </c>
      <c r="AK103" s="1"/>
      <c r="AL103" s="1"/>
      <c r="AM103" s="1"/>
    </row>
    <row r="104" spans="1:39" ht="20.100000000000001" customHeight="1" x14ac:dyDescent="0.2">
      <c r="D104" s="152" t="str" cm="1">
        <f t="array" ref="D104">Common_InputFunctions.Utility_DisplayArrayInTable(Fertiliser_SourceData.Fertiliser_Products_Data1(), FertiliserProducts[[#Headers],[Company]],1)</f>
        <v>Campbells fertilisers Australia</v>
      </c>
      <c r="E104" s="152" t="str" cm="1">
        <f t="array" ref="E104">Common_InputFunctions.Utility_DisplayArrayInTable(Fertiliser_SourceData.Fertiliser_Products_Data1(), FertiliserProducts[[#Headers],[Company]],1)</f>
        <v>CoRoN 12-0-10</v>
      </c>
      <c r="F104" s="152" t="str" cm="1">
        <f t="array" ref="F104">Common_InputFunctions.Utility_DisplayArrayInTable(Fertiliser_SourceData.Fertiliser_Products_Data1(), FertiliserProducts[[#Headers],[Company]],1)</f>
        <v>L</v>
      </c>
      <c r="G104" s="152" cm="1">
        <f t="array" ref="G104">Common_InputFunctions.Utility_DisplayArrayInTable(Fertiliser_SourceData.Fertiliser_Products_Data1(), FertiliserProducts[[#Headers],[Company]],1)</f>
        <v>1.2150000000000001</v>
      </c>
      <c r="H104" s="152" t="str" cm="1">
        <f t="array" ref="H104">Common_InputFunctions.Utility_DisplayArrayInTable(Fertiliser_SourceData.Fertiliser_Products_Data1(), FertiliserProducts[[#Headers],[Company]],1)</f>
        <v/>
      </c>
      <c r="I104" s="152" t="str" cm="1">
        <f t="array" ref="I104">Common_InputFunctions.Utility_DisplayArrayInTable(Fertiliser_SourceData.Fertiliser_Products_Data1(), FertiliserProducts[[#Headers],[Company]],1)</f>
        <v/>
      </c>
      <c r="J104" s="152" t="str" cm="1">
        <f t="array" ref="J104">Common_InputFunctions.Utility_DisplayArrayInTable(Fertiliser_SourceData.Fertiliser_Products_Data1(), FertiliserProducts[[#Headers],[Company]],1)</f>
        <v/>
      </c>
      <c r="K104" s="152" cm="1">
        <f t="array" ref="K104">Common_InputFunctions.Utility_DisplayArrayInTable(Fertiliser_SourceData.Fertiliser_Products_Data1(), FertiliserProducts[[#Headers],[Company]],1)</f>
        <v>12</v>
      </c>
      <c r="L104" s="152" t="str" cm="1">
        <f t="array" ref="L104">Common_InputFunctions.Utility_DisplayArrayInTable(Fertiliser_SourceData.Fertiliser_Products_Data1(), FertiliserProducts[[#Headers],[Company]],1)</f>
        <v/>
      </c>
      <c r="M104" s="152" cm="1">
        <f t="array" ref="M104">Common_InputFunctions.Utility_DisplayArrayInTable(Fertiliser_SourceData.Fertiliser_Products_Data1(), FertiliserProducts[[#Headers],[Company]],1)</f>
        <v>10</v>
      </c>
      <c r="N104" s="152" t="str" cm="1">
        <f t="array" ref="N104">Common_InputFunctions.Utility_DisplayArrayInTable(Fertiliser_SourceData.Fertiliser_Products_Data1(), FertiliserProducts[[#Headers],[Company]],1)</f>
        <v/>
      </c>
      <c r="O104" s="152" t="str" cm="1">
        <f t="array" ref="O104">Common_InputFunctions.Utility_DisplayArrayInTable(Fertiliser_SourceData.Fertiliser_Products_Data1(), FertiliserProducts[[#Headers],[Company]],1)</f>
        <v>Urea</v>
      </c>
      <c r="P104" s="152" cm="1">
        <f t="array" ref="P104">Common_InputFunctions.Utility_DisplayArrayInTable(Fertiliser_SourceData.Fertiliser_Products_Data1(), FertiliserProducts[[#Headers],[Company]],1)</f>
        <v>0.19565199999999999</v>
      </c>
      <c r="Q104" s="152" t="str" cm="1">
        <f t="array" ref="Q104">Common_InputFunctions.Utility_DisplayArrayInTable(Fertiliser_SourceData.Fertiliser_Products_Data1(), FertiliserProducts[[#Headers],[Company]],1)</f>
        <v>Potassium - Generic</v>
      </c>
      <c r="R104" s="152" cm="1">
        <f t="array" ref="R104">Common_InputFunctions.Utility_DisplayArrayInTable(Fertiliser_SourceData.Fertiliser_Products_Data1(), FertiliserProducts[[#Headers],[Company]],1)</f>
        <v>0.1</v>
      </c>
      <c r="S104" s="152" t="str" cm="1">
        <f t="array" ref="S104">Common_InputFunctions.Utility_DisplayArrayInTable(Fertiliser_SourceData.Fertiliser_Products_Data1(), FertiliserProducts[[#Headers],[Company]],1)</f>
        <v>Nitrogen - Generic</v>
      </c>
      <c r="T104" s="152" cm="1">
        <f t="array" ref="T104">Common_InputFunctions.Utility_DisplayArrayInTable(Fertiliser_SourceData.Fertiliser_Products_Data1(), FertiliserProducts[[#Headers],[Company]],1)</f>
        <v>0.03</v>
      </c>
      <c r="U104" s="152" t="str" cm="1">
        <f t="array" ref="U104">Common_InputFunctions.Utility_DisplayArrayInTable(Fertiliser_SourceData.Fertiliser_Products_Data1(), FertiliserProducts[[#Headers],[Company]],1)</f>
        <v>Boron</v>
      </c>
      <c r="V104" s="152" cm="1">
        <f t="array" ref="V104">Common_InputFunctions.Utility_DisplayArrayInTable(Fertiliser_SourceData.Fertiliser_Products_Data1(), FertiliserProducts[[#Headers],[Company]],1)</f>
        <v>5.0000000000000001E-3</v>
      </c>
      <c r="W104" s="152" t="str" cm="1">
        <f t="array" ref="W104">Common_InputFunctions.Utility_DisplayArrayInTable(Fertiliser_SourceData.Fertiliser_Products_Data1(), FertiliserProducts[[#Headers],[Company]],1)</f>
        <v/>
      </c>
      <c r="X104" s="152" t="str" cm="1">
        <f t="array" ref="X104">Common_InputFunctions.Utility_DisplayArrayInTable(Fertiliser_SourceData.Fertiliser_Products_Data1(), FertiliserProducts[[#Headers],[Company]],1)</f>
        <v/>
      </c>
      <c r="Y104" s="152" t="str" cm="1">
        <f t="array" ref="Y104">Common_InputFunctions.Utility_DisplayArrayInTable(Fertiliser_SourceData.Fertiliser_Products_Data1(), FertiliserProducts[[#Headers],[Company]],1)</f>
        <v/>
      </c>
      <c r="Z104" s="152" t="str" cm="1">
        <f t="array" ref="Z104">Common_InputFunctions.Utility_DisplayArrayInTable(Fertiliser_SourceData.Fertiliser_Products_Data1(), FertiliserProducts[[#Headers],[Company]],1)</f>
        <v/>
      </c>
      <c r="AA104" s="152" t="str" cm="1">
        <f t="array" ref="AA104">Common_InputFunctions.Utility_DisplayArrayInTable(Fertiliser_SourceData.Fertiliser_Products_Data1(), FertiliserProducts[[#Headers],[Company]],1)</f>
        <v/>
      </c>
      <c r="AB104" s="152" t="str" cm="1">
        <f t="array" ref="AB104">Common_InputFunctions.Utility_DisplayArrayInTable(Fertiliser_SourceData.Fertiliser_Products_Data1(), FertiliserProducts[[#Headers],[Company]],1)</f>
        <v/>
      </c>
      <c r="AC104" s="152" t="str" cm="1">
        <f t="array" ref="AC104">Common_InputFunctions.Utility_DisplayArrayInTable(Fertiliser_SourceData.Fertiliser_Products_Data1(), FertiliserProducts[[#Headers],[Company]],1)</f>
        <v/>
      </c>
      <c r="AD104" s="152" t="str" cm="1">
        <f t="array" ref="AD104">Common_InputFunctions.Utility_DisplayArrayInTable(Fertiliser_SourceData.Fertiliser_Products_Data1(), FertiliserProducts[[#Headers],[Company]],1)</f>
        <v/>
      </c>
      <c r="AE104" s="152" t="str" cm="1">
        <f t="array" ref="AE104">Common_InputFunctions.Utility_DisplayArrayInTable(Fertiliser_SourceData.Fertiliser_Products_Data1(), FertiliserProducts[[#Headers],[Company]],1)</f>
        <v/>
      </c>
      <c r="AF104" s="152" t="str" cm="1">
        <f t="array" ref="AF104">Common_InputFunctions.Utility_DisplayArrayInTable(Fertiliser_SourceData.Fertiliser_Products_Data1(), FertiliserProducts[[#Headers],[Company]],1)</f>
        <v/>
      </c>
      <c r="AG104" s="152" t="str" cm="1">
        <f t="array" ref="AG104">Common_InputFunctions.Utility_DisplayArrayInTable(Fertiliser_SourceData.Fertiliser_Products_Data1(), FertiliserProducts[[#Headers],[Company]],1)</f>
        <v/>
      </c>
      <c r="AH104" s="152" t="str" cm="1">
        <f t="array" ref="AH104">Common_InputFunctions.Utility_DisplayArrayInTable(Fertiliser_SourceData.Fertiliser_Products_Data1(), FertiliserProducts[[#Headers],[Company]],1)</f>
        <v/>
      </c>
      <c r="AK104" s="1"/>
      <c r="AL104" s="1"/>
      <c r="AM104" s="1"/>
    </row>
    <row r="105" spans="1:39" ht="20.100000000000001" customHeight="1" x14ac:dyDescent="0.2">
      <c r="D105" s="152" t="str" cm="1">
        <f t="array" ref="D105">Common_InputFunctions.Utility_DisplayArrayInTable(Fertiliser_SourceData.Fertiliser_Products_Data1(), FertiliserProducts[[#Headers],[Company]],1)</f>
        <v>Campbells fertilisers Australia</v>
      </c>
      <c r="E105" s="152" t="str" cm="1">
        <f t="array" ref="E105">Common_InputFunctions.Utility_DisplayArrayInTable(Fertiliser_SourceData.Fertiliser_Products_Data1(), FertiliserProducts[[#Headers],[Company]],1)</f>
        <v>Maximum Quick-N</v>
      </c>
      <c r="F105" s="152" t="str" cm="1">
        <f t="array" ref="F105">Common_InputFunctions.Utility_DisplayArrayInTable(Fertiliser_SourceData.Fertiliser_Products_Data1(), FertiliserProducts[[#Headers],[Company]],1)</f>
        <v>kg</v>
      </c>
      <c r="G105" s="152" cm="1">
        <f t="array" ref="G105">Common_InputFunctions.Utility_DisplayArrayInTable(Fertiliser_SourceData.Fertiliser_Products_Data1(), FertiliserProducts[[#Headers],[Company]],1)</f>
        <v>1</v>
      </c>
      <c r="H105" s="152" t="str" cm="1">
        <f t="array" ref="H105">Common_InputFunctions.Utility_DisplayArrayInTable(Fertiliser_SourceData.Fertiliser_Products_Data1(), FertiliserProducts[[#Headers],[Company]],1)</f>
        <v/>
      </c>
      <c r="I105" s="152" t="str" cm="1">
        <f t="array" ref="I105">Common_InputFunctions.Utility_DisplayArrayInTable(Fertiliser_SourceData.Fertiliser_Products_Data1(), FertiliserProducts[[#Headers],[Company]],1)</f>
        <v/>
      </c>
      <c r="J105" s="152" t="str" cm="1">
        <f t="array" ref="J105">Common_InputFunctions.Utility_DisplayArrayInTable(Fertiliser_SourceData.Fertiliser_Products_Data1(), FertiliserProducts[[#Headers],[Company]],1)</f>
        <v/>
      </c>
      <c r="K105" s="152" cm="1">
        <f t="array" ref="K105">Common_InputFunctions.Utility_DisplayArrayInTable(Fertiliser_SourceData.Fertiliser_Products_Data1(), FertiliserProducts[[#Headers],[Company]],1)</f>
        <v>21.66</v>
      </c>
      <c r="L105" s="152" t="str" cm="1">
        <f t="array" ref="L105">Common_InputFunctions.Utility_DisplayArrayInTable(Fertiliser_SourceData.Fertiliser_Products_Data1(), FertiliserProducts[[#Headers],[Company]],1)</f>
        <v/>
      </c>
      <c r="M105" s="152" t="str" cm="1">
        <f t="array" ref="M105">Common_InputFunctions.Utility_DisplayArrayInTable(Fertiliser_SourceData.Fertiliser_Products_Data1(), FertiliserProducts[[#Headers],[Company]],1)</f>
        <v/>
      </c>
      <c r="N105" s="152" cm="1">
        <f t="array" ref="N105">Common_InputFunctions.Utility_DisplayArrayInTable(Fertiliser_SourceData.Fertiliser_Products_Data1(), FertiliserProducts[[#Headers],[Company]],1)</f>
        <v>13.2</v>
      </c>
      <c r="O105" s="152" t="str" cm="1">
        <f t="array" ref="O105">Common_InputFunctions.Utility_DisplayArrayInTable(Fertiliser_SourceData.Fertiliser_Products_Data1(), FertiliserProducts[[#Headers],[Company]],1)</f>
        <v>Sulphate of ammonia (SOA)</v>
      </c>
      <c r="P105" s="152" cm="1">
        <f t="array" ref="P105">Common_InputFunctions.Utility_DisplayArrayInTable(Fertiliser_SourceData.Fertiliser_Products_Data1(), FertiliserProducts[[#Headers],[Company]],1)</f>
        <v>0.55000000000000004</v>
      </c>
      <c r="Q105" s="152" t="str" cm="1">
        <f t="array" ref="Q105">Common_InputFunctions.Utility_DisplayArrayInTable(Fertiliser_SourceData.Fertiliser_Products_Data1(), FertiliserProducts[[#Headers],[Company]],1)</f>
        <v>Ammonium nitrate (AN)</v>
      </c>
      <c r="R105" s="152" cm="1">
        <f t="array" ref="R105">Common_InputFunctions.Utility_DisplayArrayInTable(Fertiliser_SourceData.Fertiliser_Products_Data1(), FertiliserProducts[[#Headers],[Company]],1)</f>
        <v>0.3</v>
      </c>
      <c r="S105" s="152" t="str" cm="1">
        <f t="array" ref="S105">Common_InputFunctions.Utility_DisplayArrayInTable(Fertiliser_SourceData.Fertiliser_Products_Data1(), FertiliserProducts[[#Headers],[Company]],1)</f>
        <v/>
      </c>
      <c r="T105" s="152" t="str" cm="1">
        <f t="array" ref="T105">Common_InputFunctions.Utility_DisplayArrayInTable(Fertiliser_SourceData.Fertiliser_Products_Data1(), FertiliserProducts[[#Headers],[Company]],1)</f>
        <v/>
      </c>
      <c r="U105" s="152" t="str" cm="1">
        <f t="array" ref="U105">Common_InputFunctions.Utility_DisplayArrayInTable(Fertiliser_SourceData.Fertiliser_Products_Data1(), FertiliserProducts[[#Headers],[Company]],1)</f>
        <v/>
      </c>
      <c r="V105" s="152" t="str" cm="1">
        <f t="array" ref="V105">Common_InputFunctions.Utility_DisplayArrayInTable(Fertiliser_SourceData.Fertiliser_Products_Data1(), FertiliserProducts[[#Headers],[Company]],1)</f>
        <v/>
      </c>
      <c r="W105" s="152" t="str" cm="1">
        <f t="array" ref="W105">Common_InputFunctions.Utility_DisplayArrayInTable(Fertiliser_SourceData.Fertiliser_Products_Data1(), FertiliserProducts[[#Headers],[Company]],1)</f>
        <v/>
      </c>
      <c r="X105" s="152" t="str" cm="1">
        <f t="array" ref="X105">Common_InputFunctions.Utility_DisplayArrayInTable(Fertiliser_SourceData.Fertiliser_Products_Data1(), FertiliserProducts[[#Headers],[Company]],1)</f>
        <v/>
      </c>
      <c r="Y105" s="152" t="str" cm="1">
        <f t="array" ref="Y105">Common_InputFunctions.Utility_DisplayArrayInTable(Fertiliser_SourceData.Fertiliser_Products_Data1(), FertiliserProducts[[#Headers],[Company]],1)</f>
        <v/>
      </c>
      <c r="Z105" s="152" t="str" cm="1">
        <f t="array" ref="Z105">Common_InputFunctions.Utility_DisplayArrayInTable(Fertiliser_SourceData.Fertiliser_Products_Data1(), FertiliserProducts[[#Headers],[Company]],1)</f>
        <v/>
      </c>
      <c r="AA105" s="152" t="str" cm="1">
        <f t="array" ref="AA105">Common_InputFunctions.Utility_DisplayArrayInTable(Fertiliser_SourceData.Fertiliser_Products_Data1(), FertiliserProducts[[#Headers],[Company]],1)</f>
        <v/>
      </c>
      <c r="AB105" s="152" t="str" cm="1">
        <f t="array" ref="AB105">Common_InputFunctions.Utility_DisplayArrayInTable(Fertiliser_SourceData.Fertiliser_Products_Data1(), FertiliserProducts[[#Headers],[Company]],1)</f>
        <v/>
      </c>
      <c r="AC105" s="152" t="str" cm="1">
        <f t="array" ref="AC105">Common_InputFunctions.Utility_DisplayArrayInTable(Fertiliser_SourceData.Fertiliser_Products_Data1(), FertiliserProducts[[#Headers],[Company]],1)</f>
        <v/>
      </c>
      <c r="AD105" s="152" t="str" cm="1">
        <f t="array" ref="AD105">Common_InputFunctions.Utility_DisplayArrayInTable(Fertiliser_SourceData.Fertiliser_Products_Data1(), FertiliserProducts[[#Headers],[Company]],1)</f>
        <v/>
      </c>
      <c r="AE105" s="152" t="str" cm="1">
        <f t="array" ref="AE105">Common_InputFunctions.Utility_DisplayArrayInTable(Fertiliser_SourceData.Fertiliser_Products_Data1(), FertiliserProducts[[#Headers],[Company]],1)</f>
        <v/>
      </c>
      <c r="AF105" s="152" t="str" cm="1">
        <f t="array" ref="AF105">Common_InputFunctions.Utility_DisplayArrayInTable(Fertiliser_SourceData.Fertiliser_Products_Data1(), FertiliserProducts[[#Headers],[Company]],1)</f>
        <v/>
      </c>
      <c r="AG105" s="152" t="str" cm="1">
        <f t="array" ref="AG105">Common_InputFunctions.Utility_DisplayArrayInTable(Fertiliser_SourceData.Fertiliser_Products_Data1(), FertiliserProducts[[#Headers],[Company]],1)</f>
        <v/>
      </c>
      <c r="AH105" s="152" t="str" cm="1">
        <f t="array" ref="AH105">Common_InputFunctions.Utility_DisplayArrayInTable(Fertiliser_SourceData.Fertiliser_Products_Data1(), FertiliserProducts[[#Headers],[Company]],1)</f>
        <v/>
      </c>
      <c r="AK105" s="1"/>
      <c r="AL105" s="1"/>
      <c r="AM105" s="1"/>
    </row>
    <row r="106" spans="1:39" ht="20.100000000000001" customHeight="1" x14ac:dyDescent="0.2">
      <c r="D106" s="152" t="str" cm="1">
        <f t="array" ref="D106">Common_InputFunctions.Utility_DisplayArrayInTable(Fertiliser_SourceData.Fertiliser_Products_Data1(), FertiliserProducts[[#Headers],[Company]],1)</f>
        <v>SL Tec</v>
      </c>
      <c r="E106" s="152" t="str" cm="1">
        <f t="array" ref="E106">Common_InputFunctions.Utility_DisplayArrayInTable(Fertiliser_SourceData.Fertiliser_Products_Data1(), FertiliserProducts[[#Headers],[Company]],1)</f>
        <v>Crop Booster PLUS</v>
      </c>
      <c r="F106" s="152" t="str" cm="1">
        <f t="array" ref="F106">Common_InputFunctions.Utility_DisplayArrayInTable(Fertiliser_SourceData.Fertiliser_Products_Data1(), FertiliserProducts[[#Headers],[Company]],1)</f>
        <v>L</v>
      </c>
      <c r="G106" s="152" cm="1">
        <f t="array" ref="G106">Common_InputFunctions.Utility_DisplayArrayInTable(Fertiliser_SourceData.Fertiliser_Products_Data1(), FertiliserProducts[[#Headers],[Company]],1)</f>
        <v>1.319</v>
      </c>
      <c r="H106" s="152" t="str" cm="1">
        <f t="array" ref="H106">Common_InputFunctions.Utility_DisplayArrayInTable(Fertiliser_SourceData.Fertiliser_Products_Data1(), FertiliserProducts[[#Headers],[Company]],1)</f>
        <v/>
      </c>
      <c r="I106" s="152" t="str" cm="1">
        <f t="array" ref="I106">Common_InputFunctions.Utility_DisplayArrayInTable(Fertiliser_SourceData.Fertiliser_Products_Data1(), FertiliserProducts[[#Headers],[Company]],1)</f>
        <v/>
      </c>
      <c r="J106" s="152" t="str" cm="1">
        <f t="array" ref="J106">Common_InputFunctions.Utility_DisplayArrayInTable(Fertiliser_SourceData.Fertiliser_Products_Data1(), FertiliserProducts[[#Headers],[Company]],1)</f>
        <v/>
      </c>
      <c r="K106" s="152" cm="1">
        <f t="array" ref="K106">Common_InputFunctions.Utility_DisplayArrayInTable(Fertiliser_SourceData.Fertiliser_Products_Data1(), FertiliserProducts[[#Headers],[Company]],1)</f>
        <v>5</v>
      </c>
      <c r="L106" s="152" cm="1">
        <f t="array" ref="L106">Common_InputFunctions.Utility_DisplayArrayInTable(Fertiliser_SourceData.Fertiliser_Products_Data1(), FertiliserProducts[[#Headers],[Company]],1)</f>
        <v>15</v>
      </c>
      <c r="M106" s="152" cm="1">
        <f t="array" ref="M106">Common_InputFunctions.Utility_DisplayArrayInTable(Fertiliser_SourceData.Fertiliser_Products_Data1(), FertiliserProducts[[#Headers],[Company]],1)</f>
        <v>2.1</v>
      </c>
      <c r="N106" s="152" t="str" cm="1">
        <f t="array" ref="N106">Common_InputFunctions.Utility_DisplayArrayInTable(Fertiliser_SourceData.Fertiliser_Products_Data1(), FertiliserProducts[[#Headers],[Company]],1)</f>
        <v/>
      </c>
      <c r="O106" s="152" t="str" cm="1">
        <f t="array" ref="O106">Common_InputFunctions.Utility_DisplayArrayInTable(Fertiliser_SourceData.Fertiliser_Products_Data1(), FertiliserProducts[[#Headers],[Company]],1)</f>
        <v>Phosphorus - Generic</v>
      </c>
      <c r="P106" s="152" cm="1">
        <f t="array" ref="P106">Common_InputFunctions.Utility_DisplayArrayInTable(Fertiliser_SourceData.Fertiliser_Products_Data1(), FertiliserProducts[[#Headers],[Company]],1)</f>
        <v>0.15</v>
      </c>
      <c r="Q106" s="152" t="str" cm="1">
        <f t="array" ref="Q106">Common_InputFunctions.Utility_DisplayArrayInTable(Fertiliser_SourceData.Fertiliser_Products_Data1(), FertiliserProducts[[#Headers],[Company]],1)</f>
        <v>Calcium</v>
      </c>
      <c r="R106" s="152" cm="1">
        <f t="array" ref="R106">Common_InputFunctions.Utility_DisplayArrayInTable(Fertiliser_SourceData.Fertiliser_Products_Data1(), FertiliserProducts[[#Headers],[Company]],1)</f>
        <v>0.04</v>
      </c>
      <c r="S106" s="152" t="str" cm="1">
        <f t="array" ref="S106">Common_InputFunctions.Utility_DisplayArrayInTable(Fertiliser_SourceData.Fertiliser_Products_Data1(), FertiliserProducts[[#Headers],[Company]],1)</f>
        <v>Nitrogen - Ammoniacal</v>
      </c>
      <c r="T106" s="152" cm="1">
        <f t="array" ref="T106">Common_InputFunctions.Utility_DisplayArrayInTable(Fertiliser_SourceData.Fertiliser_Products_Data1(), FertiliserProducts[[#Headers],[Company]],1)</f>
        <v>2.9000000000000001E-2</v>
      </c>
      <c r="U106" s="152" t="str" cm="1">
        <f t="array" ref="U106">Common_InputFunctions.Utility_DisplayArrayInTable(Fertiliser_SourceData.Fertiliser_Products_Data1(), FertiliserProducts[[#Headers],[Company]],1)</f>
        <v>Nitrogen - Nitrate</v>
      </c>
      <c r="V106" s="152" cm="1">
        <f t="array" ref="V106">Common_InputFunctions.Utility_DisplayArrayInTable(Fertiliser_SourceData.Fertiliser_Products_Data1(), FertiliserProducts[[#Headers],[Company]],1)</f>
        <v>2.1000000000000001E-2</v>
      </c>
      <c r="W106" s="152" t="str" cm="1">
        <f t="array" ref="W106">Common_InputFunctions.Utility_DisplayArrayInTable(Fertiliser_SourceData.Fertiliser_Products_Data1(), FertiliserProducts[[#Headers],[Company]],1)</f>
        <v>Potassium - Generic</v>
      </c>
      <c r="X106" s="152" cm="1">
        <f t="array" ref="X106">Common_InputFunctions.Utility_DisplayArrayInTable(Fertiliser_SourceData.Fertiliser_Products_Data1(), FertiliserProducts[[#Headers],[Company]],1)</f>
        <v>2.1000000000000001E-2</v>
      </c>
      <c r="Y106" s="152" t="str" cm="1">
        <f t="array" ref="Y106">Common_InputFunctions.Utility_DisplayArrayInTable(Fertiliser_SourceData.Fertiliser_Products_Data1(), FertiliserProducts[[#Headers],[Company]],1)</f>
        <v>Copper</v>
      </c>
      <c r="Z106" s="152" cm="1">
        <f t="array" ref="Z106">Common_InputFunctions.Utility_DisplayArrayInTable(Fertiliser_SourceData.Fertiliser_Products_Data1(), FertiliserProducts[[#Headers],[Company]],1)</f>
        <v>5.0000000000000001E-3</v>
      </c>
      <c r="AA106" s="152" t="str" cm="1">
        <f t="array" ref="AA106">Common_InputFunctions.Utility_DisplayArrayInTable(Fertiliser_SourceData.Fertiliser_Products_Data1(), FertiliserProducts[[#Headers],[Company]],1)</f>
        <v>Zinc</v>
      </c>
      <c r="AB106" s="152" cm="1">
        <f t="array" ref="AB106">Common_InputFunctions.Utility_DisplayArrayInTable(Fertiliser_SourceData.Fertiliser_Products_Data1(), FertiliserProducts[[#Headers],[Company]],1)</f>
        <v>4.0000000000000001E-3</v>
      </c>
      <c r="AC106" s="152" t="str" cm="1">
        <f t="array" ref="AC106">Common_InputFunctions.Utility_DisplayArrayInTable(Fertiliser_SourceData.Fertiliser_Products_Data1(), FertiliserProducts[[#Headers],[Company]],1)</f>
        <v>Manganese</v>
      </c>
      <c r="AD106" s="152" cm="1">
        <f t="array" ref="AD106">Common_InputFunctions.Utility_DisplayArrayInTable(Fertiliser_SourceData.Fertiliser_Products_Data1(), FertiliserProducts[[#Headers],[Company]],1)</f>
        <v>4.0000000000000001E-3</v>
      </c>
      <c r="AE106" s="152" t="str" cm="1">
        <f t="array" ref="AE106">Common_InputFunctions.Utility_DisplayArrayInTable(Fertiliser_SourceData.Fertiliser_Products_Data1(), FertiliserProducts[[#Headers],[Company]],1)</f>
        <v>Magnesium</v>
      </c>
      <c r="AF106" s="152" cm="1">
        <f t="array" ref="AF106">Common_InputFunctions.Utility_DisplayArrayInTable(Fertiliser_SourceData.Fertiliser_Products_Data1(), FertiliserProducts[[#Headers],[Company]],1)</f>
        <v>2E-3</v>
      </c>
      <c r="AG106" s="152" t="str" cm="1">
        <f t="array" ref="AG106">Common_InputFunctions.Utility_DisplayArrayInTable(Fertiliser_SourceData.Fertiliser_Products_Data1(), FertiliserProducts[[#Headers],[Company]],1)</f>
        <v/>
      </c>
      <c r="AH106" s="152" t="str" cm="1">
        <f t="array" ref="AH106">Common_InputFunctions.Utility_DisplayArrayInTable(Fertiliser_SourceData.Fertiliser_Products_Data1(), FertiliserProducts[[#Headers],[Company]],1)</f>
        <v/>
      </c>
      <c r="AK106" s="1"/>
      <c r="AL106" s="1"/>
      <c r="AM106" s="1"/>
    </row>
    <row r="107" spans="1:39" ht="20.100000000000001" customHeight="1" x14ac:dyDescent="0.2">
      <c r="D107" s="152" t="str" cm="1">
        <f t="array" ref="D107">Common_InputFunctions.Utility_DisplayArrayInTable(Fertiliser_SourceData.Fertiliser_Products_Data1(), FertiliserProducts[[#Headers],[Company]],1)</f>
        <v>Risso-Chemical</v>
      </c>
      <c r="E107" s="152" t="str" cm="1">
        <f t="array" ref="E107">Common_InputFunctions.Utility_DisplayArrayInTable(Fertiliser_SourceData.Fertiliser_Products_Data1(), FertiliserProducts[[#Headers],[Company]],1)</f>
        <v>Ammonium Bicarbonate</v>
      </c>
      <c r="F107" s="152" t="str" cm="1">
        <f t="array" ref="F107">Common_InputFunctions.Utility_DisplayArrayInTable(Fertiliser_SourceData.Fertiliser_Products_Data1(), FertiliserProducts[[#Headers],[Company]],1)</f>
        <v>kg</v>
      </c>
      <c r="G107" s="152" cm="1">
        <f t="array" ref="G107">Common_InputFunctions.Utility_DisplayArrayInTable(Fertiliser_SourceData.Fertiliser_Products_Data1(), FertiliserProducts[[#Headers],[Company]],1)</f>
        <v>1</v>
      </c>
      <c r="H107" s="152" t="str" cm="1">
        <f t="array" ref="H107">Common_InputFunctions.Utility_DisplayArrayInTable(Fertiliser_SourceData.Fertiliser_Products_Data1(), FertiliserProducts[[#Headers],[Company]],1)</f>
        <v/>
      </c>
      <c r="I107" s="152" t="str" cm="1">
        <f t="array" ref="I107">Common_InputFunctions.Utility_DisplayArrayInTable(Fertiliser_SourceData.Fertiliser_Products_Data1(), FertiliserProducts[[#Headers],[Company]],1)</f>
        <v/>
      </c>
      <c r="J107" s="152" t="str" cm="1">
        <f t="array" ref="J107">Common_InputFunctions.Utility_DisplayArrayInTable(Fertiliser_SourceData.Fertiliser_Products_Data1(), FertiliserProducts[[#Headers],[Company]],1)</f>
        <v>China</v>
      </c>
      <c r="K107" s="152" cm="1">
        <f t="array" ref="K107">Common_InputFunctions.Utility_DisplayArrayInTable(Fertiliser_SourceData.Fertiliser_Products_Data1(), FertiliserProducts[[#Headers],[Company]],1)</f>
        <v>17.7</v>
      </c>
      <c r="L107" s="152" t="str" cm="1">
        <f t="array" ref="L107">Common_InputFunctions.Utility_DisplayArrayInTable(Fertiliser_SourceData.Fertiliser_Products_Data1(), FertiliserProducts[[#Headers],[Company]],1)</f>
        <v/>
      </c>
      <c r="M107" s="152" t="str" cm="1">
        <f t="array" ref="M107">Common_InputFunctions.Utility_DisplayArrayInTable(Fertiliser_SourceData.Fertiliser_Products_Data1(), FertiliserProducts[[#Headers],[Company]],1)</f>
        <v/>
      </c>
      <c r="N107" s="152" t="str" cm="1">
        <f t="array" ref="N107">Common_InputFunctions.Utility_DisplayArrayInTable(Fertiliser_SourceData.Fertiliser_Products_Data1(), FertiliserProducts[[#Headers],[Company]],1)</f>
        <v/>
      </c>
      <c r="O107" s="152" t="str" cm="1">
        <f t="array" ref="O107">Common_InputFunctions.Utility_DisplayArrayInTable(Fertiliser_SourceData.Fertiliser_Products_Data1(), FertiliserProducts[[#Headers],[Company]],1)</f>
        <v>Nitrogen - Ammoniacal</v>
      </c>
      <c r="P107" s="152" cm="1">
        <f t="array" ref="P107">Common_InputFunctions.Utility_DisplayArrayInTable(Fertiliser_SourceData.Fertiliser_Products_Data1(), FertiliserProducts[[#Headers],[Company]],1)</f>
        <v>0.17699999999999999</v>
      </c>
      <c r="Q107" s="152" t="str" cm="1">
        <f t="array" ref="Q107">Common_InputFunctions.Utility_DisplayArrayInTable(Fertiliser_SourceData.Fertiliser_Products_Data1(), FertiliserProducts[[#Headers],[Company]],1)</f>
        <v/>
      </c>
      <c r="R107" s="152" t="str" cm="1">
        <f t="array" ref="R107">Common_InputFunctions.Utility_DisplayArrayInTable(Fertiliser_SourceData.Fertiliser_Products_Data1(), FertiliserProducts[[#Headers],[Company]],1)</f>
        <v/>
      </c>
      <c r="S107" s="152" t="str" cm="1">
        <f t="array" ref="S107">Common_InputFunctions.Utility_DisplayArrayInTable(Fertiliser_SourceData.Fertiliser_Products_Data1(), FertiliserProducts[[#Headers],[Company]],1)</f>
        <v/>
      </c>
      <c r="T107" s="152" t="str" cm="1">
        <f t="array" ref="T107">Common_InputFunctions.Utility_DisplayArrayInTable(Fertiliser_SourceData.Fertiliser_Products_Data1(), FertiliserProducts[[#Headers],[Company]],1)</f>
        <v/>
      </c>
      <c r="U107" s="152" t="str" cm="1">
        <f t="array" ref="U107">Common_InputFunctions.Utility_DisplayArrayInTable(Fertiliser_SourceData.Fertiliser_Products_Data1(), FertiliserProducts[[#Headers],[Company]],1)</f>
        <v/>
      </c>
      <c r="V107" s="152" t="str" cm="1">
        <f t="array" ref="V107">Common_InputFunctions.Utility_DisplayArrayInTable(Fertiliser_SourceData.Fertiliser_Products_Data1(), FertiliserProducts[[#Headers],[Company]],1)</f>
        <v/>
      </c>
      <c r="W107" s="152" t="str" cm="1">
        <f t="array" ref="W107">Common_InputFunctions.Utility_DisplayArrayInTable(Fertiliser_SourceData.Fertiliser_Products_Data1(), FertiliserProducts[[#Headers],[Company]],1)</f>
        <v/>
      </c>
      <c r="X107" s="152" t="str" cm="1">
        <f t="array" ref="X107">Common_InputFunctions.Utility_DisplayArrayInTable(Fertiliser_SourceData.Fertiliser_Products_Data1(), FertiliserProducts[[#Headers],[Company]],1)</f>
        <v/>
      </c>
      <c r="Y107" s="152" t="str" cm="1">
        <f t="array" ref="Y107">Common_InputFunctions.Utility_DisplayArrayInTable(Fertiliser_SourceData.Fertiliser_Products_Data1(), FertiliserProducts[[#Headers],[Company]],1)</f>
        <v/>
      </c>
      <c r="Z107" s="152" t="str" cm="1">
        <f t="array" ref="Z107">Common_InputFunctions.Utility_DisplayArrayInTable(Fertiliser_SourceData.Fertiliser_Products_Data1(), FertiliserProducts[[#Headers],[Company]],1)</f>
        <v/>
      </c>
      <c r="AA107" s="152" t="str" cm="1">
        <f t="array" ref="AA107">Common_InputFunctions.Utility_DisplayArrayInTable(Fertiliser_SourceData.Fertiliser_Products_Data1(), FertiliserProducts[[#Headers],[Company]],1)</f>
        <v/>
      </c>
      <c r="AB107" s="152" t="str" cm="1">
        <f t="array" ref="AB107">Common_InputFunctions.Utility_DisplayArrayInTable(Fertiliser_SourceData.Fertiliser_Products_Data1(), FertiliserProducts[[#Headers],[Company]],1)</f>
        <v/>
      </c>
      <c r="AC107" s="152" t="str" cm="1">
        <f t="array" ref="AC107">Common_InputFunctions.Utility_DisplayArrayInTable(Fertiliser_SourceData.Fertiliser_Products_Data1(), FertiliserProducts[[#Headers],[Company]],1)</f>
        <v/>
      </c>
      <c r="AD107" s="152" t="str" cm="1">
        <f t="array" ref="AD107">Common_InputFunctions.Utility_DisplayArrayInTable(Fertiliser_SourceData.Fertiliser_Products_Data1(), FertiliserProducts[[#Headers],[Company]],1)</f>
        <v/>
      </c>
      <c r="AE107" s="152" t="str" cm="1">
        <f t="array" ref="AE107">Common_InputFunctions.Utility_DisplayArrayInTable(Fertiliser_SourceData.Fertiliser_Products_Data1(), FertiliserProducts[[#Headers],[Company]],1)</f>
        <v/>
      </c>
      <c r="AF107" s="152" t="str" cm="1">
        <f t="array" ref="AF107">Common_InputFunctions.Utility_DisplayArrayInTable(Fertiliser_SourceData.Fertiliser_Products_Data1(), FertiliserProducts[[#Headers],[Company]],1)</f>
        <v/>
      </c>
      <c r="AG107" s="152" t="str" cm="1">
        <f t="array" ref="AG107">Common_InputFunctions.Utility_DisplayArrayInTable(Fertiliser_SourceData.Fertiliser_Products_Data1(), FertiliserProducts[[#Headers],[Company]],1)</f>
        <v/>
      </c>
      <c r="AH107" s="152" t="str" cm="1">
        <f t="array" ref="AH107">Common_InputFunctions.Utility_DisplayArrayInTable(Fertiliser_SourceData.Fertiliser_Products_Data1(), FertiliserProducts[[#Headers],[Company]],1)</f>
        <v/>
      </c>
      <c r="AK107" s="1"/>
      <c r="AL107" s="1"/>
      <c r="AM107" s="1"/>
    </row>
    <row r="108" spans="1:39" ht="20.100000000000001" customHeight="1" x14ac:dyDescent="0.2">
      <c r="D108" s="152" t="str" cm="1">
        <f t="array" ref="D108">Common_InputFunctions.Utility_DisplayArrayInTable(Fertiliser_SourceData.Fertiliser_Products_Data1(), FertiliserProducts[[#Headers],[Company]],1)</f>
        <v>Risso-Chemical</v>
      </c>
      <c r="E108" s="152" t="str" cm="1">
        <f t="array" ref="E108">Common_InputFunctions.Utility_DisplayArrayInTable(Fertiliser_SourceData.Fertiliser_Products_Data1(), FertiliserProducts[[#Headers],[Company]],1)</f>
        <v>Ammonium Sulfate</v>
      </c>
      <c r="F108" s="152" t="str" cm="1">
        <f t="array" ref="F108">Common_InputFunctions.Utility_DisplayArrayInTable(Fertiliser_SourceData.Fertiliser_Products_Data1(), FertiliserProducts[[#Headers],[Company]],1)</f>
        <v>kg</v>
      </c>
      <c r="G108" s="152" cm="1">
        <f t="array" ref="G108">Common_InputFunctions.Utility_DisplayArrayInTable(Fertiliser_SourceData.Fertiliser_Products_Data1(), FertiliserProducts[[#Headers],[Company]],1)</f>
        <v>1</v>
      </c>
      <c r="H108" s="152" t="str" cm="1">
        <f t="array" ref="H108">Common_InputFunctions.Utility_DisplayArrayInTable(Fertiliser_SourceData.Fertiliser_Products_Data1(), FertiliserProducts[[#Headers],[Company]],1)</f>
        <v/>
      </c>
      <c r="I108" s="152" t="str" cm="1">
        <f t="array" ref="I108">Common_InputFunctions.Utility_DisplayArrayInTable(Fertiliser_SourceData.Fertiliser_Products_Data1(), FertiliserProducts[[#Headers],[Company]],1)</f>
        <v/>
      </c>
      <c r="J108" s="152" t="str" cm="1">
        <f t="array" ref="J108">Common_InputFunctions.Utility_DisplayArrayInTable(Fertiliser_SourceData.Fertiliser_Products_Data1(), FertiliserProducts[[#Headers],[Company]],1)</f>
        <v>China</v>
      </c>
      <c r="K108" s="152" cm="1">
        <f t="array" ref="K108">Common_InputFunctions.Utility_DisplayArrayInTable(Fertiliser_SourceData.Fertiliser_Products_Data1(), FertiliserProducts[[#Headers],[Company]],1)</f>
        <v>21</v>
      </c>
      <c r="L108" s="152" t="str" cm="1">
        <f t="array" ref="L108">Common_InputFunctions.Utility_DisplayArrayInTable(Fertiliser_SourceData.Fertiliser_Products_Data1(), FertiliserProducts[[#Headers],[Company]],1)</f>
        <v/>
      </c>
      <c r="M108" s="152" t="str" cm="1">
        <f t="array" ref="M108">Common_InputFunctions.Utility_DisplayArrayInTable(Fertiliser_SourceData.Fertiliser_Products_Data1(), FertiliserProducts[[#Headers],[Company]],1)</f>
        <v/>
      </c>
      <c r="N108" s="152" cm="1">
        <f t="array" ref="N108">Common_InputFunctions.Utility_DisplayArrayInTable(Fertiliser_SourceData.Fertiliser_Products_Data1(), FertiliserProducts[[#Headers],[Company]],1)</f>
        <v>24</v>
      </c>
      <c r="O108" s="152" t="str" cm="1">
        <f t="array" ref="O108">Common_InputFunctions.Utility_DisplayArrayInTable(Fertiliser_SourceData.Fertiliser_Products_Data1(), FertiliserProducts[[#Headers],[Company]],1)</f>
        <v>Sulfur - Generic</v>
      </c>
      <c r="P108" s="152" cm="1">
        <f t="array" ref="P108">Common_InputFunctions.Utility_DisplayArrayInTable(Fertiliser_SourceData.Fertiliser_Products_Data1(), FertiliserProducts[[#Headers],[Company]],1)</f>
        <v>0.24</v>
      </c>
      <c r="Q108" s="152" t="str" cm="1">
        <f t="array" ref="Q108">Common_InputFunctions.Utility_DisplayArrayInTable(Fertiliser_SourceData.Fertiliser_Products_Data1(), FertiliserProducts[[#Headers],[Company]],1)</f>
        <v>Nitrogen - Ammoniacal</v>
      </c>
      <c r="R108" s="152" cm="1">
        <f t="array" ref="R108">Common_InputFunctions.Utility_DisplayArrayInTable(Fertiliser_SourceData.Fertiliser_Products_Data1(), FertiliserProducts[[#Headers],[Company]],1)</f>
        <v>0.21</v>
      </c>
      <c r="S108" s="152" t="str" cm="1">
        <f t="array" ref="S108">Common_InputFunctions.Utility_DisplayArrayInTable(Fertiliser_SourceData.Fertiliser_Products_Data1(), FertiliserProducts[[#Headers],[Company]],1)</f>
        <v/>
      </c>
      <c r="T108" s="152" t="str" cm="1">
        <f t="array" ref="T108">Common_InputFunctions.Utility_DisplayArrayInTable(Fertiliser_SourceData.Fertiliser_Products_Data1(), FertiliserProducts[[#Headers],[Company]],1)</f>
        <v/>
      </c>
      <c r="U108" s="152" t="str" cm="1">
        <f t="array" ref="U108">Common_InputFunctions.Utility_DisplayArrayInTable(Fertiliser_SourceData.Fertiliser_Products_Data1(), FertiliserProducts[[#Headers],[Company]],1)</f>
        <v/>
      </c>
      <c r="V108" s="152" t="str" cm="1">
        <f t="array" ref="V108">Common_InputFunctions.Utility_DisplayArrayInTable(Fertiliser_SourceData.Fertiliser_Products_Data1(), FertiliserProducts[[#Headers],[Company]],1)</f>
        <v/>
      </c>
      <c r="W108" s="152" t="str" cm="1">
        <f t="array" ref="W108">Common_InputFunctions.Utility_DisplayArrayInTable(Fertiliser_SourceData.Fertiliser_Products_Data1(), FertiliserProducts[[#Headers],[Company]],1)</f>
        <v/>
      </c>
      <c r="X108" s="152" t="str" cm="1">
        <f t="array" ref="X108">Common_InputFunctions.Utility_DisplayArrayInTable(Fertiliser_SourceData.Fertiliser_Products_Data1(), FertiliserProducts[[#Headers],[Company]],1)</f>
        <v/>
      </c>
      <c r="Y108" s="152" t="str" cm="1">
        <f t="array" ref="Y108">Common_InputFunctions.Utility_DisplayArrayInTable(Fertiliser_SourceData.Fertiliser_Products_Data1(), FertiliserProducts[[#Headers],[Company]],1)</f>
        <v/>
      </c>
      <c r="Z108" s="152" t="str" cm="1">
        <f t="array" ref="Z108">Common_InputFunctions.Utility_DisplayArrayInTable(Fertiliser_SourceData.Fertiliser_Products_Data1(), FertiliserProducts[[#Headers],[Company]],1)</f>
        <v/>
      </c>
      <c r="AA108" s="152" t="str" cm="1">
        <f t="array" ref="AA108">Common_InputFunctions.Utility_DisplayArrayInTable(Fertiliser_SourceData.Fertiliser_Products_Data1(), FertiliserProducts[[#Headers],[Company]],1)</f>
        <v/>
      </c>
      <c r="AB108" s="152" t="str" cm="1">
        <f t="array" ref="AB108">Common_InputFunctions.Utility_DisplayArrayInTable(Fertiliser_SourceData.Fertiliser_Products_Data1(), FertiliserProducts[[#Headers],[Company]],1)</f>
        <v/>
      </c>
      <c r="AC108" s="152" t="str" cm="1">
        <f t="array" ref="AC108">Common_InputFunctions.Utility_DisplayArrayInTable(Fertiliser_SourceData.Fertiliser_Products_Data1(), FertiliserProducts[[#Headers],[Company]],1)</f>
        <v/>
      </c>
      <c r="AD108" s="152" t="str" cm="1">
        <f t="array" ref="AD108">Common_InputFunctions.Utility_DisplayArrayInTable(Fertiliser_SourceData.Fertiliser_Products_Data1(), FertiliserProducts[[#Headers],[Company]],1)</f>
        <v/>
      </c>
      <c r="AE108" s="152" t="str" cm="1">
        <f t="array" ref="AE108">Common_InputFunctions.Utility_DisplayArrayInTable(Fertiliser_SourceData.Fertiliser_Products_Data1(), FertiliserProducts[[#Headers],[Company]],1)</f>
        <v/>
      </c>
      <c r="AF108" s="152" t="str" cm="1">
        <f t="array" ref="AF108">Common_InputFunctions.Utility_DisplayArrayInTable(Fertiliser_SourceData.Fertiliser_Products_Data1(), FertiliserProducts[[#Headers],[Company]],1)</f>
        <v/>
      </c>
      <c r="AG108" s="152" t="str" cm="1">
        <f t="array" ref="AG108">Common_InputFunctions.Utility_DisplayArrayInTable(Fertiliser_SourceData.Fertiliser_Products_Data1(), FertiliserProducts[[#Headers],[Company]],1)</f>
        <v/>
      </c>
      <c r="AH108" s="152" t="str" cm="1">
        <f t="array" ref="AH108">Common_InputFunctions.Utility_DisplayArrayInTable(Fertiliser_SourceData.Fertiliser_Products_Data1(), FertiliserProducts[[#Headers],[Company]],1)</f>
        <v/>
      </c>
      <c r="AK108" s="1"/>
      <c r="AL108" s="1"/>
      <c r="AM108" s="1"/>
    </row>
    <row r="109" spans="1:39" ht="20.100000000000001" customHeight="1" x14ac:dyDescent="0.2">
      <c r="D109" s="152" t="str" cm="1">
        <f t="array" ref="D109">Common_InputFunctions.Utility_DisplayArrayInTable(Fertiliser_SourceData.Fertiliser_Products_Data1(), FertiliserProducts[[#Headers],[Company]],1)</f>
        <v>Ravensdown</v>
      </c>
      <c r="E109" s="152" t="str" cm="1">
        <f t="array" ref="E109">Common_InputFunctions.Utility_DisplayArrayInTable(Fertiliser_SourceData.Fertiliser_Products_Data1(), FertiliserProducts[[#Headers],[Company]],1)</f>
        <v>Ammonium Sulphate - Granular</v>
      </c>
      <c r="F109" s="152" t="str" cm="1">
        <f t="array" ref="F109">Common_InputFunctions.Utility_DisplayArrayInTable(Fertiliser_SourceData.Fertiliser_Products_Data1(), FertiliserProducts[[#Headers],[Company]],1)</f>
        <v>kg</v>
      </c>
      <c r="G109" s="152" cm="1">
        <f t="array" ref="G109">Common_InputFunctions.Utility_DisplayArrayInTable(Fertiliser_SourceData.Fertiliser_Products_Data1(), FertiliserProducts[[#Headers],[Company]],1)</f>
        <v>1</v>
      </c>
      <c r="H109" s="152" t="str" cm="1">
        <f t="array" ref="H109">Common_InputFunctions.Utility_DisplayArrayInTable(Fertiliser_SourceData.Fertiliser_Products_Data1(), FertiliserProducts[[#Headers],[Company]],1)</f>
        <v/>
      </c>
      <c r="I109" s="152" t="str" cm="1">
        <f t="array" ref="I109">Common_InputFunctions.Utility_DisplayArrayInTable(Fertiliser_SourceData.Fertiliser_Products_Data1(), FertiliserProducts[[#Headers],[Company]],1)</f>
        <v/>
      </c>
      <c r="J109" s="152" t="str" cm="1">
        <f t="array" ref="J109">Common_InputFunctions.Utility_DisplayArrayInTable(Fertiliser_SourceData.Fertiliser_Products_Data1(), FertiliserProducts[[#Headers],[Company]],1)</f>
        <v/>
      </c>
      <c r="K109" s="152" cm="1">
        <f t="array" ref="K109">Common_InputFunctions.Utility_DisplayArrayInTable(Fertiliser_SourceData.Fertiliser_Products_Data1(), FertiliserProducts[[#Headers],[Company]],1)</f>
        <v>21</v>
      </c>
      <c r="L109" s="152" t="str" cm="1">
        <f t="array" ref="L109">Common_InputFunctions.Utility_DisplayArrayInTable(Fertiliser_SourceData.Fertiliser_Products_Data1(), FertiliserProducts[[#Headers],[Company]],1)</f>
        <v/>
      </c>
      <c r="M109" s="152" t="str" cm="1">
        <f t="array" ref="M109">Common_InputFunctions.Utility_DisplayArrayInTable(Fertiliser_SourceData.Fertiliser_Products_Data1(), FertiliserProducts[[#Headers],[Company]],1)</f>
        <v/>
      </c>
      <c r="N109" s="152" cm="1">
        <f t="array" ref="N109">Common_InputFunctions.Utility_DisplayArrayInTable(Fertiliser_SourceData.Fertiliser_Products_Data1(), FertiliserProducts[[#Headers],[Company]],1)</f>
        <v>24</v>
      </c>
      <c r="O109" s="152" t="str" cm="1">
        <f t="array" ref="O109">Common_InputFunctions.Utility_DisplayArrayInTable(Fertiliser_SourceData.Fertiliser_Products_Data1(), FertiliserProducts[[#Headers],[Company]],1)</f>
        <v>Sulphate of ammonia (SOA)</v>
      </c>
      <c r="P109" s="152" cm="1">
        <f t="array" ref="P109">Common_InputFunctions.Utility_DisplayArrayInTable(Fertiliser_SourceData.Fertiliser_Products_Data1(), FertiliserProducts[[#Headers],[Company]],1)</f>
        <v>1</v>
      </c>
      <c r="Q109" s="152" t="str" cm="1">
        <f t="array" ref="Q109">Common_InputFunctions.Utility_DisplayArrayInTable(Fertiliser_SourceData.Fertiliser_Products_Data1(), FertiliserProducts[[#Headers],[Company]],1)</f>
        <v/>
      </c>
      <c r="R109" s="152" t="str" cm="1">
        <f t="array" ref="R109">Common_InputFunctions.Utility_DisplayArrayInTable(Fertiliser_SourceData.Fertiliser_Products_Data1(), FertiliserProducts[[#Headers],[Company]],1)</f>
        <v/>
      </c>
      <c r="S109" s="152" t="str" cm="1">
        <f t="array" ref="S109">Common_InputFunctions.Utility_DisplayArrayInTable(Fertiliser_SourceData.Fertiliser_Products_Data1(), FertiliserProducts[[#Headers],[Company]],1)</f>
        <v/>
      </c>
      <c r="T109" s="152" t="str" cm="1">
        <f t="array" ref="T109">Common_InputFunctions.Utility_DisplayArrayInTable(Fertiliser_SourceData.Fertiliser_Products_Data1(), FertiliserProducts[[#Headers],[Company]],1)</f>
        <v/>
      </c>
      <c r="U109" s="152" t="str" cm="1">
        <f t="array" ref="U109">Common_InputFunctions.Utility_DisplayArrayInTable(Fertiliser_SourceData.Fertiliser_Products_Data1(), FertiliserProducts[[#Headers],[Company]],1)</f>
        <v/>
      </c>
      <c r="V109" s="152" t="str" cm="1">
        <f t="array" ref="V109">Common_InputFunctions.Utility_DisplayArrayInTable(Fertiliser_SourceData.Fertiliser_Products_Data1(), FertiliserProducts[[#Headers],[Company]],1)</f>
        <v/>
      </c>
      <c r="W109" s="152" t="str" cm="1">
        <f t="array" ref="W109">Common_InputFunctions.Utility_DisplayArrayInTable(Fertiliser_SourceData.Fertiliser_Products_Data1(), FertiliserProducts[[#Headers],[Company]],1)</f>
        <v/>
      </c>
      <c r="X109" s="152" t="str" cm="1">
        <f t="array" ref="X109">Common_InputFunctions.Utility_DisplayArrayInTable(Fertiliser_SourceData.Fertiliser_Products_Data1(), FertiliserProducts[[#Headers],[Company]],1)</f>
        <v/>
      </c>
      <c r="Y109" s="152" t="str" cm="1">
        <f t="array" ref="Y109">Common_InputFunctions.Utility_DisplayArrayInTable(Fertiliser_SourceData.Fertiliser_Products_Data1(), FertiliserProducts[[#Headers],[Company]],1)</f>
        <v/>
      </c>
      <c r="Z109" s="152" t="str" cm="1">
        <f t="array" ref="Z109">Common_InputFunctions.Utility_DisplayArrayInTable(Fertiliser_SourceData.Fertiliser_Products_Data1(), FertiliserProducts[[#Headers],[Company]],1)</f>
        <v/>
      </c>
      <c r="AA109" s="152" t="str" cm="1">
        <f t="array" ref="AA109">Common_InputFunctions.Utility_DisplayArrayInTable(Fertiliser_SourceData.Fertiliser_Products_Data1(), FertiliserProducts[[#Headers],[Company]],1)</f>
        <v/>
      </c>
      <c r="AB109" s="152" t="str" cm="1">
        <f t="array" ref="AB109">Common_InputFunctions.Utility_DisplayArrayInTable(Fertiliser_SourceData.Fertiliser_Products_Data1(), FertiliserProducts[[#Headers],[Company]],1)</f>
        <v/>
      </c>
      <c r="AC109" s="152" t="str" cm="1">
        <f t="array" ref="AC109">Common_InputFunctions.Utility_DisplayArrayInTable(Fertiliser_SourceData.Fertiliser_Products_Data1(), FertiliserProducts[[#Headers],[Company]],1)</f>
        <v/>
      </c>
      <c r="AD109" s="152" t="str" cm="1">
        <f t="array" ref="AD109">Common_InputFunctions.Utility_DisplayArrayInTable(Fertiliser_SourceData.Fertiliser_Products_Data1(), FertiliserProducts[[#Headers],[Company]],1)</f>
        <v/>
      </c>
      <c r="AE109" s="152" t="str" cm="1">
        <f t="array" ref="AE109">Common_InputFunctions.Utility_DisplayArrayInTable(Fertiliser_SourceData.Fertiliser_Products_Data1(), FertiliserProducts[[#Headers],[Company]],1)</f>
        <v/>
      </c>
      <c r="AF109" s="152" t="str" cm="1">
        <f t="array" ref="AF109">Common_InputFunctions.Utility_DisplayArrayInTable(Fertiliser_SourceData.Fertiliser_Products_Data1(), FertiliserProducts[[#Headers],[Company]],1)</f>
        <v/>
      </c>
      <c r="AG109" s="152" t="str" cm="1">
        <f t="array" ref="AG109">Common_InputFunctions.Utility_DisplayArrayInTable(Fertiliser_SourceData.Fertiliser_Products_Data1(), FertiliserProducts[[#Headers],[Company]],1)</f>
        <v/>
      </c>
      <c r="AH109" s="152" t="str" cm="1">
        <f t="array" ref="AH109">Common_InputFunctions.Utility_DisplayArrayInTable(Fertiliser_SourceData.Fertiliser_Products_Data1(), FertiliserProducts[[#Headers],[Company]],1)</f>
        <v/>
      </c>
      <c r="AK109" s="1"/>
      <c r="AL109" s="1"/>
      <c r="AM109" s="1"/>
    </row>
    <row r="110" spans="1:39" ht="20.100000000000001" customHeight="1" x14ac:dyDescent="0.2">
      <c r="D110" s="152" t="str" cm="1">
        <f t="array" ref="D110">Common_InputFunctions.Utility_DisplayArrayInTable(Fertiliser_SourceData.Fertiliser_Products_Data1(), FertiliserProducts[[#Headers],[Company]],1)</f>
        <v>Impact Fertilisers</v>
      </c>
      <c r="E110" s="152" t="str" cm="1">
        <f t="array" ref="E110">Common_InputFunctions.Utility_DisplayArrayInTable(Fertiliser_SourceData.Fertiliser_Products_Data1(), FertiliserProducts[[#Headers],[Company]],1)</f>
        <v>Di-Ammonium Phosphate (DAP)</v>
      </c>
      <c r="F110" s="152" t="str" cm="1">
        <f t="array" ref="F110">Common_InputFunctions.Utility_DisplayArrayInTable(Fertiliser_SourceData.Fertiliser_Products_Data1(), FertiliserProducts[[#Headers],[Company]],1)</f>
        <v>kg</v>
      </c>
      <c r="G110" s="152" cm="1">
        <f t="array" ref="G110">Common_InputFunctions.Utility_DisplayArrayInTable(Fertiliser_SourceData.Fertiliser_Products_Data1(), FertiliserProducts[[#Headers],[Company]],1)</f>
        <v>1</v>
      </c>
      <c r="H110" s="152" t="str" cm="1">
        <f t="array" ref="H110">Common_InputFunctions.Utility_DisplayArrayInTable(Fertiliser_SourceData.Fertiliser_Products_Data1(), FertiliserProducts[[#Headers],[Company]],1)</f>
        <v/>
      </c>
      <c r="I110" s="152" t="str" cm="1">
        <f t="array" ref="I110">Common_InputFunctions.Utility_DisplayArrayInTable(Fertiliser_SourceData.Fertiliser_Products_Data1(), FertiliserProducts[[#Headers],[Company]],1)</f>
        <v/>
      </c>
      <c r="J110" s="152" t="str" cm="1">
        <f t="array" ref="J110">Common_InputFunctions.Utility_DisplayArrayInTable(Fertiliser_SourceData.Fertiliser_Products_Data1(), FertiliserProducts[[#Headers],[Company]],1)</f>
        <v/>
      </c>
      <c r="K110" s="152" cm="1">
        <f t="array" ref="K110">Common_InputFunctions.Utility_DisplayArrayInTable(Fertiliser_SourceData.Fertiliser_Products_Data1(), FertiliserProducts[[#Headers],[Company]],1)</f>
        <v>18</v>
      </c>
      <c r="L110" s="152" cm="1">
        <f t="array" ref="L110">Common_InputFunctions.Utility_DisplayArrayInTable(Fertiliser_SourceData.Fertiliser_Products_Data1(), FertiliserProducts[[#Headers],[Company]],1)</f>
        <v>20</v>
      </c>
      <c r="M110" s="152" t="str" cm="1">
        <f t="array" ref="M110">Common_InputFunctions.Utility_DisplayArrayInTable(Fertiliser_SourceData.Fertiliser_Products_Data1(), FertiliserProducts[[#Headers],[Company]],1)</f>
        <v/>
      </c>
      <c r="N110" s="152" t="str" cm="1">
        <f t="array" ref="N110">Common_InputFunctions.Utility_DisplayArrayInTable(Fertiliser_SourceData.Fertiliser_Products_Data1(), FertiliserProducts[[#Headers],[Company]],1)</f>
        <v/>
      </c>
      <c r="O110" s="152" t="str" cm="1">
        <f t="array" ref="O110">Common_InputFunctions.Utility_DisplayArrayInTable(Fertiliser_SourceData.Fertiliser_Products_Data1(), FertiliserProducts[[#Headers],[Company]],1)</f>
        <v>Diammonium phosphate (DAP)</v>
      </c>
      <c r="P110" s="152" cm="1">
        <f t="array" ref="P110">Common_InputFunctions.Utility_DisplayArrayInTable(Fertiliser_SourceData.Fertiliser_Products_Data1(), FertiliserProducts[[#Headers],[Company]],1)</f>
        <v>1</v>
      </c>
      <c r="Q110" s="152" t="str" cm="1">
        <f t="array" ref="Q110">Common_InputFunctions.Utility_DisplayArrayInTable(Fertiliser_SourceData.Fertiliser_Products_Data1(), FertiliserProducts[[#Headers],[Company]],1)</f>
        <v/>
      </c>
      <c r="R110" s="152" t="str" cm="1">
        <f t="array" ref="R110">Common_InputFunctions.Utility_DisplayArrayInTable(Fertiliser_SourceData.Fertiliser_Products_Data1(), FertiliserProducts[[#Headers],[Company]],1)</f>
        <v/>
      </c>
      <c r="S110" s="152" t="str" cm="1">
        <f t="array" ref="S110">Common_InputFunctions.Utility_DisplayArrayInTable(Fertiliser_SourceData.Fertiliser_Products_Data1(), FertiliserProducts[[#Headers],[Company]],1)</f>
        <v/>
      </c>
      <c r="T110" s="152" t="str" cm="1">
        <f t="array" ref="T110">Common_InputFunctions.Utility_DisplayArrayInTable(Fertiliser_SourceData.Fertiliser_Products_Data1(), FertiliserProducts[[#Headers],[Company]],1)</f>
        <v/>
      </c>
      <c r="U110" s="152" t="str" cm="1">
        <f t="array" ref="U110">Common_InputFunctions.Utility_DisplayArrayInTable(Fertiliser_SourceData.Fertiliser_Products_Data1(), FertiliserProducts[[#Headers],[Company]],1)</f>
        <v/>
      </c>
      <c r="V110" s="152" t="str" cm="1">
        <f t="array" ref="V110">Common_InputFunctions.Utility_DisplayArrayInTable(Fertiliser_SourceData.Fertiliser_Products_Data1(), FertiliserProducts[[#Headers],[Company]],1)</f>
        <v/>
      </c>
      <c r="W110" s="152" t="str" cm="1">
        <f t="array" ref="W110">Common_InputFunctions.Utility_DisplayArrayInTable(Fertiliser_SourceData.Fertiliser_Products_Data1(), FertiliserProducts[[#Headers],[Company]],1)</f>
        <v/>
      </c>
      <c r="X110" s="152" t="str" cm="1">
        <f t="array" ref="X110">Common_InputFunctions.Utility_DisplayArrayInTable(Fertiliser_SourceData.Fertiliser_Products_Data1(), FertiliserProducts[[#Headers],[Company]],1)</f>
        <v/>
      </c>
      <c r="Y110" s="152" t="str" cm="1">
        <f t="array" ref="Y110">Common_InputFunctions.Utility_DisplayArrayInTable(Fertiliser_SourceData.Fertiliser_Products_Data1(), FertiliserProducts[[#Headers],[Company]],1)</f>
        <v/>
      </c>
      <c r="Z110" s="152" t="str" cm="1">
        <f t="array" ref="Z110">Common_InputFunctions.Utility_DisplayArrayInTable(Fertiliser_SourceData.Fertiliser_Products_Data1(), FertiliserProducts[[#Headers],[Company]],1)</f>
        <v/>
      </c>
      <c r="AA110" s="152" t="str" cm="1">
        <f t="array" ref="AA110">Common_InputFunctions.Utility_DisplayArrayInTable(Fertiliser_SourceData.Fertiliser_Products_Data1(), FertiliserProducts[[#Headers],[Company]],1)</f>
        <v/>
      </c>
      <c r="AB110" s="152" t="str" cm="1">
        <f t="array" ref="AB110">Common_InputFunctions.Utility_DisplayArrayInTable(Fertiliser_SourceData.Fertiliser_Products_Data1(), FertiliserProducts[[#Headers],[Company]],1)</f>
        <v/>
      </c>
      <c r="AC110" s="152" t="str" cm="1">
        <f t="array" ref="AC110">Common_InputFunctions.Utility_DisplayArrayInTable(Fertiliser_SourceData.Fertiliser_Products_Data1(), FertiliserProducts[[#Headers],[Company]],1)</f>
        <v/>
      </c>
      <c r="AD110" s="152" t="str" cm="1">
        <f t="array" ref="AD110">Common_InputFunctions.Utility_DisplayArrayInTable(Fertiliser_SourceData.Fertiliser_Products_Data1(), FertiliserProducts[[#Headers],[Company]],1)</f>
        <v/>
      </c>
      <c r="AE110" s="152" t="str" cm="1">
        <f t="array" ref="AE110">Common_InputFunctions.Utility_DisplayArrayInTable(Fertiliser_SourceData.Fertiliser_Products_Data1(), FertiliserProducts[[#Headers],[Company]],1)</f>
        <v/>
      </c>
      <c r="AF110" s="152" t="str" cm="1">
        <f t="array" ref="AF110">Common_InputFunctions.Utility_DisplayArrayInTable(Fertiliser_SourceData.Fertiliser_Products_Data1(), FertiliserProducts[[#Headers],[Company]],1)</f>
        <v/>
      </c>
      <c r="AG110" s="152" t="str" cm="1">
        <f t="array" ref="AG110">Common_InputFunctions.Utility_DisplayArrayInTable(Fertiliser_SourceData.Fertiliser_Products_Data1(), FertiliserProducts[[#Headers],[Company]],1)</f>
        <v/>
      </c>
      <c r="AH110" s="152" t="str" cm="1">
        <f t="array" ref="AH110">Common_InputFunctions.Utility_DisplayArrayInTable(Fertiliser_SourceData.Fertiliser_Products_Data1(), FertiliserProducts[[#Headers],[Company]],1)</f>
        <v/>
      </c>
      <c r="AK110" s="1"/>
      <c r="AL110" s="1"/>
      <c r="AM110" s="1"/>
    </row>
    <row r="111" spans="1:39" ht="20.100000000000001" customHeight="1" x14ac:dyDescent="0.2">
      <c r="D111" s="152" t="str" cm="1">
        <f t="array" ref="D111">Common_InputFunctions.Utility_DisplayArrayInTable(Fertiliser_SourceData.Fertiliser_Products_Data1(), FertiliserProducts[[#Headers],[Company]],1)</f>
        <v>Incitec Pivot Fertilisers</v>
      </c>
      <c r="E111" s="152" t="str" cm="1">
        <f t="array" ref="E111">Common_InputFunctions.Utility_DisplayArrayInTable(Fertiliser_SourceData.Fertiliser_Products_Data1(), FertiliserProducts[[#Headers],[Company]],1)</f>
        <v>Basalt BooSSta</v>
      </c>
      <c r="F111" s="152" t="str" cm="1">
        <f t="array" ref="F111">Common_InputFunctions.Utility_DisplayArrayInTable(Fertiliser_SourceData.Fertiliser_Products_Data1(), FertiliserProducts[[#Headers],[Company]],1)</f>
        <v>kg</v>
      </c>
      <c r="G111" s="152" cm="1">
        <f t="array" ref="G111">Common_InputFunctions.Utility_DisplayArrayInTable(Fertiliser_SourceData.Fertiliser_Products_Data1(), FertiliserProducts[[#Headers],[Company]],1)</f>
        <v>1</v>
      </c>
      <c r="H111" s="152" t="str" cm="1">
        <f t="array" ref="H111">Common_InputFunctions.Utility_DisplayArrayInTable(Fertiliser_SourceData.Fertiliser_Products_Data1(), FertiliserProducts[[#Headers],[Company]],1)</f>
        <v/>
      </c>
      <c r="I111" s="152" t="str" cm="1">
        <f t="array" ref="I111">Common_InputFunctions.Utility_DisplayArrayInTable(Fertiliser_SourceData.Fertiliser_Products_Data1(), FertiliserProducts[[#Headers],[Company]],1)</f>
        <v/>
      </c>
      <c r="J111" s="152" t="str" cm="1">
        <f t="array" ref="J111">Common_InputFunctions.Utility_DisplayArrayInTable(Fertiliser_SourceData.Fertiliser_Products_Data1(), FertiliserProducts[[#Headers],[Company]],1)</f>
        <v/>
      </c>
      <c r="K111" s="152" cm="1">
        <f t="array" ref="K111">Common_InputFunctions.Utility_DisplayArrayInTable(Fertiliser_SourceData.Fertiliser_Products_Data1(), FertiliserProducts[[#Headers],[Company]],1)</f>
        <v>8</v>
      </c>
      <c r="L111" s="152" cm="1">
        <f t="array" ref="L111">Common_InputFunctions.Utility_DisplayArrayInTable(Fertiliser_SourceData.Fertiliser_Products_Data1(), FertiliserProducts[[#Headers],[Company]],1)</f>
        <v>14</v>
      </c>
      <c r="M111" s="152" t="str" cm="1">
        <f t="array" ref="M111">Common_InputFunctions.Utility_DisplayArrayInTable(Fertiliser_SourceData.Fertiliser_Products_Data1(), FertiliserProducts[[#Headers],[Company]],1)</f>
        <v/>
      </c>
      <c r="N111" s="152" cm="1">
        <f t="array" ref="N111">Common_InputFunctions.Utility_DisplayArrayInTable(Fertiliser_SourceData.Fertiliser_Products_Data1(), FertiliserProducts[[#Headers],[Company]],1)</f>
        <v>27.6</v>
      </c>
      <c r="O111" s="152" t="str" cm="1">
        <f t="array" ref="O111">Common_InputFunctions.Utility_DisplayArrayInTable(Fertiliser_SourceData.Fertiliser_Products_Data1(), FertiliserProducts[[#Headers],[Company]],1)</f>
        <v>Sulfur - Generic</v>
      </c>
      <c r="P111" s="152" cm="1">
        <f t="array" ref="P111">Common_InputFunctions.Utility_DisplayArrayInTable(Fertiliser_SourceData.Fertiliser_Products_Data1(), FertiliserProducts[[#Headers],[Company]],1)</f>
        <v>0.27600000000000002</v>
      </c>
      <c r="Q111" s="152" t="str" cm="1">
        <f t="array" ref="Q111">Common_InputFunctions.Utility_DisplayArrayInTable(Fertiliser_SourceData.Fertiliser_Products_Data1(), FertiliserProducts[[#Headers],[Company]],1)</f>
        <v>Phosphorus - Generic</v>
      </c>
      <c r="R111" s="152" cm="1">
        <f t="array" ref="R111">Common_InputFunctions.Utility_DisplayArrayInTable(Fertiliser_SourceData.Fertiliser_Products_Data1(), FertiliserProducts[[#Headers],[Company]],1)</f>
        <v>0.14000000000000001</v>
      </c>
      <c r="S111" s="152" t="str" cm="1">
        <f t="array" ref="S111">Common_InputFunctions.Utility_DisplayArrayInTable(Fertiliser_SourceData.Fertiliser_Products_Data1(), FertiliserProducts[[#Headers],[Company]],1)</f>
        <v>Nitrogen - Generic</v>
      </c>
      <c r="T111" s="152" cm="1">
        <f t="array" ref="T111">Common_InputFunctions.Utility_DisplayArrayInTable(Fertiliser_SourceData.Fertiliser_Products_Data1(), FertiliserProducts[[#Headers],[Company]],1)</f>
        <v>0.08</v>
      </c>
      <c r="U111" s="152" t="str" cm="1">
        <f t="array" ref="U111">Common_InputFunctions.Utility_DisplayArrayInTable(Fertiliser_SourceData.Fertiliser_Products_Data1(), FertiliserProducts[[#Headers],[Company]],1)</f>
        <v>Fluoride</v>
      </c>
      <c r="V111" s="152" cm="1">
        <f t="array" ref="V111">Common_InputFunctions.Utility_DisplayArrayInTable(Fertiliser_SourceData.Fertiliser_Products_Data1(), FertiliserProducts[[#Headers],[Company]],1)</f>
        <v>2.4E-2</v>
      </c>
      <c r="W111" s="152" t="str" cm="1">
        <f t="array" ref="W111">Common_InputFunctions.Utility_DisplayArrayInTable(Fertiliser_SourceData.Fertiliser_Products_Data1(), FertiliserProducts[[#Headers],[Company]],1)</f>
        <v/>
      </c>
      <c r="X111" s="152" t="str" cm="1">
        <f t="array" ref="X111">Common_InputFunctions.Utility_DisplayArrayInTable(Fertiliser_SourceData.Fertiliser_Products_Data1(), FertiliserProducts[[#Headers],[Company]],1)</f>
        <v/>
      </c>
      <c r="Y111" s="152" t="str" cm="1">
        <f t="array" ref="Y111">Common_InputFunctions.Utility_DisplayArrayInTable(Fertiliser_SourceData.Fertiliser_Products_Data1(), FertiliserProducts[[#Headers],[Company]],1)</f>
        <v/>
      </c>
      <c r="Z111" s="152" t="str" cm="1">
        <f t="array" ref="Z111">Common_InputFunctions.Utility_DisplayArrayInTable(Fertiliser_SourceData.Fertiliser_Products_Data1(), FertiliserProducts[[#Headers],[Company]],1)</f>
        <v/>
      </c>
      <c r="AA111" s="152" t="str" cm="1">
        <f t="array" ref="AA111">Common_InputFunctions.Utility_DisplayArrayInTable(Fertiliser_SourceData.Fertiliser_Products_Data1(), FertiliserProducts[[#Headers],[Company]],1)</f>
        <v/>
      </c>
      <c r="AB111" s="152" t="str" cm="1">
        <f t="array" ref="AB111">Common_InputFunctions.Utility_DisplayArrayInTable(Fertiliser_SourceData.Fertiliser_Products_Data1(), FertiliserProducts[[#Headers],[Company]],1)</f>
        <v/>
      </c>
      <c r="AC111" s="152" t="str" cm="1">
        <f t="array" ref="AC111">Common_InputFunctions.Utility_DisplayArrayInTable(Fertiliser_SourceData.Fertiliser_Products_Data1(), FertiliserProducts[[#Headers],[Company]],1)</f>
        <v/>
      </c>
      <c r="AD111" s="152" t="str" cm="1">
        <f t="array" ref="AD111">Common_InputFunctions.Utility_DisplayArrayInTable(Fertiliser_SourceData.Fertiliser_Products_Data1(), FertiliserProducts[[#Headers],[Company]],1)</f>
        <v/>
      </c>
      <c r="AE111" s="152" t="str" cm="1">
        <f t="array" ref="AE111">Common_InputFunctions.Utility_DisplayArrayInTable(Fertiliser_SourceData.Fertiliser_Products_Data1(), FertiliserProducts[[#Headers],[Company]],1)</f>
        <v/>
      </c>
      <c r="AF111" s="152" t="str" cm="1">
        <f t="array" ref="AF111">Common_InputFunctions.Utility_DisplayArrayInTable(Fertiliser_SourceData.Fertiliser_Products_Data1(), FertiliserProducts[[#Headers],[Company]],1)</f>
        <v/>
      </c>
      <c r="AG111" s="152" t="str" cm="1">
        <f t="array" ref="AG111">Common_InputFunctions.Utility_DisplayArrayInTable(Fertiliser_SourceData.Fertiliser_Products_Data1(), FertiliserProducts[[#Headers],[Company]],1)</f>
        <v/>
      </c>
      <c r="AH111" s="152" t="str" cm="1">
        <f t="array" ref="AH111">Common_InputFunctions.Utility_DisplayArrayInTable(Fertiliser_SourceData.Fertiliser_Products_Data1(), FertiliserProducts[[#Headers],[Company]],1)</f>
        <v/>
      </c>
      <c r="AK111" s="1"/>
      <c r="AL111" s="1"/>
      <c r="AM111" s="1"/>
    </row>
    <row r="112" spans="1:39" ht="20.100000000000001" customHeight="1" x14ac:dyDescent="0.2">
      <c r="D112" s="152" t="str" cm="1">
        <f t="array" ref="D112">Common_InputFunctions.Utility_DisplayArrayInTable(Fertiliser_SourceData.Fertiliser_Products_Data1(), FertiliserProducts[[#Headers],[Company]],1)</f>
        <v>Summit Fertilizers</v>
      </c>
      <c r="E112" s="152" t="str" cm="1">
        <f t="array" ref="E112">Common_InputFunctions.Utility_DisplayArrayInTable(Fertiliser_SourceData.Fertiliser_Products_Data1(), FertiliserProducts[[#Headers],[Company]],1)</f>
        <v>DAPSZC</v>
      </c>
      <c r="F112" s="152" t="str" cm="1">
        <f t="array" ref="F112">Common_InputFunctions.Utility_DisplayArrayInTable(Fertiliser_SourceData.Fertiliser_Products_Data1(), FertiliserProducts[[#Headers],[Company]],1)</f>
        <v>kg</v>
      </c>
      <c r="G112" s="152" cm="1">
        <f t="array" ref="G112">Common_InputFunctions.Utility_DisplayArrayInTable(Fertiliser_SourceData.Fertiliser_Products_Data1(), FertiliserProducts[[#Headers],[Company]],1)</f>
        <v>1</v>
      </c>
      <c r="H112" s="152" t="str" cm="1">
        <f t="array" ref="H112">Common_InputFunctions.Utility_DisplayArrayInTable(Fertiliser_SourceData.Fertiliser_Products_Data1(), FertiliserProducts[[#Headers],[Company]],1)</f>
        <v/>
      </c>
      <c r="I112" s="152" t="str" cm="1">
        <f t="array" ref="I112">Common_InputFunctions.Utility_DisplayArrayInTable(Fertiliser_SourceData.Fertiliser_Products_Data1(), FertiliserProducts[[#Headers],[Company]],1)</f>
        <v/>
      </c>
      <c r="J112" s="152" t="str" cm="1">
        <f t="array" ref="J112">Common_InputFunctions.Utility_DisplayArrayInTable(Fertiliser_SourceData.Fertiliser_Products_Data1(), FertiliserProducts[[#Headers],[Company]],1)</f>
        <v/>
      </c>
      <c r="K112" s="152" cm="1">
        <f t="array" ref="K112">Common_InputFunctions.Utility_DisplayArrayInTable(Fertiliser_SourceData.Fertiliser_Products_Data1(), FertiliserProducts[[#Headers],[Company]],1)</f>
        <v>16.899999999999999</v>
      </c>
      <c r="L112" s="152" cm="1">
        <f t="array" ref="L112">Common_InputFunctions.Utility_DisplayArrayInTable(Fertiliser_SourceData.Fertiliser_Products_Data1(), FertiliserProducts[[#Headers],[Company]],1)</f>
        <v>18.2</v>
      </c>
      <c r="M112" s="152" t="str" cm="1">
        <f t="array" ref="M112">Common_InputFunctions.Utility_DisplayArrayInTable(Fertiliser_SourceData.Fertiliser_Products_Data1(), FertiliserProducts[[#Headers],[Company]],1)</f>
        <v/>
      </c>
      <c r="N112" s="152" cm="1">
        <f t="array" ref="N112">Common_InputFunctions.Utility_DisplayArrayInTable(Fertiliser_SourceData.Fertiliser_Products_Data1(), FertiliserProducts[[#Headers],[Company]],1)</f>
        <v>8</v>
      </c>
      <c r="O112" s="152" t="str" cm="1">
        <f t="array" ref="O112">Common_InputFunctions.Utility_DisplayArrayInTable(Fertiliser_SourceData.Fertiliser_Products_Data1(), FertiliserProducts[[#Headers],[Company]],1)</f>
        <v>Phosphorus - Generic</v>
      </c>
      <c r="P112" s="152" cm="1">
        <f t="array" ref="P112">Common_InputFunctions.Utility_DisplayArrayInTable(Fertiliser_SourceData.Fertiliser_Products_Data1(), FertiliserProducts[[#Headers],[Company]],1)</f>
        <v>0.182</v>
      </c>
      <c r="Q112" s="152" t="str" cm="1">
        <f t="array" ref="Q112">Common_InputFunctions.Utility_DisplayArrayInTable(Fertiliser_SourceData.Fertiliser_Products_Data1(), FertiliserProducts[[#Headers],[Company]],1)</f>
        <v>Nitrogen - Generic</v>
      </c>
      <c r="R112" s="152" cm="1">
        <f t="array" ref="R112">Common_InputFunctions.Utility_DisplayArrayInTable(Fertiliser_SourceData.Fertiliser_Products_Data1(), FertiliserProducts[[#Headers],[Company]],1)</f>
        <v>0.16900000000000001</v>
      </c>
      <c r="S112" s="152" t="str" cm="1">
        <f t="array" ref="S112">Common_InputFunctions.Utility_DisplayArrayInTable(Fertiliser_SourceData.Fertiliser_Products_Data1(), FertiliserProducts[[#Headers],[Company]],1)</f>
        <v>Sulfur - Generic</v>
      </c>
      <c r="T112" s="152" cm="1">
        <f t="array" ref="T112">Common_InputFunctions.Utility_DisplayArrayInTable(Fertiliser_SourceData.Fertiliser_Products_Data1(), FertiliserProducts[[#Headers],[Company]],1)</f>
        <v>0.08</v>
      </c>
      <c r="U112" s="152" t="str" cm="1">
        <f t="array" ref="U112">Common_InputFunctions.Utility_DisplayArrayInTable(Fertiliser_SourceData.Fertiliser_Products_Data1(), FertiliserProducts[[#Headers],[Company]],1)</f>
        <v>Zinc</v>
      </c>
      <c r="V112" s="152" cm="1">
        <f t="array" ref="V112">Common_InputFunctions.Utility_DisplayArrayInTable(Fertiliser_SourceData.Fertiliser_Products_Data1(), FertiliserProducts[[#Headers],[Company]],1)</f>
        <v>2E-3</v>
      </c>
      <c r="W112" s="152" t="str" cm="1">
        <f t="array" ref="W112">Common_InputFunctions.Utility_DisplayArrayInTable(Fertiliser_SourceData.Fertiliser_Products_Data1(), FertiliserProducts[[#Headers],[Company]],1)</f>
        <v>Copper</v>
      </c>
      <c r="X112" s="152" cm="1">
        <f t="array" ref="X112">Common_InputFunctions.Utility_DisplayArrayInTable(Fertiliser_SourceData.Fertiliser_Products_Data1(), FertiliserProducts[[#Headers],[Company]],1)</f>
        <v>1E-3</v>
      </c>
      <c r="Y112" s="152" t="str" cm="1">
        <f t="array" ref="Y112">Common_InputFunctions.Utility_DisplayArrayInTable(Fertiliser_SourceData.Fertiliser_Products_Data1(), FertiliserProducts[[#Headers],[Company]],1)</f>
        <v/>
      </c>
      <c r="Z112" s="152" t="str" cm="1">
        <f t="array" ref="Z112">Common_InputFunctions.Utility_DisplayArrayInTable(Fertiliser_SourceData.Fertiliser_Products_Data1(), FertiliserProducts[[#Headers],[Company]],1)</f>
        <v/>
      </c>
      <c r="AA112" s="152" t="str" cm="1">
        <f t="array" ref="AA112">Common_InputFunctions.Utility_DisplayArrayInTable(Fertiliser_SourceData.Fertiliser_Products_Data1(), FertiliserProducts[[#Headers],[Company]],1)</f>
        <v/>
      </c>
      <c r="AB112" s="152" t="str" cm="1">
        <f t="array" ref="AB112">Common_InputFunctions.Utility_DisplayArrayInTable(Fertiliser_SourceData.Fertiliser_Products_Data1(), FertiliserProducts[[#Headers],[Company]],1)</f>
        <v/>
      </c>
      <c r="AC112" s="152" t="str" cm="1">
        <f t="array" ref="AC112">Common_InputFunctions.Utility_DisplayArrayInTable(Fertiliser_SourceData.Fertiliser_Products_Data1(), FertiliserProducts[[#Headers],[Company]],1)</f>
        <v/>
      </c>
      <c r="AD112" s="152" t="str" cm="1">
        <f t="array" ref="AD112">Common_InputFunctions.Utility_DisplayArrayInTable(Fertiliser_SourceData.Fertiliser_Products_Data1(), FertiliserProducts[[#Headers],[Company]],1)</f>
        <v/>
      </c>
      <c r="AE112" s="152" t="str" cm="1">
        <f t="array" ref="AE112">Common_InputFunctions.Utility_DisplayArrayInTable(Fertiliser_SourceData.Fertiliser_Products_Data1(), FertiliserProducts[[#Headers],[Company]],1)</f>
        <v/>
      </c>
      <c r="AF112" s="152" t="str" cm="1">
        <f t="array" ref="AF112">Common_InputFunctions.Utility_DisplayArrayInTable(Fertiliser_SourceData.Fertiliser_Products_Data1(), FertiliserProducts[[#Headers],[Company]],1)</f>
        <v/>
      </c>
      <c r="AG112" s="152" t="str" cm="1">
        <f t="array" ref="AG112">Common_InputFunctions.Utility_DisplayArrayInTable(Fertiliser_SourceData.Fertiliser_Products_Data1(), FertiliserProducts[[#Headers],[Company]],1)</f>
        <v/>
      </c>
      <c r="AH112" s="152" t="str" cm="1">
        <f t="array" ref="AH112">Common_InputFunctions.Utility_DisplayArrayInTable(Fertiliser_SourceData.Fertiliser_Products_Data1(), FertiliserProducts[[#Headers],[Company]],1)</f>
        <v/>
      </c>
      <c r="AK112" s="1"/>
      <c r="AL112" s="1"/>
      <c r="AM112" s="1"/>
    </row>
    <row r="113" spans="1:39" ht="20.100000000000001" customHeight="1" x14ac:dyDescent="0.2">
      <c r="D113" s="152" t="str" cm="1">
        <f t="array" ref="D113">Common_InputFunctions.Utility_DisplayArrayInTable(Fertiliser_SourceData.Fertiliser_Products_Data1(), FertiliserProducts[[#Headers],[Company]],1)</f>
        <v>Incitec Pivot Fertilisers</v>
      </c>
      <c r="E113" s="152" t="str" cm="1">
        <f t="array" ref="E113">Common_InputFunctions.Utility_DisplayArrayInTable(Fertiliser_SourceData.Fertiliser_Products_Data1(), FertiliserProducts[[#Headers],[Company]],1)</f>
        <v>Easy N</v>
      </c>
      <c r="F113" s="152" t="str" cm="1">
        <f t="array" ref="F113">Common_InputFunctions.Utility_DisplayArrayInTable(Fertiliser_SourceData.Fertiliser_Products_Data1(), FertiliserProducts[[#Headers],[Company]],1)</f>
        <v>L</v>
      </c>
      <c r="G113" s="152" cm="1">
        <f t="array" ref="G113">Common_InputFunctions.Utility_DisplayArrayInTable(Fertiliser_SourceData.Fertiliser_Products_Data1(), FertiliserProducts[[#Headers],[Company]],1)</f>
        <v>1.32</v>
      </c>
      <c r="H113" s="152" t="str" cm="1">
        <f t="array" ref="H113">Common_InputFunctions.Utility_DisplayArrayInTable(Fertiliser_SourceData.Fertiliser_Products_Data1(), FertiliserProducts[[#Headers],[Company]],1)</f>
        <v/>
      </c>
      <c r="I113" s="152" t="str" cm="1">
        <f t="array" ref="I113">Common_InputFunctions.Utility_DisplayArrayInTable(Fertiliser_SourceData.Fertiliser_Products_Data1(), FertiliserProducts[[#Headers],[Company]],1)</f>
        <v/>
      </c>
      <c r="J113" s="152" t="str" cm="1">
        <f t="array" ref="J113">Common_InputFunctions.Utility_DisplayArrayInTable(Fertiliser_SourceData.Fertiliser_Products_Data1(), FertiliserProducts[[#Headers],[Company]],1)</f>
        <v/>
      </c>
      <c r="K113" s="152" cm="1">
        <f t="array" ref="K113">Common_InputFunctions.Utility_DisplayArrayInTable(Fertiliser_SourceData.Fertiliser_Products_Data1(), FertiliserProducts[[#Headers],[Company]],1)</f>
        <v>42.5</v>
      </c>
      <c r="L113" s="152" t="str" cm="1">
        <f t="array" ref="L113">Common_InputFunctions.Utility_DisplayArrayInTable(Fertiliser_SourceData.Fertiliser_Products_Data1(), FertiliserProducts[[#Headers],[Company]],1)</f>
        <v/>
      </c>
      <c r="M113" s="152" t="str" cm="1">
        <f t="array" ref="M113">Common_InputFunctions.Utility_DisplayArrayInTable(Fertiliser_SourceData.Fertiliser_Products_Data1(), FertiliserProducts[[#Headers],[Company]],1)</f>
        <v/>
      </c>
      <c r="N113" s="152" t="str" cm="1">
        <f t="array" ref="N113">Common_InputFunctions.Utility_DisplayArrayInTable(Fertiliser_SourceData.Fertiliser_Products_Data1(), FertiliserProducts[[#Headers],[Company]],1)</f>
        <v/>
      </c>
      <c r="O113" s="152" t="str" cm="1">
        <f t="array" ref="O113">Common_InputFunctions.Utility_DisplayArrayInTable(Fertiliser_SourceData.Fertiliser_Products_Data1(), FertiliserProducts[[#Headers],[Company]],1)</f>
        <v>Urea</v>
      </c>
      <c r="P113" s="152" cm="1">
        <f t="array" ref="P113">Common_InputFunctions.Utility_DisplayArrayInTable(Fertiliser_SourceData.Fertiliser_Products_Data1(), FertiliserProducts[[#Headers],[Company]],1)</f>
        <v>0.467391</v>
      </c>
      <c r="Q113" s="152" t="str" cm="1">
        <f t="array" ref="Q113">Common_InputFunctions.Utility_DisplayArrayInTable(Fertiliser_SourceData.Fertiliser_Products_Data1(), FertiliserProducts[[#Headers],[Company]],1)</f>
        <v>Nitrogen - Nitrate</v>
      </c>
      <c r="R113" s="152" cm="1">
        <f t="array" ref="R113">Common_InputFunctions.Utility_DisplayArrayInTable(Fertiliser_SourceData.Fertiliser_Products_Data1(), FertiliserProducts[[#Headers],[Company]],1)</f>
        <v>0.105</v>
      </c>
      <c r="S113" s="152" t="str" cm="1">
        <f t="array" ref="S113">Common_InputFunctions.Utility_DisplayArrayInTable(Fertiliser_SourceData.Fertiliser_Products_Data1(), FertiliserProducts[[#Headers],[Company]],1)</f>
        <v>Nitrogen - Ammoniacal</v>
      </c>
      <c r="T113" s="152" cm="1">
        <f t="array" ref="T113">Common_InputFunctions.Utility_DisplayArrayInTable(Fertiliser_SourceData.Fertiliser_Products_Data1(), FertiliserProducts[[#Headers],[Company]],1)</f>
        <v>0.105</v>
      </c>
      <c r="U113" s="152" t="str" cm="1">
        <f t="array" ref="U113">Common_InputFunctions.Utility_DisplayArrayInTable(Fertiliser_SourceData.Fertiliser_Products_Data1(), FertiliserProducts[[#Headers],[Company]],1)</f>
        <v>Biuret</v>
      </c>
      <c r="V113" s="152" cm="1">
        <f t="array" ref="V113">Common_InputFunctions.Utility_DisplayArrayInTable(Fertiliser_SourceData.Fertiliser_Products_Data1(), FertiliserProducts[[#Headers],[Company]],1)</f>
        <v>6.0000000000000001E-3</v>
      </c>
      <c r="W113" s="152" t="str" cm="1">
        <f t="array" ref="W113">Common_InputFunctions.Utility_DisplayArrayInTable(Fertiliser_SourceData.Fertiliser_Products_Data1(), FertiliserProducts[[#Headers],[Company]],1)</f>
        <v/>
      </c>
      <c r="X113" s="152" t="str" cm="1">
        <f t="array" ref="X113">Common_InputFunctions.Utility_DisplayArrayInTable(Fertiliser_SourceData.Fertiliser_Products_Data1(), FertiliserProducts[[#Headers],[Company]],1)</f>
        <v/>
      </c>
      <c r="Y113" s="152" t="str" cm="1">
        <f t="array" ref="Y113">Common_InputFunctions.Utility_DisplayArrayInTable(Fertiliser_SourceData.Fertiliser_Products_Data1(), FertiliserProducts[[#Headers],[Company]],1)</f>
        <v/>
      </c>
      <c r="Z113" s="152" t="str" cm="1">
        <f t="array" ref="Z113">Common_InputFunctions.Utility_DisplayArrayInTable(Fertiliser_SourceData.Fertiliser_Products_Data1(), FertiliserProducts[[#Headers],[Company]],1)</f>
        <v/>
      </c>
      <c r="AA113" s="152" t="str" cm="1">
        <f t="array" ref="AA113">Common_InputFunctions.Utility_DisplayArrayInTable(Fertiliser_SourceData.Fertiliser_Products_Data1(), FertiliserProducts[[#Headers],[Company]],1)</f>
        <v/>
      </c>
      <c r="AB113" s="152" t="str" cm="1">
        <f t="array" ref="AB113">Common_InputFunctions.Utility_DisplayArrayInTable(Fertiliser_SourceData.Fertiliser_Products_Data1(), FertiliserProducts[[#Headers],[Company]],1)</f>
        <v/>
      </c>
      <c r="AC113" s="152" t="str" cm="1">
        <f t="array" ref="AC113">Common_InputFunctions.Utility_DisplayArrayInTable(Fertiliser_SourceData.Fertiliser_Products_Data1(), FertiliserProducts[[#Headers],[Company]],1)</f>
        <v/>
      </c>
      <c r="AD113" s="152" t="str" cm="1">
        <f t="array" ref="AD113">Common_InputFunctions.Utility_DisplayArrayInTable(Fertiliser_SourceData.Fertiliser_Products_Data1(), FertiliserProducts[[#Headers],[Company]],1)</f>
        <v/>
      </c>
      <c r="AE113" s="152" t="str" cm="1">
        <f t="array" ref="AE113">Common_InputFunctions.Utility_DisplayArrayInTable(Fertiliser_SourceData.Fertiliser_Products_Data1(), FertiliserProducts[[#Headers],[Company]],1)</f>
        <v/>
      </c>
      <c r="AF113" s="152" t="str" cm="1">
        <f t="array" ref="AF113">Common_InputFunctions.Utility_DisplayArrayInTable(Fertiliser_SourceData.Fertiliser_Products_Data1(), FertiliserProducts[[#Headers],[Company]],1)</f>
        <v/>
      </c>
      <c r="AG113" s="152" t="str" cm="1">
        <f t="array" ref="AG113">Common_InputFunctions.Utility_DisplayArrayInTable(Fertiliser_SourceData.Fertiliser_Products_Data1(), FertiliserProducts[[#Headers],[Company]],1)</f>
        <v/>
      </c>
      <c r="AH113" s="152" t="str" cm="1">
        <f t="array" ref="AH113">Common_InputFunctions.Utility_DisplayArrayInTable(Fertiliser_SourceData.Fertiliser_Products_Data1(), FertiliserProducts[[#Headers],[Company]],1)</f>
        <v/>
      </c>
      <c r="AK113" s="1"/>
      <c r="AL113" s="1"/>
      <c r="AM113" s="1"/>
    </row>
    <row r="114" spans="1:39" ht="20.100000000000001" customHeight="1" x14ac:dyDescent="0.2">
      <c r="D114" s="152" t="str" cm="1">
        <f t="array" ref="D114">Common_InputFunctions.Utility_DisplayArrayInTable(Fertiliser_SourceData.Fertiliser_Products_Data1(), FertiliserProducts[[#Headers],[Company]],1)</f>
        <v>Risso-Chemical</v>
      </c>
      <c r="E114" s="152" t="str" cm="1">
        <f t="array" ref="E114">Common_InputFunctions.Utility_DisplayArrayInTable(Fertiliser_SourceData.Fertiliser_Products_Data1(), FertiliserProducts[[#Headers],[Company]],1)</f>
        <v>Calcium Ammonium nitrate</v>
      </c>
      <c r="F114" s="152" t="str" cm="1">
        <f t="array" ref="F114">Common_InputFunctions.Utility_DisplayArrayInTable(Fertiliser_SourceData.Fertiliser_Products_Data1(), FertiliserProducts[[#Headers],[Company]],1)</f>
        <v>kg</v>
      </c>
      <c r="G114" s="152" cm="1">
        <f t="array" ref="G114">Common_InputFunctions.Utility_DisplayArrayInTable(Fertiliser_SourceData.Fertiliser_Products_Data1(), FertiliserProducts[[#Headers],[Company]],1)</f>
        <v>1</v>
      </c>
      <c r="H114" s="152" t="str" cm="1">
        <f t="array" ref="H114">Common_InputFunctions.Utility_DisplayArrayInTable(Fertiliser_SourceData.Fertiliser_Products_Data1(), FertiliserProducts[[#Headers],[Company]],1)</f>
        <v/>
      </c>
      <c r="I114" s="152" t="str" cm="1">
        <f t="array" ref="I114">Common_InputFunctions.Utility_DisplayArrayInTable(Fertiliser_SourceData.Fertiliser_Products_Data1(), FertiliserProducts[[#Headers],[Company]],1)</f>
        <v/>
      </c>
      <c r="J114" s="152" t="str" cm="1">
        <f t="array" ref="J114">Common_InputFunctions.Utility_DisplayArrayInTable(Fertiliser_SourceData.Fertiliser_Products_Data1(), FertiliserProducts[[#Headers],[Company]],1)</f>
        <v>China</v>
      </c>
      <c r="K114" s="152" cm="1">
        <f t="array" ref="K114">Common_InputFunctions.Utility_DisplayArrayInTable(Fertiliser_SourceData.Fertiliser_Products_Data1(), FertiliserProducts[[#Headers],[Company]],1)</f>
        <v>40.5</v>
      </c>
      <c r="L114" s="152" t="str" cm="1">
        <f t="array" ref="L114">Common_InputFunctions.Utility_DisplayArrayInTable(Fertiliser_SourceData.Fertiliser_Products_Data1(), FertiliserProducts[[#Headers],[Company]],1)</f>
        <v/>
      </c>
      <c r="M114" s="152" t="str" cm="1">
        <f t="array" ref="M114">Common_InputFunctions.Utility_DisplayArrayInTable(Fertiliser_SourceData.Fertiliser_Products_Data1(), FertiliserProducts[[#Headers],[Company]],1)</f>
        <v/>
      </c>
      <c r="N114" s="152" t="str" cm="1">
        <f t="array" ref="N114">Common_InputFunctions.Utility_DisplayArrayInTable(Fertiliser_SourceData.Fertiliser_Products_Data1(), FertiliserProducts[[#Headers],[Company]],1)</f>
        <v/>
      </c>
      <c r="O114" s="152" t="str" cm="1">
        <f t="array" ref="O114">Common_InputFunctions.Utility_DisplayArrayInTable(Fertiliser_SourceData.Fertiliser_Products_Data1(), FertiliserProducts[[#Headers],[Company]],1)</f>
        <v>Nitrogen - Ammoniacal</v>
      </c>
      <c r="P114" s="152" cm="1">
        <f t="array" ref="P114">Common_InputFunctions.Utility_DisplayArrayInTable(Fertiliser_SourceData.Fertiliser_Products_Data1(), FertiliserProducts[[#Headers],[Company]],1)</f>
        <v>0.27</v>
      </c>
      <c r="Q114" s="152" t="str" cm="1">
        <f t="array" ref="Q114">Common_InputFunctions.Utility_DisplayArrayInTable(Fertiliser_SourceData.Fertiliser_Products_Data1(), FertiliserProducts[[#Headers],[Company]],1)</f>
        <v>Nitrogen - Nitrate</v>
      </c>
      <c r="R114" s="152" cm="1">
        <f t="array" ref="R114">Common_InputFunctions.Utility_DisplayArrayInTable(Fertiliser_SourceData.Fertiliser_Products_Data1(), FertiliserProducts[[#Headers],[Company]],1)</f>
        <v>0.13500000000000001</v>
      </c>
      <c r="S114" s="152" t="str" cm="1">
        <f t="array" ref="S114">Common_InputFunctions.Utility_DisplayArrayInTable(Fertiliser_SourceData.Fertiliser_Products_Data1(), FertiliserProducts[[#Headers],[Company]],1)</f>
        <v>Calcium</v>
      </c>
      <c r="T114" s="152" cm="1">
        <f t="array" ref="T114">Common_InputFunctions.Utility_DisplayArrayInTable(Fertiliser_SourceData.Fertiliser_Products_Data1(), FertiliserProducts[[#Headers],[Company]],1)</f>
        <v>0.12</v>
      </c>
      <c r="U114" s="152" t="str" cm="1">
        <f t="array" ref="U114">Common_InputFunctions.Utility_DisplayArrayInTable(Fertiliser_SourceData.Fertiliser_Products_Data1(), FertiliserProducts[[#Headers],[Company]],1)</f>
        <v/>
      </c>
      <c r="V114" s="152" t="str" cm="1">
        <f t="array" ref="V114">Common_InputFunctions.Utility_DisplayArrayInTable(Fertiliser_SourceData.Fertiliser_Products_Data1(), FertiliserProducts[[#Headers],[Company]],1)</f>
        <v/>
      </c>
      <c r="W114" s="152" t="str" cm="1">
        <f t="array" ref="W114">Common_InputFunctions.Utility_DisplayArrayInTable(Fertiliser_SourceData.Fertiliser_Products_Data1(), FertiliserProducts[[#Headers],[Company]],1)</f>
        <v/>
      </c>
      <c r="X114" s="152" t="str" cm="1">
        <f t="array" ref="X114">Common_InputFunctions.Utility_DisplayArrayInTable(Fertiliser_SourceData.Fertiliser_Products_Data1(), FertiliserProducts[[#Headers],[Company]],1)</f>
        <v/>
      </c>
      <c r="Y114" s="152" t="str" cm="1">
        <f t="array" ref="Y114">Common_InputFunctions.Utility_DisplayArrayInTable(Fertiliser_SourceData.Fertiliser_Products_Data1(), FertiliserProducts[[#Headers],[Company]],1)</f>
        <v/>
      </c>
      <c r="Z114" s="152" t="str" cm="1">
        <f t="array" ref="Z114">Common_InputFunctions.Utility_DisplayArrayInTable(Fertiliser_SourceData.Fertiliser_Products_Data1(), FertiliserProducts[[#Headers],[Company]],1)</f>
        <v/>
      </c>
      <c r="AA114" s="152" t="str" cm="1">
        <f t="array" ref="AA114">Common_InputFunctions.Utility_DisplayArrayInTable(Fertiliser_SourceData.Fertiliser_Products_Data1(), FertiliserProducts[[#Headers],[Company]],1)</f>
        <v/>
      </c>
      <c r="AB114" s="152" t="str" cm="1">
        <f t="array" ref="AB114">Common_InputFunctions.Utility_DisplayArrayInTable(Fertiliser_SourceData.Fertiliser_Products_Data1(), FertiliserProducts[[#Headers],[Company]],1)</f>
        <v/>
      </c>
      <c r="AC114" s="152" t="str" cm="1">
        <f t="array" ref="AC114">Common_InputFunctions.Utility_DisplayArrayInTable(Fertiliser_SourceData.Fertiliser_Products_Data1(), FertiliserProducts[[#Headers],[Company]],1)</f>
        <v/>
      </c>
      <c r="AD114" s="152" t="str" cm="1">
        <f t="array" ref="AD114">Common_InputFunctions.Utility_DisplayArrayInTable(Fertiliser_SourceData.Fertiliser_Products_Data1(), FertiliserProducts[[#Headers],[Company]],1)</f>
        <v/>
      </c>
      <c r="AE114" s="152" t="str" cm="1">
        <f t="array" ref="AE114">Common_InputFunctions.Utility_DisplayArrayInTable(Fertiliser_SourceData.Fertiliser_Products_Data1(), FertiliserProducts[[#Headers],[Company]],1)</f>
        <v/>
      </c>
      <c r="AF114" s="152" t="str" cm="1">
        <f t="array" ref="AF114">Common_InputFunctions.Utility_DisplayArrayInTable(Fertiliser_SourceData.Fertiliser_Products_Data1(), FertiliserProducts[[#Headers],[Company]],1)</f>
        <v/>
      </c>
      <c r="AG114" s="152" t="str" cm="1">
        <f t="array" ref="AG114">Common_InputFunctions.Utility_DisplayArrayInTable(Fertiliser_SourceData.Fertiliser_Products_Data1(), FertiliserProducts[[#Headers],[Company]],1)</f>
        <v/>
      </c>
      <c r="AH114" s="152" t="str" cm="1">
        <f t="array" ref="AH114">Common_InputFunctions.Utility_DisplayArrayInTable(Fertiliser_SourceData.Fertiliser_Products_Data1(), FertiliserProducts[[#Headers],[Company]],1)</f>
        <v/>
      </c>
      <c r="AK114" s="1"/>
      <c r="AL114" s="1"/>
      <c r="AM114" s="1"/>
    </row>
    <row r="115" spans="1:39" ht="20.100000000000001" customHeight="1" x14ac:dyDescent="0.2">
      <c r="D115" s="152" t="str" cm="1">
        <f t="array" ref="D115">Common_InputFunctions.Utility_DisplayArrayInTable(Fertiliser_SourceData.Fertiliser_Products_Data1(), FertiliserProducts[[#Headers],[Company]],1)</f>
        <v>SL Tec</v>
      </c>
      <c r="E115" s="152" t="str" cm="1">
        <f t="array" ref="E115">Common_InputFunctions.Utility_DisplayArrayInTable(Fertiliser_SourceData.Fertiliser_Products_Data1(), FertiliserProducts[[#Headers],[Company]],1)</f>
        <v>CellCAL Plus</v>
      </c>
      <c r="F115" s="152" t="str" cm="1">
        <f t="array" ref="F115">Common_InputFunctions.Utility_DisplayArrayInTable(Fertiliser_SourceData.Fertiliser_Products_Data1(), FertiliserProducts[[#Headers],[Company]],1)</f>
        <v>L</v>
      </c>
      <c r="G115" s="152" cm="1">
        <f t="array" ref="G115">Common_InputFunctions.Utility_DisplayArrayInTable(Fertiliser_SourceData.Fertiliser_Products_Data1(), FertiliserProducts[[#Headers],[Company]],1)</f>
        <v>1.1379999999999999</v>
      </c>
      <c r="H115" s="152" t="str" cm="1">
        <f t="array" ref="H115">Common_InputFunctions.Utility_DisplayArrayInTable(Fertiliser_SourceData.Fertiliser_Products_Data1(), FertiliserProducts[[#Headers],[Company]],1)</f>
        <v/>
      </c>
      <c r="I115" s="152" t="str" cm="1">
        <f t="array" ref="I115">Common_InputFunctions.Utility_DisplayArrayInTable(Fertiliser_SourceData.Fertiliser_Products_Data1(), FertiliserProducts[[#Headers],[Company]],1)</f>
        <v/>
      </c>
      <c r="J115" s="152" t="str" cm="1">
        <f t="array" ref="J115">Common_InputFunctions.Utility_DisplayArrayInTable(Fertiliser_SourceData.Fertiliser_Products_Data1(), FertiliserProducts[[#Headers],[Company]],1)</f>
        <v/>
      </c>
      <c r="K115" s="152" t="str" cm="1">
        <f t="array" ref="K115">Common_InputFunctions.Utility_DisplayArrayInTable(Fertiliser_SourceData.Fertiliser_Products_Data1(), FertiliserProducts[[#Headers],[Company]],1)</f>
        <v/>
      </c>
      <c r="L115" s="152" t="str" cm="1">
        <f t="array" ref="L115">Common_InputFunctions.Utility_DisplayArrayInTable(Fertiliser_SourceData.Fertiliser_Products_Data1(), FertiliserProducts[[#Headers],[Company]],1)</f>
        <v/>
      </c>
      <c r="M115" s="152" t="str" cm="1">
        <f t="array" ref="M115">Common_InputFunctions.Utility_DisplayArrayInTable(Fertiliser_SourceData.Fertiliser_Products_Data1(), FertiliserProducts[[#Headers],[Company]],1)</f>
        <v/>
      </c>
      <c r="N115" s="152" t="str" cm="1">
        <f t="array" ref="N115">Common_InputFunctions.Utility_DisplayArrayInTable(Fertiliser_SourceData.Fertiliser_Products_Data1(), FertiliserProducts[[#Headers],[Company]],1)</f>
        <v/>
      </c>
      <c r="O115" s="152" t="str" cm="1">
        <f t="array" ref="O115">Common_InputFunctions.Utility_DisplayArrayInTable(Fertiliser_SourceData.Fertiliser_Products_Data1(), FertiliserProducts[[#Headers],[Company]],1)</f>
        <v>Calcium</v>
      </c>
      <c r="P115" s="152" cm="1">
        <f t="array" ref="P115">Common_InputFunctions.Utility_DisplayArrayInTable(Fertiliser_SourceData.Fertiliser_Products_Data1(), FertiliserProducts[[#Headers],[Company]],1)</f>
        <v>5.8999999999999997E-2</v>
      </c>
      <c r="Q115" s="152" t="str" cm="1">
        <f t="array" ref="Q115">Common_InputFunctions.Utility_DisplayArrayInTable(Fertiliser_SourceData.Fertiliser_Products_Data1(), FertiliserProducts[[#Headers],[Company]],1)</f>
        <v>Copper</v>
      </c>
      <c r="R115" s="152" cm="1">
        <f t="array" ref="R115">Common_InputFunctions.Utility_DisplayArrayInTable(Fertiliser_SourceData.Fertiliser_Products_Data1(), FertiliserProducts[[#Headers],[Company]],1)</f>
        <v>3.0000000000000001E-3</v>
      </c>
      <c r="S115" s="152" t="str" cm="1">
        <f t="array" ref="S115">Common_InputFunctions.Utility_DisplayArrayInTable(Fertiliser_SourceData.Fertiliser_Products_Data1(), FertiliserProducts[[#Headers],[Company]],1)</f>
        <v>Boron</v>
      </c>
      <c r="T115" s="152" cm="1">
        <f t="array" ref="T115">Common_InputFunctions.Utility_DisplayArrayInTable(Fertiliser_SourceData.Fertiliser_Products_Data1(), FertiliserProducts[[#Headers],[Company]],1)</f>
        <v>1E-3</v>
      </c>
      <c r="U115" s="152" t="str" cm="1">
        <f t="array" ref="U115">Common_InputFunctions.Utility_DisplayArrayInTable(Fertiliser_SourceData.Fertiliser_Products_Data1(), FertiliserProducts[[#Headers],[Company]],1)</f>
        <v/>
      </c>
      <c r="V115" s="152" t="str" cm="1">
        <f t="array" ref="V115">Common_InputFunctions.Utility_DisplayArrayInTable(Fertiliser_SourceData.Fertiliser_Products_Data1(), FertiliserProducts[[#Headers],[Company]],1)</f>
        <v/>
      </c>
      <c r="W115" s="152" t="str" cm="1">
        <f t="array" ref="W115">Common_InputFunctions.Utility_DisplayArrayInTable(Fertiliser_SourceData.Fertiliser_Products_Data1(), FertiliserProducts[[#Headers],[Company]],1)</f>
        <v/>
      </c>
      <c r="X115" s="152" t="str" cm="1">
        <f t="array" ref="X115">Common_InputFunctions.Utility_DisplayArrayInTable(Fertiliser_SourceData.Fertiliser_Products_Data1(), FertiliserProducts[[#Headers],[Company]],1)</f>
        <v/>
      </c>
      <c r="Y115" s="152" t="str" cm="1">
        <f t="array" ref="Y115">Common_InputFunctions.Utility_DisplayArrayInTable(Fertiliser_SourceData.Fertiliser_Products_Data1(), FertiliserProducts[[#Headers],[Company]],1)</f>
        <v/>
      </c>
      <c r="Z115" s="152" t="str" cm="1">
        <f t="array" ref="Z115">Common_InputFunctions.Utility_DisplayArrayInTable(Fertiliser_SourceData.Fertiliser_Products_Data1(), FertiliserProducts[[#Headers],[Company]],1)</f>
        <v/>
      </c>
      <c r="AA115" s="152" t="str" cm="1">
        <f t="array" ref="AA115">Common_InputFunctions.Utility_DisplayArrayInTable(Fertiliser_SourceData.Fertiliser_Products_Data1(), FertiliserProducts[[#Headers],[Company]],1)</f>
        <v/>
      </c>
      <c r="AB115" s="152" t="str" cm="1">
        <f t="array" ref="AB115">Common_InputFunctions.Utility_DisplayArrayInTable(Fertiliser_SourceData.Fertiliser_Products_Data1(), FertiliserProducts[[#Headers],[Company]],1)</f>
        <v/>
      </c>
      <c r="AC115" s="152" t="str" cm="1">
        <f t="array" ref="AC115">Common_InputFunctions.Utility_DisplayArrayInTable(Fertiliser_SourceData.Fertiliser_Products_Data1(), FertiliserProducts[[#Headers],[Company]],1)</f>
        <v/>
      </c>
      <c r="AD115" s="152" t="str" cm="1">
        <f t="array" ref="AD115">Common_InputFunctions.Utility_DisplayArrayInTable(Fertiliser_SourceData.Fertiliser_Products_Data1(), FertiliserProducts[[#Headers],[Company]],1)</f>
        <v/>
      </c>
      <c r="AE115" s="152" t="str" cm="1">
        <f t="array" ref="AE115">Common_InputFunctions.Utility_DisplayArrayInTable(Fertiliser_SourceData.Fertiliser_Products_Data1(), FertiliserProducts[[#Headers],[Company]],1)</f>
        <v/>
      </c>
      <c r="AF115" s="152" t="str" cm="1">
        <f t="array" ref="AF115">Common_InputFunctions.Utility_DisplayArrayInTable(Fertiliser_SourceData.Fertiliser_Products_Data1(), FertiliserProducts[[#Headers],[Company]],1)</f>
        <v/>
      </c>
      <c r="AG115" s="152" t="str" cm="1">
        <f t="array" ref="AG115">Common_InputFunctions.Utility_DisplayArrayInTable(Fertiliser_SourceData.Fertiliser_Products_Data1(), FertiliserProducts[[#Headers],[Company]],1)</f>
        <v/>
      </c>
      <c r="AH115" s="152" t="str" cm="1">
        <f t="array" ref="AH115">Common_InputFunctions.Utility_DisplayArrayInTable(Fertiliser_SourceData.Fertiliser_Products_Data1(), FertiliserProducts[[#Headers],[Company]],1)</f>
        <v/>
      </c>
      <c r="AK115" s="1"/>
      <c r="AL115" s="1"/>
      <c r="AM115" s="1"/>
    </row>
    <row r="116" spans="1:39" ht="20.100000000000001" customHeight="1" x14ac:dyDescent="0.2">
      <c r="D116" s="152" t="str" cm="1">
        <f t="array" ref="D116">Common_InputFunctions.Utility_DisplayArrayInTable(Fertiliser_SourceData.Fertiliser_Products_Data1(), FertiliserProducts[[#Headers],[Company]],1)</f>
        <v>Incitec Pivot Fertilisers</v>
      </c>
      <c r="E116" s="152" t="str" cm="1">
        <f t="array" ref="E116">Common_InputFunctions.Utility_DisplayArrayInTable(Fertiliser_SourceData.Fertiliser_Products_Data1(), FertiliserProducts[[#Headers],[Company]],1)</f>
        <v>CK55</v>
      </c>
      <c r="F116" s="152" t="str" cm="1">
        <f t="array" ref="F116">Common_InputFunctions.Utility_DisplayArrayInTable(Fertiliser_SourceData.Fertiliser_Products_Data1(), FertiliserProducts[[#Headers],[Company]],1)</f>
        <v>kg</v>
      </c>
      <c r="G116" s="152" cm="1">
        <f t="array" ref="G116">Common_InputFunctions.Utility_DisplayArrayInTable(Fertiliser_SourceData.Fertiliser_Products_Data1(), FertiliserProducts[[#Headers],[Company]],1)</f>
        <v>1</v>
      </c>
      <c r="H116" s="152" t="str" cm="1">
        <f t="array" ref="H116">Common_InputFunctions.Utility_DisplayArrayInTable(Fertiliser_SourceData.Fertiliser_Products_Data1(), FertiliserProducts[[#Headers],[Company]],1)</f>
        <v/>
      </c>
      <c r="I116" s="152" t="str" cm="1">
        <f t="array" ref="I116">Common_InputFunctions.Utility_DisplayArrayInTable(Fertiliser_SourceData.Fertiliser_Products_Data1(), FertiliserProducts[[#Headers],[Company]],1)</f>
        <v/>
      </c>
      <c r="J116" s="152" t="str" cm="1">
        <f t="array" ref="J116">Common_InputFunctions.Utility_DisplayArrayInTable(Fertiliser_SourceData.Fertiliser_Products_Data1(), FertiliserProducts[[#Headers],[Company]],1)</f>
        <v/>
      </c>
      <c r="K116" s="152" cm="1">
        <f t="array" ref="K116">Common_InputFunctions.Utility_DisplayArrayInTable(Fertiliser_SourceData.Fertiliser_Products_Data1(), FertiliserProducts[[#Headers],[Company]],1)</f>
        <v>13.5</v>
      </c>
      <c r="L116" s="152" cm="1">
        <f t="array" ref="L116">Common_InputFunctions.Utility_DisplayArrayInTable(Fertiliser_SourceData.Fertiliser_Products_Data1(), FertiliserProducts[[#Headers],[Company]],1)</f>
        <v>15</v>
      </c>
      <c r="M116" s="152" cm="1">
        <f t="array" ref="M116">Common_InputFunctions.Utility_DisplayArrayInTable(Fertiliser_SourceData.Fertiliser_Products_Data1(), FertiliserProducts[[#Headers],[Company]],1)</f>
        <v>6.25</v>
      </c>
      <c r="N116" s="152" cm="1">
        <f t="array" ref="N116">Common_InputFunctions.Utility_DisplayArrayInTable(Fertiliser_SourceData.Fertiliser_Products_Data1(), FertiliserProducts[[#Headers],[Company]],1)</f>
        <v>1.2</v>
      </c>
      <c r="O116" s="152" t="str" cm="1">
        <f t="array" ref="O116">Common_InputFunctions.Utility_DisplayArrayInTable(Fertiliser_SourceData.Fertiliser_Products_Data1(), FertiliserProducts[[#Headers],[Company]],1)</f>
        <v>Phosphorus - Generic</v>
      </c>
      <c r="P116" s="152" cm="1">
        <f t="array" ref="P116">Common_InputFunctions.Utility_DisplayArrayInTable(Fertiliser_SourceData.Fertiliser_Products_Data1(), FertiliserProducts[[#Headers],[Company]],1)</f>
        <v>0.15</v>
      </c>
      <c r="Q116" s="152" t="str" cm="1">
        <f t="array" ref="Q116">Common_InputFunctions.Utility_DisplayArrayInTable(Fertiliser_SourceData.Fertiliser_Products_Data1(), FertiliserProducts[[#Headers],[Company]],1)</f>
        <v>Nitrogen - Ammoniacal</v>
      </c>
      <c r="R116" s="152" cm="1">
        <f t="array" ref="R116">Common_InputFunctions.Utility_DisplayArrayInTable(Fertiliser_SourceData.Fertiliser_Products_Data1(), FertiliserProducts[[#Headers],[Company]],1)</f>
        <v>0.13500000000000001</v>
      </c>
      <c r="S116" s="152" t="str" cm="1">
        <f t="array" ref="S116">Common_InputFunctions.Utility_DisplayArrayInTable(Fertiliser_SourceData.Fertiliser_Products_Data1(), FertiliserProducts[[#Headers],[Company]],1)</f>
        <v>Muriate of potash (MOP)</v>
      </c>
      <c r="T116" s="152" cm="1">
        <f t="array" ref="T116">Common_InputFunctions.Utility_DisplayArrayInTable(Fertiliser_SourceData.Fertiliser_Products_Data1(), FertiliserProducts[[#Headers],[Company]],1)</f>
        <v>0.125</v>
      </c>
      <c r="U116" s="152" t="str" cm="1">
        <f t="array" ref="U116">Common_InputFunctions.Utility_DisplayArrayInTable(Fertiliser_SourceData.Fertiliser_Products_Data1(), FertiliserProducts[[#Headers],[Company]],1)</f>
        <v>Fluoride</v>
      </c>
      <c r="V116" s="152" cm="1">
        <f t="array" ref="V116">Common_InputFunctions.Utility_DisplayArrayInTable(Fertiliser_SourceData.Fertiliser_Products_Data1(), FertiliserProducts[[#Headers],[Company]],1)</f>
        <v>2.3E-2</v>
      </c>
      <c r="W116" s="152" t="str" cm="1">
        <f t="array" ref="W116">Common_InputFunctions.Utility_DisplayArrayInTable(Fertiliser_SourceData.Fertiliser_Products_Data1(), FertiliserProducts[[#Headers],[Company]],1)</f>
        <v>Sulfur - Generic</v>
      </c>
      <c r="X116" s="152" cm="1">
        <f t="array" ref="X116">Common_InputFunctions.Utility_DisplayArrayInTable(Fertiliser_SourceData.Fertiliser_Products_Data1(), FertiliserProducts[[#Headers],[Company]],1)</f>
        <v>1.2E-2</v>
      </c>
      <c r="Y116" s="152" t="str" cm="1">
        <f t="array" ref="Y116">Common_InputFunctions.Utility_DisplayArrayInTable(Fertiliser_SourceData.Fertiliser_Products_Data1(), FertiliserProducts[[#Headers],[Company]],1)</f>
        <v/>
      </c>
      <c r="Z116" s="152" t="str" cm="1">
        <f t="array" ref="Z116">Common_InputFunctions.Utility_DisplayArrayInTable(Fertiliser_SourceData.Fertiliser_Products_Data1(), FertiliserProducts[[#Headers],[Company]],1)</f>
        <v/>
      </c>
      <c r="AA116" s="152" t="str" cm="1">
        <f t="array" ref="AA116">Common_InputFunctions.Utility_DisplayArrayInTable(Fertiliser_SourceData.Fertiliser_Products_Data1(), FertiliserProducts[[#Headers],[Company]],1)</f>
        <v/>
      </c>
      <c r="AB116" s="152" t="str" cm="1">
        <f t="array" ref="AB116">Common_InputFunctions.Utility_DisplayArrayInTable(Fertiliser_SourceData.Fertiliser_Products_Data1(), FertiliserProducts[[#Headers],[Company]],1)</f>
        <v/>
      </c>
      <c r="AC116" s="152" t="str" cm="1">
        <f t="array" ref="AC116">Common_InputFunctions.Utility_DisplayArrayInTable(Fertiliser_SourceData.Fertiliser_Products_Data1(), FertiliserProducts[[#Headers],[Company]],1)</f>
        <v/>
      </c>
      <c r="AD116" s="152" t="str" cm="1">
        <f t="array" ref="AD116">Common_InputFunctions.Utility_DisplayArrayInTable(Fertiliser_SourceData.Fertiliser_Products_Data1(), FertiliserProducts[[#Headers],[Company]],1)</f>
        <v/>
      </c>
      <c r="AE116" s="152" t="str" cm="1">
        <f t="array" ref="AE116">Common_InputFunctions.Utility_DisplayArrayInTable(Fertiliser_SourceData.Fertiliser_Products_Data1(), FertiliserProducts[[#Headers],[Company]],1)</f>
        <v/>
      </c>
      <c r="AF116" s="152" t="str" cm="1">
        <f t="array" ref="AF116">Common_InputFunctions.Utility_DisplayArrayInTable(Fertiliser_SourceData.Fertiliser_Products_Data1(), FertiliserProducts[[#Headers],[Company]],1)</f>
        <v/>
      </c>
      <c r="AG116" s="152" t="str" cm="1">
        <f t="array" ref="AG116">Common_InputFunctions.Utility_DisplayArrayInTable(Fertiliser_SourceData.Fertiliser_Products_Data1(), FertiliserProducts[[#Headers],[Company]],1)</f>
        <v/>
      </c>
      <c r="AH116" s="152" t="str" cm="1">
        <f t="array" ref="AH116">Common_InputFunctions.Utility_DisplayArrayInTable(Fertiliser_SourceData.Fertiliser_Products_Data1(), FertiliserProducts[[#Headers],[Company]],1)</f>
        <v/>
      </c>
      <c r="AK116" s="1"/>
      <c r="AL116" s="1"/>
      <c r="AM116" s="1"/>
    </row>
    <row r="117" spans="1:39" ht="20.100000000000001" customHeight="1" x14ac:dyDescent="0.2">
      <c r="D117" s="152" t="str" cm="1">
        <f t="array" ref="D117">Common_InputFunctions.Utility_DisplayArrayInTable(Fertiliser_SourceData.Fertiliser_Products_Data1(), FertiliserProducts[[#Headers],[Company]],1)</f>
        <v>Switch Ag</v>
      </c>
      <c r="E117" s="152" t="str" cm="1">
        <f t="array" ref="E117">Common_InputFunctions.Utility_DisplayArrayInTable(Fertiliser_SourceData.Fertiliser_Products_Data1(), FertiliserProducts[[#Headers],[Company]],1)</f>
        <v>Crop K</v>
      </c>
      <c r="F117" s="152" t="str" cm="1">
        <f t="array" ref="F117">Common_InputFunctions.Utility_DisplayArrayInTable(Fertiliser_SourceData.Fertiliser_Products_Data1(), FertiliserProducts[[#Headers],[Company]],1)</f>
        <v>L</v>
      </c>
      <c r="G117" s="152" cm="1">
        <f t="array" ref="G117">Common_InputFunctions.Utility_DisplayArrayInTable(Fertiliser_SourceData.Fertiliser_Products_Data1(), FertiliserProducts[[#Headers],[Company]],1)</f>
        <v>1.25</v>
      </c>
      <c r="H117" s="152" t="str" cm="1">
        <f t="array" ref="H117">Common_InputFunctions.Utility_DisplayArrayInTable(Fertiliser_SourceData.Fertiliser_Products_Data1(), FertiliserProducts[[#Headers],[Company]],1)</f>
        <v/>
      </c>
      <c r="I117" s="152" t="str" cm="1">
        <f t="array" ref="I117">Common_InputFunctions.Utility_DisplayArrayInTable(Fertiliser_SourceData.Fertiliser_Products_Data1(), FertiliserProducts[[#Headers],[Company]],1)</f>
        <v/>
      </c>
      <c r="J117" s="152" t="str" cm="1">
        <f t="array" ref="J117">Common_InputFunctions.Utility_DisplayArrayInTable(Fertiliser_SourceData.Fertiliser_Products_Data1(), FertiliserProducts[[#Headers],[Company]],1)</f>
        <v/>
      </c>
      <c r="K117" s="152" cm="1">
        <f t="array" ref="K117">Common_InputFunctions.Utility_DisplayArrayInTable(Fertiliser_SourceData.Fertiliser_Products_Data1(), FertiliserProducts[[#Headers],[Company]],1)</f>
        <v>3</v>
      </c>
      <c r="L117" s="152" t="str" cm="1">
        <f t="array" ref="L117">Common_InputFunctions.Utility_DisplayArrayInTable(Fertiliser_SourceData.Fertiliser_Products_Data1(), FertiliserProducts[[#Headers],[Company]],1)</f>
        <v/>
      </c>
      <c r="M117" s="152" cm="1">
        <f t="array" ref="M117">Common_InputFunctions.Utility_DisplayArrayInTable(Fertiliser_SourceData.Fertiliser_Products_Data1(), FertiliserProducts[[#Headers],[Company]],1)</f>
        <v>21</v>
      </c>
      <c r="N117" s="152" t="str" cm="1">
        <f t="array" ref="N117">Common_InputFunctions.Utility_DisplayArrayInTable(Fertiliser_SourceData.Fertiliser_Products_Data1(), FertiliserProducts[[#Headers],[Company]],1)</f>
        <v/>
      </c>
      <c r="O117" s="152" t="str" cm="1">
        <f t="array" ref="O117">Common_InputFunctions.Utility_DisplayArrayInTable(Fertiliser_SourceData.Fertiliser_Products_Data1(), FertiliserProducts[[#Headers],[Company]],1)</f>
        <v>Potassium - Generic</v>
      </c>
      <c r="P117" s="152" cm="1">
        <f t="array" ref="P117">Common_InputFunctions.Utility_DisplayArrayInTable(Fertiliser_SourceData.Fertiliser_Products_Data1(), FertiliserProducts[[#Headers],[Company]],1)</f>
        <v>0.21</v>
      </c>
      <c r="Q117" s="152" t="str" cm="1">
        <f t="array" ref="Q117">Common_InputFunctions.Utility_DisplayArrayInTable(Fertiliser_SourceData.Fertiliser_Products_Data1(), FertiliserProducts[[#Headers],[Company]],1)</f>
        <v>Nitrogen - Generic</v>
      </c>
      <c r="R117" s="152" cm="1">
        <f t="array" ref="R117">Common_InputFunctions.Utility_DisplayArrayInTable(Fertiliser_SourceData.Fertiliser_Products_Data1(), FertiliserProducts[[#Headers],[Company]],1)</f>
        <v>0.03</v>
      </c>
      <c r="S117" s="152" t="str" cm="1">
        <f t="array" ref="S117">Common_InputFunctions.Utility_DisplayArrayInTable(Fertiliser_SourceData.Fertiliser_Products_Data1(), FertiliserProducts[[#Headers],[Company]],1)</f>
        <v/>
      </c>
      <c r="T117" s="152" t="str" cm="1">
        <f t="array" ref="T117">Common_InputFunctions.Utility_DisplayArrayInTable(Fertiliser_SourceData.Fertiliser_Products_Data1(), FertiliserProducts[[#Headers],[Company]],1)</f>
        <v/>
      </c>
      <c r="U117" s="152" t="str" cm="1">
        <f t="array" ref="U117">Common_InputFunctions.Utility_DisplayArrayInTable(Fertiliser_SourceData.Fertiliser_Products_Data1(), FertiliserProducts[[#Headers],[Company]],1)</f>
        <v/>
      </c>
      <c r="V117" s="152" t="str" cm="1">
        <f t="array" ref="V117">Common_InputFunctions.Utility_DisplayArrayInTable(Fertiliser_SourceData.Fertiliser_Products_Data1(), FertiliserProducts[[#Headers],[Company]],1)</f>
        <v/>
      </c>
      <c r="W117" s="152" t="str" cm="1">
        <f t="array" ref="W117">Common_InputFunctions.Utility_DisplayArrayInTable(Fertiliser_SourceData.Fertiliser_Products_Data1(), FertiliserProducts[[#Headers],[Company]],1)</f>
        <v/>
      </c>
      <c r="X117" s="152" t="str" cm="1">
        <f t="array" ref="X117">Common_InputFunctions.Utility_DisplayArrayInTable(Fertiliser_SourceData.Fertiliser_Products_Data1(), FertiliserProducts[[#Headers],[Company]],1)</f>
        <v/>
      </c>
      <c r="Y117" s="152" t="str" cm="1">
        <f t="array" ref="Y117">Common_InputFunctions.Utility_DisplayArrayInTable(Fertiliser_SourceData.Fertiliser_Products_Data1(), FertiliserProducts[[#Headers],[Company]],1)</f>
        <v/>
      </c>
      <c r="Z117" s="152" t="str" cm="1">
        <f t="array" ref="Z117">Common_InputFunctions.Utility_DisplayArrayInTable(Fertiliser_SourceData.Fertiliser_Products_Data1(), FertiliserProducts[[#Headers],[Company]],1)</f>
        <v/>
      </c>
      <c r="AA117" s="152" t="str" cm="1">
        <f t="array" ref="AA117">Common_InputFunctions.Utility_DisplayArrayInTable(Fertiliser_SourceData.Fertiliser_Products_Data1(), FertiliserProducts[[#Headers],[Company]],1)</f>
        <v/>
      </c>
      <c r="AB117" s="152" t="str" cm="1">
        <f t="array" ref="AB117">Common_InputFunctions.Utility_DisplayArrayInTable(Fertiliser_SourceData.Fertiliser_Products_Data1(), FertiliserProducts[[#Headers],[Company]],1)</f>
        <v/>
      </c>
      <c r="AC117" s="152" t="str" cm="1">
        <f t="array" ref="AC117">Common_InputFunctions.Utility_DisplayArrayInTable(Fertiliser_SourceData.Fertiliser_Products_Data1(), FertiliserProducts[[#Headers],[Company]],1)</f>
        <v/>
      </c>
      <c r="AD117" s="152" t="str" cm="1">
        <f t="array" ref="AD117">Common_InputFunctions.Utility_DisplayArrayInTable(Fertiliser_SourceData.Fertiliser_Products_Data1(), FertiliserProducts[[#Headers],[Company]],1)</f>
        <v/>
      </c>
      <c r="AE117" s="152" t="str" cm="1">
        <f t="array" ref="AE117">Common_InputFunctions.Utility_DisplayArrayInTable(Fertiliser_SourceData.Fertiliser_Products_Data1(), FertiliserProducts[[#Headers],[Company]],1)</f>
        <v/>
      </c>
      <c r="AF117" s="152" t="str" cm="1">
        <f t="array" ref="AF117">Common_InputFunctions.Utility_DisplayArrayInTable(Fertiliser_SourceData.Fertiliser_Products_Data1(), FertiliserProducts[[#Headers],[Company]],1)</f>
        <v/>
      </c>
      <c r="AG117" s="152" t="str" cm="1">
        <f t="array" ref="AG117">Common_InputFunctions.Utility_DisplayArrayInTable(Fertiliser_SourceData.Fertiliser_Products_Data1(), FertiliserProducts[[#Headers],[Company]],1)</f>
        <v/>
      </c>
      <c r="AH117" s="152" t="str" cm="1">
        <f t="array" ref="AH117">Common_InputFunctions.Utility_DisplayArrayInTable(Fertiliser_SourceData.Fertiliser_Products_Data1(), FertiliserProducts[[#Headers],[Company]],1)</f>
        <v/>
      </c>
      <c r="AK117" s="1"/>
      <c r="AL117" s="1"/>
      <c r="AM117" s="1"/>
    </row>
    <row r="118" spans="1:39" ht="20.100000000000001" customHeight="1" x14ac:dyDescent="0.2">
      <c r="D118" s="152" t="str" cm="1">
        <f t="array" ref="D118">Common_InputFunctions.Utility_DisplayArrayInTable(Fertiliser_SourceData.Fertiliser_Products_Data1(), FertiliserProducts[[#Headers],[Company]],1)</f>
        <v>Switch Ag</v>
      </c>
      <c r="E118" s="152" t="str" cm="1">
        <f t="array" ref="E118">Common_InputFunctions.Utility_DisplayArrayInTable(Fertiliser_SourceData.Fertiliser_Products_Data1(), FertiliserProducts[[#Headers],[Company]],1)</f>
        <v>Crop Starter</v>
      </c>
      <c r="F118" s="152" t="str" cm="1">
        <f t="array" ref="F118">Common_InputFunctions.Utility_DisplayArrayInTable(Fertiliser_SourceData.Fertiliser_Products_Data1(), FertiliserProducts[[#Headers],[Company]],1)</f>
        <v>L</v>
      </c>
      <c r="G118" s="152" cm="1">
        <f t="array" ref="G118">Common_InputFunctions.Utility_DisplayArrayInTable(Fertiliser_SourceData.Fertiliser_Products_Data1(), FertiliserProducts[[#Headers],[Company]],1)</f>
        <v>1.2</v>
      </c>
      <c r="H118" s="152" t="str" cm="1">
        <f t="array" ref="H118">Common_InputFunctions.Utility_DisplayArrayInTable(Fertiliser_SourceData.Fertiliser_Products_Data1(), FertiliserProducts[[#Headers],[Company]],1)</f>
        <v/>
      </c>
      <c r="I118" s="152" t="str" cm="1">
        <f t="array" ref="I118">Common_InputFunctions.Utility_DisplayArrayInTable(Fertiliser_SourceData.Fertiliser_Products_Data1(), FertiliserProducts[[#Headers],[Company]],1)</f>
        <v/>
      </c>
      <c r="J118" s="152" t="str" cm="1">
        <f t="array" ref="J118">Common_InputFunctions.Utility_DisplayArrayInTable(Fertiliser_SourceData.Fertiliser_Products_Data1(), FertiliserProducts[[#Headers],[Company]],1)</f>
        <v/>
      </c>
      <c r="K118" s="152" cm="1">
        <f t="array" ref="K118">Common_InputFunctions.Utility_DisplayArrayInTable(Fertiliser_SourceData.Fertiliser_Products_Data1(), FertiliserProducts[[#Headers],[Company]],1)</f>
        <v>5</v>
      </c>
      <c r="L118" s="152" cm="1">
        <f t="array" ref="L118">Common_InputFunctions.Utility_DisplayArrayInTable(Fertiliser_SourceData.Fertiliser_Products_Data1(), FertiliserProducts[[#Headers],[Company]],1)</f>
        <v>3</v>
      </c>
      <c r="M118" s="152" cm="1">
        <f t="array" ref="M118">Common_InputFunctions.Utility_DisplayArrayInTable(Fertiliser_SourceData.Fertiliser_Products_Data1(), FertiliserProducts[[#Headers],[Company]],1)</f>
        <v>8</v>
      </c>
      <c r="N118" s="152" t="str" cm="1">
        <f t="array" ref="N118">Common_InputFunctions.Utility_DisplayArrayInTable(Fertiliser_SourceData.Fertiliser_Products_Data1(), FertiliserProducts[[#Headers],[Company]],1)</f>
        <v/>
      </c>
      <c r="O118" s="152" t="str" cm="1">
        <f t="array" ref="O118">Common_InputFunctions.Utility_DisplayArrayInTable(Fertiliser_SourceData.Fertiliser_Products_Data1(), FertiliserProducts[[#Headers],[Company]],1)</f>
        <v>Potassium - Generic</v>
      </c>
      <c r="P118" s="152" cm="1">
        <f t="array" ref="P118">Common_InputFunctions.Utility_DisplayArrayInTable(Fertiliser_SourceData.Fertiliser_Products_Data1(), FertiliserProducts[[#Headers],[Company]],1)</f>
        <v>0.08</v>
      </c>
      <c r="Q118" s="152" t="str" cm="1">
        <f t="array" ref="Q118">Common_InputFunctions.Utility_DisplayArrayInTable(Fertiliser_SourceData.Fertiliser_Products_Data1(), FertiliserProducts[[#Headers],[Company]],1)</f>
        <v>Nitrogen - Generic</v>
      </c>
      <c r="R118" s="152" cm="1">
        <f t="array" ref="R118">Common_InputFunctions.Utility_DisplayArrayInTable(Fertiliser_SourceData.Fertiliser_Products_Data1(), FertiliserProducts[[#Headers],[Company]],1)</f>
        <v>0.05</v>
      </c>
      <c r="S118" s="152" t="str" cm="1">
        <f t="array" ref="S118">Common_InputFunctions.Utility_DisplayArrayInTable(Fertiliser_SourceData.Fertiliser_Products_Data1(), FertiliserProducts[[#Headers],[Company]],1)</f>
        <v>Phosphorus - Generic</v>
      </c>
      <c r="T118" s="152" cm="1">
        <f t="array" ref="T118">Common_InputFunctions.Utility_DisplayArrayInTable(Fertiliser_SourceData.Fertiliser_Products_Data1(), FertiliserProducts[[#Headers],[Company]],1)</f>
        <v>0.03</v>
      </c>
      <c r="U118" s="152" t="str" cm="1">
        <f t="array" ref="U118">Common_InputFunctions.Utility_DisplayArrayInTable(Fertiliser_SourceData.Fertiliser_Products_Data1(), FertiliserProducts[[#Headers],[Company]],1)</f>
        <v/>
      </c>
      <c r="V118" s="152" t="str" cm="1">
        <f t="array" ref="V118">Common_InputFunctions.Utility_DisplayArrayInTable(Fertiliser_SourceData.Fertiliser_Products_Data1(), FertiliserProducts[[#Headers],[Company]],1)</f>
        <v/>
      </c>
      <c r="W118" s="152" t="str" cm="1">
        <f t="array" ref="W118">Common_InputFunctions.Utility_DisplayArrayInTable(Fertiliser_SourceData.Fertiliser_Products_Data1(), FertiliserProducts[[#Headers],[Company]],1)</f>
        <v/>
      </c>
      <c r="X118" s="152" t="str" cm="1">
        <f t="array" ref="X118">Common_InputFunctions.Utility_DisplayArrayInTable(Fertiliser_SourceData.Fertiliser_Products_Data1(), FertiliserProducts[[#Headers],[Company]],1)</f>
        <v/>
      </c>
      <c r="Y118" s="152" t="str" cm="1">
        <f t="array" ref="Y118">Common_InputFunctions.Utility_DisplayArrayInTable(Fertiliser_SourceData.Fertiliser_Products_Data1(), FertiliserProducts[[#Headers],[Company]],1)</f>
        <v/>
      </c>
      <c r="Z118" s="152" t="str" cm="1">
        <f t="array" ref="Z118">Common_InputFunctions.Utility_DisplayArrayInTable(Fertiliser_SourceData.Fertiliser_Products_Data1(), FertiliserProducts[[#Headers],[Company]],1)</f>
        <v/>
      </c>
      <c r="AA118" s="152" t="str" cm="1">
        <f t="array" ref="AA118">Common_InputFunctions.Utility_DisplayArrayInTable(Fertiliser_SourceData.Fertiliser_Products_Data1(), FertiliserProducts[[#Headers],[Company]],1)</f>
        <v/>
      </c>
      <c r="AB118" s="152" t="str" cm="1">
        <f t="array" ref="AB118">Common_InputFunctions.Utility_DisplayArrayInTable(Fertiliser_SourceData.Fertiliser_Products_Data1(), FertiliserProducts[[#Headers],[Company]],1)</f>
        <v/>
      </c>
      <c r="AC118" s="152" t="str" cm="1">
        <f t="array" ref="AC118">Common_InputFunctions.Utility_DisplayArrayInTable(Fertiliser_SourceData.Fertiliser_Products_Data1(), FertiliserProducts[[#Headers],[Company]],1)</f>
        <v/>
      </c>
      <c r="AD118" s="152" t="str" cm="1">
        <f t="array" ref="AD118">Common_InputFunctions.Utility_DisplayArrayInTable(Fertiliser_SourceData.Fertiliser_Products_Data1(), FertiliserProducts[[#Headers],[Company]],1)</f>
        <v/>
      </c>
      <c r="AE118" s="152" t="str" cm="1">
        <f t="array" ref="AE118">Common_InputFunctions.Utility_DisplayArrayInTable(Fertiliser_SourceData.Fertiliser_Products_Data1(), FertiliserProducts[[#Headers],[Company]],1)</f>
        <v/>
      </c>
      <c r="AF118" s="152" t="str" cm="1">
        <f t="array" ref="AF118">Common_InputFunctions.Utility_DisplayArrayInTable(Fertiliser_SourceData.Fertiliser_Products_Data1(), FertiliserProducts[[#Headers],[Company]],1)</f>
        <v/>
      </c>
      <c r="AG118" s="152" t="str" cm="1">
        <f t="array" ref="AG118">Common_InputFunctions.Utility_DisplayArrayInTable(Fertiliser_SourceData.Fertiliser_Products_Data1(), FertiliserProducts[[#Headers],[Company]],1)</f>
        <v/>
      </c>
      <c r="AH118" s="152" t="str" cm="1">
        <f t="array" ref="AH118">Common_InputFunctions.Utility_DisplayArrayInTable(Fertiliser_SourceData.Fertiliser_Products_Data1(), FertiliserProducts[[#Headers],[Company]],1)</f>
        <v/>
      </c>
      <c r="AK118" s="1"/>
      <c r="AL118" s="1"/>
      <c r="AM118" s="1"/>
    </row>
    <row r="119" spans="1:39" ht="20.100000000000001" customHeight="1" x14ac:dyDescent="0.2">
      <c r="D119" s="152" t="str" cm="1">
        <f t="array" ref="D119">Common_InputFunctions.Utility_DisplayArrayInTable(Fertiliser_SourceData.Fertiliser_Products_Data1(), FertiliserProducts[[#Headers],[Company]],1)</f>
        <v>Incitec Pivot Fertilisers</v>
      </c>
      <c r="E119" s="152" t="str" cm="1">
        <f t="array" ref="E119">Common_InputFunctions.Utility_DisplayArrayInTable(Fertiliser_SourceData.Fertiliser_Products_Data1(), FertiliserProducts[[#Headers],[Company]],1)</f>
        <v>Gran-Am</v>
      </c>
      <c r="F119" s="152" t="str" cm="1">
        <f t="array" ref="F119">Common_InputFunctions.Utility_DisplayArrayInTable(Fertiliser_SourceData.Fertiliser_Products_Data1(), FertiliserProducts[[#Headers],[Company]],1)</f>
        <v>kg</v>
      </c>
      <c r="G119" s="152" cm="1">
        <f t="array" ref="G119">Common_InputFunctions.Utility_DisplayArrayInTable(Fertiliser_SourceData.Fertiliser_Products_Data1(), FertiliserProducts[[#Headers],[Company]],1)</f>
        <v>1</v>
      </c>
      <c r="H119" s="152" t="str" cm="1">
        <f t="array" ref="H119">Common_InputFunctions.Utility_DisplayArrayInTable(Fertiliser_SourceData.Fertiliser_Products_Data1(), FertiliserProducts[[#Headers],[Company]],1)</f>
        <v/>
      </c>
      <c r="I119" s="152" t="str" cm="1">
        <f t="array" ref="I119">Common_InputFunctions.Utility_DisplayArrayInTable(Fertiliser_SourceData.Fertiliser_Products_Data1(), FertiliserProducts[[#Headers],[Company]],1)</f>
        <v/>
      </c>
      <c r="J119" s="152" t="str" cm="1">
        <f t="array" ref="J119">Common_InputFunctions.Utility_DisplayArrayInTable(Fertiliser_SourceData.Fertiliser_Products_Data1(), FertiliserProducts[[#Headers],[Company]],1)</f>
        <v/>
      </c>
      <c r="K119" s="152" cm="1">
        <f t="array" ref="K119">Common_InputFunctions.Utility_DisplayArrayInTable(Fertiliser_SourceData.Fertiliser_Products_Data1(), FertiliserProducts[[#Headers],[Company]],1)</f>
        <v>21</v>
      </c>
      <c r="L119" s="152" t="str" cm="1">
        <f t="array" ref="L119">Common_InputFunctions.Utility_DisplayArrayInTable(Fertiliser_SourceData.Fertiliser_Products_Data1(), FertiliserProducts[[#Headers],[Company]],1)</f>
        <v/>
      </c>
      <c r="M119" s="152" t="str" cm="1">
        <f t="array" ref="M119">Common_InputFunctions.Utility_DisplayArrayInTable(Fertiliser_SourceData.Fertiliser_Products_Data1(), FertiliserProducts[[#Headers],[Company]],1)</f>
        <v/>
      </c>
      <c r="N119" s="152" cm="1">
        <f t="array" ref="N119">Common_InputFunctions.Utility_DisplayArrayInTable(Fertiliser_SourceData.Fertiliser_Products_Data1(), FertiliserProducts[[#Headers],[Company]],1)</f>
        <v>24</v>
      </c>
      <c r="O119" s="152" t="str" cm="1">
        <f t="array" ref="O119">Common_InputFunctions.Utility_DisplayArrayInTable(Fertiliser_SourceData.Fertiliser_Products_Data1(), FertiliserProducts[[#Headers],[Company]],1)</f>
        <v>Sulphate of ammonia (SOA)</v>
      </c>
      <c r="P119" s="152" cm="1">
        <f t="array" ref="P119">Common_InputFunctions.Utility_DisplayArrayInTable(Fertiliser_SourceData.Fertiliser_Products_Data1(), FertiliserProducts[[#Headers],[Company]],1)</f>
        <v>1</v>
      </c>
      <c r="Q119" s="152" t="str" cm="1">
        <f t="array" ref="Q119">Common_InputFunctions.Utility_DisplayArrayInTable(Fertiliser_SourceData.Fertiliser_Products_Data1(), FertiliserProducts[[#Headers],[Company]],1)</f>
        <v/>
      </c>
      <c r="R119" s="152" t="str" cm="1">
        <f t="array" ref="R119">Common_InputFunctions.Utility_DisplayArrayInTable(Fertiliser_SourceData.Fertiliser_Products_Data1(), FertiliserProducts[[#Headers],[Company]],1)</f>
        <v/>
      </c>
      <c r="S119" s="152" t="str" cm="1">
        <f t="array" ref="S119">Common_InputFunctions.Utility_DisplayArrayInTable(Fertiliser_SourceData.Fertiliser_Products_Data1(), FertiliserProducts[[#Headers],[Company]],1)</f>
        <v/>
      </c>
      <c r="T119" s="152" t="str" cm="1">
        <f t="array" ref="T119">Common_InputFunctions.Utility_DisplayArrayInTable(Fertiliser_SourceData.Fertiliser_Products_Data1(), FertiliserProducts[[#Headers],[Company]],1)</f>
        <v/>
      </c>
      <c r="U119" s="152" t="str" cm="1">
        <f t="array" ref="U119">Common_InputFunctions.Utility_DisplayArrayInTable(Fertiliser_SourceData.Fertiliser_Products_Data1(), FertiliserProducts[[#Headers],[Company]],1)</f>
        <v/>
      </c>
      <c r="V119" s="152" t="str" cm="1">
        <f t="array" ref="V119">Common_InputFunctions.Utility_DisplayArrayInTable(Fertiliser_SourceData.Fertiliser_Products_Data1(), FertiliserProducts[[#Headers],[Company]],1)</f>
        <v/>
      </c>
      <c r="W119" s="152" t="str" cm="1">
        <f t="array" ref="W119">Common_InputFunctions.Utility_DisplayArrayInTable(Fertiliser_SourceData.Fertiliser_Products_Data1(), FertiliserProducts[[#Headers],[Company]],1)</f>
        <v/>
      </c>
      <c r="X119" s="152" t="str" cm="1">
        <f t="array" ref="X119">Common_InputFunctions.Utility_DisplayArrayInTable(Fertiliser_SourceData.Fertiliser_Products_Data1(), FertiliserProducts[[#Headers],[Company]],1)</f>
        <v/>
      </c>
      <c r="Y119" s="152" t="str" cm="1">
        <f t="array" ref="Y119">Common_InputFunctions.Utility_DisplayArrayInTable(Fertiliser_SourceData.Fertiliser_Products_Data1(), FertiliserProducts[[#Headers],[Company]],1)</f>
        <v/>
      </c>
      <c r="Z119" s="152" t="str" cm="1">
        <f t="array" ref="Z119">Common_InputFunctions.Utility_DisplayArrayInTable(Fertiliser_SourceData.Fertiliser_Products_Data1(), FertiliserProducts[[#Headers],[Company]],1)</f>
        <v/>
      </c>
      <c r="AA119" s="152" t="str" cm="1">
        <f t="array" ref="AA119">Common_InputFunctions.Utility_DisplayArrayInTable(Fertiliser_SourceData.Fertiliser_Products_Data1(), FertiliserProducts[[#Headers],[Company]],1)</f>
        <v/>
      </c>
      <c r="AB119" s="152" t="str" cm="1">
        <f t="array" ref="AB119">Common_InputFunctions.Utility_DisplayArrayInTable(Fertiliser_SourceData.Fertiliser_Products_Data1(), FertiliserProducts[[#Headers],[Company]],1)</f>
        <v/>
      </c>
      <c r="AC119" s="152" t="str" cm="1">
        <f t="array" ref="AC119">Common_InputFunctions.Utility_DisplayArrayInTable(Fertiliser_SourceData.Fertiliser_Products_Data1(), FertiliserProducts[[#Headers],[Company]],1)</f>
        <v/>
      </c>
      <c r="AD119" s="152" t="str" cm="1">
        <f t="array" ref="AD119">Common_InputFunctions.Utility_DisplayArrayInTable(Fertiliser_SourceData.Fertiliser_Products_Data1(), FertiliserProducts[[#Headers],[Company]],1)</f>
        <v/>
      </c>
      <c r="AE119" s="152" t="str" cm="1">
        <f t="array" ref="AE119">Common_InputFunctions.Utility_DisplayArrayInTable(Fertiliser_SourceData.Fertiliser_Products_Data1(), FertiliserProducts[[#Headers],[Company]],1)</f>
        <v/>
      </c>
      <c r="AF119" s="152" t="str" cm="1">
        <f t="array" ref="AF119">Common_InputFunctions.Utility_DisplayArrayInTable(Fertiliser_SourceData.Fertiliser_Products_Data1(), FertiliserProducts[[#Headers],[Company]],1)</f>
        <v/>
      </c>
      <c r="AG119" s="152" t="str" cm="1">
        <f t="array" ref="AG119">Common_InputFunctions.Utility_DisplayArrayInTable(Fertiliser_SourceData.Fertiliser_Products_Data1(), FertiliserProducts[[#Headers],[Company]],1)</f>
        <v/>
      </c>
      <c r="AH119" s="152" t="str" cm="1">
        <f t="array" ref="AH119">Common_InputFunctions.Utility_DisplayArrayInTable(Fertiliser_SourceData.Fertiliser_Products_Data1(), FertiliserProducts[[#Headers],[Company]],1)</f>
        <v/>
      </c>
      <c r="AK119" s="1"/>
      <c r="AL119" s="1"/>
      <c r="AM119" s="1"/>
    </row>
    <row r="120" spans="1:39" ht="20.100000000000001" customHeight="1" x14ac:dyDescent="0.2">
      <c r="D120" s="152" t="str" cm="1">
        <f t="array" ref="D120">Common_InputFunctions.Utility_DisplayArrayInTable(Fertiliser_SourceData.Fertiliser_Products_Data2(), FertiliserProducts[[#Headers],[Company]],31)</f>
        <v>Campbells fertilisers Australia</v>
      </c>
      <c r="E120" s="152" t="str" cm="1">
        <f t="array" ref="E120">Common_InputFunctions.Utility_DisplayArrayInTable(Fertiliser_SourceData.Fertiliser_Products_Data2(), FertiliserProducts[[#Headers],[Company]],31)</f>
        <v>Encal</v>
      </c>
      <c r="F120" s="152" t="str" cm="1">
        <f t="array" ref="F120">Common_InputFunctions.Utility_DisplayArrayInTable(Fertiliser_SourceData.Fertiliser_Products_Data2(), FertiliserProducts[[#Headers],[Company]],31)</f>
        <v>L</v>
      </c>
      <c r="G120" s="152" cm="1">
        <f t="array" ref="G120">Common_InputFunctions.Utility_DisplayArrayInTable(Fertiliser_SourceData.Fertiliser_Products_Data2(), FertiliserProducts[[#Headers],[Company]],31)</f>
        <v>1.5</v>
      </c>
      <c r="H120" s="152" t="str" cm="1">
        <f t="array" ref="H120">Common_InputFunctions.Utility_DisplayArrayInTable(Fertiliser_SourceData.Fertiliser_Products_Data2(), FertiliserProducts[[#Headers],[Company]],31)</f>
        <v/>
      </c>
      <c r="I120" s="152" t="str" cm="1">
        <f t="array" ref="I120">Common_InputFunctions.Utility_DisplayArrayInTable(Fertiliser_SourceData.Fertiliser_Products_Data2(), FertiliserProducts[[#Headers],[Company]],31)</f>
        <v/>
      </c>
      <c r="J120" s="152" t="str" cm="1">
        <f t="array" ref="J120">Common_InputFunctions.Utility_DisplayArrayInTable(Fertiliser_SourceData.Fertiliser_Products_Data2(), FertiliserProducts[[#Headers],[Company]],31)</f>
        <v/>
      </c>
      <c r="K120" s="152" cm="1">
        <f t="array" ref="K120">Common_InputFunctions.Utility_DisplayArrayInTable(Fertiliser_SourceData.Fertiliser_Products_Data2(), FertiliserProducts[[#Headers],[Company]],31)</f>
        <v>9</v>
      </c>
      <c r="L120" s="152" t="str" cm="1">
        <f t="array" ref="L120">Common_InputFunctions.Utility_DisplayArrayInTable(Fertiliser_SourceData.Fertiliser_Products_Data2(), FertiliserProducts[[#Headers],[Company]],31)</f>
        <v/>
      </c>
      <c r="M120" s="152" t="str" cm="1">
        <f t="array" ref="M120">Common_InputFunctions.Utility_DisplayArrayInTable(Fertiliser_SourceData.Fertiliser_Products_Data2(), FertiliserProducts[[#Headers],[Company]],31)</f>
        <v/>
      </c>
      <c r="N120" s="152" cm="1">
        <f t="array" ref="N120">Common_InputFunctions.Utility_DisplayArrayInTable(Fertiliser_SourceData.Fertiliser_Products_Data2(), FertiliserProducts[[#Headers],[Company]],31)</f>
        <v>13.94</v>
      </c>
      <c r="O120" s="152" t="str" cm="1">
        <f t="array" ref="O120">Common_InputFunctions.Utility_DisplayArrayInTable(Fertiliser_SourceData.Fertiliser_Products_Data2(), FertiliserProducts[[#Headers],[Company]],31)</f>
        <v>Sulphate of ammonia (SOA)</v>
      </c>
      <c r="P120" s="152" cm="1">
        <f t="array" ref="P120">Common_InputFunctions.Utility_DisplayArrayInTable(Fertiliser_SourceData.Fertiliser_Products_Data2(), FertiliserProducts[[#Headers],[Company]],31)</f>
        <v>0.58064499999999997</v>
      </c>
      <c r="Q120" s="152" t="str" cm="1">
        <f t="array" ref="Q120">Common_InputFunctions.Utility_DisplayArrayInTable(Fertiliser_SourceData.Fertiliser_Products_Data2(), FertiliserProducts[[#Headers],[Company]],31)</f>
        <v>Magnesium</v>
      </c>
      <c r="R120" s="152" cm="1">
        <f t="array" ref="R120">Common_InputFunctions.Utility_DisplayArrayInTable(Fertiliser_SourceData.Fertiliser_Products_Data2(), FertiliserProducts[[#Headers],[Company]],31)</f>
        <v>1.2E-2</v>
      </c>
      <c r="S120" s="152" t="str" cm="1">
        <f t="array" ref="S120">Common_InputFunctions.Utility_DisplayArrayInTable(Fertiliser_SourceData.Fertiliser_Products_Data2(), FertiliserProducts[[#Headers],[Company]],31)</f>
        <v/>
      </c>
      <c r="T120" s="152" t="str" cm="1">
        <f t="array" ref="T120">Common_InputFunctions.Utility_DisplayArrayInTable(Fertiliser_SourceData.Fertiliser_Products_Data2(), FertiliserProducts[[#Headers],[Company]],31)</f>
        <v/>
      </c>
      <c r="U120" s="152" t="str" cm="1">
        <f t="array" ref="U120">Common_InputFunctions.Utility_DisplayArrayInTable(Fertiliser_SourceData.Fertiliser_Products_Data2(), FertiliserProducts[[#Headers],[Company]],31)</f>
        <v/>
      </c>
      <c r="V120" s="152" t="str" cm="1">
        <f t="array" ref="V120">Common_InputFunctions.Utility_DisplayArrayInTable(Fertiliser_SourceData.Fertiliser_Products_Data2(), FertiliserProducts[[#Headers],[Company]],31)</f>
        <v/>
      </c>
      <c r="W120" s="152" t="str" cm="1">
        <f t="array" ref="W120">Common_InputFunctions.Utility_DisplayArrayInTable(Fertiliser_SourceData.Fertiliser_Products_Data2(), FertiliserProducts[[#Headers],[Company]],31)</f>
        <v/>
      </c>
      <c r="X120" s="152" t="str" cm="1">
        <f t="array" ref="X120">Common_InputFunctions.Utility_DisplayArrayInTable(Fertiliser_SourceData.Fertiliser_Products_Data2(), FertiliserProducts[[#Headers],[Company]],31)</f>
        <v/>
      </c>
      <c r="Y120" s="152" t="str" cm="1">
        <f t="array" ref="Y120">Common_InputFunctions.Utility_DisplayArrayInTable(Fertiliser_SourceData.Fertiliser_Products_Data2(), FertiliserProducts[[#Headers],[Company]],31)</f>
        <v/>
      </c>
      <c r="Z120" s="152" t="str" cm="1">
        <f t="array" ref="Z120">Common_InputFunctions.Utility_DisplayArrayInTable(Fertiliser_SourceData.Fertiliser_Products_Data2(), FertiliserProducts[[#Headers],[Company]],31)</f>
        <v/>
      </c>
      <c r="AA120" s="152" t="str" cm="1">
        <f t="array" ref="AA120">Common_InputFunctions.Utility_DisplayArrayInTable(Fertiliser_SourceData.Fertiliser_Products_Data2(), FertiliserProducts[[#Headers],[Company]],31)</f>
        <v/>
      </c>
      <c r="AB120" s="152" t="str" cm="1">
        <f t="array" ref="AB120">Common_InputFunctions.Utility_DisplayArrayInTable(Fertiliser_SourceData.Fertiliser_Products_Data2(), FertiliserProducts[[#Headers],[Company]],31)</f>
        <v/>
      </c>
      <c r="AC120" s="152" t="str" cm="1">
        <f t="array" ref="AC120">Common_InputFunctions.Utility_DisplayArrayInTable(Fertiliser_SourceData.Fertiliser_Products_Data2(), FertiliserProducts[[#Headers],[Company]],31)</f>
        <v/>
      </c>
      <c r="AD120" s="152" t="str" cm="1">
        <f t="array" ref="AD120">Common_InputFunctions.Utility_DisplayArrayInTable(Fertiliser_SourceData.Fertiliser_Products_Data2(), FertiliserProducts[[#Headers],[Company]],31)</f>
        <v/>
      </c>
      <c r="AE120" s="152" t="str" cm="1">
        <f t="array" ref="AE120">Common_InputFunctions.Utility_DisplayArrayInTable(Fertiliser_SourceData.Fertiliser_Products_Data2(), FertiliserProducts[[#Headers],[Company]],31)</f>
        <v/>
      </c>
      <c r="AF120" s="152" t="str" cm="1">
        <f t="array" ref="AF120">Common_InputFunctions.Utility_DisplayArrayInTable(Fertiliser_SourceData.Fertiliser_Products_Data2(), FertiliserProducts[[#Headers],[Company]],31)</f>
        <v/>
      </c>
      <c r="AG120" s="152" t="str" cm="1">
        <f t="array" ref="AG120">Common_InputFunctions.Utility_DisplayArrayInTable(Fertiliser_SourceData.Fertiliser_Products_Data2(), FertiliserProducts[[#Headers],[Company]],31)</f>
        <v/>
      </c>
      <c r="AH120" s="152" t="str" cm="1">
        <f t="array" ref="AH120">Common_InputFunctions.Utility_DisplayArrayInTable(Fertiliser_SourceData.Fertiliser_Products_Data2(), FertiliserProducts[[#Headers],[Company]],31)</f>
        <v/>
      </c>
      <c r="AK120" s="1"/>
      <c r="AL120" s="1"/>
      <c r="AM120" s="1"/>
    </row>
    <row r="121" spans="1:39" ht="20.100000000000001" customHeight="1" x14ac:dyDescent="0.2">
      <c r="D121" s="152" t="str" cm="1">
        <f t="array" ref="D121">Common_InputFunctions.Utility_DisplayArrayInTable(Fertiliser_SourceData.Fertiliser_Products_Data2(), FertiliserProducts[[#Headers],[Company]],31)</f>
        <v>Incitec Pivot Fertilisers</v>
      </c>
      <c r="E121" s="152" t="str" cm="1">
        <f t="array" ref="E121">Common_InputFunctions.Utility_DisplayArrayInTable(Fertiliser_SourceData.Fertiliser_Products_Data2(), FertiliserProducts[[#Headers],[Company]],31)</f>
        <v>Granulock SS</v>
      </c>
      <c r="F121" s="152" t="str" cm="1">
        <f t="array" ref="F121">Common_InputFunctions.Utility_DisplayArrayInTable(Fertiliser_SourceData.Fertiliser_Products_Data2(), FertiliserProducts[[#Headers],[Company]],31)</f>
        <v>kg</v>
      </c>
      <c r="G121" s="152" cm="1">
        <f t="array" ref="G121">Common_InputFunctions.Utility_DisplayArrayInTable(Fertiliser_SourceData.Fertiliser_Products_Data2(), FertiliserProducts[[#Headers],[Company]],31)</f>
        <v>1</v>
      </c>
      <c r="H121" s="152" t="str" cm="1">
        <f t="array" ref="H121">Common_InputFunctions.Utility_DisplayArrayInTable(Fertiliser_SourceData.Fertiliser_Products_Data2(), FertiliserProducts[[#Headers],[Company]],31)</f>
        <v/>
      </c>
      <c r="I121" s="152" t="str" cm="1">
        <f t="array" ref="I121">Common_InputFunctions.Utility_DisplayArrayInTable(Fertiliser_SourceData.Fertiliser_Products_Data2(), FertiliserProducts[[#Headers],[Company]],31)</f>
        <v/>
      </c>
      <c r="J121" s="152" t="str" cm="1">
        <f t="array" ref="J121">Common_InputFunctions.Utility_DisplayArrayInTable(Fertiliser_SourceData.Fertiliser_Products_Data2(), FertiliserProducts[[#Headers],[Company]],31)</f>
        <v/>
      </c>
      <c r="K121" s="152" cm="1">
        <f t="array" ref="K121">Common_InputFunctions.Utility_DisplayArrayInTable(Fertiliser_SourceData.Fertiliser_Products_Data2(), FertiliserProducts[[#Headers],[Company]],31)</f>
        <v>10</v>
      </c>
      <c r="L121" s="152" cm="1">
        <f t="array" ref="L121">Common_InputFunctions.Utility_DisplayArrayInTable(Fertiliser_SourceData.Fertiliser_Products_Data2(), FertiliserProducts[[#Headers],[Company]],31)</f>
        <v>17.5</v>
      </c>
      <c r="M121" s="152" t="str" cm="1">
        <f t="array" ref="M121">Common_InputFunctions.Utility_DisplayArrayInTable(Fertiliser_SourceData.Fertiliser_Products_Data2(), FertiliserProducts[[#Headers],[Company]],31)</f>
        <v/>
      </c>
      <c r="N121" s="152" cm="1">
        <f t="array" ref="N121">Common_InputFunctions.Utility_DisplayArrayInTable(Fertiliser_SourceData.Fertiliser_Products_Data2(), FertiliserProducts[[#Headers],[Company]],31)</f>
        <v>12</v>
      </c>
      <c r="O121" s="152" t="str" cm="1">
        <f t="array" ref="O121">Common_InputFunctions.Utility_DisplayArrayInTable(Fertiliser_SourceData.Fertiliser_Products_Data2(), FertiliserProducts[[#Headers],[Company]],31)</f>
        <v>Phosphorus - Generic</v>
      </c>
      <c r="P121" s="152" cm="1">
        <f t="array" ref="P121">Common_InputFunctions.Utility_DisplayArrayInTable(Fertiliser_SourceData.Fertiliser_Products_Data2(), FertiliserProducts[[#Headers],[Company]],31)</f>
        <v>0.17499999999999999</v>
      </c>
      <c r="Q121" s="152" t="str" cm="1">
        <f t="array" ref="Q121">Common_InputFunctions.Utility_DisplayArrayInTable(Fertiliser_SourceData.Fertiliser_Products_Data2(), FertiliserProducts[[#Headers],[Company]],31)</f>
        <v>Sulfur - Generic</v>
      </c>
      <c r="R121" s="152" cm="1">
        <f t="array" ref="R121">Common_InputFunctions.Utility_DisplayArrayInTable(Fertiliser_SourceData.Fertiliser_Products_Data2(), FertiliserProducts[[#Headers],[Company]],31)</f>
        <v>0.12</v>
      </c>
      <c r="S121" s="152" t="str" cm="1">
        <f t="array" ref="S121">Common_InputFunctions.Utility_DisplayArrayInTable(Fertiliser_SourceData.Fertiliser_Products_Data2(), FertiliserProducts[[#Headers],[Company]],31)</f>
        <v>Nitrogen - Ammoniacal</v>
      </c>
      <c r="T121" s="152" cm="1">
        <f t="array" ref="T121">Common_InputFunctions.Utility_DisplayArrayInTable(Fertiliser_SourceData.Fertiliser_Products_Data2(), FertiliserProducts[[#Headers],[Company]],31)</f>
        <v>0.1</v>
      </c>
      <c r="U121" s="152" t="str" cm="1">
        <f t="array" ref="U121">Common_InputFunctions.Utility_DisplayArrayInTable(Fertiliser_SourceData.Fertiliser_Products_Data2(), FertiliserProducts[[#Headers],[Company]],31)</f>
        <v>Fluoride</v>
      </c>
      <c r="V121" s="152" cm="1">
        <f t="array" ref="V121">Common_InputFunctions.Utility_DisplayArrayInTable(Fertiliser_SourceData.Fertiliser_Products_Data2(), FertiliserProducts[[#Headers],[Company]],31)</f>
        <v>0.03</v>
      </c>
      <c r="W121" s="152" t="str" cm="1">
        <f t="array" ref="W121">Common_InputFunctions.Utility_DisplayArrayInTable(Fertiliser_SourceData.Fertiliser_Products_Data2(), FertiliserProducts[[#Headers],[Company]],31)</f>
        <v/>
      </c>
      <c r="X121" s="152" t="str" cm="1">
        <f t="array" ref="X121">Common_InputFunctions.Utility_DisplayArrayInTable(Fertiliser_SourceData.Fertiliser_Products_Data2(), FertiliserProducts[[#Headers],[Company]],31)</f>
        <v/>
      </c>
      <c r="Y121" s="152" t="str" cm="1">
        <f t="array" ref="Y121">Common_InputFunctions.Utility_DisplayArrayInTable(Fertiliser_SourceData.Fertiliser_Products_Data2(), FertiliserProducts[[#Headers],[Company]],31)</f>
        <v/>
      </c>
      <c r="Z121" s="152" t="str" cm="1">
        <f t="array" ref="Z121">Common_InputFunctions.Utility_DisplayArrayInTable(Fertiliser_SourceData.Fertiliser_Products_Data2(), FertiliserProducts[[#Headers],[Company]],31)</f>
        <v/>
      </c>
      <c r="AA121" s="152" t="str" cm="1">
        <f t="array" ref="AA121">Common_InputFunctions.Utility_DisplayArrayInTable(Fertiliser_SourceData.Fertiliser_Products_Data2(), FertiliserProducts[[#Headers],[Company]],31)</f>
        <v/>
      </c>
      <c r="AB121" s="152" t="str" cm="1">
        <f t="array" ref="AB121">Common_InputFunctions.Utility_DisplayArrayInTable(Fertiliser_SourceData.Fertiliser_Products_Data2(), FertiliserProducts[[#Headers],[Company]],31)</f>
        <v/>
      </c>
      <c r="AC121" s="152" t="str" cm="1">
        <f t="array" ref="AC121">Common_InputFunctions.Utility_DisplayArrayInTable(Fertiliser_SourceData.Fertiliser_Products_Data2(), FertiliserProducts[[#Headers],[Company]],31)</f>
        <v/>
      </c>
      <c r="AD121" s="152" t="str" cm="1">
        <f t="array" ref="AD121">Common_InputFunctions.Utility_DisplayArrayInTable(Fertiliser_SourceData.Fertiliser_Products_Data2(), FertiliserProducts[[#Headers],[Company]],31)</f>
        <v/>
      </c>
      <c r="AE121" s="152" t="str" cm="1">
        <f t="array" ref="AE121">Common_InputFunctions.Utility_DisplayArrayInTable(Fertiliser_SourceData.Fertiliser_Products_Data2(), FertiliserProducts[[#Headers],[Company]],31)</f>
        <v/>
      </c>
      <c r="AF121" s="152" t="str" cm="1">
        <f t="array" ref="AF121">Common_InputFunctions.Utility_DisplayArrayInTable(Fertiliser_SourceData.Fertiliser_Products_Data2(), FertiliserProducts[[#Headers],[Company]],31)</f>
        <v/>
      </c>
      <c r="AG121" s="152" t="str" cm="1">
        <f t="array" ref="AG121">Common_InputFunctions.Utility_DisplayArrayInTable(Fertiliser_SourceData.Fertiliser_Products_Data2(), FertiliserProducts[[#Headers],[Company]],31)</f>
        <v/>
      </c>
      <c r="AH121" s="152" t="str" cm="1">
        <f t="array" ref="AH121">Common_InputFunctions.Utility_DisplayArrayInTable(Fertiliser_SourceData.Fertiliser_Products_Data2(), FertiliserProducts[[#Headers],[Company]],31)</f>
        <v/>
      </c>
      <c r="AK121" s="1"/>
      <c r="AL121" s="1"/>
      <c r="AM121" s="1"/>
    </row>
    <row r="122" spans="1:39" ht="20.100000000000001" customHeight="1" x14ac:dyDescent="0.2">
      <c r="D122" s="152" t="str" cm="1">
        <f t="array" ref="D122">Common_InputFunctions.Utility_DisplayArrayInTable(Fertiliser_SourceData.Fertiliser_Products_Data2(), FertiliserProducts[[#Headers],[Company]],31)</f>
        <v>Incitec Pivot Fertilisers</v>
      </c>
      <c r="E122" s="152" t="str" cm="1">
        <f t="array" ref="E122">Common_InputFunctions.Utility_DisplayArrayInTable(Fertiliser_SourceData.Fertiliser_Products_Data2(), FertiliserProducts[[#Headers],[Company]],31)</f>
        <v>Granulock Z</v>
      </c>
      <c r="F122" s="152" t="str" cm="1">
        <f t="array" ref="F122">Common_InputFunctions.Utility_DisplayArrayInTable(Fertiliser_SourceData.Fertiliser_Products_Data2(), FertiliserProducts[[#Headers],[Company]],31)</f>
        <v>kg</v>
      </c>
      <c r="G122" s="152" cm="1">
        <f t="array" ref="G122">Common_InputFunctions.Utility_DisplayArrayInTable(Fertiliser_SourceData.Fertiliser_Products_Data2(), FertiliserProducts[[#Headers],[Company]],31)</f>
        <v>1</v>
      </c>
      <c r="H122" s="152" t="str" cm="1">
        <f t="array" ref="H122">Common_InputFunctions.Utility_DisplayArrayInTable(Fertiliser_SourceData.Fertiliser_Products_Data2(), FertiliserProducts[[#Headers],[Company]],31)</f>
        <v/>
      </c>
      <c r="I122" s="152" t="str" cm="1">
        <f t="array" ref="I122">Common_InputFunctions.Utility_DisplayArrayInTable(Fertiliser_SourceData.Fertiliser_Products_Data2(), FertiliserProducts[[#Headers],[Company]],31)</f>
        <v/>
      </c>
      <c r="J122" s="152" t="str" cm="1">
        <f t="array" ref="J122">Common_InputFunctions.Utility_DisplayArrayInTable(Fertiliser_SourceData.Fertiliser_Products_Data2(), FertiliserProducts[[#Headers],[Company]],31)</f>
        <v/>
      </c>
      <c r="K122" s="152" cm="1">
        <f t="array" ref="K122">Common_InputFunctions.Utility_DisplayArrayInTable(Fertiliser_SourceData.Fertiliser_Products_Data2(), FertiliserProducts[[#Headers],[Company]],31)</f>
        <v>11</v>
      </c>
      <c r="L122" s="152" cm="1">
        <f t="array" ref="L122">Common_InputFunctions.Utility_DisplayArrayInTable(Fertiliser_SourceData.Fertiliser_Products_Data2(), FertiliserProducts[[#Headers],[Company]],31)</f>
        <v>21.8</v>
      </c>
      <c r="M122" s="152" t="str" cm="1">
        <f t="array" ref="M122">Common_InputFunctions.Utility_DisplayArrayInTable(Fertiliser_SourceData.Fertiliser_Products_Data2(), FertiliserProducts[[#Headers],[Company]],31)</f>
        <v/>
      </c>
      <c r="N122" s="152" cm="1">
        <f t="array" ref="N122">Common_InputFunctions.Utility_DisplayArrayInTable(Fertiliser_SourceData.Fertiliser_Products_Data2(), FertiliserProducts[[#Headers],[Company]],31)</f>
        <v>4</v>
      </c>
      <c r="O122" s="152" t="str" cm="1">
        <f t="array" ref="O122">Common_InputFunctions.Utility_DisplayArrayInTable(Fertiliser_SourceData.Fertiliser_Products_Data2(), FertiliserProducts[[#Headers],[Company]],31)</f>
        <v>Phosphorus - Generic</v>
      </c>
      <c r="P122" s="152" cm="1">
        <f t="array" ref="P122">Common_InputFunctions.Utility_DisplayArrayInTable(Fertiliser_SourceData.Fertiliser_Products_Data2(), FertiliserProducts[[#Headers],[Company]],31)</f>
        <v>0.218</v>
      </c>
      <c r="Q122" s="152" t="str" cm="1">
        <f t="array" ref="Q122">Common_InputFunctions.Utility_DisplayArrayInTable(Fertiliser_SourceData.Fertiliser_Products_Data2(), FertiliserProducts[[#Headers],[Company]],31)</f>
        <v>Nitrogen - Generic</v>
      </c>
      <c r="R122" s="152" cm="1">
        <f t="array" ref="R122">Common_InputFunctions.Utility_DisplayArrayInTable(Fertiliser_SourceData.Fertiliser_Products_Data2(), FertiliserProducts[[#Headers],[Company]],31)</f>
        <v>0.11</v>
      </c>
      <c r="S122" s="152" t="str" cm="1">
        <f t="array" ref="S122">Common_InputFunctions.Utility_DisplayArrayInTable(Fertiliser_SourceData.Fertiliser_Products_Data2(), FertiliserProducts[[#Headers],[Company]],31)</f>
        <v>Sulfur - Generic</v>
      </c>
      <c r="T122" s="152" cm="1">
        <f t="array" ref="T122">Common_InputFunctions.Utility_DisplayArrayInTable(Fertiliser_SourceData.Fertiliser_Products_Data2(), FertiliserProducts[[#Headers],[Company]],31)</f>
        <v>0.04</v>
      </c>
      <c r="U122" s="152" t="str" cm="1">
        <f t="array" ref="U122">Common_InputFunctions.Utility_DisplayArrayInTable(Fertiliser_SourceData.Fertiliser_Products_Data2(), FertiliserProducts[[#Headers],[Company]],31)</f>
        <v>Fluoride</v>
      </c>
      <c r="V122" s="152" cm="1">
        <f t="array" ref="V122">Common_InputFunctions.Utility_DisplayArrayInTable(Fertiliser_SourceData.Fertiliser_Products_Data2(), FertiliserProducts[[#Headers],[Company]],31)</f>
        <v>0.03</v>
      </c>
      <c r="W122" s="152" t="str" cm="1">
        <f t="array" ref="W122">Common_InputFunctions.Utility_DisplayArrayInTable(Fertiliser_SourceData.Fertiliser_Products_Data2(), FertiliserProducts[[#Headers],[Company]],31)</f>
        <v>Zinc</v>
      </c>
      <c r="X122" s="152" cm="1">
        <f t="array" ref="X122">Common_InputFunctions.Utility_DisplayArrayInTable(Fertiliser_SourceData.Fertiliser_Products_Data2(), FertiliserProducts[[#Headers],[Company]],31)</f>
        <v>0.01</v>
      </c>
      <c r="Y122" s="152" t="str" cm="1">
        <f t="array" ref="Y122">Common_InputFunctions.Utility_DisplayArrayInTable(Fertiliser_SourceData.Fertiliser_Products_Data2(), FertiliserProducts[[#Headers],[Company]],31)</f>
        <v/>
      </c>
      <c r="Z122" s="152" t="str" cm="1">
        <f t="array" ref="Z122">Common_InputFunctions.Utility_DisplayArrayInTable(Fertiliser_SourceData.Fertiliser_Products_Data2(), FertiliserProducts[[#Headers],[Company]],31)</f>
        <v/>
      </c>
      <c r="AA122" s="152" t="str" cm="1">
        <f t="array" ref="AA122">Common_InputFunctions.Utility_DisplayArrayInTable(Fertiliser_SourceData.Fertiliser_Products_Data2(), FertiliserProducts[[#Headers],[Company]],31)</f>
        <v/>
      </c>
      <c r="AB122" s="152" t="str" cm="1">
        <f t="array" ref="AB122">Common_InputFunctions.Utility_DisplayArrayInTable(Fertiliser_SourceData.Fertiliser_Products_Data2(), FertiliserProducts[[#Headers],[Company]],31)</f>
        <v/>
      </c>
      <c r="AC122" s="152" t="str" cm="1">
        <f t="array" ref="AC122">Common_InputFunctions.Utility_DisplayArrayInTable(Fertiliser_SourceData.Fertiliser_Products_Data2(), FertiliserProducts[[#Headers],[Company]],31)</f>
        <v/>
      </c>
      <c r="AD122" s="152" t="str" cm="1">
        <f t="array" ref="AD122">Common_InputFunctions.Utility_DisplayArrayInTable(Fertiliser_SourceData.Fertiliser_Products_Data2(), FertiliserProducts[[#Headers],[Company]],31)</f>
        <v/>
      </c>
      <c r="AE122" s="152" t="str" cm="1">
        <f t="array" ref="AE122">Common_InputFunctions.Utility_DisplayArrayInTable(Fertiliser_SourceData.Fertiliser_Products_Data2(), FertiliserProducts[[#Headers],[Company]],31)</f>
        <v/>
      </c>
      <c r="AF122" s="152" t="str" cm="1">
        <f t="array" ref="AF122">Common_InputFunctions.Utility_DisplayArrayInTable(Fertiliser_SourceData.Fertiliser_Products_Data2(), FertiliserProducts[[#Headers],[Company]],31)</f>
        <v/>
      </c>
      <c r="AG122" s="152" t="str" cm="1">
        <f t="array" ref="AG122">Common_InputFunctions.Utility_DisplayArrayInTable(Fertiliser_SourceData.Fertiliser_Products_Data2(), FertiliserProducts[[#Headers],[Company]],31)</f>
        <v/>
      </c>
      <c r="AH122" s="152" t="str" cm="1">
        <f t="array" ref="AH122">Common_InputFunctions.Utility_DisplayArrayInTable(Fertiliser_SourceData.Fertiliser_Products_Data2(), FertiliserProducts[[#Headers],[Company]],31)</f>
        <v/>
      </c>
      <c r="AK122" s="1"/>
      <c r="AL122" s="1"/>
      <c r="AM122" s="1"/>
    </row>
    <row r="123" spans="1:39" ht="20.100000000000001" customHeight="1" x14ac:dyDescent="0.2">
      <c r="D123" s="152" t="str" cm="1">
        <f t="array" ref="D123">Common_InputFunctions.Utility_DisplayArrayInTable(Fertiliser_SourceData.Fertiliser_Products_Data2(), FertiliserProducts[[#Headers],[Company]],31)</f>
        <v>Incitec Pivot Fertilisers</v>
      </c>
      <c r="E123" s="152" t="str" cm="1">
        <f t="array" ref="E123">Common_InputFunctions.Utility_DisplayArrayInTable(Fertiliser_SourceData.Fertiliser_Products_Data2(), FertiliserProducts[[#Headers],[Company]],31)</f>
        <v>Farm Ag Leichhardt</v>
      </c>
      <c r="F123" s="152" t="str" cm="1">
        <f t="array" ref="F123">Common_InputFunctions.Utility_DisplayArrayInTable(Fertiliser_SourceData.Fertiliser_Products_Data2(), FertiliserProducts[[#Headers],[Company]],31)</f>
        <v>kg</v>
      </c>
      <c r="G123" s="152" cm="1">
        <f t="array" ref="G123">Common_InputFunctions.Utility_DisplayArrayInTable(Fertiliser_SourceData.Fertiliser_Products_Data2(), FertiliserProducts[[#Headers],[Company]],31)</f>
        <v>1</v>
      </c>
      <c r="H123" s="152" t="str" cm="1">
        <f t="array" ref="H123">Common_InputFunctions.Utility_DisplayArrayInTable(Fertiliser_SourceData.Fertiliser_Products_Data2(), FertiliserProducts[[#Headers],[Company]],31)</f>
        <v/>
      </c>
      <c r="I123" s="152" t="str" cm="1">
        <f t="array" ref="I123">Common_InputFunctions.Utility_DisplayArrayInTable(Fertiliser_SourceData.Fertiliser_Products_Data2(), FertiliserProducts[[#Headers],[Company]],31)</f>
        <v/>
      </c>
      <c r="J123" s="152" t="str" cm="1">
        <f t="array" ref="J123">Common_InputFunctions.Utility_DisplayArrayInTable(Fertiliser_SourceData.Fertiliser_Products_Data2(), FertiliserProducts[[#Headers],[Company]],31)</f>
        <v/>
      </c>
      <c r="K123" s="152" cm="1">
        <f t="array" ref="K123">Common_InputFunctions.Utility_DisplayArrayInTable(Fertiliser_SourceData.Fertiliser_Products_Data2(), FertiliserProducts[[#Headers],[Company]],31)</f>
        <v>32.5</v>
      </c>
      <c r="L123" s="152" cm="1">
        <f t="array" ref="L123">Common_InputFunctions.Utility_DisplayArrayInTable(Fertiliser_SourceData.Fertiliser_Products_Data2(), FertiliserProducts[[#Headers],[Company]],31)</f>
        <v>5.4</v>
      </c>
      <c r="M123" s="152" cm="1">
        <f t="array" ref="M123">Common_InputFunctions.Utility_DisplayArrayInTable(Fertiliser_SourceData.Fertiliser_Products_Data2(), FertiliserProducts[[#Headers],[Company]],31)</f>
        <v>6.25</v>
      </c>
      <c r="N123" s="152" t="str" cm="1">
        <f t="array" ref="N123">Common_InputFunctions.Utility_DisplayArrayInTable(Fertiliser_SourceData.Fertiliser_Products_Data2(), FertiliserProducts[[#Headers],[Company]],31)</f>
        <v/>
      </c>
      <c r="O123" s="152" t="str" cm="1">
        <f t="array" ref="O123">Common_InputFunctions.Utility_DisplayArrayInTable(Fertiliser_SourceData.Fertiliser_Products_Data2(), FertiliserProducts[[#Headers],[Company]],31)</f>
        <v>Urea</v>
      </c>
      <c r="P123" s="152" cm="1">
        <f t="array" ref="P123">Common_InputFunctions.Utility_DisplayArrayInTable(Fertiliser_SourceData.Fertiliser_Products_Data2(), FertiliserProducts[[#Headers],[Company]],31)</f>
        <v>0.6</v>
      </c>
      <c r="Q123" s="152" t="str" cm="1">
        <f t="array" ref="Q123">Common_InputFunctions.Utility_DisplayArrayInTable(Fertiliser_SourceData.Fertiliser_Products_Data2(), FertiliserProducts[[#Headers],[Company]],31)</f>
        <v>Nitrogen - Ammoniacal</v>
      </c>
      <c r="R123" s="152" cm="1">
        <f t="array" ref="R123">Common_InputFunctions.Utility_DisplayArrayInTable(Fertiliser_SourceData.Fertiliser_Products_Data2(), FertiliserProducts[[#Headers],[Company]],31)</f>
        <v>4.9000000000000002E-2</v>
      </c>
      <c r="S123" s="152" t="str" cm="1">
        <f t="array" ref="S123">Common_InputFunctions.Utility_DisplayArrayInTable(Fertiliser_SourceData.Fertiliser_Products_Data2(), FertiliserProducts[[#Headers],[Company]],31)</f>
        <v>Phosphorus - Generic</v>
      </c>
      <c r="T123" s="152" cm="1">
        <f t="array" ref="T123">Common_InputFunctions.Utility_DisplayArrayInTable(Fertiliser_SourceData.Fertiliser_Products_Data2(), FertiliserProducts[[#Headers],[Company]],31)</f>
        <v>5.3999999999999999E-2</v>
      </c>
      <c r="U123" s="152" t="str" cm="1">
        <f t="array" ref="U123">Common_InputFunctions.Utility_DisplayArrayInTable(Fertiliser_SourceData.Fertiliser_Products_Data2(), FertiliserProducts[[#Headers],[Company]],31)</f>
        <v>Muriate of potash (MOP)</v>
      </c>
      <c r="V123" s="152" cm="1">
        <f t="array" ref="V123">Common_InputFunctions.Utility_DisplayArrayInTable(Fertiliser_SourceData.Fertiliser_Products_Data2(), FertiliserProducts[[#Headers],[Company]],31)</f>
        <v>0.125</v>
      </c>
      <c r="W123" s="152" t="str" cm="1">
        <f t="array" ref="W123">Common_InputFunctions.Utility_DisplayArrayInTable(Fertiliser_SourceData.Fertiliser_Products_Data2(), FertiliserProducts[[#Headers],[Company]],31)</f>
        <v/>
      </c>
      <c r="X123" s="152" t="str" cm="1">
        <f t="array" ref="X123">Common_InputFunctions.Utility_DisplayArrayInTable(Fertiliser_SourceData.Fertiliser_Products_Data2(), FertiliserProducts[[#Headers],[Company]],31)</f>
        <v/>
      </c>
      <c r="Y123" s="152" t="str" cm="1">
        <f t="array" ref="Y123">Common_InputFunctions.Utility_DisplayArrayInTable(Fertiliser_SourceData.Fertiliser_Products_Data2(), FertiliserProducts[[#Headers],[Company]],31)</f>
        <v/>
      </c>
      <c r="Z123" s="152" t="str" cm="1">
        <f t="array" ref="Z123">Common_InputFunctions.Utility_DisplayArrayInTable(Fertiliser_SourceData.Fertiliser_Products_Data2(), FertiliserProducts[[#Headers],[Company]],31)</f>
        <v/>
      </c>
      <c r="AA123" s="152" t="str" cm="1">
        <f t="array" ref="AA123">Common_InputFunctions.Utility_DisplayArrayInTable(Fertiliser_SourceData.Fertiliser_Products_Data2(), FertiliserProducts[[#Headers],[Company]],31)</f>
        <v/>
      </c>
      <c r="AB123" s="152" t="str" cm="1">
        <f t="array" ref="AB123">Common_InputFunctions.Utility_DisplayArrayInTable(Fertiliser_SourceData.Fertiliser_Products_Data2(), FertiliserProducts[[#Headers],[Company]],31)</f>
        <v/>
      </c>
      <c r="AC123" s="152" t="str" cm="1">
        <f t="array" ref="AC123">Common_InputFunctions.Utility_DisplayArrayInTable(Fertiliser_SourceData.Fertiliser_Products_Data2(), FertiliserProducts[[#Headers],[Company]],31)</f>
        <v/>
      </c>
      <c r="AD123" s="152" t="str" cm="1">
        <f t="array" ref="AD123">Common_InputFunctions.Utility_DisplayArrayInTable(Fertiliser_SourceData.Fertiliser_Products_Data2(), FertiliserProducts[[#Headers],[Company]],31)</f>
        <v/>
      </c>
      <c r="AE123" s="152" t="str" cm="1">
        <f t="array" ref="AE123">Common_InputFunctions.Utility_DisplayArrayInTable(Fertiliser_SourceData.Fertiliser_Products_Data2(), FertiliserProducts[[#Headers],[Company]],31)</f>
        <v/>
      </c>
      <c r="AF123" s="152" t="str" cm="1">
        <f t="array" ref="AF123">Common_InputFunctions.Utility_DisplayArrayInTable(Fertiliser_SourceData.Fertiliser_Products_Data2(), FertiliserProducts[[#Headers],[Company]],31)</f>
        <v/>
      </c>
      <c r="AG123" s="152" t="str" cm="1">
        <f t="array" ref="AG123">Common_InputFunctions.Utility_DisplayArrayInTable(Fertiliser_SourceData.Fertiliser_Products_Data2(), FertiliserProducts[[#Headers],[Company]],31)</f>
        <v/>
      </c>
      <c r="AH123" s="152" t="str" cm="1">
        <f t="array" ref="AH123">Common_InputFunctions.Utility_DisplayArrayInTable(Fertiliser_SourceData.Fertiliser_Products_Data2(), FertiliserProducts[[#Headers],[Company]],31)</f>
        <v/>
      </c>
      <c r="AK123" s="1"/>
      <c r="AL123" s="1"/>
      <c r="AM123" s="1"/>
    </row>
    <row r="124" spans="1:39" ht="20.100000000000001" customHeight="1" x14ac:dyDescent="0.2">
      <c r="D124" s="152" t="str" cm="1">
        <f t="array" ref="D124">Common_InputFunctions.Utility_DisplayArrayInTable(Fertiliser_SourceData.Fertiliser_Products_Data2(), FertiliserProducts[[#Headers],[Company]],31)</f>
        <v>Ravensdown</v>
      </c>
      <c r="E124" s="152" t="str" cm="1">
        <f t="array" ref="E124">Common_InputFunctions.Utility_DisplayArrayInTable(Fertiliser_SourceData.Fertiliser_Products_Data2(), FertiliserProducts[[#Headers],[Company]],31)</f>
        <v>Flexi-N NBPT</v>
      </c>
      <c r="F124" s="152" t="str" cm="1">
        <f t="array" ref="F124">Common_InputFunctions.Utility_DisplayArrayInTable(Fertiliser_SourceData.Fertiliser_Products_Data2(), FertiliserProducts[[#Headers],[Company]],31)</f>
        <v>kg</v>
      </c>
      <c r="G124" s="152" cm="1">
        <f t="array" ref="G124">Common_InputFunctions.Utility_DisplayArrayInTable(Fertiliser_SourceData.Fertiliser_Products_Data2(), FertiliserProducts[[#Headers],[Company]],31)</f>
        <v>1</v>
      </c>
      <c r="H124" s="152" t="str" cm="1">
        <f t="array" ref="H124">Common_InputFunctions.Utility_DisplayArrayInTable(Fertiliser_SourceData.Fertiliser_Products_Data2(), FertiliserProducts[[#Headers],[Company]],31)</f>
        <v>Yes</v>
      </c>
      <c r="I124" s="152" t="str" cm="1">
        <f t="array" ref="I124">Common_InputFunctions.Utility_DisplayArrayInTable(Fertiliser_SourceData.Fertiliser_Products_Data2(), FertiliserProducts[[#Headers],[Company]],31)</f>
        <v/>
      </c>
      <c r="J124" s="152" t="str" cm="1">
        <f t="array" ref="J124">Common_InputFunctions.Utility_DisplayArrayInTable(Fertiliser_SourceData.Fertiliser_Products_Data2(), FertiliserProducts[[#Headers],[Company]],31)</f>
        <v/>
      </c>
      <c r="K124" s="152" cm="1">
        <f t="array" ref="K124">Common_InputFunctions.Utility_DisplayArrayInTable(Fertiliser_SourceData.Fertiliser_Products_Data2(), FertiliserProducts[[#Headers],[Company]],31)</f>
        <v>45.54</v>
      </c>
      <c r="L124" s="152" t="str" cm="1">
        <f t="array" ref="L124">Common_InputFunctions.Utility_DisplayArrayInTable(Fertiliser_SourceData.Fertiliser_Products_Data2(), FertiliserProducts[[#Headers],[Company]],31)</f>
        <v/>
      </c>
      <c r="M124" s="152" t="str" cm="1">
        <f t="array" ref="M124">Common_InputFunctions.Utility_DisplayArrayInTable(Fertiliser_SourceData.Fertiliser_Products_Data2(), FertiliserProducts[[#Headers],[Company]],31)</f>
        <v/>
      </c>
      <c r="N124" s="152" t="str" cm="1">
        <f t="array" ref="N124">Common_InputFunctions.Utility_DisplayArrayInTable(Fertiliser_SourceData.Fertiliser_Products_Data2(), FertiliserProducts[[#Headers],[Company]],31)</f>
        <v/>
      </c>
      <c r="O124" s="152" t="str" cm="1">
        <f t="array" ref="O124">Common_InputFunctions.Utility_DisplayArrayInTable(Fertiliser_SourceData.Fertiliser_Products_Data2(), FertiliserProducts[[#Headers],[Company]],31)</f>
        <v>Urea</v>
      </c>
      <c r="P124" s="152" cm="1">
        <f t="array" ref="P124">Common_InputFunctions.Utility_DisplayArrayInTable(Fertiliser_SourceData.Fertiliser_Products_Data2(), FertiliserProducts[[#Headers],[Company]],31)</f>
        <v>0.99</v>
      </c>
      <c r="Q124" s="152" t="str" cm="1">
        <f t="array" ref="Q124">Common_InputFunctions.Utility_DisplayArrayInTable(Fertiliser_SourceData.Fertiliser_Products_Data2(), FertiliserProducts[[#Headers],[Company]],31)</f>
        <v/>
      </c>
      <c r="R124" s="152" t="str" cm="1">
        <f t="array" ref="R124">Common_InputFunctions.Utility_DisplayArrayInTable(Fertiliser_SourceData.Fertiliser_Products_Data2(), FertiliserProducts[[#Headers],[Company]],31)</f>
        <v/>
      </c>
      <c r="S124" s="152" t="str" cm="1">
        <f t="array" ref="S124">Common_InputFunctions.Utility_DisplayArrayInTable(Fertiliser_SourceData.Fertiliser_Products_Data2(), FertiliserProducts[[#Headers],[Company]],31)</f>
        <v/>
      </c>
      <c r="T124" s="152" t="str" cm="1">
        <f t="array" ref="T124">Common_InputFunctions.Utility_DisplayArrayInTable(Fertiliser_SourceData.Fertiliser_Products_Data2(), FertiliserProducts[[#Headers],[Company]],31)</f>
        <v/>
      </c>
      <c r="U124" s="152" t="str" cm="1">
        <f t="array" ref="U124">Common_InputFunctions.Utility_DisplayArrayInTable(Fertiliser_SourceData.Fertiliser_Products_Data2(), FertiliserProducts[[#Headers],[Company]],31)</f>
        <v/>
      </c>
      <c r="V124" s="152" t="str" cm="1">
        <f t="array" ref="V124">Common_InputFunctions.Utility_DisplayArrayInTable(Fertiliser_SourceData.Fertiliser_Products_Data2(), FertiliserProducts[[#Headers],[Company]],31)</f>
        <v/>
      </c>
      <c r="W124" s="152" t="str" cm="1">
        <f t="array" ref="W124">Common_InputFunctions.Utility_DisplayArrayInTable(Fertiliser_SourceData.Fertiliser_Products_Data2(), FertiliserProducts[[#Headers],[Company]],31)</f>
        <v/>
      </c>
      <c r="X124" s="152" t="str" cm="1">
        <f t="array" ref="X124">Common_InputFunctions.Utility_DisplayArrayInTable(Fertiliser_SourceData.Fertiliser_Products_Data2(), FertiliserProducts[[#Headers],[Company]],31)</f>
        <v/>
      </c>
      <c r="Y124" s="152" t="str" cm="1">
        <f t="array" ref="Y124">Common_InputFunctions.Utility_DisplayArrayInTable(Fertiliser_SourceData.Fertiliser_Products_Data2(), FertiliserProducts[[#Headers],[Company]],31)</f>
        <v/>
      </c>
      <c r="Z124" s="152" t="str" cm="1">
        <f t="array" ref="Z124">Common_InputFunctions.Utility_DisplayArrayInTable(Fertiliser_SourceData.Fertiliser_Products_Data2(), FertiliserProducts[[#Headers],[Company]],31)</f>
        <v/>
      </c>
      <c r="AA124" s="152" t="str" cm="1">
        <f t="array" ref="AA124">Common_InputFunctions.Utility_DisplayArrayInTable(Fertiliser_SourceData.Fertiliser_Products_Data2(), FertiliserProducts[[#Headers],[Company]],31)</f>
        <v/>
      </c>
      <c r="AB124" s="152" t="str" cm="1">
        <f t="array" ref="AB124">Common_InputFunctions.Utility_DisplayArrayInTable(Fertiliser_SourceData.Fertiliser_Products_Data2(), FertiliserProducts[[#Headers],[Company]],31)</f>
        <v/>
      </c>
      <c r="AC124" s="152" t="str" cm="1">
        <f t="array" ref="AC124">Common_InputFunctions.Utility_DisplayArrayInTable(Fertiliser_SourceData.Fertiliser_Products_Data2(), FertiliserProducts[[#Headers],[Company]],31)</f>
        <v/>
      </c>
      <c r="AD124" s="152" t="str" cm="1">
        <f t="array" ref="AD124">Common_InputFunctions.Utility_DisplayArrayInTable(Fertiliser_SourceData.Fertiliser_Products_Data2(), FertiliserProducts[[#Headers],[Company]],31)</f>
        <v/>
      </c>
      <c r="AE124" s="152" t="str" cm="1">
        <f t="array" ref="AE124">Common_InputFunctions.Utility_DisplayArrayInTable(Fertiliser_SourceData.Fertiliser_Products_Data2(), FertiliserProducts[[#Headers],[Company]],31)</f>
        <v/>
      </c>
      <c r="AF124" s="152" t="str" cm="1">
        <f t="array" ref="AF124">Common_InputFunctions.Utility_DisplayArrayInTable(Fertiliser_SourceData.Fertiliser_Products_Data2(), FertiliserProducts[[#Headers],[Company]],31)</f>
        <v/>
      </c>
      <c r="AG124" s="152" t="str" cm="1">
        <f t="array" ref="AG124">Common_InputFunctions.Utility_DisplayArrayInTable(Fertiliser_SourceData.Fertiliser_Products_Data2(), FertiliserProducts[[#Headers],[Company]],31)</f>
        <v/>
      </c>
      <c r="AH124" s="152" t="str" cm="1">
        <f t="array" ref="AH124">Common_InputFunctions.Utility_DisplayArrayInTable(Fertiliser_SourceData.Fertiliser_Products_Data2(), FertiliserProducts[[#Headers],[Company]],31)</f>
        <v/>
      </c>
      <c r="AK124" s="1"/>
      <c r="AL124" s="1"/>
      <c r="AM124" s="1"/>
    </row>
    <row r="125" spans="1:39" ht="20.100000000000001" customHeight="1" x14ac:dyDescent="0.2">
      <c r="D125" s="152" t="str" cm="1">
        <f t="array" ref="D125">Common_InputFunctions.Utility_DisplayArrayInTable(Fertiliser_SourceData.Fertiliser_Products_Data2(), FertiliserProducts[[#Headers],[Company]],31)</f>
        <v>Campbells fertilisers Australia</v>
      </c>
      <c r="E125" s="152" t="str" cm="1">
        <f t="array" ref="E125">Common_InputFunctions.Utility_DisplayArrayInTable(Fertiliser_SourceData.Fertiliser_Products_Data2(), FertiliserProducts[[#Headers],[Company]],31)</f>
        <v>Gold Premium</v>
      </c>
      <c r="F125" s="152" t="str" cm="1">
        <f t="array" ref="F125">Common_InputFunctions.Utility_DisplayArrayInTable(Fertiliser_SourceData.Fertiliser_Products_Data2(), FertiliserProducts[[#Headers],[Company]],31)</f>
        <v>kg</v>
      </c>
      <c r="G125" s="152" cm="1">
        <f t="array" ref="G125">Common_InputFunctions.Utility_DisplayArrayInTable(Fertiliser_SourceData.Fertiliser_Products_Data2(), FertiliserProducts[[#Headers],[Company]],31)</f>
        <v>1</v>
      </c>
      <c r="H125" s="152" t="str" cm="1">
        <f t="array" ref="H125">Common_InputFunctions.Utility_DisplayArrayInTable(Fertiliser_SourceData.Fertiliser_Products_Data2(), FertiliserProducts[[#Headers],[Company]],31)</f>
        <v/>
      </c>
      <c r="I125" s="152" t="str" cm="1">
        <f t="array" ref="I125">Common_InputFunctions.Utility_DisplayArrayInTable(Fertiliser_SourceData.Fertiliser_Products_Data2(), FertiliserProducts[[#Headers],[Company]],31)</f>
        <v/>
      </c>
      <c r="J125" s="152" t="str" cm="1">
        <f t="array" ref="J125">Common_InputFunctions.Utility_DisplayArrayInTable(Fertiliser_SourceData.Fertiliser_Products_Data2(), FertiliserProducts[[#Headers],[Company]],31)</f>
        <v/>
      </c>
      <c r="K125" s="152" cm="1">
        <f t="array" ref="K125">Common_InputFunctions.Utility_DisplayArrayInTable(Fertiliser_SourceData.Fertiliser_Products_Data2(), FertiliserProducts[[#Headers],[Company]],31)</f>
        <v>14.87</v>
      </c>
      <c r="L125" s="152" cm="1">
        <f t="array" ref="L125">Common_InputFunctions.Utility_DisplayArrayInTable(Fertiliser_SourceData.Fertiliser_Products_Data2(), FertiliserProducts[[#Headers],[Company]],31)</f>
        <v>2.2000000000000002</v>
      </c>
      <c r="M125" s="152" cm="1">
        <f t="array" ref="M125">Common_InputFunctions.Utility_DisplayArrayInTable(Fertiliser_SourceData.Fertiliser_Products_Data2(), FertiliserProducts[[#Headers],[Company]],31)</f>
        <v>16.600000000000001</v>
      </c>
      <c r="N125" s="152" cm="1">
        <f t="array" ref="N125">Common_InputFunctions.Utility_DisplayArrayInTable(Fertiliser_SourceData.Fertiliser_Products_Data2(), FertiliserProducts[[#Headers],[Company]],31)</f>
        <v>8</v>
      </c>
      <c r="O125" s="152" t="str" cm="1">
        <f t="array" ref="O125">Common_InputFunctions.Utility_DisplayArrayInTable(Fertiliser_SourceData.Fertiliser_Products_Data2(), FertiliserProducts[[#Headers],[Company]],31)</f>
        <v>Ammonium nitrate (AN)</v>
      </c>
      <c r="P125" s="152" cm="1">
        <f t="array" ref="P125">Common_InputFunctions.Utility_DisplayArrayInTable(Fertiliser_SourceData.Fertiliser_Products_Data2(), FertiliserProducts[[#Headers],[Company]],31)</f>
        <v>0.44117600000000001</v>
      </c>
      <c r="Q125" s="152" t="str" cm="1">
        <f t="array" ref="Q125">Common_InputFunctions.Utility_DisplayArrayInTable(Fertiliser_SourceData.Fertiliser_Products_Data2(), FertiliserProducts[[#Headers],[Company]],31)</f>
        <v>Potassium - Generic</v>
      </c>
      <c r="R125" s="152" cm="1">
        <f t="array" ref="R125">Common_InputFunctions.Utility_DisplayArrayInTable(Fertiliser_SourceData.Fertiliser_Products_Data2(), FertiliserProducts[[#Headers],[Company]],31)</f>
        <v>0.16600000000000001</v>
      </c>
      <c r="S125" s="152" t="str" cm="1">
        <f t="array" ref="S125">Common_InputFunctions.Utility_DisplayArrayInTable(Fertiliser_SourceData.Fertiliser_Products_Data2(), FertiliserProducts[[#Headers],[Company]],31)</f>
        <v>Sulfur - Generic</v>
      </c>
      <c r="T125" s="152" cm="1">
        <f t="array" ref="T125">Common_InputFunctions.Utility_DisplayArrayInTable(Fertiliser_SourceData.Fertiliser_Products_Data2(), FertiliserProducts[[#Headers],[Company]],31)</f>
        <v>0.08</v>
      </c>
      <c r="U125" s="152" t="str" cm="1">
        <f t="array" ref="U125">Common_InputFunctions.Utility_DisplayArrayInTable(Fertiliser_SourceData.Fertiliser_Products_Data2(), FertiliserProducts[[#Headers],[Company]],31)</f>
        <v>Phosphorus - Generic</v>
      </c>
      <c r="V125" s="152" cm="1">
        <f t="array" ref="V125">Common_InputFunctions.Utility_DisplayArrayInTable(Fertiliser_SourceData.Fertiliser_Products_Data2(), FertiliserProducts[[#Headers],[Company]],31)</f>
        <v>2.1999999999999999E-2</v>
      </c>
      <c r="W125" s="152" t="str" cm="1">
        <f t="array" ref="W125">Common_InputFunctions.Utility_DisplayArrayInTable(Fertiliser_SourceData.Fertiliser_Products_Data2(), FertiliserProducts[[#Headers],[Company]],31)</f>
        <v>Magnesium</v>
      </c>
      <c r="X125" s="152" cm="1">
        <f t="array" ref="X125">Common_InputFunctions.Utility_DisplayArrayInTable(Fertiliser_SourceData.Fertiliser_Products_Data2(), FertiliserProducts[[#Headers],[Company]],31)</f>
        <v>1.2E-2</v>
      </c>
      <c r="Y125" s="152" t="str" cm="1">
        <f t="array" ref="Y125">Common_InputFunctions.Utility_DisplayArrayInTable(Fertiliser_SourceData.Fertiliser_Products_Data2(), FertiliserProducts[[#Headers],[Company]],31)</f>
        <v>Boron</v>
      </c>
      <c r="Z125" s="152" cm="1">
        <f t="array" ref="Z125">Common_InputFunctions.Utility_DisplayArrayInTable(Fertiliser_SourceData.Fertiliser_Products_Data2(), FertiliserProducts[[#Headers],[Company]],31)</f>
        <v>2.0000000000000001E-4</v>
      </c>
      <c r="AA125" s="152" t="str" cm="1">
        <f t="array" ref="AA125">Common_InputFunctions.Utility_DisplayArrayInTable(Fertiliser_SourceData.Fertiliser_Products_Data2(), FertiliserProducts[[#Headers],[Company]],31)</f>
        <v>Zinc</v>
      </c>
      <c r="AB125" s="152" cm="1">
        <f t="array" ref="AB125">Common_InputFunctions.Utility_DisplayArrayInTable(Fertiliser_SourceData.Fertiliser_Products_Data2(), FertiliserProducts[[#Headers],[Company]],31)</f>
        <v>1E-4</v>
      </c>
      <c r="AC125" s="152" t="str" cm="1">
        <f t="array" ref="AC125">Common_InputFunctions.Utility_DisplayArrayInTable(Fertiliser_SourceData.Fertiliser_Products_Data2(), FertiliserProducts[[#Headers],[Company]],31)</f>
        <v/>
      </c>
      <c r="AD125" s="152" t="str" cm="1">
        <f t="array" ref="AD125">Common_InputFunctions.Utility_DisplayArrayInTable(Fertiliser_SourceData.Fertiliser_Products_Data2(), FertiliserProducts[[#Headers],[Company]],31)</f>
        <v/>
      </c>
      <c r="AE125" s="152" t="str" cm="1">
        <f t="array" ref="AE125">Common_InputFunctions.Utility_DisplayArrayInTable(Fertiliser_SourceData.Fertiliser_Products_Data2(), FertiliserProducts[[#Headers],[Company]],31)</f>
        <v/>
      </c>
      <c r="AF125" s="152" t="str" cm="1">
        <f t="array" ref="AF125">Common_InputFunctions.Utility_DisplayArrayInTable(Fertiliser_SourceData.Fertiliser_Products_Data2(), FertiliserProducts[[#Headers],[Company]],31)</f>
        <v/>
      </c>
      <c r="AG125" s="152" t="str" cm="1">
        <f t="array" ref="AG125">Common_InputFunctions.Utility_DisplayArrayInTable(Fertiliser_SourceData.Fertiliser_Products_Data2(), FertiliserProducts[[#Headers],[Company]],31)</f>
        <v/>
      </c>
      <c r="AH125" s="152" t="str" cm="1">
        <f t="array" ref="AH125">Common_InputFunctions.Utility_DisplayArrayInTable(Fertiliser_SourceData.Fertiliser_Products_Data2(), FertiliserProducts[[#Headers],[Company]],31)</f>
        <v/>
      </c>
      <c r="AK125" s="1"/>
      <c r="AL125" s="1"/>
      <c r="AM125" s="1"/>
    </row>
    <row r="126" spans="1:39" ht="20.100000000000001" customHeight="1" x14ac:dyDescent="0.2">
      <c r="D126" s="152" t="str" cm="1">
        <f t="array" ref="D126">Common_InputFunctions.Utility_DisplayArrayInTable(Fertiliser_SourceData.Fertiliser_Products_Data2(), FertiliserProducts[[#Headers],[Company]],31)</f>
        <v>SL Tec</v>
      </c>
      <c r="E126" s="152" t="str" cm="1">
        <f t="array" ref="E126">Common_InputFunctions.Utility_DisplayArrayInTable(Fertiliser_SourceData.Fertiliser_Products_Data2(), FertiliserProducts[[#Headers],[Company]],31)</f>
        <v>High NS</v>
      </c>
      <c r="F126" s="152" t="str" cm="1">
        <f t="array" ref="F126">Common_InputFunctions.Utility_DisplayArrayInTable(Fertiliser_SourceData.Fertiliser_Products_Data2(), FertiliserProducts[[#Headers],[Company]],31)</f>
        <v>L</v>
      </c>
      <c r="G126" s="152" cm="1">
        <f t="array" ref="G126">Common_InputFunctions.Utility_DisplayArrayInTable(Fertiliser_SourceData.Fertiliser_Products_Data2(), FertiliserProducts[[#Headers],[Company]],31)</f>
        <v>1.2989999999999999</v>
      </c>
      <c r="H126" s="152" t="str" cm="1">
        <f t="array" ref="H126">Common_InputFunctions.Utility_DisplayArrayInTable(Fertiliser_SourceData.Fertiliser_Products_Data2(), FertiliserProducts[[#Headers],[Company]],31)</f>
        <v/>
      </c>
      <c r="I126" s="152" t="str" cm="1">
        <f t="array" ref="I126">Common_InputFunctions.Utility_DisplayArrayInTable(Fertiliser_SourceData.Fertiliser_Products_Data2(), FertiliserProducts[[#Headers],[Company]],31)</f>
        <v/>
      </c>
      <c r="J126" s="152" t="str" cm="1">
        <f t="array" ref="J126">Common_InputFunctions.Utility_DisplayArrayInTable(Fertiliser_SourceData.Fertiliser_Products_Data2(), FertiliserProducts[[#Headers],[Company]],31)</f>
        <v/>
      </c>
      <c r="K126" s="152" cm="1">
        <f t="array" ref="K126">Common_InputFunctions.Utility_DisplayArrayInTable(Fertiliser_SourceData.Fertiliser_Products_Data2(), FertiliserProducts[[#Headers],[Company]],31)</f>
        <v>38</v>
      </c>
      <c r="L126" s="152" t="str" cm="1">
        <f t="array" ref="L126">Common_InputFunctions.Utility_DisplayArrayInTable(Fertiliser_SourceData.Fertiliser_Products_Data2(), FertiliserProducts[[#Headers],[Company]],31)</f>
        <v/>
      </c>
      <c r="M126" s="152" t="str" cm="1">
        <f t="array" ref="M126">Common_InputFunctions.Utility_DisplayArrayInTable(Fertiliser_SourceData.Fertiliser_Products_Data2(), FertiliserProducts[[#Headers],[Company]],31)</f>
        <v/>
      </c>
      <c r="N126" s="152" cm="1">
        <f t="array" ref="N126">Common_InputFunctions.Utility_DisplayArrayInTable(Fertiliser_SourceData.Fertiliser_Products_Data2(), FertiliserProducts[[#Headers],[Company]],31)</f>
        <v>2</v>
      </c>
      <c r="O126" s="152" t="str" cm="1">
        <f t="array" ref="O126">Common_InputFunctions.Utility_DisplayArrayInTable(Fertiliser_SourceData.Fertiliser_Products_Data2(), FertiliserProducts[[#Headers],[Company]],31)</f>
        <v>Urea</v>
      </c>
      <c r="P126" s="152" cm="1">
        <f t="array" ref="P126">Common_InputFunctions.Utility_DisplayArrayInTable(Fertiliser_SourceData.Fertiliser_Products_Data2(), FertiliserProducts[[#Headers],[Company]],31)</f>
        <v>0.46087</v>
      </c>
      <c r="Q126" s="152" t="str" cm="1">
        <f t="array" ref="Q126">Common_InputFunctions.Utility_DisplayArrayInTable(Fertiliser_SourceData.Fertiliser_Products_Data2(), FertiliserProducts[[#Headers],[Company]],31)</f>
        <v>Nitrogen - Ammoniacal</v>
      </c>
      <c r="R126" s="152" cm="1">
        <f t="array" ref="R126">Common_InputFunctions.Utility_DisplayArrayInTable(Fertiliser_SourceData.Fertiliser_Products_Data2(), FertiliserProducts[[#Headers],[Company]],31)</f>
        <v>9.1999999999999998E-2</v>
      </c>
      <c r="S126" s="152" t="str" cm="1">
        <f t="array" ref="S126">Common_InputFunctions.Utility_DisplayArrayInTable(Fertiliser_SourceData.Fertiliser_Products_Data2(), FertiliserProducts[[#Headers],[Company]],31)</f>
        <v>Nitrogen - Nitrate</v>
      </c>
      <c r="T126" s="152" cm="1">
        <f t="array" ref="T126">Common_InputFunctions.Utility_DisplayArrayInTable(Fertiliser_SourceData.Fertiliser_Products_Data2(), FertiliserProducts[[#Headers],[Company]],31)</f>
        <v>7.5999999999999998E-2</v>
      </c>
      <c r="U126" s="152" t="str" cm="1">
        <f t="array" ref="U126">Common_InputFunctions.Utility_DisplayArrayInTable(Fertiliser_SourceData.Fertiliser_Products_Data2(), FertiliserProducts[[#Headers],[Company]],31)</f>
        <v>Sulfur - Generic</v>
      </c>
      <c r="V126" s="152" cm="1">
        <f t="array" ref="V126">Common_InputFunctions.Utility_DisplayArrayInTable(Fertiliser_SourceData.Fertiliser_Products_Data2(), FertiliserProducts[[#Headers],[Company]],31)</f>
        <v>0.02</v>
      </c>
      <c r="W126" s="152" t="str" cm="1">
        <f t="array" ref="W126">Common_InputFunctions.Utility_DisplayArrayInTable(Fertiliser_SourceData.Fertiliser_Products_Data2(), FertiliserProducts[[#Headers],[Company]],31)</f>
        <v/>
      </c>
      <c r="X126" s="152" t="str" cm="1">
        <f t="array" ref="X126">Common_InputFunctions.Utility_DisplayArrayInTable(Fertiliser_SourceData.Fertiliser_Products_Data2(), FertiliserProducts[[#Headers],[Company]],31)</f>
        <v/>
      </c>
      <c r="Y126" s="152" t="str" cm="1">
        <f t="array" ref="Y126">Common_InputFunctions.Utility_DisplayArrayInTable(Fertiliser_SourceData.Fertiliser_Products_Data2(), FertiliserProducts[[#Headers],[Company]],31)</f>
        <v/>
      </c>
      <c r="Z126" s="152" t="str" cm="1">
        <f t="array" ref="Z126">Common_InputFunctions.Utility_DisplayArrayInTable(Fertiliser_SourceData.Fertiliser_Products_Data2(), FertiliserProducts[[#Headers],[Company]],31)</f>
        <v/>
      </c>
      <c r="AA126" s="152" t="str" cm="1">
        <f t="array" ref="AA126">Common_InputFunctions.Utility_DisplayArrayInTable(Fertiliser_SourceData.Fertiliser_Products_Data2(), FertiliserProducts[[#Headers],[Company]],31)</f>
        <v/>
      </c>
      <c r="AB126" s="152" t="str" cm="1">
        <f t="array" ref="AB126">Common_InputFunctions.Utility_DisplayArrayInTable(Fertiliser_SourceData.Fertiliser_Products_Data2(), FertiliserProducts[[#Headers],[Company]],31)</f>
        <v/>
      </c>
      <c r="AC126" s="152" t="str" cm="1">
        <f t="array" ref="AC126">Common_InputFunctions.Utility_DisplayArrayInTable(Fertiliser_SourceData.Fertiliser_Products_Data2(), FertiliserProducts[[#Headers],[Company]],31)</f>
        <v/>
      </c>
      <c r="AD126" s="152" t="str" cm="1">
        <f t="array" ref="AD126">Common_InputFunctions.Utility_DisplayArrayInTable(Fertiliser_SourceData.Fertiliser_Products_Data2(), FertiliserProducts[[#Headers],[Company]],31)</f>
        <v/>
      </c>
      <c r="AE126" s="152" t="str" cm="1">
        <f t="array" ref="AE126">Common_InputFunctions.Utility_DisplayArrayInTable(Fertiliser_SourceData.Fertiliser_Products_Data2(), FertiliserProducts[[#Headers],[Company]],31)</f>
        <v/>
      </c>
      <c r="AF126" s="152" t="str" cm="1">
        <f t="array" ref="AF126">Common_InputFunctions.Utility_DisplayArrayInTable(Fertiliser_SourceData.Fertiliser_Products_Data2(), FertiliserProducts[[#Headers],[Company]],31)</f>
        <v/>
      </c>
      <c r="AG126" s="152" t="str" cm="1">
        <f t="array" ref="AG126">Common_InputFunctions.Utility_DisplayArrayInTable(Fertiliser_SourceData.Fertiliser_Products_Data2(), FertiliserProducts[[#Headers],[Company]],31)</f>
        <v/>
      </c>
      <c r="AH126" s="152" t="str" cm="1">
        <f t="array" ref="AH126">Common_InputFunctions.Utility_DisplayArrayInTable(Fertiliser_SourceData.Fertiliser_Products_Data2(), FertiliserProducts[[#Headers],[Company]],31)</f>
        <v/>
      </c>
      <c r="AK126" s="1"/>
      <c r="AL126" s="1"/>
      <c r="AM126" s="1"/>
    </row>
    <row r="127" spans="1:39" ht="20.100000000000001" customHeight="1" x14ac:dyDescent="0.2">
      <c r="A127" s="131" t="str">
        <f>HYPERLINK("#A1", "▲ Back to top")</f>
        <v>▲ Back to top</v>
      </c>
      <c r="D127" s="152" t="str" cm="1">
        <f t="array" ref="D127">Common_InputFunctions.Utility_DisplayArrayInTable(Fertiliser_SourceData.Fertiliser_Products_Data2(), FertiliserProducts[[#Headers],[Company]],31)</f>
        <v>Impact Fertilisers</v>
      </c>
      <c r="E127" s="152" t="str" cm="1">
        <f t="array" ref="E127">Common_InputFunctions.Utility_DisplayArrayInTable(Fertiliser_SourceData.Fertiliser_Products_Data2(), FertiliserProducts[[#Headers],[Company]],31)</f>
        <v>Impact SSP</v>
      </c>
      <c r="F127" s="152" t="str" cm="1">
        <f t="array" ref="F127">Common_InputFunctions.Utility_DisplayArrayInTable(Fertiliser_SourceData.Fertiliser_Products_Data2(), FertiliserProducts[[#Headers],[Company]],31)</f>
        <v>kg</v>
      </c>
      <c r="G127" s="152" cm="1">
        <f t="array" ref="G127">Common_InputFunctions.Utility_DisplayArrayInTable(Fertiliser_SourceData.Fertiliser_Products_Data2(), FertiliserProducts[[#Headers],[Company]],31)</f>
        <v>1</v>
      </c>
      <c r="H127" s="152" t="str" cm="1">
        <f t="array" ref="H127">Common_InputFunctions.Utility_DisplayArrayInTable(Fertiliser_SourceData.Fertiliser_Products_Data2(), FertiliserProducts[[#Headers],[Company]],31)</f>
        <v/>
      </c>
      <c r="I127" s="152" t="str" cm="1">
        <f t="array" ref="I127">Common_InputFunctions.Utility_DisplayArrayInTable(Fertiliser_SourceData.Fertiliser_Products_Data2(), FertiliserProducts[[#Headers],[Company]],31)</f>
        <v/>
      </c>
      <c r="J127" s="152" t="str" cm="1">
        <f t="array" ref="J127">Common_InputFunctions.Utility_DisplayArrayInTable(Fertiliser_SourceData.Fertiliser_Products_Data2(), FertiliserProducts[[#Headers],[Company]],31)</f>
        <v/>
      </c>
      <c r="K127" s="152" t="str" cm="1">
        <f t="array" ref="K127">Common_InputFunctions.Utility_DisplayArrayInTable(Fertiliser_SourceData.Fertiliser_Products_Data2(), FertiliserProducts[[#Headers],[Company]],31)</f>
        <v/>
      </c>
      <c r="L127" s="152" cm="1">
        <f t="array" ref="L127">Common_InputFunctions.Utility_DisplayArrayInTable(Fertiliser_SourceData.Fertiliser_Products_Data2(), FertiliserProducts[[#Headers],[Company]],31)</f>
        <v>8.8000000000000007</v>
      </c>
      <c r="M127" s="152" t="str" cm="1">
        <f t="array" ref="M127">Common_InputFunctions.Utility_DisplayArrayInTable(Fertiliser_SourceData.Fertiliser_Products_Data2(), FertiliserProducts[[#Headers],[Company]],31)</f>
        <v/>
      </c>
      <c r="N127" s="152" cm="1">
        <f t="array" ref="N127">Common_InputFunctions.Utility_DisplayArrayInTable(Fertiliser_SourceData.Fertiliser_Products_Data2(), FertiliserProducts[[#Headers],[Company]],31)</f>
        <v>11</v>
      </c>
      <c r="O127" s="152" t="str" cm="1">
        <f t="array" ref="O127">Common_InputFunctions.Utility_DisplayArrayInTable(Fertiliser_SourceData.Fertiliser_Products_Data2(), FertiliserProducts[[#Headers],[Company]],31)</f>
        <v>Single superphosphate (SSP)</v>
      </c>
      <c r="P127" s="152" cm="1">
        <f t="array" ref="P127">Common_InputFunctions.Utility_DisplayArrayInTable(Fertiliser_SourceData.Fertiliser_Products_Data2(), FertiliserProducts[[#Headers],[Company]],31)</f>
        <v>1</v>
      </c>
      <c r="Q127" s="152" t="str" cm="1">
        <f t="array" ref="Q127">Common_InputFunctions.Utility_DisplayArrayInTable(Fertiliser_SourceData.Fertiliser_Products_Data2(), FertiliserProducts[[#Headers],[Company]],31)</f>
        <v/>
      </c>
      <c r="R127" s="152" t="str" cm="1">
        <f t="array" ref="R127">Common_InputFunctions.Utility_DisplayArrayInTable(Fertiliser_SourceData.Fertiliser_Products_Data2(), FertiliserProducts[[#Headers],[Company]],31)</f>
        <v/>
      </c>
      <c r="S127" s="152" t="str" cm="1">
        <f t="array" ref="S127">Common_InputFunctions.Utility_DisplayArrayInTable(Fertiliser_SourceData.Fertiliser_Products_Data2(), FertiliserProducts[[#Headers],[Company]],31)</f>
        <v/>
      </c>
      <c r="T127" s="152" t="str" cm="1">
        <f t="array" ref="T127">Common_InputFunctions.Utility_DisplayArrayInTable(Fertiliser_SourceData.Fertiliser_Products_Data2(), FertiliserProducts[[#Headers],[Company]],31)</f>
        <v/>
      </c>
      <c r="U127" s="152" t="str" cm="1">
        <f t="array" ref="U127">Common_InputFunctions.Utility_DisplayArrayInTable(Fertiliser_SourceData.Fertiliser_Products_Data2(), FertiliserProducts[[#Headers],[Company]],31)</f>
        <v/>
      </c>
      <c r="V127" s="152" t="str" cm="1">
        <f t="array" ref="V127">Common_InputFunctions.Utility_DisplayArrayInTable(Fertiliser_SourceData.Fertiliser_Products_Data2(), FertiliserProducts[[#Headers],[Company]],31)</f>
        <v/>
      </c>
      <c r="W127" s="152" t="str" cm="1">
        <f t="array" ref="W127">Common_InputFunctions.Utility_DisplayArrayInTable(Fertiliser_SourceData.Fertiliser_Products_Data2(), FertiliserProducts[[#Headers],[Company]],31)</f>
        <v/>
      </c>
      <c r="X127" s="152" t="str" cm="1">
        <f t="array" ref="X127">Common_InputFunctions.Utility_DisplayArrayInTable(Fertiliser_SourceData.Fertiliser_Products_Data2(), FertiliserProducts[[#Headers],[Company]],31)</f>
        <v/>
      </c>
      <c r="Y127" s="152" t="str" cm="1">
        <f t="array" ref="Y127">Common_InputFunctions.Utility_DisplayArrayInTable(Fertiliser_SourceData.Fertiliser_Products_Data2(), FertiliserProducts[[#Headers],[Company]],31)</f>
        <v/>
      </c>
      <c r="Z127" s="152" t="str" cm="1">
        <f t="array" ref="Z127">Common_InputFunctions.Utility_DisplayArrayInTable(Fertiliser_SourceData.Fertiliser_Products_Data2(), FertiliserProducts[[#Headers],[Company]],31)</f>
        <v/>
      </c>
      <c r="AA127" s="152" t="str" cm="1">
        <f t="array" ref="AA127">Common_InputFunctions.Utility_DisplayArrayInTable(Fertiliser_SourceData.Fertiliser_Products_Data2(), FertiliserProducts[[#Headers],[Company]],31)</f>
        <v/>
      </c>
      <c r="AB127" s="152" t="str" cm="1">
        <f t="array" ref="AB127">Common_InputFunctions.Utility_DisplayArrayInTable(Fertiliser_SourceData.Fertiliser_Products_Data2(), FertiliserProducts[[#Headers],[Company]],31)</f>
        <v/>
      </c>
      <c r="AC127" s="152" t="str" cm="1">
        <f t="array" ref="AC127">Common_InputFunctions.Utility_DisplayArrayInTable(Fertiliser_SourceData.Fertiliser_Products_Data2(), FertiliserProducts[[#Headers],[Company]],31)</f>
        <v/>
      </c>
      <c r="AD127" s="152" t="str" cm="1">
        <f t="array" ref="AD127">Common_InputFunctions.Utility_DisplayArrayInTable(Fertiliser_SourceData.Fertiliser_Products_Data2(), FertiliserProducts[[#Headers],[Company]],31)</f>
        <v/>
      </c>
      <c r="AE127" s="152" t="str" cm="1">
        <f t="array" ref="AE127">Common_InputFunctions.Utility_DisplayArrayInTable(Fertiliser_SourceData.Fertiliser_Products_Data2(), FertiliserProducts[[#Headers],[Company]],31)</f>
        <v/>
      </c>
      <c r="AF127" s="152" t="str" cm="1">
        <f t="array" ref="AF127">Common_InputFunctions.Utility_DisplayArrayInTable(Fertiliser_SourceData.Fertiliser_Products_Data2(), FertiliserProducts[[#Headers],[Company]],31)</f>
        <v/>
      </c>
      <c r="AG127" s="152" t="str" cm="1">
        <f t="array" ref="AG127">Common_InputFunctions.Utility_DisplayArrayInTable(Fertiliser_SourceData.Fertiliser_Products_Data2(), FertiliserProducts[[#Headers],[Company]],31)</f>
        <v/>
      </c>
      <c r="AH127" s="152" t="str" cm="1">
        <f t="array" ref="AH127">Common_InputFunctions.Utility_DisplayArrayInTable(Fertiliser_SourceData.Fertiliser_Products_Data2(), FertiliserProducts[[#Headers],[Company]],31)</f>
        <v/>
      </c>
      <c r="AK127" s="1"/>
      <c r="AL127" s="1"/>
      <c r="AM127" s="1"/>
    </row>
    <row r="128" spans="1:39" ht="20.100000000000001" customHeight="1" x14ac:dyDescent="0.2">
      <c r="D128" s="152" t="str" cm="1">
        <f t="array" ref="D128">Common_InputFunctions.Utility_DisplayArrayInTable(Fertiliser_SourceData.Fertiliser_Products_Data2(), FertiliserProducts[[#Headers],[Company]],31)</f>
        <v>Switch Ag</v>
      </c>
      <c r="E128" s="152" t="str" cm="1">
        <f t="array" ref="E128">Common_InputFunctions.Utility_DisplayArrayInTable(Fertiliser_SourceData.Fertiliser_Products_Data2(), FertiliserProducts[[#Headers],[Company]],31)</f>
        <v>In Crop</v>
      </c>
      <c r="F128" s="152" t="str" cm="1">
        <f t="array" ref="F128">Common_InputFunctions.Utility_DisplayArrayInTable(Fertiliser_SourceData.Fertiliser_Products_Data2(), FertiliserProducts[[#Headers],[Company]],31)</f>
        <v>L</v>
      </c>
      <c r="G128" s="152" cm="1">
        <f t="array" ref="G128">Common_InputFunctions.Utility_DisplayArrayInTable(Fertiliser_SourceData.Fertiliser_Products_Data2(), FertiliserProducts[[#Headers],[Company]],31)</f>
        <v>1.2</v>
      </c>
      <c r="H128" s="152" t="str" cm="1">
        <f t="array" ref="H128">Common_InputFunctions.Utility_DisplayArrayInTable(Fertiliser_SourceData.Fertiliser_Products_Data2(), FertiliserProducts[[#Headers],[Company]],31)</f>
        <v/>
      </c>
      <c r="I128" s="152" t="str" cm="1">
        <f t="array" ref="I128">Common_InputFunctions.Utility_DisplayArrayInTable(Fertiliser_SourceData.Fertiliser_Products_Data2(), FertiliserProducts[[#Headers],[Company]],31)</f>
        <v/>
      </c>
      <c r="J128" s="152" t="str" cm="1">
        <f t="array" ref="J128">Common_InputFunctions.Utility_DisplayArrayInTable(Fertiliser_SourceData.Fertiliser_Products_Data2(), FertiliserProducts[[#Headers],[Company]],31)</f>
        <v/>
      </c>
      <c r="K128" s="152" cm="1">
        <f t="array" ref="K128">Common_InputFunctions.Utility_DisplayArrayInTable(Fertiliser_SourceData.Fertiliser_Products_Data2(), FertiliserProducts[[#Headers],[Company]],31)</f>
        <v>10</v>
      </c>
      <c r="L128" s="152" cm="1">
        <f t="array" ref="L128">Common_InputFunctions.Utility_DisplayArrayInTable(Fertiliser_SourceData.Fertiliser_Products_Data2(), FertiliserProducts[[#Headers],[Company]],31)</f>
        <v>1</v>
      </c>
      <c r="M128" s="152" cm="1">
        <f t="array" ref="M128">Common_InputFunctions.Utility_DisplayArrayInTable(Fertiliser_SourceData.Fertiliser_Products_Data2(), FertiliserProducts[[#Headers],[Company]],31)</f>
        <v>11</v>
      </c>
      <c r="N128" s="152" t="str" cm="1">
        <f t="array" ref="N128">Common_InputFunctions.Utility_DisplayArrayInTable(Fertiliser_SourceData.Fertiliser_Products_Data2(), FertiliserProducts[[#Headers],[Company]],31)</f>
        <v/>
      </c>
      <c r="O128" s="152" t="str" cm="1">
        <f t="array" ref="O128">Common_InputFunctions.Utility_DisplayArrayInTable(Fertiliser_SourceData.Fertiliser_Products_Data2(), FertiliserProducts[[#Headers],[Company]],31)</f>
        <v>Potassium - Generic</v>
      </c>
      <c r="P128" s="152" cm="1">
        <f t="array" ref="P128">Common_InputFunctions.Utility_DisplayArrayInTable(Fertiliser_SourceData.Fertiliser_Products_Data2(), FertiliserProducts[[#Headers],[Company]],31)</f>
        <v>0.11</v>
      </c>
      <c r="Q128" s="152" t="str" cm="1">
        <f t="array" ref="Q128">Common_InputFunctions.Utility_DisplayArrayInTable(Fertiliser_SourceData.Fertiliser_Products_Data2(), FertiliserProducts[[#Headers],[Company]],31)</f>
        <v>Nitrogen - Generic</v>
      </c>
      <c r="R128" s="152" cm="1">
        <f t="array" ref="R128">Common_InputFunctions.Utility_DisplayArrayInTable(Fertiliser_SourceData.Fertiliser_Products_Data2(), FertiliserProducts[[#Headers],[Company]],31)</f>
        <v>0.1</v>
      </c>
      <c r="S128" s="152" t="str" cm="1">
        <f t="array" ref="S128">Common_InputFunctions.Utility_DisplayArrayInTable(Fertiliser_SourceData.Fertiliser_Products_Data2(), FertiliserProducts[[#Headers],[Company]],31)</f>
        <v>Phosphorus - Generic</v>
      </c>
      <c r="T128" s="152" cm="1">
        <f t="array" ref="T128">Common_InputFunctions.Utility_DisplayArrayInTable(Fertiliser_SourceData.Fertiliser_Products_Data2(), FertiliserProducts[[#Headers],[Company]],31)</f>
        <v>0.01</v>
      </c>
      <c r="U128" s="152" t="str" cm="1">
        <f t="array" ref="U128">Common_InputFunctions.Utility_DisplayArrayInTable(Fertiliser_SourceData.Fertiliser_Products_Data2(), FertiliserProducts[[#Headers],[Company]],31)</f>
        <v/>
      </c>
      <c r="V128" s="152" t="str" cm="1">
        <f t="array" ref="V128">Common_InputFunctions.Utility_DisplayArrayInTable(Fertiliser_SourceData.Fertiliser_Products_Data2(), FertiliserProducts[[#Headers],[Company]],31)</f>
        <v/>
      </c>
      <c r="W128" s="152" t="str" cm="1">
        <f t="array" ref="W128">Common_InputFunctions.Utility_DisplayArrayInTable(Fertiliser_SourceData.Fertiliser_Products_Data2(), FertiliserProducts[[#Headers],[Company]],31)</f>
        <v/>
      </c>
      <c r="X128" s="152" t="str" cm="1">
        <f t="array" ref="X128">Common_InputFunctions.Utility_DisplayArrayInTable(Fertiliser_SourceData.Fertiliser_Products_Data2(), FertiliserProducts[[#Headers],[Company]],31)</f>
        <v/>
      </c>
      <c r="Y128" s="152" t="str" cm="1">
        <f t="array" ref="Y128">Common_InputFunctions.Utility_DisplayArrayInTable(Fertiliser_SourceData.Fertiliser_Products_Data2(), FertiliserProducts[[#Headers],[Company]],31)</f>
        <v/>
      </c>
      <c r="Z128" s="152" t="str" cm="1">
        <f t="array" ref="Z128">Common_InputFunctions.Utility_DisplayArrayInTable(Fertiliser_SourceData.Fertiliser_Products_Data2(), FertiliserProducts[[#Headers],[Company]],31)</f>
        <v/>
      </c>
      <c r="AA128" s="152" t="str" cm="1">
        <f t="array" ref="AA128">Common_InputFunctions.Utility_DisplayArrayInTable(Fertiliser_SourceData.Fertiliser_Products_Data2(), FertiliserProducts[[#Headers],[Company]],31)</f>
        <v/>
      </c>
      <c r="AB128" s="152" t="str" cm="1">
        <f t="array" ref="AB128">Common_InputFunctions.Utility_DisplayArrayInTable(Fertiliser_SourceData.Fertiliser_Products_Data2(), FertiliserProducts[[#Headers],[Company]],31)</f>
        <v/>
      </c>
      <c r="AC128" s="152" t="str" cm="1">
        <f t="array" ref="AC128">Common_InputFunctions.Utility_DisplayArrayInTable(Fertiliser_SourceData.Fertiliser_Products_Data2(), FertiliserProducts[[#Headers],[Company]],31)</f>
        <v/>
      </c>
      <c r="AD128" s="152" t="str" cm="1">
        <f t="array" ref="AD128">Common_InputFunctions.Utility_DisplayArrayInTable(Fertiliser_SourceData.Fertiliser_Products_Data2(), FertiliserProducts[[#Headers],[Company]],31)</f>
        <v/>
      </c>
      <c r="AE128" s="152" t="str" cm="1">
        <f t="array" ref="AE128">Common_InputFunctions.Utility_DisplayArrayInTable(Fertiliser_SourceData.Fertiliser_Products_Data2(), FertiliserProducts[[#Headers],[Company]],31)</f>
        <v/>
      </c>
      <c r="AF128" s="152" t="str" cm="1">
        <f t="array" ref="AF128">Common_InputFunctions.Utility_DisplayArrayInTable(Fertiliser_SourceData.Fertiliser_Products_Data2(), FertiliserProducts[[#Headers],[Company]],31)</f>
        <v/>
      </c>
      <c r="AG128" s="152" t="str" cm="1">
        <f t="array" ref="AG128">Common_InputFunctions.Utility_DisplayArrayInTable(Fertiliser_SourceData.Fertiliser_Products_Data2(), FertiliserProducts[[#Headers],[Company]],31)</f>
        <v/>
      </c>
      <c r="AH128" s="152"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52" t="str" cm="1">
        <f t="array" ref="D129">Common_InputFunctions.Utility_DisplayArrayInTable(Fertiliser_SourceData.Fertiliser_Products_Data2(), FertiliserProducts[[#Headers],[Company]],31)</f>
        <v>Switch Ag</v>
      </c>
      <c r="E129" s="152" t="str" cm="1">
        <f t="array" ref="E129">Common_InputFunctions.Utility_DisplayArrayInTable(Fertiliser_SourceData.Fertiliser_Products_Data2(), FertiliserProducts[[#Headers],[Company]],31)</f>
        <v>K20</v>
      </c>
      <c r="F129" s="152" t="str" cm="1">
        <f t="array" ref="F129">Common_InputFunctions.Utility_DisplayArrayInTable(Fertiliser_SourceData.Fertiliser_Products_Data2(), FertiliserProducts[[#Headers],[Company]],31)</f>
        <v>L</v>
      </c>
      <c r="G129" s="152" cm="1">
        <f t="array" ref="G129">Common_InputFunctions.Utility_DisplayArrayInTable(Fertiliser_SourceData.Fertiliser_Products_Data2(), FertiliserProducts[[#Headers],[Company]],31)</f>
        <v>1.3</v>
      </c>
      <c r="H129" s="152" t="str" cm="1">
        <f t="array" ref="H129">Common_InputFunctions.Utility_DisplayArrayInTable(Fertiliser_SourceData.Fertiliser_Products_Data2(), FertiliserProducts[[#Headers],[Company]],31)</f>
        <v/>
      </c>
      <c r="I129" s="152" t="str" cm="1">
        <f t="array" ref="I129">Common_InputFunctions.Utility_DisplayArrayInTable(Fertiliser_SourceData.Fertiliser_Products_Data2(), FertiliserProducts[[#Headers],[Company]],31)</f>
        <v/>
      </c>
      <c r="J129" s="152" t="str" cm="1">
        <f t="array" ref="J129">Common_InputFunctions.Utility_DisplayArrayInTable(Fertiliser_SourceData.Fertiliser_Products_Data2(), FertiliserProducts[[#Headers],[Company]],31)</f>
        <v/>
      </c>
      <c r="K129" s="152" cm="1">
        <f t="array" ref="K129">Common_InputFunctions.Utility_DisplayArrayInTable(Fertiliser_SourceData.Fertiliser_Products_Data2(), FertiliserProducts[[#Headers],[Company]],31)</f>
        <v>3</v>
      </c>
      <c r="L129" s="152" t="str" cm="1">
        <f t="array" ref="L129">Common_InputFunctions.Utility_DisplayArrayInTable(Fertiliser_SourceData.Fertiliser_Products_Data2(), FertiliserProducts[[#Headers],[Company]],31)</f>
        <v/>
      </c>
      <c r="M129" s="152" cm="1">
        <f t="array" ref="M129">Common_InputFunctions.Utility_DisplayArrayInTable(Fertiliser_SourceData.Fertiliser_Products_Data2(), FertiliserProducts[[#Headers],[Company]],31)</f>
        <v>22</v>
      </c>
      <c r="N129" s="152" t="str" cm="1">
        <f t="array" ref="N129">Common_InputFunctions.Utility_DisplayArrayInTable(Fertiliser_SourceData.Fertiliser_Products_Data2(), FertiliserProducts[[#Headers],[Company]],31)</f>
        <v/>
      </c>
      <c r="O129" s="152" t="str" cm="1">
        <f t="array" ref="O129">Common_InputFunctions.Utility_DisplayArrayInTable(Fertiliser_SourceData.Fertiliser_Products_Data2(), FertiliserProducts[[#Headers],[Company]],31)</f>
        <v>Potassium - Generic</v>
      </c>
      <c r="P129" s="152" cm="1">
        <f t="array" ref="P129">Common_InputFunctions.Utility_DisplayArrayInTable(Fertiliser_SourceData.Fertiliser_Products_Data2(), FertiliserProducts[[#Headers],[Company]],31)</f>
        <v>0.22</v>
      </c>
      <c r="Q129" s="152" t="str" cm="1">
        <f t="array" ref="Q129">Common_InputFunctions.Utility_DisplayArrayInTable(Fertiliser_SourceData.Fertiliser_Products_Data2(), FertiliserProducts[[#Headers],[Company]],31)</f>
        <v>Nitrogen - Generic</v>
      </c>
      <c r="R129" s="152" cm="1">
        <f t="array" ref="R129">Common_InputFunctions.Utility_DisplayArrayInTable(Fertiliser_SourceData.Fertiliser_Products_Data2(), FertiliserProducts[[#Headers],[Company]],31)</f>
        <v>0.03</v>
      </c>
      <c r="S129" s="152" t="str" cm="1">
        <f t="array" ref="S129">Common_InputFunctions.Utility_DisplayArrayInTable(Fertiliser_SourceData.Fertiliser_Products_Data2(), FertiliserProducts[[#Headers],[Company]],31)</f>
        <v/>
      </c>
      <c r="T129" s="152" t="str" cm="1">
        <f t="array" ref="T129">Common_InputFunctions.Utility_DisplayArrayInTable(Fertiliser_SourceData.Fertiliser_Products_Data2(), FertiliserProducts[[#Headers],[Company]],31)</f>
        <v/>
      </c>
      <c r="U129" s="152" t="str" cm="1">
        <f t="array" ref="U129">Common_InputFunctions.Utility_DisplayArrayInTable(Fertiliser_SourceData.Fertiliser_Products_Data2(), FertiliserProducts[[#Headers],[Company]],31)</f>
        <v/>
      </c>
      <c r="V129" s="152" t="str" cm="1">
        <f t="array" ref="V129">Common_InputFunctions.Utility_DisplayArrayInTable(Fertiliser_SourceData.Fertiliser_Products_Data2(), FertiliserProducts[[#Headers],[Company]],31)</f>
        <v/>
      </c>
      <c r="W129" s="152" t="str" cm="1">
        <f t="array" ref="W129">Common_InputFunctions.Utility_DisplayArrayInTable(Fertiliser_SourceData.Fertiliser_Products_Data2(), FertiliserProducts[[#Headers],[Company]],31)</f>
        <v/>
      </c>
      <c r="X129" s="152" t="str" cm="1">
        <f t="array" ref="X129">Common_InputFunctions.Utility_DisplayArrayInTable(Fertiliser_SourceData.Fertiliser_Products_Data2(), FertiliserProducts[[#Headers],[Company]],31)</f>
        <v/>
      </c>
      <c r="Y129" s="152" t="str" cm="1">
        <f t="array" ref="Y129">Common_InputFunctions.Utility_DisplayArrayInTable(Fertiliser_SourceData.Fertiliser_Products_Data2(), FertiliserProducts[[#Headers],[Company]],31)</f>
        <v/>
      </c>
      <c r="Z129" s="152" t="str" cm="1">
        <f t="array" ref="Z129">Common_InputFunctions.Utility_DisplayArrayInTable(Fertiliser_SourceData.Fertiliser_Products_Data2(), FertiliserProducts[[#Headers],[Company]],31)</f>
        <v/>
      </c>
      <c r="AA129" s="152" t="str" cm="1">
        <f t="array" ref="AA129">Common_InputFunctions.Utility_DisplayArrayInTable(Fertiliser_SourceData.Fertiliser_Products_Data2(), FertiliserProducts[[#Headers],[Company]],31)</f>
        <v/>
      </c>
      <c r="AB129" s="152" t="str" cm="1">
        <f t="array" ref="AB129">Common_InputFunctions.Utility_DisplayArrayInTable(Fertiliser_SourceData.Fertiliser_Products_Data2(), FertiliserProducts[[#Headers],[Company]],31)</f>
        <v/>
      </c>
      <c r="AC129" s="152" t="str" cm="1">
        <f t="array" ref="AC129">Common_InputFunctions.Utility_DisplayArrayInTable(Fertiliser_SourceData.Fertiliser_Products_Data2(), FertiliserProducts[[#Headers],[Company]],31)</f>
        <v/>
      </c>
      <c r="AD129" s="152" t="str" cm="1">
        <f t="array" ref="AD129">Common_InputFunctions.Utility_DisplayArrayInTable(Fertiliser_SourceData.Fertiliser_Products_Data2(), FertiliserProducts[[#Headers],[Company]],31)</f>
        <v/>
      </c>
      <c r="AE129" s="152" t="str" cm="1">
        <f t="array" ref="AE129">Common_InputFunctions.Utility_DisplayArrayInTable(Fertiliser_SourceData.Fertiliser_Products_Data2(), FertiliserProducts[[#Headers],[Company]],31)</f>
        <v/>
      </c>
      <c r="AF129" s="152" t="str" cm="1">
        <f t="array" ref="AF129">Common_InputFunctions.Utility_DisplayArrayInTable(Fertiliser_SourceData.Fertiliser_Products_Data2(), FertiliserProducts[[#Headers],[Company]],31)</f>
        <v/>
      </c>
      <c r="AG129" s="152" t="str" cm="1">
        <f t="array" ref="AG129">Common_InputFunctions.Utility_DisplayArrayInTable(Fertiliser_SourceData.Fertiliser_Products_Data2(), FertiliserProducts[[#Headers],[Company]],31)</f>
        <v/>
      </c>
      <c r="AH129" s="152"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52" t="str" cm="1">
        <f t="array" ref="D130">Common_InputFunctions.Utility_DisplayArrayInTable(Fertiliser_SourceData.Fertiliser_Products_Data2(), FertiliserProducts[[#Headers],[Company]],31)</f>
        <v>Loveland Agriproducts</v>
      </c>
      <c r="E130" s="152" t="str" cm="1">
        <f t="array" ref="E130">Common_InputFunctions.Utility_DisplayArrayInTable(Fertiliser_SourceData.Fertiliser_Products_Data2(), FertiliserProducts[[#Headers],[Company]],31)</f>
        <v>Maximum N-Pact</v>
      </c>
      <c r="F130" s="152" t="str" cm="1">
        <f t="array" ref="F130">Common_InputFunctions.Utility_DisplayArrayInTable(Fertiliser_SourceData.Fertiliser_Products_Data2(), FertiliserProducts[[#Headers],[Company]],31)</f>
        <v>L</v>
      </c>
      <c r="G130" s="152" cm="1">
        <f t="array" ref="G130">Common_InputFunctions.Utility_DisplayArrayInTable(Fertiliser_SourceData.Fertiliser_Products_Data2(), FertiliserProducts[[#Headers],[Company]],31)</f>
        <v>1.1850000000000001</v>
      </c>
      <c r="H130" s="152" t="str" cm="1">
        <f t="array" ref="H130">Common_InputFunctions.Utility_DisplayArrayInTable(Fertiliser_SourceData.Fertiliser_Products_Data2(), FertiliserProducts[[#Headers],[Company]],31)</f>
        <v/>
      </c>
      <c r="I130" s="152" t="str" cm="1">
        <f t="array" ref="I130">Common_InputFunctions.Utility_DisplayArrayInTable(Fertiliser_SourceData.Fertiliser_Products_Data2(), FertiliserProducts[[#Headers],[Company]],31)</f>
        <v/>
      </c>
      <c r="J130" s="152" t="str" cm="1">
        <f t="array" ref="J130">Common_InputFunctions.Utility_DisplayArrayInTable(Fertiliser_SourceData.Fertiliser_Products_Data2(), FertiliserProducts[[#Headers],[Company]],31)</f>
        <v/>
      </c>
      <c r="K130" s="152" cm="1">
        <f t="array" ref="K130">Common_InputFunctions.Utility_DisplayArrayInTable(Fertiliser_SourceData.Fertiliser_Products_Data2(), FertiliserProducts[[#Headers],[Company]],31)</f>
        <v>23.8</v>
      </c>
      <c r="L130" s="152" t="str" cm="1">
        <f t="array" ref="L130">Common_InputFunctions.Utility_DisplayArrayInTable(Fertiliser_SourceData.Fertiliser_Products_Data2(), FertiliserProducts[[#Headers],[Company]],31)</f>
        <v/>
      </c>
      <c r="M130" s="152" t="str" cm="1">
        <f t="array" ref="M130">Common_InputFunctions.Utility_DisplayArrayInTable(Fertiliser_SourceData.Fertiliser_Products_Data2(), FertiliserProducts[[#Headers],[Company]],31)</f>
        <v/>
      </c>
      <c r="N130" s="152" t="str" cm="1">
        <f t="array" ref="N130">Common_InputFunctions.Utility_DisplayArrayInTable(Fertiliser_SourceData.Fertiliser_Products_Data2(), FertiliserProducts[[#Headers],[Company]],31)</f>
        <v/>
      </c>
      <c r="O130" s="152" t="str" cm="1">
        <f t="array" ref="O130">Common_InputFunctions.Utility_DisplayArrayInTable(Fertiliser_SourceData.Fertiliser_Products_Data2(), FertiliserProducts[[#Headers],[Company]],31)</f>
        <v>Urea</v>
      </c>
      <c r="P130" s="152" cm="1">
        <f t="array" ref="P130">Common_InputFunctions.Utility_DisplayArrayInTable(Fertiliser_SourceData.Fertiliser_Products_Data2(), FertiliserProducts[[#Headers],[Company]],31)</f>
        <v>0.51739100000000005</v>
      </c>
      <c r="Q130" s="152" t="str" cm="1">
        <f t="array" ref="Q130">Common_InputFunctions.Utility_DisplayArrayInTable(Fertiliser_SourceData.Fertiliser_Products_Data2(), FertiliserProducts[[#Headers],[Company]],31)</f>
        <v/>
      </c>
      <c r="R130" s="152" t="str" cm="1">
        <f t="array" ref="R130">Common_InputFunctions.Utility_DisplayArrayInTable(Fertiliser_SourceData.Fertiliser_Products_Data2(), FertiliserProducts[[#Headers],[Company]],31)</f>
        <v/>
      </c>
      <c r="S130" s="152" t="str" cm="1">
        <f t="array" ref="S130">Common_InputFunctions.Utility_DisplayArrayInTable(Fertiliser_SourceData.Fertiliser_Products_Data2(), FertiliserProducts[[#Headers],[Company]],31)</f>
        <v/>
      </c>
      <c r="T130" s="152" t="str" cm="1">
        <f t="array" ref="T130">Common_InputFunctions.Utility_DisplayArrayInTable(Fertiliser_SourceData.Fertiliser_Products_Data2(), FertiliserProducts[[#Headers],[Company]],31)</f>
        <v/>
      </c>
      <c r="U130" s="152" t="str" cm="1">
        <f t="array" ref="U130">Common_InputFunctions.Utility_DisplayArrayInTable(Fertiliser_SourceData.Fertiliser_Products_Data2(), FertiliserProducts[[#Headers],[Company]],31)</f>
        <v/>
      </c>
      <c r="V130" s="152" t="str" cm="1">
        <f t="array" ref="V130">Common_InputFunctions.Utility_DisplayArrayInTable(Fertiliser_SourceData.Fertiliser_Products_Data2(), FertiliserProducts[[#Headers],[Company]],31)</f>
        <v/>
      </c>
      <c r="W130" s="152" t="str" cm="1">
        <f t="array" ref="W130">Common_InputFunctions.Utility_DisplayArrayInTable(Fertiliser_SourceData.Fertiliser_Products_Data2(), FertiliserProducts[[#Headers],[Company]],31)</f>
        <v/>
      </c>
      <c r="X130" s="152" t="str" cm="1">
        <f t="array" ref="X130">Common_InputFunctions.Utility_DisplayArrayInTable(Fertiliser_SourceData.Fertiliser_Products_Data2(), FertiliserProducts[[#Headers],[Company]],31)</f>
        <v/>
      </c>
      <c r="Y130" s="152" t="str" cm="1">
        <f t="array" ref="Y130">Common_InputFunctions.Utility_DisplayArrayInTable(Fertiliser_SourceData.Fertiliser_Products_Data2(), FertiliserProducts[[#Headers],[Company]],31)</f>
        <v/>
      </c>
      <c r="Z130" s="152" t="str" cm="1">
        <f t="array" ref="Z130">Common_InputFunctions.Utility_DisplayArrayInTable(Fertiliser_SourceData.Fertiliser_Products_Data2(), FertiliserProducts[[#Headers],[Company]],31)</f>
        <v/>
      </c>
      <c r="AA130" s="152" t="str" cm="1">
        <f t="array" ref="AA130">Common_InputFunctions.Utility_DisplayArrayInTable(Fertiliser_SourceData.Fertiliser_Products_Data2(), FertiliserProducts[[#Headers],[Company]],31)</f>
        <v/>
      </c>
      <c r="AB130" s="152" t="str" cm="1">
        <f t="array" ref="AB130">Common_InputFunctions.Utility_DisplayArrayInTable(Fertiliser_SourceData.Fertiliser_Products_Data2(), FertiliserProducts[[#Headers],[Company]],31)</f>
        <v/>
      </c>
      <c r="AC130" s="152" t="str" cm="1">
        <f t="array" ref="AC130">Common_InputFunctions.Utility_DisplayArrayInTable(Fertiliser_SourceData.Fertiliser_Products_Data2(), FertiliserProducts[[#Headers],[Company]],31)</f>
        <v/>
      </c>
      <c r="AD130" s="152" t="str" cm="1">
        <f t="array" ref="AD130">Common_InputFunctions.Utility_DisplayArrayInTable(Fertiliser_SourceData.Fertiliser_Products_Data2(), FertiliserProducts[[#Headers],[Company]],31)</f>
        <v/>
      </c>
      <c r="AE130" s="152" t="str" cm="1">
        <f t="array" ref="AE130">Common_InputFunctions.Utility_DisplayArrayInTable(Fertiliser_SourceData.Fertiliser_Products_Data2(), FertiliserProducts[[#Headers],[Company]],31)</f>
        <v/>
      </c>
      <c r="AF130" s="152" t="str" cm="1">
        <f t="array" ref="AF130">Common_InputFunctions.Utility_DisplayArrayInTable(Fertiliser_SourceData.Fertiliser_Products_Data2(), FertiliserProducts[[#Headers],[Company]],31)</f>
        <v/>
      </c>
      <c r="AG130" s="152" t="str" cm="1">
        <f t="array" ref="AG130">Common_InputFunctions.Utility_DisplayArrayInTable(Fertiliser_SourceData.Fertiliser_Products_Data2(), FertiliserProducts[[#Headers],[Company]],31)</f>
        <v/>
      </c>
      <c r="AH130" s="152"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52" t="str" cm="1">
        <f t="array" ref="D131">Common_InputFunctions.Utility_DisplayArrayInTable(Fertiliser_SourceData.Fertiliser_Products_Data2(), FertiliserProducts[[#Headers],[Company]],31)</f>
        <v>SL Tec</v>
      </c>
      <c r="E131" s="152" t="str" cm="1">
        <f t="array" ref="E131">Common_InputFunctions.Utility_DisplayArrayInTable(Fertiliser_SourceData.Fertiliser_Products_Data2(), FertiliserProducts[[#Headers],[Company]],31)</f>
        <v>Nitro Combi TE</v>
      </c>
      <c r="F131" s="152" t="str" cm="1">
        <f t="array" ref="F131">Common_InputFunctions.Utility_DisplayArrayInTable(Fertiliser_SourceData.Fertiliser_Products_Data2(), FertiliserProducts[[#Headers],[Company]],31)</f>
        <v>L</v>
      </c>
      <c r="G131" s="152" cm="1">
        <f t="array" ref="G131">Common_InputFunctions.Utility_DisplayArrayInTable(Fertiliser_SourceData.Fertiliser_Products_Data2(), FertiliserProducts[[#Headers],[Company]],31)</f>
        <v>1.2549999999999999</v>
      </c>
      <c r="H131" s="152" t="str" cm="1">
        <f t="array" ref="H131">Common_InputFunctions.Utility_DisplayArrayInTable(Fertiliser_SourceData.Fertiliser_Products_Data2(), FertiliserProducts[[#Headers],[Company]],31)</f>
        <v/>
      </c>
      <c r="I131" s="152" t="str" cm="1">
        <f t="array" ref="I131">Common_InputFunctions.Utility_DisplayArrayInTable(Fertiliser_SourceData.Fertiliser_Products_Data2(), FertiliserProducts[[#Headers],[Company]],31)</f>
        <v/>
      </c>
      <c r="J131" s="152" t="str" cm="1">
        <f t="array" ref="J131">Common_InputFunctions.Utility_DisplayArrayInTable(Fertiliser_SourceData.Fertiliser_Products_Data2(), FertiliserProducts[[#Headers],[Company]],31)</f>
        <v/>
      </c>
      <c r="K131" s="152" t="str" cm="1">
        <f t="array" ref="K131">Common_InputFunctions.Utility_DisplayArrayInTable(Fertiliser_SourceData.Fertiliser_Products_Data2(), FertiliserProducts[[#Headers],[Company]],31)</f>
        <v/>
      </c>
      <c r="L131" s="152" t="str" cm="1">
        <f t="array" ref="L131">Common_InputFunctions.Utility_DisplayArrayInTable(Fertiliser_SourceData.Fertiliser_Products_Data2(), FertiliserProducts[[#Headers],[Company]],31)</f>
        <v/>
      </c>
      <c r="M131" s="152" cm="1">
        <f t="array" ref="M131">Common_InputFunctions.Utility_DisplayArrayInTable(Fertiliser_SourceData.Fertiliser_Products_Data2(), FertiliserProducts[[#Headers],[Company]],31)</f>
        <v>0.1</v>
      </c>
      <c r="N131" s="152" cm="1">
        <f t="array" ref="N131">Common_InputFunctions.Utility_DisplayArrayInTable(Fertiliser_SourceData.Fertiliser_Products_Data2(), FertiliserProducts[[#Headers],[Company]],31)</f>
        <v>4.4000000000000004</v>
      </c>
      <c r="O131" s="152" t="str" cm="1">
        <f t="array" ref="O131">Common_InputFunctions.Utility_DisplayArrayInTable(Fertiliser_SourceData.Fertiliser_Products_Data2(), FertiliserProducts[[#Headers],[Company]],31)</f>
        <v>Sulfur - Generic</v>
      </c>
      <c r="P131" s="152" cm="1">
        <f t="array" ref="P131">Common_InputFunctions.Utility_DisplayArrayInTable(Fertiliser_SourceData.Fertiliser_Products_Data2(), FertiliserProducts[[#Headers],[Company]],31)</f>
        <v>4.3999999999999997E-2</v>
      </c>
      <c r="Q131" s="152" t="str" cm="1">
        <f t="array" ref="Q131">Common_InputFunctions.Utility_DisplayArrayInTable(Fertiliser_SourceData.Fertiliser_Products_Data2(), FertiliserProducts[[#Headers],[Company]],31)</f>
        <v>Zinc</v>
      </c>
      <c r="R131" s="152" cm="1">
        <f t="array" ref="R131">Common_InputFunctions.Utility_DisplayArrayInTable(Fertiliser_SourceData.Fertiliser_Products_Data2(), FertiliserProducts[[#Headers],[Company]],31)</f>
        <v>2.1999999999999999E-2</v>
      </c>
      <c r="S131" s="152" t="str" cm="1">
        <f t="array" ref="S131">Common_InputFunctions.Utility_DisplayArrayInTable(Fertiliser_SourceData.Fertiliser_Products_Data2(), FertiliserProducts[[#Headers],[Company]],31)</f>
        <v>Iron</v>
      </c>
      <c r="T131" s="152" cm="1">
        <f t="array" ref="T131">Common_InputFunctions.Utility_DisplayArrayInTable(Fertiliser_SourceData.Fertiliser_Products_Data2(), FertiliserProducts[[#Headers],[Company]],31)</f>
        <v>2.1999999999999999E-2</v>
      </c>
      <c r="U131" s="152" t="str" cm="1">
        <f t="array" ref="U131">Common_InputFunctions.Utility_DisplayArrayInTable(Fertiliser_SourceData.Fertiliser_Products_Data2(), FertiliserProducts[[#Headers],[Company]],31)</f>
        <v>Manganese</v>
      </c>
      <c r="V131" s="152" cm="1">
        <f t="array" ref="V131">Common_InputFunctions.Utility_DisplayArrayInTable(Fertiliser_SourceData.Fertiliser_Products_Data2(), FertiliserProducts[[#Headers],[Company]],31)</f>
        <v>1.6E-2</v>
      </c>
      <c r="W131" s="152" t="str" cm="1">
        <f t="array" ref="W131">Common_InputFunctions.Utility_DisplayArrayInTable(Fertiliser_SourceData.Fertiliser_Products_Data2(), FertiliserProducts[[#Headers],[Company]],31)</f>
        <v>Boron</v>
      </c>
      <c r="X131" s="152" cm="1">
        <f t="array" ref="X131">Common_InputFunctions.Utility_DisplayArrayInTable(Fertiliser_SourceData.Fertiliser_Products_Data2(), FertiliserProducts[[#Headers],[Company]],31)</f>
        <v>8.0000000000000002E-3</v>
      </c>
      <c r="Y131" s="152" t="str" cm="1">
        <f t="array" ref="Y131">Common_InputFunctions.Utility_DisplayArrayInTable(Fertiliser_SourceData.Fertiliser_Products_Data2(), FertiliserProducts[[#Headers],[Company]],31)</f>
        <v>Magnesium</v>
      </c>
      <c r="Z131" s="152" cm="1">
        <f t="array" ref="Z131">Common_InputFunctions.Utility_DisplayArrayInTable(Fertiliser_SourceData.Fertiliser_Products_Data2(), FertiliserProducts[[#Headers],[Company]],31)</f>
        <v>7.0000000000000001E-3</v>
      </c>
      <c r="AA131" s="152" t="str" cm="1">
        <f t="array" ref="AA131">Common_InputFunctions.Utility_DisplayArrayInTable(Fertiliser_SourceData.Fertiliser_Products_Data2(), FertiliserProducts[[#Headers],[Company]],31)</f>
        <v>Fulvic acid (organic)</v>
      </c>
      <c r="AB131" s="152" cm="1">
        <f t="array" ref="AB131">Common_InputFunctions.Utility_DisplayArrayInTable(Fertiliser_SourceData.Fertiliser_Products_Data2(), FertiliserProducts[[#Headers],[Company]],31)</f>
        <v>5.0000000000000001E-3</v>
      </c>
      <c r="AC131" s="152" t="str" cm="1">
        <f t="array" ref="AC131">Common_InputFunctions.Utility_DisplayArrayInTable(Fertiliser_SourceData.Fertiliser_Products_Data2(), FertiliserProducts[[#Headers],[Company]],31)</f>
        <v>Copper</v>
      </c>
      <c r="AD131" s="152" cm="1">
        <f t="array" ref="AD131">Common_InputFunctions.Utility_DisplayArrayInTable(Fertiliser_SourceData.Fertiliser_Products_Data2(), FertiliserProducts[[#Headers],[Company]],31)</f>
        <v>3.0000000000000001E-3</v>
      </c>
      <c r="AE131" s="152" t="str" cm="1">
        <f t="array" ref="AE131">Common_InputFunctions.Utility_DisplayArrayInTable(Fertiliser_SourceData.Fertiliser_Products_Data2(), FertiliserProducts[[#Headers],[Company]],31)</f>
        <v>Potassium - Generic</v>
      </c>
      <c r="AF131" s="152" cm="1">
        <f t="array" ref="AF131">Common_InputFunctions.Utility_DisplayArrayInTable(Fertiliser_SourceData.Fertiliser_Products_Data2(), FertiliserProducts[[#Headers],[Company]],31)</f>
        <v>1E-3</v>
      </c>
      <c r="AG131" s="152" t="str" cm="1">
        <f t="array" ref="AG131">Common_InputFunctions.Utility_DisplayArrayInTable(Fertiliser_SourceData.Fertiliser_Products_Data2(), FertiliserProducts[[#Headers],[Company]],31)</f>
        <v>Molybdenum</v>
      </c>
      <c r="AH131" s="152"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52" t="str" cm="1">
        <f t="array" ref="D132">Common_InputFunctions.Utility_DisplayArrayInTable(Fertiliser_SourceData.Fertiliser_Products_Data2(), FertiliserProducts[[#Headers],[Company]],31)</f>
        <v>Switch Ag</v>
      </c>
      <c r="E132" s="152" t="str" cm="1">
        <f t="array" ref="E132">Common_InputFunctions.Utility_DisplayArrayInTable(Fertiliser_SourceData.Fertiliser_Products_Data2(), FertiliserProducts[[#Headers],[Company]],31)</f>
        <v>PastureMAXX</v>
      </c>
      <c r="F132" s="152" t="str" cm="1">
        <f t="array" ref="F132">Common_InputFunctions.Utility_DisplayArrayInTable(Fertiliser_SourceData.Fertiliser_Products_Data2(), FertiliserProducts[[#Headers],[Company]],31)</f>
        <v>L</v>
      </c>
      <c r="G132" s="152" cm="1">
        <f t="array" ref="G132">Common_InputFunctions.Utility_DisplayArrayInTable(Fertiliser_SourceData.Fertiliser_Products_Data2(), FertiliserProducts[[#Headers],[Company]],31)</f>
        <v>1.23</v>
      </c>
      <c r="H132" s="152" t="str" cm="1">
        <f t="array" ref="H132">Common_InputFunctions.Utility_DisplayArrayInTable(Fertiliser_SourceData.Fertiliser_Products_Data2(), FertiliserProducts[[#Headers],[Company]],31)</f>
        <v/>
      </c>
      <c r="I132" s="152" t="str" cm="1">
        <f t="array" ref="I132">Common_InputFunctions.Utility_DisplayArrayInTable(Fertiliser_SourceData.Fertiliser_Products_Data2(), FertiliserProducts[[#Headers],[Company]],31)</f>
        <v/>
      </c>
      <c r="J132" s="152" t="str" cm="1">
        <f t="array" ref="J132">Common_InputFunctions.Utility_DisplayArrayInTable(Fertiliser_SourceData.Fertiliser_Products_Data2(), FertiliserProducts[[#Headers],[Company]],31)</f>
        <v/>
      </c>
      <c r="K132" s="152" cm="1">
        <f t="array" ref="K132">Common_InputFunctions.Utility_DisplayArrayInTable(Fertiliser_SourceData.Fertiliser_Products_Data2(), FertiliserProducts[[#Headers],[Company]],31)</f>
        <v>9.7100000000000009</v>
      </c>
      <c r="L132" s="152" t="str" cm="1">
        <f t="array" ref="L132">Common_InputFunctions.Utility_DisplayArrayInTable(Fertiliser_SourceData.Fertiliser_Products_Data2(), FertiliserProducts[[#Headers],[Company]],31)</f>
        <v/>
      </c>
      <c r="M132" s="152" cm="1">
        <f t="array" ref="M132">Common_InputFunctions.Utility_DisplayArrayInTable(Fertiliser_SourceData.Fertiliser_Products_Data2(), FertiliserProducts[[#Headers],[Company]],31)</f>
        <v>3.25</v>
      </c>
      <c r="N132" s="152" cm="1">
        <f t="array" ref="N132">Common_InputFunctions.Utility_DisplayArrayInTable(Fertiliser_SourceData.Fertiliser_Products_Data2(), FertiliserProducts[[#Headers],[Company]],31)</f>
        <v>2.11</v>
      </c>
      <c r="O132" s="152" t="str" cm="1">
        <f t="array" ref="O132">Common_InputFunctions.Utility_DisplayArrayInTable(Fertiliser_SourceData.Fertiliser_Products_Data2(), FertiliserProducts[[#Headers],[Company]],31)</f>
        <v>Nitrogen - Generic</v>
      </c>
      <c r="P132" s="152" cm="1">
        <f t="array" ref="P132">Common_InputFunctions.Utility_DisplayArrayInTable(Fertiliser_SourceData.Fertiliser_Products_Data2(), FertiliserProducts[[#Headers],[Company]],31)</f>
        <v>9.7100000000000006E-2</v>
      </c>
      <c r="Q132" s="152" t="str" cm="1">
        <f t="array" ref="Q132">Common_InputFunctions.Utility_DisplayArrayInTable(Fertiliser_SourceData.Fertiliser_Products_Data2(), FertiliserProducts[[#Headers],[Company]],31)</f>
        <v>Potassium - Generic</v>
      </c>
      <c r="R132" s="152" cm="1">
        <f t="array" ref="R132">Common_InputFunctions.Utility_DisplayArrayInTable(Fertiliser_SourceData.Fertiliser_Products_Data2(), FertiliserProducts[[#Headers],[Company]],31)</f>
        <v>3.2500000000000001E-2</v>
      </c>
      <c r="S132" s="152" t="str" cm="1">
        <f t="array" ref="S132">Common_InputFunctions.Utility_DisplayArrayInTable(Fertiliser_SourceData.Fertiliser_Products_Data2(), FertiliserProducts[[#Headers],[Company]],31)</f>
        <v>Sulfur - Generic</v>
      </c>
      <c r="T132" s="152" cm="1">
        <f t="array" ref="T132">Common_InputFunctions.Utility_DisplayArrayInTable(Fertiliser_SourceData.Fertiliser_Products_Data2(), FertiliserProducts[[#Headers],[Company]],31)</f>
        <v>2.1100000000000001E-2</v>
      </c>
      <c r="U132" s="152" t="str" cm="1">
        <f t="array" ref="U132">Common_InputFunctions.Utility_DisplayArrayInTable(Fertiliser_SourceData.Fertiliser_Products_Data2(), FertiliserProducts[[#Headers],[Company]],31)</f>
        <v>Zinc</v>
      </c>
      <c r="V132" s="152" cm="1">
        <f t="array" ref="V132">Common_InputFunctions.Utility_DisplayArrayInTable(Fertiliser_SourceData.Fertiliser_Products_Data2(), FertiliserProducts[[#Headers],[Company]],31)</f>
        <v>1.4999999999999999E-2</v>
      </c>
      <c r="W132" s="152" t="str" cm="1">
        <f t="array" ref="W132">Common_InputFunctions.Utility_DisplayArrayInTable(Fertiliser_SourceData.Fertiliser_Products_Data2(), FertiliserProducts[[#Headers],[Company]],31)</f>
        <v>Iron</v>
      </c>
      <c r="X132" s="152" cm="1">
        <f t="array" ref="X132">Common_InputFunctions.Utility_DisplayArrayInTable(Fertiliser_SourceData.Fertiliser_Products_Data2(), FertiliserProducts[[#Headers],[Company]],31)</f>
        <v>1.11E-2</v>
      </c>
      <c r="Y132" s="152" t="str" cm="1">
        <f t="array" ref="Y132">Common_InputFunctions.Utility_DisplayArrayInTable(Fertiliser_SourceData.Fertiliser_Products_Data2(), FertiliserProducts[[#Headers],[Company]],31)</f>
        <v>Manganese</v>
      </c>
      <c r="Z132" s="152" cm="1">
        <f t="array" ref="Z132">Common_InputFunctions.Utility_DisplayArrayInTable(Fertiliser_SourceData.Fertiliser_Products_Data2(), FertiliserProducts[[#Headers],[Company]],31)</f>
        <v>1.15E-2</v>
      </c>
      <c r="AA132" s="152" t="str" cm="1">
        <f t="array" ref="AA132">Common_InputFunctions.Utility_DisplayArrayInTable(Fertiliser_SourceData.Fertiliser_Products_Data2(), FertiliserProducts[[#Headers],[Company]],31)</f>
        <v>Magnesium</v>
      </c>
      <c r="AB132" s="152" cm="1">
        <f t="array" ref="AB132">Common_InputFunctions.Utility_DisplayArrayInTable(Fertiliser_SourceData.Fertiliser_Products_Data2(), FertiliserProducts[[#Headers],[Company]],31)</f>
        <v>4.4999999999999997E-3</v>
      </c>
      <c r="AC132" s="152" t="str" cm="1">
        <f t="array" ref="AC132">Common_InputFunctions.Utility_DisplayArrayInTable(Fertiliser_SourceData.Fertiliser_Products_Data2(), FertiliserProducts[[#Headers],[Company]],31)</f>
        <v>Boron</v>
      </c>
      <c r="AD132" s="152" cm="1">
        <f t="array" ref="AD132">Common_InputFunctions.Utility_DisplayArrayInTable(Fertiliser_SourceData.Fertiliser_Products_Data2(), FertiliserProducts[[#Headers],[Company]],31)</f>
        <v>2E-3</v>
      </c>
      <c r="AE132" s="152" t="str" cm="1">
        <f t="array" ref="AE132">Common_InputFunctions.Utility_DisplayArrayInTable(Fertiliser_SourceData.Fertiliser_Products_Data2(), FertiliserProducts[[#Headers],[Company]],31)</f>
        <v/>
      </c>
      <c r="AF132" s="152" t="str" cm="1">
        <f t="array" ref="AF132">Common_InputFunctions.Utility_DisplayArrayInTable(Fertiliser_SourceData.Fertiliser_Products_Data2(), FertiliserProducts[[#Headers],[Company]],31)</f>
        <v/>
      </c>
      <c r="AG132" s="152" t="str" cm="1">
        <f t="array" ref="AG132">Common_InputFunctions.Utility_DisplayArrayInTable(Fertiliser_SourceData.Fertiliser_Products_Data2(), FertiliserProducts[[#Headers],[Company]],31)</f>
        <v/>
      </c>
      <c r="AH132" s="152"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52" t="str" cm="1">
        <f t="array" ref="D133">Common_InputFunctions.Utility_DisplayArrayInTable(Fertiliser_SourceData.Fertiliser_Products_Data2(), FertiliserProducts[[#Headers],[Company]],31)</f>
        <v>Campbells fertilisers Australia</v>
      </c>
      <c r="E133" s="152" t="str" cm="1">
        <f t="array" ref="E133">Common_InputFunctions.Utility_DisplayArrayInTable(Fertiliser_SourceData.Fertiliser_Products_Data2(), FertiliserProducts[[#Headers],[Company]],31)</f>
        <v>Platinum Nergetic</v>
      </c>
      <c r="F133" s="152" t="str" cm="1">
        <f t="array" ref="F133">Common_InputFunctions.Utility_DisplayArrayInTable(Fertiliser_SourceData.Fertiliser_Products_Data2(), FertiliserProducts[[#Headers],[Company]],31)</f>
        <v>kg</v>
      </c>
      <c r="G133" s="152" cm="1">
        <f t="array" ref="G133">Common_InputFunctions.Utility_DisplayArrayInTable(Fertiliser_SourceData.Fertiliser_Products_Data2(), FertiliserProducts[[#Headers],[Company]],31)</f>
        <v>1</v>
      </c>
      <c r="H133" s="152" t="str" cm="1">
        <f t="array" ref="H133">Common_InputFunctions.Utility_DisplayArrayInTable(Fertiliser_SourceData.Fertiliser_Products_Data2(), FertiliserProducts[[#Headers],[Company]],31)</f>
        <v/>
      </c>
      <c r="I133" s="152" t="str" cm="1">
        <f t="array" ref="I133">Common_InputFunctions.Utility_DisplayArrayInTable(Fertiliser_SourceData.Fertiliser_Products_Data2(), FertiliserProducts[[#Headers],[Company]],31)</f>
        <v/>
      </c>
      <c r="J133" s="152" t="str" cm="1">
        <f t="array" ref="J133">Common_InputFunctions.Utility_DisplayArrayInTable(Fertiliser_SourceData.Fertiliser_Products_Data2(), FertiliserProducts[[#Headers],[Company]],31)</f>
        <v/>
      </c>
      <c r="K133" s="152" cm="1">
        <f t="array" ref="K133">Common_InputFunctions.Utility_DisplayArrayInTable(Fertiliser_SourceData.Fertiliser_Products_Data2(), FertiliserProducts[[#Headers],[Company]],31)</f>
        <v>10</v>
      </c>
      <c r="L133" s="152" cm="1">
        <f t="array" ref="L133">Common_InputFunctions.Utility_DisplayArrayInTable(Fertiliser_SourceData.Fertiliser_Products_Data2(), FertiliserProducts[[#Headers],[Company]],31)</f>
        <v>10.9</v>
      </c>
      <c r="M133" s="152" cm="1">
        <f t="array" ref="M133">Common_InputFunctions.Utility_DisplayArrayInTable(Fertiliser_SourceData.Fertiliser_Products_Data2(), FertiliserProducts[[#Headers],[Company]],31)</f>
        <v>10</v>
      </c>
      <c r="N133" s="152" cm="1">
        <f t="array" ref="N133">Common_InputFunctions.Utility_DisplayArrayInTable(Fertiliser_SourceData.Fertiliser_Products_Data2(), FertiliserProducts[[#Headers],[Company]],31)</f>
        <v>4.34</v>
      </c>
      <c r="O133" s="152" t="str" cm="1">
        <f t="array" ref="O133">Common_InputFunctions.Utility_DisplayArrayInTable(Fertiliser_SourceData.Fertiliser_Products_Data2(), FertiliserProducts[[#Headers],[Company]],31)</f>
        <v>Monoammonium phosphate (MAP)</v>
      </c>
      <c r="P133" s="152" cm="1">
        <f t="array" ref="P133">Common_InputFunctions.Utility_DisplayArrayInTable(Fertiliser_SourceData.Fertiliser_Products_Data2(), FertiliserProducts[[#Headers],[Company]],31)</f>
        <v>0.4178</v>
      </c>
      <c r="Q133" s="152" t="str" cm="1">
        <f t="array" ref="Q133">Common_InputFunctions.Utility_DisplayArrayInTable(Fertiliser_SourceData.Fertiliser_Products_Data2(), FertiliserProducts[[#Headers],[Company]],31)</f>
        <v>Ammonium nitrate (AN)</v>
      </c>
      <c r="R133" s="152" cm="1">
        <f t="array" ref="R133">Common_InputFunctions.Utility_DisplayArrayInTable(Fertiliser_SourceData.Fertiliser_Products_Data2(), FertiliserProducts[[#Headers],[Company]],31)</f>
        <v>0.17280000000000001</v>
      </c>
      <c r="S133" s="152" t="str" cm="1">
        <f t="array" ref="S133">Common_InputFunctions.Utility_DisplayArrayInTable(Fertiliser_SourceData.Fertiliser_Products_Data2(), FertiliserProducts[[#Headers],[Company]],31)</f>
        <v>Potassium sulphate</v>
      </c>
      <c r="T133" s="152" cm="1">
        <f t="array" ref="T133">Common_InputFunctions.Utility_DisplayArrayInTable(Fertiliser_SourceData.Fertiliser_Products_Data2(), FertiliserProducts[[#Headers],[Company]],31)</f>
        <v>0.24096400000000001</v>
      </c>
      <c r="U133" s="152" t="str" cm="1">
        <f t="array" ref="U133">Common_InputFunctions.Utility_DisplayArrayInTable(Fertiliser_SourceData.Fertiliser_Products_Data2(), FertiliserProducts[[#Headers],[Company]],31)</f>
        <v>Double superphosphate</v>
      </c>
      <c r="V133" s="152" cm="1">
        <f t="array" ref="V133">Common_InputFunctions.Utility_DisplayArrayInTable(Fertiliser_SourceData.Fertiliser_Products_Data2(), FertiliserProducts[[#Headers],[Company]],31)</f>
        <v>0.1</v>
      </c>
      <c r="W133" s="152" t="str" cm="1">
        <f t="array" ref="W133">Common_InputFunctions.Utility_DisplayArrayInTable(Fertiliser_SourceData.Fertiliser_Products_Data2(), FertiliserProducts[[#Headers],[Company]],31)</f>
        <v>Magnesium</v>
      </c>
      <c r="X133" s="152" cm="1">
        <f t="array" ref="X133">Common_InputFunctions.Utility_DisplayArrayInTable(Fertiliser_SourceData.Fertiliser_Products_Data2(), FertiliserProducts[[#Headers],[Company]],31)</f>
        <v>1.2E-2</v>
      </c>
      <c r="Y133" s="152" t="str" cm="1">
        <f t="array" ref="Y133">Common_InputFunctions.Utility_DisplayArrayInTable(Fertiliser_SourceData.Fertiliser_Products_Data2(), FertiliserProducts[[#Headers],[Company]],31)</f>
        <v>Zinc</v>
      </c>
      <c r="Z133" s="152" cm="1">
        <f t="array" ref="Z133">Common_InputFunctions.Utility_DisplayArrayInTable(Fertiliser_SourceData.Fertiliser_Products_Data2(), FertiliserProducts[[#Headers],[Company]],31)</f>
        <v>3.5999999999999999E-3</v>
      </c>
      <c r="AA133" s="152" t="str" cm="1">
        <f t="array" ref="AA133">Common_InputFunctions.Utility_DisplayArrayInTable(Fertiliser_SourceData.Fertiliser_Products_Data2(), FertiliserProducts[[#Headers],[Company]],31)</f>
        <v>Boron</v>
      </c>
      <c r="AB133" s="152" cm="1">
        <f t="array" ref="AB133">Common_InputFunctions.Utility_DisplayArrayInTable(Fertiliser_SourceData.Fertiliser_Products_Data2(), FertiliserProducts[[#Headers],[Company]],31)</f>
        <v>1E-3</v>
      </c>
      <c r="AC133" s="152" t="str" cm="1">
        <f t="array" ref="AC133">Common_InputFunctions.Utility_DisplayArrayInTable(Fertiliser_SourceData.Fertiliser_Products_Data2(), FertiliserProducts[[#Headers],[Company]],31)</f>
        <v>Glaze Extend G3 Flexi</v>
      </c>
      <c r="AD133" s="152" cm="1">
        <f t="array" ref="AD133">Common_InputFunctions.Utility_DisplayArrayInTable(Fertiliser_SourceData.Fertiliser_Products_Data2(), FertiliserProducts[[#Headers],[Company]],31)</f>
        <v>5.1900000000000002E-2</v>
      </c>
      <c r="AE133" s="152" t="str" cm="1">
        <f t="array" ref="AE133">Common_InputFunctions.Utility_DisplayArrayInTable(Fertiliser_SourceData.Fertiliser_Products_Data2(), FertiliserProducts[[#Headers],[Company]],31)</f>
        <v/>
      </c>
      <c r="AF133" s="152" t="str" cm="1">
        <f t="array" ref="AF133">Common_InputFunctions.Utility_DisplayArrayInTable(Fertiliser_SourceData.Fertiliser_Products_Data2(), FertiliserProducts[[#Headers],[Company]],31)</f>
        <v/>
      </c>
      <c r="AG133" s="152" t="str" cm="1">
        <f t="array" ref="AG133">Common_InputFunctions.Utility_DisplayArrayInTable(Fertiliser_SourceData.Fertiliser_Products_Data2(), FertiliserProducts[[#Headers],[Company]],31)</f>
        <v/>
      </c>
      <c r="AH133" s="152"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52" t="str" cm="1">
        <f t="array" ref="D134">Common_InputFunctions.Utility_DisplayArrayInTable(Fertiliser_SourceData.Fertiliser_Products_Data2(), FertiliserProducts[[#Headers],[Company]],31)</f>
        <v>Impact Fertilisers</v>
      </c>
      <c r="E134" s="152" t="str" cm="1">
        <f t="array" ref="E134">Common_InputFunctions.Utility_DisplayArrayInTable(Fertiliser_SourceData.Fertiliser_Products_Data2(), FertiliserProducts[[#Headers],[Company]],31)</f>
        <v>Sulphate of ammonia (SOA)</v>
      </c>
      <c r="F134" s="152" t="str" cm="1">
        <f t="array" ref="F134">Common_InputFunctions.Utility_DisplayArrayInTable(Fertiliser_SourceData.Fertiliser_Products_Data2(), FertiliserProducts[[#Headers],[Company]],31)</f>
        <v>kg</v>
      </c>
      <c r="G134" s="152" cm="1">
        <f t="array" ref="G134">Common_InputFunctions.Utility_DisplayArrayInTable(Fertiliser_SourceData.Fertiliser_Products_Data2(), FertiliserProducts[[#Headers],[Company]],31)</f>
        <v>1</v>
      </c>
      <c r="H134" s="152" t="str" cm="1">
        <f t="array" ref="H134">Common_InputFunctions.Utility_DisplayArrayInTable(Fertiliser_SourceData.Fertiliser_Products_Data2(), FertiliserProducts[[#Headers],[Company]],31)</f>
        <v/>
      </c>
      <c r="I134" s="152" t="str" cm="1">
        <f t="array" ref="I134">Common_InputFunctions.Utility_DisplayArrayInTable(Fertiliser_SourceData.Fertiliser_Products_Data2(), FertiliserProducts[[#Headers],[Company]],31)</f>
        <v/>
      </c>
      <c r="J134" s="152" t="str" cm="1">
        <f t="array" ref="J134">Common_InputFunctions.Utility_DisplayArrayInTable(Fertiliser_SourceData.Fertiliser_Products_Data2(), FertiliserProducts[[#Headers],[Company]],31)</f>
        <v/>
      </c>
      <c r="K134" s="152" cm="1">
        <f t="array" ref="K134">Common_InputFunctions.Utility_DisplayArrayInTable(Fertiliser_SourceData.Fertiliser_Products_Data2(), FertiliserProducts[[#Headers],[Company]],31)</f>
        <v>21</v>
      </c>
      <c r="L134" s="152" t="str" cm="1">
        <f t="array" ref="L134">Common_InputFunctions.Utility_DisplayArrayInTable(Fertiliser_SourceData.Fertiliser_Products_Data2(), FertiliserProducts[[#Headers],[Company]],31)</f>
        <v/>
      </c>
      <c r="M134" s="152" t="str" cm="1">
        <f t="array" ref="M134">Common_InputFunctions.Utility_DisplayArrayInTable(Fertiliser_SourceData.Fertiliser_Products_Data2(), FertiliserProducts[[#Headers],[Company]],31)</f>
        <v/>
      </c>
      <c r="N134" s="152" cm="1">
        <f t="array" ref="N134">Common_InputFunctions.Utility_DisplayArrayInTable(Fertiliser_SourceData.Fertiliser_Products_Data2(), FertiliserProducts[[#Headers],[Company]],31)</f>
        <v>24</v>
      </c>
      <c r="O134" s="152" t="str" cm="1">
        <f t="array" ref="O134">Common_InputFunctions.Utility_DisplayArrayInTable(Fertiliser_SourceData.Fertiliser_Products_Data2(), FertiliserProducts[[#Headers],[Company]],31)</f>
        <v>Sulphate of ammonia (SOA)</v>
      </c>
      <c r="P134" s="152" cm="1">
        <f t="array" ref="P134">Common_InputFunctions.Utility_DisplayArrayInTable(Fertiliser_SourceData.Fertiliser_Products_Data2(), FertiliserProducts[[#Headers],[Company]],31)</f>
        <v>1</v>
      </c>
      <c r="Q134" s="152" t="str" cm="1">
        <f t="array" ref="Q134">Common_InputFunctions.Utility_DisplayArrayInTable(Fertiliser_SourceData.Fertiliser_Products_Data2(), FertiliserProducts[[#Headers],[Company]],31)</f>
        <v/>
      </c>
      <c r="R134" s="152" t="str" cm="1">
        <f t="array" ref="R134">Common_InputFunctions.Utility_DisplayArrayInTable(Fertiliser_SourceData.Fertiliser_Products_Data2(), FertiliserProducts[[#Headers],[Company]],31)</f>
        <v/>
      </c>
      <c r="S134" s="152" t="str" cm="1">
        <f t="array" ref="S134">Common_InputFunctions.Utility_DisplayArrayInTable(Fertiliser_SourceData.Fertiliser_Products_Data2(), FertiliserProducts[[#Headers],[Company]],31)</f>
        <v/>
      </c>
      <c r="T134" s="152" t="str" cm="1">
        <f t="array" ref="T134">Common_InputFunctions.Utility_DisplayArrayInTable(Fertiliser_SourceData.Fertiliser_Products_Data2(), FertiliserProducts[[#Headers],[Company]],31)</f>
        <v/>
      </c>
      <c r="U134" s="152" t="str" cm="1">
        <f t="array" ref="U134">Common_InputFunctions.Utility_DisplayArrayInTable(Fertiliser_SourceData.Fertiliser_Products_Data2(), FertiliserProducts[[#Headers],[Company]],31)</f>
        <v/>
      </c>
      <c r="V134" s="152" t="str" cm="1">
        <f t="array" ref="V134">Common_InputFunctions.Utility_DisplayArrayInTable(Fertiliser_SourceData.Fertiliser_Products_Data2(), FertiliserProducts[[#Headers],[Company]],31)</f>
        <v/>
      </c>
      <c r="W134" s="152" t="str" cm="1">
        <f t="array" ref="W134">Common_InputFunctions.Utility_DisplayArrayInTable(Fertiliser_SourceData.Fertiliser_Products_Data2(), FertiliserProducts[[#Headers],[Company]],31)</f>
        <v/>
      </c>
      <c r="X134" s="152" t="str" cm="1">
        <f t="array" ref="X134">Common_InputFunctions.Utility_DisplayArrayInTable(Fertiliser_SourceData.Fertiliser_Products_Data2(), FertiliserProducts[[#Headers],[Company]],31)</f>
        <v/>
      </c>
      <c r="Y134" s="152" t="str" cm="1">
        <f t="array" ref="Y134">Common_InputFunctions.Utility_DisplayArrayInTable(Fertiliser_SourceData.Fertiliser_Products_Data2(), FertiliserProducts[[#Headers],[Company]],31)</f>
        <v/>
      </c>
      <c r="Z134" s="152" t="str" cm="1">
        <f t="array" ref="Z134">Common_InputFunctions.Utility_DisplayArrayInTable(Fertiliser_SourceData.Fertiliser_Products_Data2(), FertiliserProducts[[#Headers],[Company]],31)</f>
        <v/>
      </c>
      <c r="AA134" s="152" t="str" cm="1">
        <f t="array" ref="AA134">Common_InputFunctions.Utility_DisplayArrayInTable(Fertiliser_SourceData.Fertiliser_Products_Data2(), FertiliserProducts[[#Headers],[Company]],31)</f>
        <v/>
      </c>
      <c r="AB134" s="152" t="str" cm="1">
        <f t="array" ref="AB134">Common_InputFunctions.Utility_DisplayArrayInTable(Fertiliser_SourceData.Fertiliser_Products_Data2(), FertiliserProducts[[#Headers],[Company]],31)</f>
        <v/>
      </c>
      <c r="AC134" s="152" t="str" cm="1">
        <f t="array" ref="AC134">Common_InputFunctions.Utility_DisplayArrayInTable(Fertiliser_SourceData.Fertiliser_Products_Data2(), FertiliserProducts[[#Headers],[Company]],31)</f>
        <v/>
      </c>
      <c r="AD134" s="152" t="str" cm="1">
        <f t="array" ref="AD134">Common_InputFunctions.Utility_DisplayArrayInTable(Fertiliser_SourceData.Fertiliser_Products_Data2(), FertiliserProducts[[#Headers],[Company]],31)</f>
        <v/>
      </c>
      <c r="AE134" s="152" t="str" cm="1">
        <f t="array" ref="AE134">Common_InputFunctions.Utility_DisplayArrayInTable(Fertiliser_SourceData.Fertiliser_Products_Data2(), FertiliserProducts[[#Headers],[Company]],31)</f>
        <v/>
      </c>
      <c r="AF134" s="152" t="str" cm="1">
        <f t="array" ref="AF134">Common_InputFunctions.Utility_DisplayArrayInTable(Fertiliser_SourceData.Fertiliser_Products_Data2(), FertiliserProducts[[#Headers],[Company]],31)</f>
        <v/>
      </c>
      <c r="AG134" s="152" t="str" cm="1">
        <f t="array" ref="AG134">Common_InputFunctions.Utility_DisplayArrayInTable(Fertiliser_SourceData.Fertiliser_Products_Data2(), FertiliserProducts[[#Headers],[Company]],31)</f>
        <v/>
      </c>
      <c r="AH134" s="152"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52" t="str" cm="1">
        <f t="array" ref="D135">Common_InputFunctions.Utility_DisplayArrayInTable(Fertiliser_SourceData.Fertiliser_Products_Data2(), FertiliserProducts[[#Headers],[Company]],31)</f>
        <v>Impact Fertilisers</v>
      </c>
      <c r="E135" s="152" t="str" cm="1">
        <f t="array" ref="E135">Common_InputFunctions.Utility_DisplayArrayInTable(Fertiliser_SourceData.Fertiliser_Products_Data2(), FertiliserProducts[[#Headers],[Company]],31)</f>
        <v>Mono-Ammonium Phosphate (MAP)</v>
      </c>
      <c r="F135" s="152" t="str" cm="1">
        <f t="array" ref="F135">Common_InputFunctions.Utility_DisplayArrayInTable(Fertiliser_SourceData.Fertiliser_Products_Data2(), FertiliserProducts[[#Headers],[Company]],31)</f>
        <v>kg</v>
      </c>
      <c r="G135" s="152" cm="1">
        <f t="array" ref="G135">Common_InputFunctions.Utility_DisplayArrayInTable(Fertiliser_SourceData.Fertiliser_Products_Data2(), FertiliserProducts[[#Headers],[Company]],31)</f>
        <v>1</v>
      </c>
      <c r="H135" s="152" t="str" cm="1">
        <f t="array" ref="H135">Common_InputFunctions.Utility_DisplayArrayInTable(Fertiliser_SourceData.Fertiliser_Products_Data2(), FertiliserProducts[[#Headers],[Company]],31)</f>
        <v/>
      </c>
      <c r="I135" s="152" t="str" cm="1">
        <f t="array" ref="I135">Common_InputFunctions.Utility_DisplayArrayInTable(Fertiliser_SourceData.Fertiliser_Products_Data2(), FertiliserProducts[[#Headers],[Company]],31)</f>
        <v/>
      </c>
      <c r="J135" s="152" t="str" cm="1">
        <f t="array" ref="J135">Common_InputFunctions.Utility_DisplayArrayInTable(Fertiliser_SourceData.Fertiliser_Products_Data2(), FertiliserProducts[[#Headers],[Company]],31)</f>
        <v/>
      </c>
      <c r="K135" s="152" cm="1">
        <f t="array" ref="K135">Common_InputFunctions.Utility_DisplayArrayInTable(Fertiliser_SourceData.Fertiliser_Products_Data2(), FertiliserProducts[[#Headers],[Company]],31)</f>
        <v>10</v>
      </c>
      <c r="L135" s="152" cm="1">
        <f t="array" ref="L135">Common_InputFunctions.Utility_DisplayArrayInTable(Fertiliser_SourceData.Fertiliser_Products_Data2(), FertiliserProducts[[#Headers],[Company]],31)</f>
        <v>21.9</v>
      </c>
      <c r="M135" s="152" t="str" cm="1">
        <f t="array" ref="M135">Common_InputFunctions.Utility_DisplayArrayInTable(Fertiliser_SourceData.Fertiliser_Products_Data2(), FertiliserProducts[[#Headers],[Company]],31)</f>
        <v/>
      </c>
      <c r="N135" s="152" cm="1">
        <f t="array" ref="N135">Common_InputFunctions.Utility_DisplayArrayInTable(Fertiliser_SourceData.Fertiliser_Products_Data2(), FertiliserProducts[[#Headers],[Company]],31)</f>
        <v>1.5</v>
      </c>
      <c r="O135" s="152" t="str" cm="1">
        <f t="array" ref="O135">Common_InputFunctions.Utility_DisplayArrayInTable(Fertiliser_SourceData.Fertiliser_Products_Data2(), FertiliserProducts[[#Headers],[Company]],31)</f>
        <v>Monoammonium phosphate (MAP)</v>
      </c>
      <c r="P135" s="152" cm="1">
        <f t="array" ref="P135">Common_InputFunctions.Utility_DisplayArrayInTable(Fertiliser_SourceData.Fertiliser_Products_Data2(), FertiliserProducts[[#Headers],[Company]],31)</f>
        <v>1</v>
      </c>
      <c r="Q135" s="152" t="str" cm="1">
        <f t="array" ref="Q135">Common_InputFunctions.Utility_DisplayArrayInTable(Fertiliser_SourceData.Fertiliser_Products_Data2(), FertiliserProducts[[#Headers],[Company]],31)</f>
        <v/>
      </c>
      <c r="R135" s="152" t="str" cm="1">
        <f t="array" ref="R135">Common_InputFunctions.Utility_DisplayArrayInTable(Fertiliser_SourceData.Fertiliser_Products_Data2(), FertiliserProducts[[#Headers],[Company]],31)</f>
        <v/>
      </c>
      <c r="S135" s="152" t="str" cm="1">
        <f t="array" ref="S135">Common_InputFunctions.Utility_DisplayArrayInTable(Fertiliser_SourceData.Fertiliser_Products_Data2(), FertiliserProducts[[#Headers],[Company]],31)</f>
        <v/>
      </c>
      <c r="T135" s="152" t="str" cm="1">
        <f t="array" ref="T135">Common_InputFunctions.Utility_DisplayArrayInTable(Fertiliser_SourceData.Fertiliser_Products_Data2(), FertiliserProducts[[#Headers],[Company]],31)</f>
        <v/>
      </c>
      <c r="U135" s="152" t="str" cm="1">
        <f t="array" ref="U135">Common_InputFunctions.Utility_DisplayArrayInTable(Fertiliser_SourceData.Fertiliser_Products_Data2(), FertiliserProducts[[#Headers],[Company]],31)</f>
        <v/>
      </c>
      <c r="V135" s="152" t="str" cm="1">
        <f t="array" ref="V135">Common_InputFunctions.Utility_DisplayArrayInTable(Fertiliser_SourceData.Fertiliser_Products_Data2(), FertiliserProducts[[#Headers],[Company]],31)</f>
        <v/>
      </c>
      <c r="W135" s="152" t="str" cm="1">
        <f t="array" ref="W135">Common_InputFunctions.Utility_DisplayArrayInTable(Fertiliser_SourceData.Fertiliser_Products_Data2(), FertiliserProducts[[#Headers],[Company]],31)</f>
        <v/>
      </c>
      <c r="X135" s="152" t="str" cm="1">
        <f t="array" ref="X135">Common_InputFunctions.Utility_DisplayArrayInTable(Fertiliser_SourceData.Fertiliser_Products_Data2(), FertiliserProducts[[#Headers],[Company]],31)</f>
        <v/>
      </c>
      <c r="Y135" s="152" t="str" cm="1">
        <f t="array" ref="Y135">Common_InputFunctions.Utility_DisplayArrayInTable(Fertiliser_SourceData.Fertiliser_Products_Data2(), FertiliserProducts[[#Headers],[Company]],31)</f>
        <v/>
      </c>
      <c r="Z135" s="152" t="str" cm="1">
        <f t="array" ref="Z135">Common_InputFunctions.Utility_DisplayArrayInTable(Fertiliser_SourceData.Fertiliser_Products_Data2(), FertiliserProducts[[#Headers],[Company]],31)</f>
        <v/>
      </c>
      <c r="AA135" s="152" t="str" cm="1">
        <f t="array" ref="AA135">Common_InputFunctions.Utility_DisplayArrayInTable(Fertiliser_SourceData.Fertiliser_Products_Data2(), FertiliserProducts[[#Headers],[Company]],31)</f>
        <v/>
      </c>
      <c r="AB135" s="152" t="str" cm="1">
        <f t="array" ref="AB135">Common_InputFunctions.Utility_DisplayArrayInTable(Fertiliser_SourceData.Fertiliser_Products_Data2(), FertiliserProducts[[#Headers],[Company]],31)</f>
        <v/>
      </c>
      <c r="AC135" s="152" t="str" cm="1">
        <f t="array" ref="AC135">Common_InputFunctions.Utility_DisplayArrayInTable(Fertiliser_SourceData.Fertiliser_Products_Data2(), FertiliserProducts[[#Headers],[Company]],31)</f>
        <v/>
      </c>
      <c r="AD135" s="152" t="str" cm="1">
        <f t="array" ref="AD135">Common_InputFunctions.Utility_DisplayArrayInTable(Fertiliser_SourceData.Fertiliser_Products_Data2(), FertiliserProducts[[#Headers],[Company]],31)</f>
        <v/>
      </c>
      <c r="AE135" s="152" t="str" cm="1">
        <f t="array" ref="AE135">Common_InputFunctions.Utility_DisplayArrayInTable(Fertiliser_SourceData.Fertiliser_Products_Data2(), FertiliserProducts[[#Headers],[Company]],31)</f>
        <v/>
      </c>
      <c r="AF135" s="152" t="str" cm="1">
        <f t="array" ref="AF135">Common_InputFunctions.Utility_DisplayArrayInTable(Fertiliser_SourceData.Fertiliser_Products_Data2(), FertiliserProducts[[#Headers],[Company]],31)</f>
        <v/>
      </c>
      <c r="AG135" s="152" t="str" cm="1">
        <f t="array" ref="AG135">Common_InputFunctions.Utility_DisplayArrayInTable(Fertiliser_SourceData.Fertiliser_Products_Data2(), FertiliserProducts[[#Headers],[Company]],31)</f>
        <v/>
      </c>
      <c r="AH135" s="152"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52" t="str" cm="1">
        <f t="array" ref="D136">Common_InputFunctions.Utility_DisplayArrayInTable(Fertiliser_SourceData.Fertiliser_Products_Data2(), FertiliserProducts[[#Headers],[Company]],31)</f>
        <v>Impact Fertilisers</v>
      </c>
      <c r="E136" s="152" t="str" cm="1">
        <f t="array" ref="E136">Common_InputFunctions.Utility_DisplayArrayInTable(Fertiliser_SourceData.Fertiliser_Products_Data2(), FertiliserProducts[[#Headers],[Company]],31)</f>
        <v>Urea</v>
      </c>
      <c r="F136" s="152" t="str" cm="1">
        <f t="array" ref="F136">Common_InputFunctions.Utility_DisplayArrayInTable(Fertiliser_SourceData.Fertiliser_Products_Data2(), FertiliserProducts[[#Headers],[Company]],31)</f>
        <v>kg</v>
      </c>
      <c r="G136" s="152" cm="1">
        <f t="array" ref="G136">Common_InputFunctions.Utility_DisplayArrayInTable(Fertiliser_SourceData.Fertiliser_Products_Data2(), FertiliserProducts[[#Headers],[Company]],31)</f>
        <v>1</v>
      </c>
      <c r="H136" s="152" t="str" cm="1">
        <f t="array" ref="H136">Common_InputFunctions.Utility_DisplayArrayInTable(Fertiliser_SourceData.Fertiliser_Products_Data2(), FertiliserProducts[[#Headers],[Company]],31)</f>
        <v/>
      </c>
      <c r="I136" s="152" t="str" cm="1">
        <f t="array" ref="I136">Common_InputFunctions.Utility_DisplayArrayInTable(Fertiliser_SourceData.Fertiliser_Products_Data2(), FertiliserProducts[[#Headers],[Company]],31)</f>
        <v/>
      </c>
      <c r="J136" s="152" t="str" cm="1">
        <f t="array" ref="J136">Common_InputFunctions.Utility_DisplayArrayInTable(Fertiliser_SourceData.Fertiliser_Products_Data2(), FertiliserProducts[[#Headers],[Company]],31)</f>
        <v/>
      </c>
      <c r="K136" s="152" cm="1">
        <f t="array" ref="K136">Common_InputFunctions.Utility_DisplayArrayInTable(Fertiliser_SourceData.Fertiliser_Products_Data2(), FertiliserProducts[[#Headers],[Company]],31)</f>
        <v>46</v>
      </c>
      <c r="L136" s="152" t="str" cm="1">
        <f t="array" ref="L136">Common_InputFunctions.Utility_DisplayArrayInTable(Fertiliser_SourceData.Fertiliser_Products_Data2(), FertiliserProducts[[#Headers],[Company]],31)</f>
        <v/>
      </c>
      <c r="M136" s="152" t="str" cm="1">
        <f t="array" ref="M136">Common_InputFunctions.Utility_DisplayArrayInTable(Fertiliser_SourceData.Fertiliser_Products_Data2(), FertiliserProducts[[#Headers],[Company]],31)</f>
        <v/>
      </c>
      <c r="N136" s="152" t="str" cm="1">
        <f t="array" ref="N136">Common_InputFunctions.Utility_DisplayArrayInTable(Fertiliser_SourceData.Fertiliser_Products_Data2(), FertiliserProducts[[#Headers],[Company]],31)</f>
        <v/>
      </c>
      <c r="O136" s="152" t="str" cm="1">
        <f t="array" ref="O136">Common_InputFunctions.Utility_DisplayArrayInTable(Fertiliser_SourceData.Fertiliser_Products_Data2(), FertiliserProducts[[#Headers],[Company]],31)</f>
        <v>Urea</v>
      </c>
      <c r="P136" s="152" cm="1">
        <f t="array" ref="P136">Common_InputFunctions.Utility_DisplayArrayInTable(Fertiliser_SourceData.Fertiliser_Products_Data2(), FertiliserProducts[[#Headers],[Company]],31)</f>
        <v>1</v>
      </c>
      <c r="Q136" s="152" t="str" cm="1">
        <f t="array" ref="Q136">Common_InputFunctions.Utility_DisplayArrayInTable(Fertiliser_SourceData.Fertiliser_Products_Data2(), FertiliserProducts[[#Headers],[Company]],31)</f>
        <v/>
      </c>
      <c r="R136" s="152" t="str" cm="1">
        <f t="array" ref="R136">Common_InputFunctions.Utility_DisplayArrayInTable(Fertiliser_SourceData.Fertiliser_Products_Data2(), FertiliserProducts[[#Headers],[Company]],31)</f>
        <v/>
      </c>
      <c r="S136" s="152" t="str" cm="1">
        <f t="array" ref="S136">Common_InputFunctions.Utility_DisplayArrayInTable(Fertiliser_SourceData.Fertiliser_Products_Data2(), FertiliserProducts[[#Headers],[Company]],31)</f>
        <v/>
      </c>
      <c r="T136" s="152" t="str" cm="1">
        <f t="array" ref="T136">Common_InputFunctions.Utility_DisplayArrayInTable(Fertiliser_SourceData.Fertiliser_Products_Data2(), FertiliserProducts[[#Headers],[Company]],31)</f>
        <v/>
      </c>
      <c r="U136" s="152" t="str" cm="1">
        <f t="array" ref="U136">Common_InputFunctions.Utility_DisplayArrayInTable(Fertiliser_SourceData.Fertiliser_Products_Data2(), FertiliserProducts[[#Headers],[Company]],31)</f>
        <v/>
      </c>
      <c r="V136" s="152" t="str" cm="1">
        <f t="array" ref="V136">Common_InputFunctions.Utility_DisplayArrayInTable(Fertiliser_SourceData.Fertiliser_Products_Data2(), FertiliserProducts[[#Headers],[Company]],31)</f>
        <v/>
      </c>
      <c r="W136" s="152" t="str" cm="1">
        <f t="array" ref="W136">Common_InputFunctions.Utility_DisplayArrayInTable(Fertiliser_SourceData.Fertiliser_Products_Data2(), FertiliserProducts[[#Headers],[Company]],31)</f>
        <v/>
      </c>
      <c r="X136" s="152" t="str" cm="1">
        <f t="array" ref="X136">Common_InputFunctions.Utility_DisplayArrayInTable(Fertiliser_SourceData.Fertiliser_Products_Data2(), FertiliserProducts[[#Headers],[Company]],31)</f>
        <v/>
      </c>
      <c r="Y136" s="152" t="str" cm="1">
        <f t="array" ref="Y136">Common_InputFunctions.Utility_DisplayArrayInTable(Fertiliser_SourceData.Fertiliser_Products_Data2(), FertiliserProducts[[#Headers],[Company]],31)</f>
        <v/>
      </c>
      <c r="Z136" s="152" t="str" cm="1">
        <f t="array" ref="Z136">Common_InputFunctions.Utility_DisplayArrayInTable(Fertiliser_SourceData.Fertiliser_Products_Data2(), FertiliserProducts[[#Headers],[Company]],31)</f>
        <v/>
      </c>
      <c r="AA136" s="152" t="str" cm="1">
        <f t="array" ref="AA136">Common_InputFunctions.Utility_DisplayArrayInTable(Fertiliser_SourceData.Fertiliser_Products_Data2(), FertiliserProducts[[#Headers],[Company]],31)</f>
        <v/>
      </c>
      <c r="AB136" s="152" t="str" cm="1">
        <f t="array" ref="AB136">Common_InputFunctions.Utility_DisplayArrayInTable(Fertiliser_SourceData.Fertiliser_Products_Data2(), FertiliserProducts[[#Headers],[Company]],31)</f>
        <v/>
      </c>
      <c r="AC136" s="152" t="str" cm="1">
        <f t="array" ref="AC136">Common_InputFunctions.Utility_DisplayArrayInTable(Fertiliser_SourceData.Fertiliser_Products_Data2(), FertiliserProducts[[#Headers],[Company]],31)</f>
        <v/>
      </c>
      <c r="AD136" s="152" t="str" cm="1">
        <f t="array" ref="AD136">Common_InputFunctions.Utility_DisplayArrayInTable(Fertiliser_SourceData.Fertiliser_Products_Data2(), FertiliserProducts[[#Headers],[Company]],31)</f>
        <v/>
      </c>
      <c r="AE136" s="152" t="str" cm="1">
        <f t="array" ref="AE136">Common_InputFunctions.Utility_DisplayArrayInTable(Fertiliser_SourceData.Fertiliser_Products_Data2(), FertiliserProducts[[#Headers],[Company]],31)</f>
        <v/>
      </c>
      <c r="AF136" s="152" t="str" cm="1">
        <f t="array" ref="AF136">Common_InputFunctions.Utility_DisplayArrayInTable(Fertiliser_SourceData.Fertiliser_Products_Data2(), FertiliserProducts[[#Headers],[Company]],31)</f>
        <v/>
      </c>
      <c r="AG136" s="152" t="str" cm="1">
        <f t="array" ref="AG136">Common_InputFunctions.Utility_DisplayArrayInTable(Fertiliser_SourceData.Fertiliser_Products_Data2(), FertiliserProducts[[#Headers],[Company]],31)</f>
        <v/>
      </c>
      <c r="AH136" s="152"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52" t="str" cm="1">
        <f t="array" ref="D137">Common_InputFunctions.Utility_DisplayArrayInTable(Fertiliser_SourceData.Fertiliser_Products_Data2(), FertiliserProducts[[#Headers],[Company]],31)</f>
        <v>Koch Fertiliser Australia</v>
      </c>
      <c r="E137" s="152" t="str" cm="1">
        <f t="array" ref="E137">Common_InputFunctions.Utility_DisplayArrayInTable(Fertiliser_SourceData.Fertiliser_Products_Data2(), FertiliserProducts[[#Headers],[Company]],31)</f>
        <v>Muriate of potash (MOP)</v>
      </c>
      <c r="F137" s="152" t="str" cm="1">
        <f t="array" ref="F137">Common_InputFunctions.Utility_DisplayArrayInTable(Fertiliser_SourceData.Fertiliser_Products_Data2(), FertiliserProducts[[#Headers],[Company]],31)</f>
        <v>kg</v>
      </c>
      <c r="G137" s="152" cm="1">
        <f t="array" ref="G137">Common_InputFunctions.Utility_DisplayArrayInTable(Fertiliser_SourceData.Fertiliser_Products_Data2(), FertiliserProducts[[#Headers],[Company]],31)</f>
        <v>1</v>
      </c>
      <c r="H137" s="152" t="str" cm="1">
        <f t="array" ref="H137">Common_InputFunctions.Utility_DisplayArrayInTable(Fertiliser_SourceData.Fertiliser_Products_Data2(), FertiliserProducts[[#Headers],[Company]],31)</f>
        <v/>
      </c>
      <c r="I137" s="152" t="str" cm="1">
        <f t="array" ref="I137">Common_InputFunctions.Utility_DisplayArrayInTable(Fertiliser_SourceData.Fertiliser_Products_Data2(), FertiliserProducts[[#Headers],[Company]],31)</f>
        <v/>
      </c>
      <c r="J137" s="152" t="str" cm="1">
        <f t="array" ref="J137">Common_InputFunctions.Utility_DisplayArrayInTable(Fertiliser_SourceData.Fertiliser_Products_Data2(), FertiliserProducts[[#Headers],[Company]],31)</f>
        <v/>
      </c>
      <c r="K137" s="152" t="str" cm="1">
        <f t="array" ref="K137">Common_InputFunctions.Utility_DisplayArrayInTable(Fertiliser_SourceData.Fertiliser_Products_Data2(), FertiliserProducts[[#Headers],[Company]],31)</f>
        <v/>
      </c>
      <c r="L137" s="152" t="str" cm="1">
        <f t="array" ref="L137">Common_InputFunctions.Utility_DisplayArrayInTable(Fertiliser_SourceData.Fertiliser_Products_Data2(), FertiliserProducts[[#Headers],[Company]],31)</f>
        <v/>
      </c>
      <c r="M137" s="152" cm="1">
        <f t="array" ref="M137">Common_InputFunctions.Utility_DisplayArrayInTable(Fertiliser_SourceData.Fertiliser_Products_Data2(), FertiliserProducts[[#Headers],[Company]],31)</f>
        <v>50</v>
      </c>
      <c r="N137" s="152" t="str" cm="1">
        <f t="array" ref="N137">Common_InputFunctions.Utility_DisplayArrayInTable(Fertiliser_SourceData.Fertiliser_Products_Data2(), FertiliserProducts[[#Headers],[Company]],31)</f>
        <v/>
      </c>
      <c r="O137" s="152" t="str" cm="1">
        <f t="array" ref="O137">Common_InputFunctions.Utility_DisplayArrayInTable(Fertiliser_SourceData.Fertiliser_Products_Data2(), FertiliserProducts[[#Headers],[Company]],31)</f>
        <v>Muriate of potash (MOP)</v>
      </c>
      <c r="P137" s="152" cm="1">
        <f t="array" ref="P137">Common_InputFunctions.Utility_DisplayArrayInTable(Fertiliser_SourceData.Fertiliser_Products_Data2(), FertiliserProducts[[#Headers],[Company]],31)</f>
        <v>1</v>
      </c>
      <c r="Q137" s="152" t="str" cm="1">
        <f t="array" ref="Q137">Common_InputFunctions.Utility_DisplayArrayInTable(Fertiliser_SourceData.Fertiliser_Products_Data2(), FertiliserProducts[[#Headers],[Company]],31)</f>
        <v/>
      </c>
      <c r="R137" s="152" t="str" cm="1">
        <f t="array" ref="R137">Common_InputFunctions.Utility_DisplayArrayInTable(Fertiliser_SourceData.Fertiliser_Products_Data2(), FertiliserProducts[[#Headers],[Company]],31)</f>
        <v/>
      </c>
      <c r="S137" s="152" t="str" cm="1">
        <f t="array" ref="S137">Common_InputFunctions.Utility_DisplayArrayInTable(Fertiliser_SourceData.Fertiliser_Products_Data2(), FertiliserProducts[[#Headers],[Company]],31)</f>
        <v/>
      </c>
      <c r="T137" s="152" t="str" cm="1">
        <f t="array" ref="T137">Common_InputFunctions.Utility_DisplayArrayInTable(Fertiliser_SourceData.Fertiliser_Products_Data2(), FertiliserProducts[[#Headers],[Company]],31)</f>
        <v/>
      </c>
      <c r="U137" s="152" t="str" cm="1">
        <f t="array" ref="U137">Common_InputFunctions.Utility_DisplayArrayInTable(Fertiliser_SourceData.Fertiliser_Products_Data2(), FertiliserProducts[[#Headers],[Company]],31)</f>
        <v/>
      </c>
      <c r="V137" s="152" t="str" cm="1">
        <f t="array" ref="V137">Common_InputFunctions.Utility_DisplayArrayInTable(Fertiliser_SourceData.Fertiliser_Products_Data2(), FertiliserProducts[[#Headers],[Company]],31)</f>
        <v/>
      </c>
      <c r="W137" s="152" t="str" cm="1">
        <f t="array" ref="W137">Common_InputFunctions.Utility_DisplayArrayInTable(Fertiliser_SourceData.Fertiliser_Products_Data2(), FertiliserProducts[[#Headers],[Company]],31)</f>
        <v/>
      </c>
      <c r="X137" s="152" t="str" cm="1">
        <f t="array" ref="X137">Common_InputFunctions.Utility_DisplayArrayInTable(Fertiliser_SourceData.Fertiliser_Products_Data2(), FertiliserProducts[[#Headers],[Company]],31)</f>
        <v/>
      </c>
      <c r="Y137" s="152" t="str" cm="1">
        <f t="array" ref="Y137">Common_InputFunctions.Utility_DisplayArrayInTable(Fertiliser_SourceData.Fertiliser_Products_Data2(), FertiliserProducts[[#Headers],[Company]],31)</f>
        <v/>
      </c>
      <c r="Z137" s="152" t="str" cm="1">
        <f t="array" ref="Z137">Common_InputFunctions.Utility_DisplayArrayInTable(Fertiliser_SourceData.Fertiliser_Products_Data2(), FertiliserProducts[[#Headers],[Company]],31)</f>
        <v/>
      </c>
      <c r="AA137" s="152" t="str" cm="1">
        <f t="array" ref="AA137">Common_InputFunctions.Utility_DisplayArrayInTable(Fertiliser_SourceData.Fertiliser_Products_Data2(), FertiliserProducts[[#Headers],[Company]],31)</f>
        <v/>
      </c>
      <c r="AB137" s="152" t="str" cm="1">
        <f t="array" ref="AB137">Common_InputFunctions.Utility_DisplayArrayInTable(Fertiliser_SourceData.Fertiliser_Products_Data2(), FertiliserProducts[[#Headers],[Company]],31)</f>
        <v/>
      </c>
      <c r="AC137" s="152" t="str" cm="1">
        <f t="array" ref="AC137">Common_InputFunctions.Utility_DisplayArrayInTable(Fertiliser_SourceData.Fertiliser_Products_Data2(), FertiliserProducts[[#Headers],[Company]],31)</f>
        <v/>
      </c>
      <c r="AD137" s="152" t="str" cm="1">
        <f t="array" ref="AD137">Common_InputFunctions.Utility_DisplayArrayInTable(Fertiliser_SourceData.Fertiliser_Products_Data2(), FertiliserProducts[[#Headers],[Company]],31)</f>
        <v/>
      </c>
      <c r="AE137" s="152" t="str" cm="1">
        <f t="array" ref="AE137">Common_InputFunctions.Utility_DisplayArrayInTable(Fertiliser_SourceData.Fertiliser_Products_Data2(), FertiliserProducts[[#Headers],[Company]],31)</f>
        <v/>
      </c>
      <c r="AF137" s="152" t="str" cm="1">
        <f t="array" ref="AF137">Common_InputFunctions.Utility_DisplayArrayInTable(Fertiliser_SourceData.Fertiliser_Products_Data2(), FertiliserProducts[[#Headers],[Company]],31)</f>
        <v/>
      </c>
      <c r="AG137" s="152" t="str" cm="1">
        <f t="array" ref="AG137">Common_InputFunctions.Utility_DisplayArrayInTable(Fertiliser_SourceData.Fertiliser_Products_Data2(), FertiliserProducts[[#Headers],[Company]],31)</f>
        <v/>
      </c>
      <c r="AH137" s="152"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52" t="str" cm="1">
        <f t="array" ref="D138">Common_InputFunctions.Utility_DisplayArrayInTable(Fertiliser_SourceData.Fertiliser_Products_Data2(), FertiliserProducts[[#Headers],[Company]],31)</f>
        <v>Risso-Chemical</v>
      </c>
      <c r="E138" s="152" t="str" cm="1">
        <f t="array" ref="E138">Common_InputFunctions.Utility_DisplayArrayInTable(Fertiliser_SourceData.Fertiliser_Products_Data2(), FertiliserProducts[[#Headers],[Company]],31)</f>
        <v>Urea Ammonium nitrate (UAN 32-0-0)</v>
      </c>
      <c r="F138" s="152" t="str" cm="1">
        <f t="array" ref="F138">Common_InputFunctions.Utility_DisplayArrayInTable(Fertiliser_SourceData.Fertiliser_Products_Data2(), FertiliserProducts[[#Headers],[Company]],31)</f>
        <v>L</v>
      </c>
      <c r="G138" s="152" cm="1">
        <f t="array" ref="G138">Common_InputFunctions.Utility_DisplayArrayInTable(Fertiliser_SourceData.Fertiliser_Products_Data2(), FertiliserProducts[[#Headers],[Company]],31)</f>
        <v>1.32</v>
      </c>
      <c r="H138" s="152" t="str" cm="1">
        <f t="array" ref="H138">Common_InputFunctions.Utility_DisplayArrayInTable(Fertiliser_SourceData.Fertiliser_Products_Data2(), FertiliserProducts[[#Headers],[Company]],31)</f>
        <v/>
      </c>
      <c r="I138" s="152" t="str" cm="1">
        <f t="array" ref="I138">Common_InputFunctions.Utility_DisplayArrayInTable(Fertiliser_SourceData.Fertiliser_Products_Data2(), FertiliserProducts[[#Headers],[Company]],31)</f>
        <v>China</v>
      </c>
      <c r="J138" s="152" t="str" cm="1">
        <f t="array" ref="J138">Common_InputFunctions.Utility_DisplayArrayInTable(Fertiliser_SourceData.Fertiliser_Products_Data2(), FertiliserProducts[[#Headers],[Company]],31)</f>
        <v>China</v>
      </c>
      <c r="K138" s="152" cm="1">
        <f t="array" ref="K138">Common_InputFunctions.Utility_DisplayArrayInTable(Fertiliser_SourceData.Fertiliser_Products_Data2(), FertiliserProducts[[#Headers],[Company]],31)</f>
        <v>32</v>
      </c>
      <c r="L138" s="152" t="str" cm="1">
        <f t="array" ref="L138">Common_InputFunctions.Utility_DisplayArrayInTable(Fertiliser_SourceData.Fertiliser_Products_Data2(), FertiliserProducts[[#Headers],[Company]],31)</f>
        <v/>
      </c>
      <c r="M138" s="152" t="str" cm="1">
        <f t="array" ref="M138">Common_InputFunctions.Utility_DisplayArrayInTable(Fertiliser_SourceData.Fertiliser_Products_Data2(), FertiliserProducts[[#Headers],[Company]],31)</f>
        <v/>
      </c>
      <c r="N138" s="152" t="str" cm="1">
        <f t="array" ref="N138">Common_InputFunctions.Utility_DisplayArrayInTable(Fertiliser_SourceData.Fertiliser_Products_Data2(), FertiliserProducts[[#Headers],[Company]],31)</f>
        <v/>
      </c>
      <c r="O138" s="152" t="str" cm="1">
        <f t="array" ref="O138">Common_InputFunctions.Utility_DisplayArrayInTable(Fertiliser_SourceData.Fertiliser_Products_Data2(), FertiliserProducts[[#Headers],[Company]],31)</f>
        <v>Urea-ammonium nitrate (UAN)</v>
      </c>
      <c r="P138" s="152" cm="1">
        <f t="array" ref="P138">Common_InputFunctions.Utility_DisplayArrayInTable(Fertiliser_SourceData.Fertiliser_Products_Data2(), FertiliserProducts[[#Headers],[Company]],31)</f>
        <v>1</v>
      </c>
      <c r="Q138" s="152" t="str" cm="1">
        <f t="array" ref="Q138">Common_InputFunctions.Utility_DisplayArrayInTable(Fertiliser_SourceData.Fertiliser_Products_Data2(), FertiliserProducts[[#Headers],[Company]],31)</f>
        <v/>
      </c>
      <c r="R138" s="152" t="str" cm="1">
        <f t="array" ref="R138">Common_InputFunctions.Utility_DisplayArrayInTable(Fertiliser_SourceData.Fertiliser_Products_Data2(), FertiliserProducts[[#Headers],[Company]],31)</f>
        <v/>
      </c>
      <c r="S138" s="152" t="str" cm="1">
        <f t="array" ref="S138">Common_InputFunctions.Utility_DisplayArrayInTable(Fertiliser_SourceData.Fertiliser_Products_Data2(), FertiliserProducts[[#Headers],[Company]],31)</f>
        <v/>
      </c>
      <c r="T138" s="152" t="str" cm="1">
        <f t="array" ref="T138">Common_InputFunctions.Utility_DisplayArrayInTable(Fertiliser_SourceData.Fertiliser_Products_Data2(), FertiliserProducts[[#Headers],[Company]],31)</f>
        <v/>
      </c>
      <c r="U138" s="152" t="str" cm="1">
        <f t="array" ref="U138">Common_InputFunctions.Utility_DisplayArrayInTable(Fertiliser_SourceData.Fertiliser_Products_Data2(), FertiliserProducts[[#Headers],[Company]],31)</f>
        <v/>
      </c>
      <c r="V138" s="152" t="str" cm="1">
        <f t="array" ref="V138">Common_InputFunctions.Utility_DisplayArrayInTable(Fertiliser_SourceData.Fertiliser_Products_Data2(), FertiliserProducts[[#Headers],[Company]],31)</f>
        <v/>
      </c>
      <c r="W138" s="152" t="str" cm="1">
        <f t="array" ref="W138">Common_InputFunctions.Utility_DisplayArrayInTable(Fertiliser_SourceData.Fertiliser_Products_Data2(), FertiliserProducts[[#Headers],[Company]],31)</f>
        <v/>
      </c>
      <c r="X138" s="152" t="str" cm="1">
        <f t="array" ref="X138">Common_InputFunctions.Utility_DisplayArrayInTable(Fertiliser_SourceData.Fertiliser_Products_Data2(), FertiliserProducts[[#Headers],[Company]],31)</f>
        <v/>
      </c>
      <c r="Y138" s="152" t="str" cm="1">
        <f t="array" ref="Y138">Common_InputFunctions.Utility_DisplayArrayInTable(Fertiliser_SourceData.Fertiliser_Products_Data2(), FertiliserProducts[[#Headers],[Company]],31)</f>
        <v/>
      </c>
      <c r="Z138" s="152" t="str" cm="1">
        <f t="array" ref="Z138">Common_InputFunctions.Utility_DisplayArrayInTable(Fertiliser_SourceData.Fertiliser_Products_Data2(), FertiliserProducts[[#Headers],[Company]],31)</f>
        <v/>
      </c>
      <c r="AA138" s="152" t="str" cm="1">
        <f t="array" ref="AA138">Common_InputFunctions.Utility_DisplayArrayInTable(Fertiliser_SourceData.Fertiliser_Products_Data2(), FertiliserProducts[[#Headers],[Company]],31)</f>
        <v/>
      </c>
      <c r="AB138" s="152" t="str" cm="1">
        <f t="array" ref="AB138">Common_InputFunctions.Utility_DisplayArrayInTable(Fertiliser_SourceData.Fertiliser_Products_Data2(), FertiliserProducts[[#Headers],[Company]],31)</f>
        <v/>
      </c>
      <c r="AC138" s="152" t="str" cm="1">
        <f t="array" ref="AC138">Common_InputFunctions.Utility_DisplayArrayInTable(Fertiliser_SourceData.Fertiliser_Products_Data2(), FertiliserProducts[[#Headers],[Company]],31)</f>
        <v/>
      </c>
      <c r="AD138" s="152" t="str" cm="1">
        <f t="array" ref="AD138">Common_InputFunctions.Utility_DisplayArrayInTable(Fertiliser_SourceData.Fertiliser_Products_Data2(), FertiliserProducts[[#Headers],[Company]],31)</f>
        <v/>
      </c>
      <c r="AE138" s="152" t="str" cm="1">
        <f t="array" ref="AE138">Common_InputFunctions.Utility_DisplayArrayInTable(Fertiliser_SourceData.Fertiliser_Products_Data2(), FertiliserProducts[[#Headers],[Company]],31)</f>
        <v/>
      </c>
      <c r="AF138" s="152" t="str" cm="1">
        <f t="array" ref="AF138">Common_InputFunctions.Utility_DisplayArrayInTable(Fertiliser_SourceData.Fertiliser_Products_Data2(), FertiliserProducts[[#Headers],[Company]],31)</f>
        <v/>
      </c>
      <c r="AG138" s="152" t="str" cm="1">
        <f t="array" ref="AG138">Common_InputFunctions.Utility_DisplayArrayInTable(Fertiliser_SourceData.Fertiliser_Products_Data2(), FertiliserProducts[[#Headers],[Company]],31)</f>
        <v/>
      </c>
      <c r="AH138" s="152"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52" t="str" cm="1">
        <f t="array" ref="D139">Common_InputFunctions.Utility_DisplayArrayInTable(Fertiliser_SourceData.Fertiliser_Products_Data2(), FertiliserProducts[[#Headers],[Company]],31)</f>
        <v>Risso-Chemical</v>
      </c>
      <c r="E139" s="152" t="str" cm="1">
        <f t="array" ref="E139">Common_InputFunctions.Utility_DisplayArrayInTable(Fertiliser_SourceData.Fertiliser_Products_Data2(), FertiliserProducts[[#Headers],[Company]],31)</f>
        <v>Polypeptide Urea</v>
      </c>
      <c r="F139" s="152" t="str" cm="1">
        <f t="array" ref="F139">Common_InputFunctions.Utility_DisplayArrayInTable(Fertiliser_SourceData.Fertiliser_Products_Data2(), FertiliserProducts[[#Headers],[Company]],31)</f>
        <v>kg</v>
      </c>
      <c r="G139" s="152" cm="1">
        <f t="array" ref="G139">Common_InputFunctions.Utility_DisplayArrayInTable(Fertiliser_SourceData.Fertiliser_Products_Data2(), FertiliserProducts[[#Headers],[Company]],31)</f>
        <v>1</v>
      </c>
      <c r="H139" s="152" t="str" cm="1">
        <f t="array" ref="H139">Common_InputFunctions.Utility_DisplayArrayInTable(Fertiliser_SourceData.Fertiliser_Products_Data2(), FertiliserProducts[[#Headers],[Company]],31)</f>
        <v/>
      </c>
      <c r="I139" s="152" t="str" cm="1">
        <f t="array" ref="I139">Common_InputFunctions.Utility_DisplayArrayInTable(Fertiliser_SourceData.Fertiliser_Products_Data2(), FertiliserProducts[[#Headers],[Company]],31)</f>
        <v>China</v>
      </c>
      <c r="J139" s="152" t="str" cm="1">
        <f t="array" ref="J139">Common_InputFunctions.Utility_DisplayArrayInTable(Fertiliser_SourceData.Fertiliser_Products_Data2(), FertiliserProducts[[#Headers],[Company]],31)</f>
        <v/>
      </c>
      <c r="K139" s="152" cm="1">
        <f t="array" ref="K139">Common_InputFunctions.Utility_DisplayArrayInTable(Fertiliser_SourceData.Fertiliser_Products_Data2(), FertiliserProducts[[#Headers],[Company]],31)</f>
        <v>46</v>
      </c>
      <c r="L139" s="152" t="str" cm="1">
        <f t="array" ref="L139">Common_InputFunctions.Utility_DisplayArrayInTable(Fertiliser_SourceData.Fertiliser_Products_Data2(), FertiliserProducts[[#Headers],[Company]],31)</f>
        <v/>
      </c>
      <c r="M139" s="152" t="str" cm="1">
        <f t="array" ref="M139">Common_InputFunctions.Utility_DisplayArrayInTable(Fertiliser_SourceData.Fertiliser_Products_Data2(), FertiliserProducts[[#Headers],[Company]],31)</f>
        <v/>
      </c>
      <c r="N139" s="152" t="str" cm="1">
        <f t="array" ref="N139">Common_InputFunctions.Utility_DisplayArrayInTable(Fertiliser_SourceData.Fertiliser_Products_Data2(), FertiliserProducts[[#Headers],[Company]],31)</f>
        <v/>
      </c>
      <c r="O139" s="152" t="str" cm="1">
        <f t="array" ref="O139">Common_InputFunctions.Utility_DisplayArrayInTable(Fertiliser_SourceData.Fertiliser_Products_Data2(), FertiliserProducts[[#Headers],[Company]],31)</f>
        <v>Urea</v>
      </c>
      <c r="P139" s="152" cm="1">
        <f t="array" ref="P139">Common_InputFunctions.Utility_DisplayArrayInTable(Fertiliser_SourceData.Fertiliser_Products_Data2(), FertiliserProducts[[#Headers],[Company]],31)</f>
        <v>1</v>
      </c>
      <c r="Q139" s="152" t="str" cm="1">
        <f t="array" ref="Q139">Common_InputFunctions.Utility_DisplayArrayInTable(Fertiliser_SourceData.Fertiliser_Products_Data2(), FertiliserProducts[[#Headers],[Company]],31)</f>
        <v>Polypeptide (amino acids)</v>
      </c>
      <c r="R139" s="152" cm="1">
        <f t="array" ref="R139">Common_InputFunctions.Utility_DisplayArrayInTable(Fertiliser_SourceData.Fertiliser_Products_Data2(), FertiliserProducts[[#Headers],[Company]],31)</f>
        <v>0</v>
      </c>
      <c r="S139" s="152" t="str" cm="1">
        <f t="array" ref="S139">Common_InputFunctions.Utility_DisplayArrayInTable(Fertiliser_SourceData.Fertiliser_Products_Data2(), FertiliserProducts[[#Headers],[Company]],31)</f>
        <v/>
      </c>
      <c r="T139" s="152" t="str" cm="1">
        <f t="array" ref="T139">Common_InputFunctions.Utility_DisplayArrayInTable(Fertiliser_SourceData.Fertiliser_Products_Data2(), FertiliserProducts[[#Headers],[Company]],31)</f>
        <v/>
      </c>
      <c r="U139" s="152" t="str" cm="1">
        <f t="array" ref="U139">Common_InputFunctions.Utility_DisplayArrayInTable(Fertiliser_SourceData.Fertiliser_Products_Data2(), FertiliserProducts[[#Headers],[Company]],31)</f>
        <v/>
      </c>
      <c r="V139" s="152" t="str" cm="1">
        <f t="array" ref="V139">Common_InputFunctions.Utility_DisplayArrayInTable(Fertiliser_SourceData.Fertiliser_Products_Data2(), FertiliserProducts[[#Headers],[Company]],31)</f>
        <v/>
      </c>
      <c r="W139" s="152" t="str" cm="1">
        <f t="array" ref="W139">Common_InputFunctions.Utility_DisplayArrayInTable(Fertiliser_SourceData.Fertiliser_Products_Data2(), FertiliserProducts[[#Headers],[Company]],31)</f>
        <v/>
      </c>
      <c r="X139" s="152" t="str" cm="1">
        <f t="array" ref="X139">Common_InputFunctions.Utility_DisplayArrayInTable(Fertiliser_SourceData.Fertiliser_Products_Data2(), FertiliserProducts[[#Headers],[Company]],31)</f>
        <v/>
      </c>
      <c r="Y139" s="152" t="str" cm="1">
        <f t="array" ref="Y139">Common_InputFunctions.Utility_DisplayArrayInTable(Fertiliser_SourceData.Fertiliser_Products_Data2(), FertiliserProducts[[#Headers],[Company]],31)</f>
        <v/>
      </c>
      <c r="Z139" s="152" t="str" cm="1">
        <f t="array" ref="Z139">Common_InputFunctions.Utility_DisplayArrayInTable(Fertiliser_SourceData.Fertiliser_Products_Data2(), FertiliserProducts[[#Headers],[Company]],31)</f>
        <v/>
      </c>
      <c r="AA139" s="152" t="str" cm="1">
        <f t="array" ref="AA139">Common_InputFunctions.Utility_DisplayArrayInTable(Fertiliser_SourceData.Fertiliser_Products_Data2(), FertiliserProducts[[#Headers],[Company]],31)</f>
        <v/>
      </c>
      <c r="AB139" s="152" t="str" cm="1">
        <f t="array" ref="AB139">Common_InputFunctions.Utility_DisplayArrayInTable(Fertiliser_SourceData.Fertiliser_Products_Data2(), FertiliserProducts[[#Headers],[Company]],31)</f>
        <v/>
      </c>
      <c r="AC139" s="152" t="str" cm="1">
        <f t="array" ref="AC139">Common_InputFunctions.Utility_DisplayArrayInTable(Fertiliser_SourceData.Fertiliser_Products_Data2(), FertiliserProducts[[#Headers],[Company]],31)</f>
        <v/>
      </c>
      <c r="AD139" s="152" t="str" cm="1">
        <f t="array" ref="AD139">Common_InputFunctions.Utility_DisplayArrayInTable(Fertiliser_SourceData.Fertiliser_Products_Data2(), FertiliserProducts[[#Headers],[Company]],31)</f>
        <v/>
      </c>
      <c r="AE139" s="152" t="str" cm="1">
        <f t="array" ref="AE139">Common_InputFunctions.Utility_DisplayArrayInTable(Fertiliser_SourceData.Fertiliser_Products_Data2(), FertiliserProducts[[#Headers],[Company]],31)</f>
        <v/>
      </c>
      <c r="AF139" s="152" t="str" cm="1">
        <f t="array" ref="AF139">Common_InputFunctions.Utility_DisplayArrayInTable(Fertiliser_SourceData.Fertiliser_Products_Data2(), FertiliserProducts[[#Headers],[Company]],31)</f>
        <v/>
      </c>
      <c r="AG139" s="152" t="str" cm="1">
        <f t="array" ref="AG139">Common_InputFunctions.Utility_DisplayArrayInTable(Fertiliser_SourceData.Fertiliser_Products_Data2(), FertiliserProducts[[#Headers],[Company]],31)</f>
        <v/>
      </c>
      <c r="AH139" s="152"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52" t="str" cm="1">
        <f t="array" ref="D140">Common_InputFunctions.Utility_DisplayArrayInTable(Fertiliser_SourceData.Fertiliser_Products_Data2(), FertiliserProducts[[#Headers],[Company]],31)</f>
        <v>Yara Australia</v>
      </c>
      <c r="E140" s="152" t="str" cm="1">
        <f t="array" ref="E140">Common_InputFunctions.Utility_DisplayArrayInTable(Fertiliser_SourceData.Fertiliser_Products_Data2(), FertiliserProducts[[#Headers],[Company]],31)</f>
        <v>YaraTera CALCINIT</v>
      </c>
      <c r="F140" s="152" t="str" cm="1">
        <f t="array" ref="F140">Common_InputFunctions.Utility_DisplayArrayInTable(Fertiliser_SourceData.Fertiliser_Products_Data2(), FertiliserProducts[[#Headers],[Company]],31)</f>
        <v>kg</v>
      </c>
      <c r="G140" s="152" cm="1">
        <f t="array" ref="G140">Common_InputFunctions.Utility_DisplayArrayInTable(Fertiliser_SourceData.Fertiliser_Products_Data2(), FertiliserProducts[[#Headers],[Company]],31)</f>
        <v>1</v>
      </c>
      <c r="H140" s="152" t="str" cm="1">
        <f t="array" ref="H140">Common_InputFunctions.Utility_DisplayArrayInTable(Fertiliser_SourceData.Fertiliser_Products_Data2(), FertiliserProducts[[#Headers],[Company]],31)</f>
        <v/>
      </c>
      <c r="I140" s="152" t="str" cm="1">
        <f t="array" ref="I140">Common_InputFunctions.Utility_DisplayArrayInTable(Fertiliser_SourceData.Fertiliser_Products_Data2(), FertiliserProducts[[#Headers],[Company]],31)</f>
        <v/>
      </c>
      <c r="J140" s="152" t="str" cm="1">
        <f t="array" ref="J140">Common_InputFunctions.Utility_DisplayArrayInTable(Fertiliser_SourceData.Fertiliser_Products_Data2(), FertiliserProducts[[#Headers],[Company]],31)</f>
        <v/>
      </c>
      <c r="K140" s="152" cm="1">
        <f t="array" ref="K140">Common_InputFunctions.Utility_DisplayArrayInTable(Fertiliser_SourceData.Fertiliser_Products_Data2(), FertiliserProducts[[#Headers],[Company]],31)</f>
        <v>15.5</v>
      </c>
      <c r="L140" s="152" t="str" cm="1">
        <f t="array" ref="L140">Common_InputFunctions.Utility_DisplayArrayInTable(Fertiliser_SourceData.Fertiliser_Products_Data2(), FertiliserProducts[[#Headers],[Company]],31)</f>
        <v/>
      </c>
      <c r="M140" s="152" t="str" cm="1">
        <f t="array" ref="M140">Common_InputFunctions.Utility_DisplayArrayInTable(Fertiliser_SourceData.Fertiliser_Products_Data2(), FertiliserProducts[[#Headers],[Company]],31)</f>
        <v/>
      </c>
      <c r="N140" s="152" t="str" cm="1">
        <f t="array" ref="N140">Common_InputFunctions.Utility_DisplayArrayInTable(Fertiliser_SourceData.Fertiliser_Products_Data2(), FertiliserProducts[[#Headers],[Company]],31)</f>
        <v/>
      </c>
      <c r="O140" s="152" t="str" cm="1">
        <f t="array" ref="O140">Common_InputFunctions.Utility_DisplayArrayInTable(Fertiliser_SourceData.Fertiliser_Products_Data2(), FertiliserProducts[[#Headers],[Company]],31)</f>
        <v>Calcium nitrate</v>
      </c>
      <c r="P140" s="152" cm="1">
        <f t="array" ref="P140">Common_InputFunctions.Utility_DisplayArrayInTable(Fertiliser_SourceData.Fertiliser_Products_Data2(), FertiliserProducts[[#Headers],[Company]],31)</f>
        <v>1</v>
      </c>
      <c r="Q140" s="152" t="str" cm="1">
        <f t="array" ref="Q140">Common_InputFunctions.Utility_DisplayArrayInTable(Fertiliser_SourceData.Fertiliser_Products_Data2(), FertiliserProducts[[#Headers],[Company]],31)</f>
        <v/>
      </c>
      <c r="R140" s="152" t="str" cm="1">
        <f t="array" ref="R140">Common_InputFunctions.Utility_DisplayArrayInTable(Fertiliser_SourceData.Fertiliser_Products_Data2(), FertiliserProducts[[#Headers],[Company]],31)</f>
        <v/>
      </c>
      <c r="S140" s="152" t="str" cm="1">
        <f t="array" ref="S140">Common_InputFunctions.Utility_DisplayArrayInTable(Fertiliser_SourceData.Fertiliser_Products_Data2(), FertiliserProducts[[#Headers],[Company]],31)</f>
        <v/>
      </c>
      <c r="T140" s="152" t="str" cm="1">
        <f t="array" ref="T140">Common_InputFunctions.Utility_DisplayArrayInTable(Fertiliser_SourceData.Fertiliser_Products_Data2(), FertiliserProducts[[#Headers],[Company]],31)</f>
        <v/>
      </c>
      <c r="U140" s="152" t="str" cm="1">
        <f t="array" ref="U140">Common_InputFunctions.Utility_DisplayArrayInTable(Fertiliser_SourceData.Fertiliser_Products_Data2(), FertiliserProducts[[#Headers],[Company]],31)</f>
        <v/>
      </c>
      <c r="V140" s="152" t="str" cm="1">
        <f t="array" ref="V140">Common_InputFunctions.Utility_DisplayArrayInTable(Fertiliser_SourceData.Fertiliser_Products_Data2(), FertiliserProducts[[#Headers],[Company]],31)</f>
        <v/>
      </c>
      <c r="W140" s="152" t="str" cm="1">
        <f t="array" ref="W140">Common_InputFunctions.Utility_DisplayArrayInTable(Fertiliser_SourceData.Fertiliser_Products_Data2(), FertiliserProducts[[#Headers],[Company]],31)</f>
        <v/>
      </c>
      <c r="X140" s="152" t="str" cm="1">
        <f t="array" ref="X140">Common_InputFunctions.Utility_DisplayArrayInTable(Fertiliser_SourceData.Fertiliser_Products_Data2(), FertiliserProducts[[#Headers],[Company]],31)</f>
        <v/>
      </c>
      <c r="Y140" s="152" t="str" cm="1">
        <f t="array" ref="Y140">Common_InputFunctions.Utility_DisplayArrayInTable(Fertiliser_SourceData.Fertiliser_Products_Data2(), FertiliserProducts[[#Headers],[Company]],31)</f>
        <v/>
      </c>
      <c r="Z140" s="152" t="str" cm="1">
        <f t="array" ref="Z140">Common_InputFunctions.Utility_DisplayArrayInTable(Fertiliser_SourceData.Fertiliser_Products_Data2(), FertiliserProducts[[#Headers],[Company]],31)</f>
        <v/>
      </c>
      <c r="AA140" s="152" t="str" cm="1">
        <f t="array" ref="AA140">Common_InputFunctions.Utility_DisplayArrayInTable(Fertiliser_SourceData.Fertiliser_Products_Data2(), FertiliserProducts[[#Headers],[Company]],31)</f>
        <v/>
      </c>
      <c r="AB140" s="152" t="str" cm="1">
        <f t="array" ref="AB140">Common_InputFunctions.Utility_DisplayArrayInTable(Fertiliser_SourceData.Fertiliser_Products_Data2(), FertiliserProducts[[#Headers],[Company]],31)</f>
        <v/>
      </c>
      <c r="AC140" s="152" t="str" cm="1">
        <f t="array" ref="AC140">Common_InputFunctions.Utility_DisplayArrayInTable(Fertiliser_SourceData.Fertiliser_Products_Data2(), FertiliserProducts[[#Headers],[Company]],31)</f>
        <v/>
      </c>
      <c r="AD140" s="152" t="str" cm="1">
        <f t="array" ref="AD140">Common_InputFunctions.Utility_DisplayArrayInTable(Fertiliser_SourceData.Fertiliser_Products_Data2(), FertiliserProducts[[#Headers],[Company]],31)</f>
        <v/>
      </c>
      <c r="AE140" s="152" t="str" cm="1">
        <f t="array" ref="AE140">Common_InputFunctions.Utility_DisplayArrayInTable(Fertiliser_SourceData.Fertiliser_Products_Data2(), FertiliserProducts[[#Headers],[Company]],31)</f>
        <v/>
      </c>
      <c r="AF140" s="152" t="str" cm="1">
        <f t="array" ref="AF140">Common_InputFunctions.Utility_DisplayArrayInTable(Fertiliser_SourceData.Fertiliser_Products_Data2(), FertiliserProducts[[#Headers],[Company]],31)</f>
        <v/>
      </c>
      <c r="AG140" s="152" t="str" cm="1">
        <f t="array" ref="AG140">Common_InputFunctions.Utility_DisplayArrayInTable(Fertiliser_SourceData.Fertiliser_Products_Data2(), FertiliserProducts[[#Headers],[Company]],31)</f>
        <v/>
      </c>
      <c r="AH140" s="152"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52" t="str" cm="1">
        <f t="array" ref="D141">Common_InputFunctions.Utility_DisplayArrayInTable(Fertiliser_SourceData.Fertiliser_Products_Data2(), FertiliserProducts[[#Headers],[Company]],31)</f>
        <v>Yara Australia</v>
      </c>
      <c r="E141" s="152" t="str" cm="1">
        <f t="array" ref="E141">Common_InputFunctions.Utility_DisplayArrayInTable(Fertiliser_SourceData.Fertiliser_Products_Data2(), FertiliserProducts[[#Headers],[Company]],31)</f>
        <v>YaraLiva NITRABOR</v>
      </c>
      <c r="F141" s="152" t="str" cm="1">
        <f t="array" ref="F141">Common_InputFunctions.Utility_DisplayArrayInTable(Fertiliser_SourceData.Fertiliser_Products_Data2(), FertiliserProducts[[#Headers],[Company]],31)</f>
        <v>kg</v>
      </c>
      <c r="G141" s="152" cm="1">
        <f t="array" ref="G141">Common_InputFunctions.Utility_DisplayArrayInTable(Fertiliser_SourceData.Fertiliser_Products_Data2(), FertiliserProducts[[#Headers],[Company]],31)</f>
        <v>1</v>
      </c>
      <c r="H141" s="152" t="str" cm="1">
        <f t="array" ref="H141">Common_InputFunctions.Utility_DisplayArrayInTable(Fertiliser_SourceData.Fertiliser_Products_Data2(), FertiliserProducts[[#Headers],[Company]],31)</f>
        <v/>
      </c>
      <c r="I141" s="152" t="str" cm="1">
        <f t="array" ref="I141">Common_InputFunctions.Utility_DisplayArrayInTable(Fertiliser_SourceData.Fertiliser_Products_Data2(), FertiliserProducts[[#Headers],[Company]],31)</f>
        <v/>
      </c>
      <c r="J141" s="152" t="str" cm="1">
        <f t="array" ref="J141">Common_InputFunctions.Utility_DisplayArrayInTable(Fertiliser_SourceData.Fertiliser_Products_Data2(), FertiliserProducts[[#Headers],[Company]],31)</f>
        <v/>
      </c>
      <c r="K141" s="152" cm="1">
        <f t="array" ref="K141">Common_InputFunctions.Utility_DisplayArrayInTable(Fertiliser_SourceData.Fertiliser_Products_Data2(), FertiliserProducts[[#Headers],[Company]],31)</f>
        <v>15.4</v>
      </c>
      <c r="L141" s="152" t="str" cm="1">
        <f t="array" ref="L141">Common_InputFunctions.Utility_DisplayArrayInTable(Fertiliser_SourceData.Fertiliser_Products_Data2(), FertiliserProducts[[#Headers],[Company]],31)</f>
        <v/>
      </c>
      <c r="M141" s="152" t="str" cm="1">
        <f t="array" ref="M141">Common_InputFunctions.Utility_DisplayArrayInTable(Fertiliser_SourceData.Fertiliser_Products_Data2(), FertiliserProducts[[#Headers],[Company]],31)</f>
        <v/>
      </c>
      <c r="N141" s="152" t="str" cm="1">
        <f t="array" ref="N141">Common_InputFunctions.Utility_DisplayArrayInTable(Fertiliser_SourceData.Fertiliser_Products_Data2(), FertiliserProducts[[#Headers],[Company]],31)</f>
        <v/>
      </c>
      <c r="O141" s="152" t="str" cm="1">
        <f t="array" ref="O141">Common_InputFunctions.Utility_DisplayArrayInTable(Fertiliser_SourceData.Fertiliser_Products_Data2(), FertiliserProducts[[#Headers],[Company]],31)</f>
        <v>Calcium nitrate</v>
      </c>
      <c r="P141" s="152" cm="1">
        <f t="array" ref="P141">Common_InputFunctions.Utility_DisplayArrayInTable(Fertiliser_SourceData.Fertiliser_Products_Data2(), FertiliserProducts[[#Headers],[Company]],31)</f>
        <v>0.99354799999999999</v>
      </c>
      <c r="Q141" s="152" t="str" cm="1">
        <f t="array" ref="Q141">Common_InputFunctions.Utility_DisplayArrayInTable(Fertiliser_SourceData.Fertiliser_Products_Data2(), FertiliserProducts[[#Headers],[Company]],31)</f>
        <v>Boron</v>
      </c>
      <c r="R141" s="152" cm="1">
        <f t="array" ref="R141">Common_InputFunctions.Utility_DisplayArrayInTable(Fertiliser_SourceData.Fertiliser_Products_Data2(), FertiliserProducts[[#Headers],[Company]],31)</f>
        <v>3.0000000000000001E-3</v>
      </c>
      <c r="S141" s="152" t="str" cm="1">
        <f t="array" ref="S141">Common_InputFunctions.Utility_DisplayArrayInTable(Fertiliser_SourceData.Fertiliser_Products_Data2(), FertiliserProducts[[#Headers],[Company]],31)</f>
        <v/>
      </c>
      <c r="T141" s="152" t="str" cm="1">
        <f t="array" ref="T141">Common_InputFunctions.Utility_DisplayArrayInTable(Fertiliser_SourceData.Fertiliser_Products_Data2(), FertiliserProducts[[#Headers],[Company]],31)</f>
        <v/>
      </c>
      <c r="U141" s="152" t="str" cm="1">
        <f t="array" ref="U141">Common_InputFunctions.Utility_DisplayArrayInTable(Fertiliser_SourceData.Fertiliser_Products_Data2(), FertiliserProducts[[#Headers],[Company]],31)</f>
        <v/>
      </c>
      <c r="V141" s="152" t="str" cm="1">
        <f t="array" ref="V141">Common_InputFunctions.Utility_DisplayArrayInTable(Fertiliser_SourceData.Fertiliser_Products_Data2(), FertiliserProducts[[#Headers],[Company]],31)</f>
        <v/>
      </c>
      <c r="W141" s="152" t="str" cm="1">
        <f t="array" ref="W141">Common_InputFunctions.Utility_DisplayArrayInTable(Fertiliser_SourceData.Fertiliser_Products_Data2(), FertiliserProducts[[#Headers],[Company]],31)</f>
        <v/>
      </c>
      <c r="X141" s="152" t="str" cm="1">
        <f t="array" ref="X141">Common_InputFunctions.Utility_DisplayArrayInTable(Fertiliser_SourceData.Fertiliser_Products_Data2(), FertiliserProducts[[#Headers],[Company]],31)</f>
        <v/>
      </c>
      <c r="Y141" s="152" t="str" cm="1">
        <f t="array" ref="Y141">Common_InputFunctions.Utility_DisplayArrayInTable(Fertiliser_SourceData.Fertiliser_Products_Data2(), FertiliserProducts[[#Headers],[Company]],31)</f>
        <v/>
      </c>
      <c r="Z141" s="152" t="str" cm="1">
        <f t="array" ref="Z141">Common_InputFunctions.Utility_DisplayArrayInTable(Fertiliser_SourceData.Fertiliser_Products_Data2(), FertiliserProducts[[#Headers],[Company]],31)</f>
        <v/>
      </c>
      <c r="AA141" s="152" t="str" cm="1">
        <f t="array" ref="AA141">Common_InputFunctions.Utility_DisplayArrayInTable(Fertiliser_SourceData.Fertiliser_Products_Data2(), FertiliserProducts[[#Headers],[Company]],31)</f>
        <v/>
      </c>
      <c r="AB141" s="152" t="str" cm="1">
        <f t="array" ref="AB141">Common_InputFunctions.Utility_DisplayArrayInTable(Fertiliser_SourceData.Fertiliser_Products_Data2(), FertiliserProducts[[#Headers],[Company]],31)</f>
        <v/>
      </c>
      <c r="AC141" s="152" t="str" cm="1">
        <f t="array" ref="AC141">Common_InputFunctions.Utility_DisplayArrayInTable(Fertiliser_SourceData.Fertiliser_Products_Data2(), FertiliserProducts[[#Headers],[Company]],31)</f>
        <v/>
      </c>
      <c r="AD141" s="152" t="str" cm="1">
        <f t="array" ref="AD141">Common_InputFunctions.Utility_DisplayArrayInTable(Fertiliser_SourceData.Fertiliser_Products_Data2(), FertiliserProducts[[#Headers],[Company]],31)</f>
        <v/>
      </c>
      <c r="AE141" s="152" t="str" cm="1">
        <f t="array" ref="AE141">Common_InputFunctions.Utility_DisplayArrayInTable(Fertiliser_SourceData.Fertiliser_Products_Data2(), FertiliserProducts[[#Headers],[Company]],31)</f>
        <v/>
      </c>
      <c r="AF141" s="152" t="str" cm="1">
        <f t="array" ref="AF141">Common_InputFunctions.Utility_DisplayArrayInTable(Fertiliser_SourceData.Fertiliser_Products_Data2(), FertiliserProducts[[#Headers],[Company]],31)</f>
        <v/>
      </c>
      <c r="AG141" s="152" t="str" cm="1">
        <f t="array" ref="AG141">Common_InputFunctions.Utility_DisplayArrayInTable(Fertiliser_SourceData.Fertiliser_Products_Data2(), FertiliserProducts[[#Headers],[Company]],31)</f>
        <v/>
      </c>
      <c r="AH141" s="152"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52" t="str" cm="1">
        <f t="array" ref="D142">Common_InputFunctions.Utility_DisplayArrayInTable(Fertiliser_SourceData.Fertiliser_Products_Data2(), FertiliserProducts[[#Headers],[Company]],31)</f>
        <v>Yara Australia</v>
      </c>
      <c r="E142" s="152" t="str" cm="1">
        <f t="array" ref="E142">Common_InputFunctions.Utility_DisplayArrayInTable(Fertiliser_SourceData.Fertiliser_Products_Data2(), FertiliserProducts[[#Headers],[Company]],31)</f>
        <v>YaraMila COMPLEX</v>
      </c>
      <c r="F142" s="152" t="str" cm="1">
        <f t="array" ref="F142">Common_InputFunctions.Utility_DisplayArrayInTable(Fertiliser_SourceData.Fertiliser_Products_Data2(), FertiliserProducts[[#Headers],[Company]],31)</f>
        <v>kg</v>
      </c>
      <c r="G142" s="152" cm="1">
        <f t="array" ref="G142">Common_InputFunctions.Utility_DisplayArrayInTable(Fertiliser_SourceData.Fertiliser_Products_Data2(), FertiliserProducts[[#Headers],[Company]],31)</f>
        <v>1</v>
      </c>
      <c r="H142" s="152" t="str" cm="1">
        <f t="array" ref="H142">Common_InputFunctions.Utility_DisplayArrayInTable(Fertiliser_SourceData.Fertiliser_Products_Data2(), FertiliserProducts[[#Headers],[Company]],31)</f>
        <v/>
      </c>
      <c r="I142" s="152" t="str" cm="1">
        <f t="array" ref="I142">Common_InputFunctions.Utility_DisplayArrayInTable(Fertiliser_SourceData.Fertiliser_Products_Data2(), FertiliserProducts[[#Headers],[Company]],31)</f>
        <v/>
      </c>
      <c r="J142" s="152" t="str" cm="1">
        <f t="array" ref="J142">Common_InputFunctions.Utility_DisplayArrayInTable(Fertiliser_SourceData.Fertiliser_Products_Data2(), FertiliserProducts[[#Headers],[Company]],31)</f>
        <v/>
      </c>
      <c r="K142" s="152" cm="1">
        <f t="array" ref="K142">Common_InputFunctions.Utility_DisplayArrayInTable(Fertiliser_SourceData.Fertiliser_Products_Data2(), FertiliserProducts[[#Headers],[Company]],31)</f>
        <v>12</v>
      </c>
      <c r="L142" s="152" cm="1">
        <f t="array" ref="L142">Common_InputFunctions.Utility_DisplayArrayInTable(Fertiliser_SourceData.Fertiliser_Products_Data2(), FertiliserProducts[[#Headers],[Company]],31)</f>
        <v>5</v>
      </c>
      <c r="M142" s="152" cm="1">
        <f t="array" ref="M142">Common_InputFunctions.Utility_DisplayArrayInTable(Fertiliser_SourceData.Fertiliser_Products_Data2(), FertiliserProducts[[#Headers],[Company]],31)</f>
        <v>15</v>
      </c>
      <c r="N142" s="152" cm="1">
        <f t="array" ref="N142">Common_InputFunctions.Utility_DisplayArrayInTable(Fertiliser_SourceData.Fertiliser_Products_Data2(), FertiliserProducts[[#Headers],[Company]],31)</f>
        <v>8</v>
      </c>
      <c r="O142" s="152" t="str" cm="1">
        <f t="array" ref="O142">Common_InputFunctions.Utility_DisplayArrayInTable(Fertiliser_SourceData.Fertiliser_Products_Data2(), FertiliserProducts[[#Headers],[Company]],31)</f>
        <v>Nitrogen - Nitrate</v>
      </c>
      <c r="P142" s="152" cm="1">
        <f t="array" ref="P142">Common_InputFunctions.Utility_DisplayArrayInTable(Fertiliser_SourceData.Fertiliser_Products_Data2(), FertiliserProducts[[#Headers],[Company]],31)</f>
        <v>0.05</v>
      </c>
      <c r="Q142" s="152" t="str" cm="1">
        <f t="array" ref="Q142">Common_InputFunctions.Utility_DisplayArrayInTable(Fertiliser_SourceData.Fertiliser_Products_Data2(), FertiliserProducts[[#Headers],[Company]],31)</f>
        <v>Nitrogen - Ammoniacal</v>
      </c>
      <c r="R142" s="152" cm="1">
        <f t="array" ref="R142">Common_InputFunctions.Utility_DisplayArrayInTable(Fertiliser_SourceData.Fertiliser_Products_Data2(), FertiliserProducts[[#Headers],[Company]],31)</f>
        <v>7.0000000000000007E-2</v>
      </c>
      <c r="S142" s="152" t="str" cm="1">
        <f t="array" ref="S142">Common_InputFunctions.Utility_DisplayArrayInTable(Fertiliser_SourceData.Fertiliser_Products_Data2(), FertiliserProducts[[#Headers],[Company]],31)</f>
        <v>Phosphorus - Generic</v>
      </c>
      <c r="T142" s="152" cm="1">
        <f t="array" ref="T142">Common_InputFunctions.Utility_DisplayArrayInTable(Fertiliser_SourceData.Fertiliser_Products_Data2(), FertiliserProducts[[#Headers],[Company]],31)</f>
        <v>0.05</v>
      </c>
      <c r="U142" s="152" t="str" cm="1">
        <f t="array" ref="U142">Common_InputFunctions.Utility_DisplayArrayInTable(Fertiliser_SourceData.Fertiliser_Products_Data2(), FertiliserProducts[[#Headers],[Company]],31)</f>
        <v>Potassium - Generic</v>
      </c>
      <c r="V142" s="152" cm="1">
        <f t="array" ref="V142">Common_InputFunctions.Utility_DisplayArrayInTable(Fertiliser_SourceData.Fertiliser_Products_Data2(), FertiliserProducts[[#Headers],[Company]],31)</f>
        <v>0.15</v>
      </c>
      <c r="W142" s="152" t="str" cm="1">
        <f t="array" ref="W142">Common_InputFunctions.Utility_DisplayArrayInTable(Fertiliser_SourceData.Fertiliser_Products_Data2(), FertiliserProducts[[#Headers],[Company]],31)</f>
        <v>Sulfur - Generic</v>
      </c>
      <c r="X142" s="152" cm="1">
        <f t="array" ref="X142">Common_InputFunctions.Utility_DisplayArrayInTable(Fertiliser_SourceData.Fertiliser_Products_Data2(), FertiliserProducts[[#Headers],[Company]],31)</f>
        <v>0.08</v>
      </c>
      <c r="Y142" s="152" t="str" cm="1">
        <f t="array" ref="Y142">Common_InputFunctions.Utility_DisplayArrayInTable(Fertiliser_SourceData.Fertiliser_Products_Data2(), FertiliserProducts[[#Headers],[Company]],31)</f>
        <v>Magnesium</v>
      </c>
      <c r="Z142" s="152" cm="1">
        <f t="array" ref="Z142">Common_InputFunctions.Utility_DisplayArrayInTable(Fertiliser_SourceData.Fertiliser_Products_Data2(), FertiliserProducts[[#Headers],[Company]],31)</f>
        <v>1.6E-2</v>
      </c>
      <c r="AA142" s="152" t="str" cm="1">
        <f t="array" ref="AA142">Common_InputFunctions.Utility_DisplayArrayInTable(Fertiliser_SourceData.Fertiliser_Products_Data2(), FertiliserProducts[[#Headers],[Company]],31)</f>
        <v>Zinc</v>
      </c>
      <c r="AB142" s="152" cm="1">
        <f t="array" ref="AB142">Common_InputFunctions.Utility_DisplayArrayInTable(Fertiliser_SourceData.Fertiliser_Products_Data2(), FertiliserProducts[[#Headers],[Company]],31)</f>
        <v>2.0000000000000001E-4</v>
      </c>
      <c r="AC142" s="152" t="str" cm="1">
        <f t="array" ref="AC142">Common_InputFunctions.Utility_DisplayArrayInTable(Fertiliser_SourceData.Fertiliser_Products_Data2(), FertiliserProducts[[#Headers],[Company]],31)</f>
        <v>Boron</v>
      </c>
      <c r="AD142" s="152" cm="1">
        <f t="array" ref="AD142">Common_InputFunctions.Utility_DisplayArrayInTable(Fertiliser_SourceData.Fertiliser_Products_Data2(), FertiliserProducts[[#Headers],[Company]],31)</f>
        <v>1.4999999999999999E-4</v>
      </c>
      <c r="AE142" s="152" t="str" cm="1">
        <f t="array" ref="AE142">Common_InputFunctions.Utility_DisplayArrayInTable(Fertiliser_SourceData.Fertiliser_Products_Data2(), FertiliserProducts[[#Headers],[Company]],31)</f>
        <v/>
      </c>
      <c r="AF142" s="152" t="str" cm="1">
        <f t="array" ref="AF142">Common_InputFunctions.Utility_DisplayArrayInTable(Fertiliser_SourceData.Fertiliser_Products_Data2(), FertiliserProducts[[#Headers],[Company]],31)</f>
        <v/>
      </c>
      <c r="AG142" s="152" t="str" cm="1">
        <f t="array" ref="AG142">Common_InputFunctions.Utility_DisplayArrayInTable(Fertiliser_SourceData.Fertiliser_Products_Data2(), FertiliserProducts[[#Headers],[Company]],31)</f>
        <v/>
      </c>
      <c r="AH142" s="152"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52" t="str" cm="1">
        <f t="array" ref="D143">Common_InputFunctions.Utility_DisplayArrayInTable(Fertiliser_SourceData.Fertiliser_Products_Data2(), FertiliserProducts[[#Headers],[Company]],31)</f>
        <v>Yara Australia</v>
      </c>
      <c r="E143" s="152" t="str" cm="1">
        <f t="array" ref="E143">Common_InputFunctions.Utility_DisplayArrayInTable(Fertiliser_SourceData.Fertiliser_Products_Data2(), FertiliserProducts[[#Headers],[Company]],31)</f>
        <v>YaraRega 9-0-30 (14)</v>
      </c>
      <c r="F143" s="152" t="str" cm="1">
        <f t="array" ref="F143">Common_InputFunctions.Utility_DisplayArrayInTable(Fertiliser_SourceData.Fertiliser_Products_Data2(), FertiliserProducts[[#Headers],[Company]],31)</f>
        <v>kg</v>
      </c>
      <c r="G143" s="152" cm="1">
        <f t="array" ref="G143">Common_InputFunctions.Utility_DisplayArrayInTable(Fertiliser_SourceData.Fertiliser_Products_Data2(), FertiliserProducts[[#Headers],[Company]],31)</f>
        <v>1</v>
      </c>
      <c r="H143" s="152" t="str" cm="1">
        <f t="array" ref="H143">Common_InputFunctions.Utility_DisplayArrayInTable(Fertiliser_SourceData.Fertiliser_Products_Data2(), FertiliserProducts[[#Headers],[Company]],31)</f>
        <v/>
      </c>
      <c r="I143" s="152" t="str" cm="1">
        <f t="array" ref="I143">Common_InputFunctions.Utility_DisplayArrayInTable(Fertiliser_SourceData.Fertiliser_Products_Data2(), FertiliserProducts[[#Headers],[Company]],31)</f>
        <v/>
      </c>
      <c r="J143" s="152" t="str" cm="1">
        <f t="array" ref="J143">Common_InputFunctions.Utility_DisplayArrayInTable(Fertiliser_SourceData.Fertiliser_Products_Data2(), FertiliserProducts[[#Headers],[Company]],31)</f>
        <v/>
      </c>
      <c r="K143" s="152" cm="1">
        <f t="array" ref="K143">Common_InputFunctions.Utility_DisplayArrayInTable(Fertiliser_SourceData.Fertiliser_Products_Data2(), FertiliserProducts[[#Headers],[Company]],31)</f>
        <v>9</v>
      </c>
      <c r="L143" s="152" t="str" cm="1">
        <f t="array" ref="L143">Common_InputFunctions.Utility_DisplayArrayInTable(Fertiliser_SourceData.Fertiliser_Products_Data2(), FertiliserProducts[[#Headers],[Company]],31)</f>
        <v/>
      </c>
      <c r="M143" s="152" cm="1">
        <f t="array" ref="M143">Common_InputFunctions.Utility_DisplayArrayInTable(Fertiliser_SourceData.Fertiliser_Products_Data2(), FertiliserProducts[[#Headers],[Company]],31)</f>
        <v>30</v>
      </c>
      <c r="N143" s="152" cm="1">
        <f t="array" ref="N143">Common_InputFunctions.Utility_DisplayArrayInTable(Fertiliser_SourceData.Fertiliser_Products_Data2(), FertiliserProducts[[#Headers],[Company]],31)</f>
        <v>14</v>
      </c>
      <c r="O143" s="152" t="str" cm="1">
        <f t="array" ref="O143">Common_InputFunctions.Utility_DisplayArrayInTable(Fertiliser_SourceData.Fertiliser_Products_Data2(), FertiliserProducts[[#Headers],[Company]],31)</f>
        <v>Potassium - Generic</v>
      </c>
      <c r="P143" s="152" cm="1">
        <f t="array" ref="P143">Common_InputFunctions.Utility_DisplayArrayInTable(Fertiliser_SourceData.Fertiliser_Products_Data2(), FertiliserProducts[[#Headers],[Company]],31)</f>
        <v>0.3</v>
      </c>
      <c r="Q143" s="152" t="str" cm="1">
        <f t="array" ref="Q143">Common_InputFunctions.Utility_DisplayArrayInTable(Fertiliser_SourceData.Fertiliser_Products_Data2(), FertiliserProducts[[#Headers],[Company]],31)</f>
        <v>Sulfur - Generic</v>
      </c>
      <c r="R143" s="152" cm="1">
        <f t="array" ref="R143">Common_InputFunctions.Utility_DisplayArrayInTable(Fertiliser_SourceData.Fertiliser_Products_Data2(), FertiliserProducts[[#Headers],[Company]],31)</f>
        <v>0.14000000000000001</v>
      </c>
      <c r="S143" s="152" t="str" cm="1">
        <f t="array" ref="S143">Common_InputFunctions.Utility_DisplayArrayInTable(Fertiliser_SourceData.Fertiliser_Products_Data2(), FertiliserProducts[[#Headers],[Company]],31)</f>
        <v>Nitrogen - Nitrate</v>
      </c>
      <c r="T143" s="152" cm="1">
        <f t="array" ref="T143">Common_InputFunctions.Utility_DisplayArrayInTable(Fertiliser_SourceData.Fertiliser_Products_Data2(), FertiliserProducts[[#Headers],[Company]],31)</f>
        <v>4.4999999999999998E-2</v>
      </c>
      <c r="U143" s="152" t="str" cm="1">
        <f t="array" ref="U143">Common_InputFunctions.Utility_DisplayArrayInTable(Fertiliser_SourceData.Fertiliser_Products_Data2(), FertiliserProducts[[#Headers],[Company]],31)</f>
        <v>Nitrogen - Ammoniacal</v>
      </c>
      <c r="V143" s="152" cm="1">
        <f t="array" ref="V143">Common_InputFunctions.Utility_DisplayArrayInTable(Fertiliser_SourceData.Fertiliser_Products_Data2(), FertiliserProducts[[#Headers],[Company]],31)</f>
        <v>4.4999999999999998E-2</v>
      </c>
      <c r="W143" s="152" t="str" cm="1">
        <f t="array" ref="W143">Common_InputFunctions.Utility_DisplayArrayInTable(Fertiliser_SourceData.Fertiliser_Products_Data2(), FertiliserProducts[[#Headers],[Company]],31)</f>
        <v/>
      </c>
      <c r="X143" s="152" t="str" cm="1">
        <f t="array" ref="X143">Common_InputFunctions.Utility_DisplayArrayInTable(Fertiliser_SourceData.Fertiliser_Products_Data2(), FertiliserProducts[[#Headers],[Company]],31)</f>
        <v/>
      </c>
      <c r="Y143" s="152" t="str" cm="1">
        <f t="array" ref="Y143">Common_InputFunctions.Utility_DisplayArrayInTable(Fertiliser_SourceData.Fertiliser_Products_Data2(), FertiliserProducts[[#Headers],[Company]],31)</f>
        <v/>
      </c>
      <c r="Z143" s="152" t="str" cm="1">
        <f t="array" ref="Z143">Common_InputFunctions.Utility_DisplayArrayInTable(Fertiliser_SourceData.Fertiliser_Products_Data2(), FertiliserProducts[[#Headers],[Company]],31)</f>
        <v/>
      </c>
      <c r="AA143" s="152" t="str" cm="1">
        <f t="array" ref="AA143">Common_InputFunctions.Utility_DisplayArrayInTable(Fertiliser_SourceData.Fertiliser_Products_Data2(), FertiliserProducts[[#Headers],[Company]],31)</f>
        <v/>
      </c>
      <c r="AB143" s="152" t="str" cm="1">
        <f t="array" ref="AB143">Common_InputFunctions.Utility_DisplayArrayInTable(Fertiliser_SourceData.Fertiliser_Products_Data2(), FertiliserProducts[[#Headers],[Company]],31)</f>
        <v/>
      </c>
      <c r="AC143" s="152" t="str" cm="1">
        <f t="array" ref="AC143">Common_InputFunctions.Utility_DisplayArrayInTable(Fertiliser_SourceData.Fertiliser_Products_Data2(), FertiliserProducts[[#Headers],[Company]],31)</f>
        <v/>
      </c>
      <c r="AD143" s="152" t="str" cm="1">
        <f t="array" ref="AD143">Common_InputFunctions.Utility_DisplayArrayInTable(Fertiliser_SourceData.Fertiliser_Products_Data2(), FertiliserProducts[[#Headers],[Company]],31)</f>
        <v/>
      </c>
      <c r="AE143" s="152" t="str" cm="1">
        <f t="array" ref="AE143">Common_InputFunctions.Utility_DisplayArrayInTable(Fertiliser_SourceData.Fertiliser_Products_Data2(), FertiliserProducts[[#Headers],[Company]],31)</f>
        <v/>
      </c>
      <c r="AF143" s="152" t="str" cm="1">
        <f t="array" ref="AF143">Common_InputFunctions.Utility_DisplayArrayInTable(Fertiliser_SourceData.Fertiliser_Products_Data2(), FertiliserProducts[[#Headers],[Company]],31)</f>
        <v/>
      </c>
      <c r="AG143" s="152" t="str" cm="1">
        <f t="array" ref="AG143">Common_InputFunctions.Utility_DisplayArrayInTable(Fertiliser_SourceData.Fertiliser_Products_Data2(), FertiliserProducts[[#Headers],[Company]],31)</f>
        <v/>
      </c>
      <c r="AH143" s="152"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52" t="str" cm="1">
        <f t="array" ref="D144">Common_InputFunctions.Utility_DisplayArrayInTable(Fertiliser_SourceData.Fertiliser_Products_Data2(), FertiliserProducts[[#Headers],[Company]],31)</f>
        <v>Yara Australia</v>
      </c>
      <c r="E144" s="152" t="str" cm="1">
        <f t="array" ref="E144">Common_InputFunctions.Utility_DisplayArrayInTable(Fertiliser_SourceData.Fertiliser_Products_Data2(), FertiliserProducts[[#Headers],[Company]],31)</f>
        <v>YaraRega 13-2-21</v>
      </c>
      <c r="F144" s="152" t="str" cm="1">
        <f t="array" ref="F144">Common_InputFunctions.Utility_DisplayArrayInTable(Fertiliser_SourceData.Fertiliser_Products_Data2(), FertiliserProducts[[#Headers],[Company]],31)</f>
        <v>kg</v>
      </c>
      <c r="G144" s="152" cm="1">
        <f t="array" ref="G144">Common_InputFunctions.Utility_DisplayArrayInTable(Fertiliser_SourceData.Fertiliser_Products_Data2(), FertiliserProducts[[#Headers],[Company]],31)</f>
        <v>1</v>
      </c>
      <c r="H144" s="152" t="str" cm="1">
        <f t="array" ref="H144">Common_InputFunctions.Utility_DisplayArrayInTable(Fertiliser_SourceData.Fertiliser_Products_Data2(), FertiliserProducts[[#Headers],[Company]],31)</f>
        <v/>
      </c>
      <c r="I144" s="152" t="str" cm="1">
        <f t="array" ref="I144">Common_InputFunctions.Utility_DisplayArrayInTable(Fertiliser_SourceData.Fertiliser_Products_Data2(), FertiliserProducts[[#Headers],[Company]],31)</f>
        <v/>
      </c>
      <c r="J144" s="152" t="str" cm="1">
        <f t="array" ref="J144">Common_InputFunctions.Utility_DisplayArrayInTable(Fertiliser_SourceData.Fertiliser_Products_Data2(), FertiliserProducts[[#Headers],[Company]],31)</f>
        <v/>
      </c>
      <c r="K144" s="152" cm="1">
        <f t="array" ref="K144">Common_InputFunctions.Utility_DisplayArrayInTable(Fertiliser_SourceData.Fertiliser_Products_Data2(), FertiliserProducts[[#Headers],[Company]],31)</f>
        <v>13</v>
      </c>
      <c r="L144" s="152" cm="1">
        <f t="array" ref="L144">Common_InputFunctions.Utility_DisplayArrayInTable(Fertiliser_SourceData.Fertiliser_Products_Data2(), FertiliserProducts[[#Headers],[Company]],31)</f>
        <v>1.75</v>
      </c>
      <c r="M144" s="152" cm="1">
        <f t="array" ref="M144">Common_InputFunctions.Utility_DisplayArrayInTable(Fertiliser_SourceData.Fertiliser_Products_Data2(), FertiliserProducts[[#Headers],[Company]],31)</f>
        <v>21</v>
      </c>
      <c r="N144" s="152" cm="1">
        <f t="array" ref="N144">Common_InputFunctions.Utility_DisplayArrayInTable(Fertiliser_SourceData.Fertiliser_Products_Data2(), FertiliserProducts[[#Headers],[Company]],31)</f>
        <v>10.8</v>
      </c>
      <c r="O144" s="152" t="str" cm="1">
        <f t="array" ref="O144">Common_InputFunctions.Utility_DisplayArrayInTable(Fertiliser_SourceData.Fertiliser_Products_Data2(), FertiliserProducts[[#Headers],[Company]],31)</f>
        <v>Potassium - Generic</v>
      </c>
      <c r="P144" s="152" cm="1">
        <f t="array" ref="P144">Common_InputFunctions.Utility_DisplayArrayInTable(Fertiliser_SourceData.Fertiliser_Products_Data2(), FertiliserProducts[[#Headers],[Company]],31)</f>
        <v>0.21</v>
      </c>
      <c r="Q144" s="152" t="str" cm="1">
        <f t="array" ref="Q144">Common_InputFunctions.Utility_DisplayArrayInTable(Fertiliser_SourceData.Fertiliser_Products_Data2(), FertiliserProducts[[#Headers],[Company]],31)</f>
        <v>Sulfur - Generic</v>
      </c>
      <c r="R144" s="152" cm="1">
        <f t="array" ref="R144">Common_InputFunctions.Utility_DisplayArrayInTable(Fertiliser_SourceData.Fertiliser_Products_Data2(), FertiliserProducts[[#Headers],[Company]],31)</f>
        <v>0.108</v>
      </c>
      <c r="S144" s="152" t="str" cm="1">
        <f t="array" ref="S144">Common_InputFunctions.Utility_DisplayArrayInTable(Fertiliser_SourceData.Fertiliser_Products_Data2(), FertiliserProducts[[#Headers],[Company]],31)</f>
        <v>Nitrogen - Ammoniacal</v>
      </c>
      <c r="T144" s="152" cm="1">
        <f t="array" ref="T144">Common_InputFunctions.Utility_DisplayArrayInTable(Fertiliser_SourceData.Fertiliser_Products_Data2(), FertiliserProducts[[#Headers],[Company]],31)</f>
        <v>7.6999999999999999E-2</v>
      </c>
      <c r="U144" s="152" t="str" cm="1">
        <f t="array" ref="U144">Common_InputFunctions.Utility_DisplayArrayInTable(Fertiliser_SourceData.Fertiliser_Products_Data2(), FertiliserProducts[[#Headers],[Company]],31)</f>
        <v>Nitrogen - Nitrate</v>
      </c>
      <c r="V144" s="152" cm="1">
        <f t="array" ref="V144">Common_InputFunctions.Utility_DisplayArrayInTable(Fertiliser_SourceData.Fertiliser_Products_Data2(), FertiliserProducts[[#Headers],[Company]],31)</f>
        <v>5.2999999999999999E-2</v>
      </c>
      <c r="W144" s="152" t="str" cm="1">
        <f t="array" ref="W144">Common_InputFunctions.Utility_DisplayArrayInTable(Fertiliser_SourceData.Fertiliser_Products_Data2(), FertiliserProducts[[#Headers],[Company]],31)</f>
        <v>Phosphorus - Generic</v>
      </c>
      <c r="X144" s="152" cm="1">
        <f t="array" ref="X144">Common_InputFunctions.Utility_DisplayArrayInTable(Fertiliser_SourceData.Fertiliser_Products_Data2(), FertiliserProducts[[#Headers],[Company]],31)</f>
        <v>1.7500000000000002E-2</v>
      </c>
      <c r="Y144" s="152" t="str" cm="1">
        <f t="array" ref="Y144">Common_InputFunctions.Utility_DisplayArrayInTable(Fertiliser_SourceData.Fertiliser_Products_Data2(), FertiliserProducts[[#Headers],[Company]],31)</f>
        <v>Magnesium</v>
      </c>
      <c r="Z144" s="152" cm="1">
        <f t="array" ref="Z144">Common_InputFunctions.Utility_DisplayArrayInTable(Fertiliser_SourceData.Fertiliser_Products_Data2(), FertiliserProducts[[#Headers],[Company]],31)</f>
        <v>4.0000000000000001E-3</v>
      </c>
      <c r="AA144" s="152" t="str" cm="1">
        <f t="array" ref="AA144">Common_InputFunctions.Utility_DisplayArrayInTable(Fertiliser_SourceData.Fertiliser_Products_Data2(), FertiliserProducts[[#Headers],[Company]],31)</f>
        <v>Zinc</v>
      </c>
      <c r="AB144" s="152" cm="1">
        <f t="array" ref="AB144">Common_InputFunctions.Utility_DisplayArrayInTable(Fertiliser_SourceData.Fertiliser_Products_Data2(), FertiliserProducts[[#Headers],[Company]],31)</f>
        <v>8.0000000000000004E-4</v>
      </c>
      <c r="AC144" s="152" t="str" cm="1">
        <f t="array" ref="AC144">Common_InputFunctions.Utility_DisplayArrayInTable(Fertiliser_SourceData.Fertiliser_Products_Data2(), FertiliserProducts[[#Headers],[Company]],31)</f>
        <v>Boron</v>
      </c>
      <c r="AD144" s="152" cm="1">
        <f t="array" ref="AD144">Common_InputFunctions.Utility_DisplayArrayInTable(Fertiliser_SourceData.Fertiliser_Products_Data2(), FertiliserProducts[[#Headers],[Company]],31)</f>
        <v>8.0000000000000004E-4</v>
      </c>
      <c r="AE144" s="152" t="str" cm="1">
        <f t="array" ref="AE144">Common_InputFunctions.Utility_DisplayArrayInTable(Fertiliser_SourceData.Fertiliser_Products_Data2(), FertiliserProducts[[#Headers],[Company]],31)</f>
        <v/>
      </c>
      <c r="AF144" s="152" t="str" cm="1">
        <f t="array" ref="AF144">Common_InputFunctions.Utility_DisplayArrayInTable(Fertiliser_SourceData.Fertiliser_Products_Data2(), FertiliserProducts[[#Headers],[Company]],31)</f>
        <v/>
      </c>
      <c r="AG144" s="152" t="str" cm="1">
        <f t="array" ref="AG144">Common_InputFunctions.Utility_DisplayArrayInTable(Fertiliser_SourceData.Fertiliser_Products_Data2(), FertiliserProducts[[#Headers],[Company]],31)</f>
        <v/>
      </c>
      <c r="AH144" s="152" t="str" cm="1">
        <f t="array" ref="AH144">Common_InputFunctions.Utility_DisplayArrayInTable(Fertiliser_SourceData.Fertiliser_Products_Data2(), FertiliserProducts[[#Headers],[Company]],31)</f>
        <v/>
      </c>
      <c r="AK144" s="1"/>
      <c r="AL144" s="1"/>
      <c r="AM144" s="1"/>
    </row>
    <row r="145" spans="1:39" ht="20.100000000000001" customHeight="1" x14ac:dyDescent="0.2">
      <c r="D145" s="152" t="str" cm="1">
        <f t="array" ref="D145">Common_InputFunctions.Utility_DisplayArrayInTable(Fertiliser_SourceData.Fertiliser_Products_Data2(), FertiliserProducts[[#Headers],[Company]],31)</f>
        <v>Yara Australia</v>
      </c>
      <c r="E145" s="152" t="str" cm="1">
        <f t="array" ref="E145">Common_InputFunctions.Utility_DisplayArrayInTable(Fertiliser_SourceData.Fertiliser_Products_Data2(), FertiliserProducts[[#Headers],[Company]],31)</f>
        <v>YaraRega 15-7-13 (7S)</v>
      </c>
      <c r="F145" s="152" t="str" cm="1">
        <f t="array" ref="F145">Common_InputFunctions.Utility_DisplayArrayInTable(Fertiliser_SourceData.Fertiliser_Products_Data2(), FertiliserProducts[[#Headers],[Company]],31)</f>
        <v>kg</v>
      </c>
      <c r="G145" s="152" cm="1">
        <f t="array" ref="G145">Common_InputFunctions.Utility_DisplayArrayInTable(Fertiliser_SourceData.Fertiliser_Products_Data2(), FertiliserProducts[[#Headers],[Company]],31)</f>
        <v>1</v>
      </c>
      <c r="H145" s="152" t="str" cm="1">
        <f t="array" ref="H145">Common_InputFunctions.Utility_DisplayArrayInTable(Fertiliser_SourceData.Fertiliser_Products_Data2(), FertiliserProducts[[#Headers],[Company]],31)</f>
        <v/>
      </c>
      <c r="I145" s="152" t="str" cm="1">
        <f t="array" ref="I145">Common_InputFunctions.Utility_DisplayArrayInTable(Fertiliser_SourceData.Fertiliser_Products_Data2(), FertiliserProducts[[#Headers],[Company]],31)</f>
        <v/>
      </c>
      <c r="J145" s="152" t="str" cm="1">
        <f t="array" ref="J145">Common_InputFunctions.Utility_DisplayArrayInTable(Fertiliser_SourceData.Fertiliser_Products_Data2(), FertiliserProducts[[#Headers],[Company]],31)</f>
        <v/>
      </c>
      <c r="K145" s="152" cm="1">
        <f t="array" ref="K145">Common_InputFunctions.Utility_DisplayArrayInTable(Fertiliser_SourceData.Fertiliser_Products_Data2(), FertiliserProducts[[#Headers],[Company]],31)</f>
        <v>15</v>
      </c>
      <c r="L145" s="152" cm="1">
        <f t="array" ref="L145">Common_InputFunctions.Utility_DisplayArrayInTable(Fertiliser_SourceData.Fertiliser_Products_Data2(), FertiliserProducts[[#Headers],[Company]],31)</f>
        <v>6.5</v>
      </c>
      <c r="M145" s="152" cm="1">
        <f t="array" ref="M145">Common_InputFunctions.Utility_DisplayArrayInTable(Fertiliser_SourceData.Fertiliser_Products_Data2(), FertiliserProducts[[#Headers],[Company]],31)</f>
        <v>12.5</v>
      </c>
      <c r="N145" s="152" cm="1">
        <f t="array" ref="N145">Common_InputFunctions.Utility_DisplayArrayInTable(Fertiliser_SourceData.Fertiliser_Products_Data2(), FertiliserProducts[[#Headers],[Company]],31)</f>
        <v>7.2</v>
      </c>
      <c r="O145" s="152" t="str" cm="1">
        <f t="array" ref="O145">Common_InputFunctions.Utility_DisplayArrayInTable(Fertiliser_SourceData.Fertiliser_Products_Data2(), FertiliserProducts[[#Headers],[Company]],31)</f>
        <v>Nitrogen - Nitrate</v>
      </c>
      <c r="P145" s="152" cm="1">
        <f t="array" ref="P145">Common_InputFunctions.Utility_DisplayArrayInTable(Fertiliser_SourceData.Fertiliser_Products_Data2(), FertiliserProducts[[#Headers],[Company]],31)</f>
        <v>9.5000000000000001E-2</v>
      </c>
      <c r="Q145" s="152" t="str" cm="1">
        <f t="array" ref="Q145">Common_InputFunctions.Utility_DisplayArrayInTable(Fertiliser_SourceData.Fertiliser_Products_Data2(), FertiliserProducts[[#Headers],[Company]],31)</f>
        <v>Potassium - Generic</v>
      </c>
      <c r="R145" s="152" cm="1">
        <f t="array" ref="R145">Common_InputFunctions.Utility_DisplayArrayInTable(Fertiliser_SourceData.Fertiliser_Products_Data2(), FertiliserProducts[[#Headers],[Company]],31)</f>
        <v>0.125</v>
      </c>
      <c r="S145" s="152" t="str" cm="1">
        <f t="array" ref="S145">Common_InputFunctions.Utility_DisplayArrayInTable(Fertiliser_SourceData.Fertiliser_Products_Data2(), FertiliserProducts[[#Headers],[Company]],31)</f>
        <v>Sulfur - Generic</v>
      </c>
      <c r="T145" s="152" cm="1">
        <f t="array" ref="T145">Common_InputFunctions.Utility_DisplayArrayInTable(Fertiliser_SourceData.Fertiliser_Products_Data2(), FertiliserProducts[[#Headers],[Company]],31)</f>
        <v>7.1999999999999995E-2</v>
      </c>
      <c r="U145" s="152" t="str" cm="1">
        <f t="array" ref="U145">Common_InputFunctions.Utility_DisplayArrayInTable(Fertiliser_SourceData.Fertiliser_Products_Data2(), FertiliserProducts[[#Headers],[Company]],31)</f>
        <v>Phosphorus - Generic</v>
      </c>
      <c r="V145" s="152" cm="1">
        <f t="array" ref="V145">Common_InputFunctions.Utility_DisplayArrayInTable(Fertiliser_SourceData.Fertiliser_Products_Data2(), FertiliserProducts[[#Headers],[Company]],31)</f>
        <v>6.5000000000000002E-2</v>
      </c>
      <c r="W145" s="152" t="str" cm="1">
        <f t="array" ref="W145">Common_InputFunctions.Utility_DisplayArrayInTable(Fertiliser_SourceData.Fertiliser_Products_Data2(), FertiliserProducts[[#Headers],[Company]],31)</f>
        <v>Nitrogen - Ammoniacal</v>
      </c>
      <c r="X145" s="152" cm="1">
        <f t="array" ref="X145">Common_InputFunctions.Utility_DisplayArrayInTable(Fertiliser_SourceData.Fertiliser_Products_Data2(), FertiliserProducts[[#Headers],[Company]],31)</f>
        <v>5.5E-2</v>
      </c>
      <c r="Y145" s="152" t="str" cm="1">
        <f t="array" ref="Y145">Common_InputFunctions.Utility_DisplayArrayInTable(Fertiliser_SourceData.Fertiliser_Products_Data2(), FertiliserProducts[[#Headers],[Company]],31)</f>
        <v>Magnesium</v>
      </c>
      <c r="Z145" s="152" cm="1">
        <f t="array" ref="Z145">Common_InputFunctions.Utility_DisplayArrayInTable(Fertiliser_SourceData.Fertiliser_Products_Data2(), FertiliserProducts[[#Headers],[Company]],31)</f>
        <v>6.6E-3</v>
      </c>
      <c r="AA145" s="152" t="str" cm="1">
        <f t="array" ref="AA145">Common_InputFunctions.Utility_DisplayArrayInTable(Fertiliser_SourceData.Fertiliser_Products_Data2(), FertiliserProducts[[#Headers],[Company]],31)</f>
        <v>Boron</v>
      </c>
      <c r="AB145" s="152" cm="1">
        <f t="array" ref="AB145">Common_InputFunctions.Utility_DisplayArrayInTable(Fertiliser_SourceData.Fertiliser_Products_Data2(), FertiliserProducts[[#Headers],[Company]],31)</f>
        <v>1E-3</v>
      </c>
      <c r="AC145" s="152" t="str" cm="1">
        <f t="array" ref="AC145">Common_InputFunctions.Utility_DisplayArrayInTable(Fertiliser_SourceData.Fertiliser_Products_Data2(), FertiliserProducts[[#Headers],[Company]],31)</f>
        <v>Zinc</v>
      </c>
      <c r="AD145" s="152" cm="1">
        <f t="array" ref="AD145">Common_InputFunctions.Utility_DisplayArrayInTable(Fertiliser_SourceData.Fertiliser_Products_Data2(), FertiliserProducts[[#Headers],[Company]],31)</f>
        <v>5.9999999999999995E-4</v>
      </c>
      <c r="AE145" s="152" t="str" cm="1">
        <f t="array" ref="AE145">Common_InputFunctions.Utility_DisplayArrayInTable(Fertiliser_SourceData.Fertiliser_Products_Data2(), FertiliserProducts[[#Headers],[Company]],31)</f>
        <v/>
      </c>
      <c r="AF145" s="152" t="str" cm="1">
        <f t="array" ref="AF145">Common_InputFunctions.Utility_DisplayArrayInTable(Fertiliser_SourceData.Fertiliser_Products_Data2(), FertiliserProducts[[#Headers],[Company]],31)</f>
        <v/>
      </c>
      <c r="AG145" s="152" t="str" cm="1">
        <f t="array" ref="AG145">Common_InputFunctions.Utility_DisplayArrayInTable(Fertiliser_SourceData.Fertiliser_Products_Data2(), FertiliserProducts[[#Headers],[Company]],31)</f>
        <v/>
      </c>
      <c r="AH145" s="152" t="str" cm="1">
        <f t="array" ref="AH145">Common_InputFunctions.Utility_DisplayArrayInTable(Fertiliser_SourceData.Fertiliser_Products_Data2(), FertiliserProducts[[#Headers],[Company]],31)</f>
        <v/>
      </c>
      <c r="AK145" s="1"/>
      <c r="AL145" s="1"/>
      <c r="AM145" s="1"/>
    </row>
    <row r="146" spans="1:39" ht="20.100000000000001" customHeight="1" x14ac:dyDescent="0.2">
      <c r="D146" s="152" t="str" cm="1">
        <f t="array" ref="D146">Common_InputFunctions.Utility_DisplayArrayInTable(Fertiliser_SourceData.Fertiliser_Products_Data2(), FertiliserProducts[[#Headers],[Company]],31)</f>
        <v>Yara Australia</v>
      </c>
      <c r="E146" s="152" t="str" cm="1">
        <f t="array" ref="E146">Common_InputFunctions.Utility_DisplayArrayInTable(Fertiliser_SourceData.Fertiliser_Products_Data2(), FertiliserProducts[[#Headers],[Company]],31)</f>
        <v>YaraTera CALCINIT B</v>
      </c>
      <c r="F146" s="152" t="str" cm="1">
        <f t="array" ref="F146">Common_InputFunctions.Utility_DisplayArrayInTable(Fertiliser_SourceData.Fertiliser_Products_Data2(), FertiliserProducts[[#Headers],[Company]],31)</f>
        <v>kg</v>
      </c>
      <c r="G146" s="152" cm="1">
        <f t="array" ref="G146">Common_InputFunctions.Utility_DisplayArrayInTable(Fertiliser_SourceData.Fertiliser_Products_Data2(), FertiliserProducts[[#Headers],[Company]],31)</f>
        <v>1</v>
      </c>
      <c r="H146" s="152" t="str" cm="1">
        <f t="array" ref="H146">Common_InputFunctions.Utility_DisplayArrayInTable(Fertiliser_SourceData.Fertiliser_Products_Data2(), FertiliserProducts[[#Headers],[Company]],31)</f>
        <v/>
      </c>
      <c r="I146" s="152" t="str" cm="1">
        <f t="array" ref="I146">Common_InputFunctions.Utility_DisplayArrayInTable(Fertiliser_SourceData.Fertiliser_Products_Data2(), FertiliserProducts[[#Headers],[Company]],31)</f>
        <v/>
      </c>
      <c r="J146" s="152" t="str" cm="1">
        <f t="array" ref="J146">Common_InputFunctions.Utility_DisplayArrayInTable(Fertiliser_SourceData.Fertiliser_Products_Data2(), FertiliserProducts[[#Headers],[Company]],31)</f>
        <v/>
      </c>
      <c r="K146" s="152" cm="1">
        <f t="array" ref="K146">Common_InputFunctions.Utility_DisplayArrayInTable(Fertiliser_SourceData.Fertiliser_Products_Data2(), FertiliserProducts[[#Headers],[Company]],31)</f>
        <v>15.5</v>
      </c>
      <c r="L146" s="152" t="str" cm="1">
        <f t="array" ref="L146">Common_InputFunctions.Utility_DisplayArrayInTable(Fertiliser_SourceData.Fertiliser_Products_Data2(), FertiliserProducts[[#Headers],[Company]],31)</f>
        <v/>
      </c>
      <c r="M146" s="152" t="str" cm="1">
        <f t="array" ref="M146">Common_InputFunctions.Utility_DisplayArrayInTable(Fertiliser_SourceData.Fertiliser_Products_Data2(), FertiliserProducts[[#Headers],[Company]],31)</f>
        <v/>
      </c>
      <c r="N146" s="152" t="str" cm="1">
        <f t="array" ref="N146">Common_InputFunctions.Utility_DisplayArrayInTable(Fertiliser_SourceData.Fertiliser_Products_Data2(), FertiliserProducts[[#Headers],[Company]],31)</f>
        <v/>
      </c>
      <c r="O146" s="152" t="str" cm="1">
        <f t="array" ref="O146">Common_InputFunctions.Utility_DisplayArrayInTable(Fertiliser_SourceData.Fertiliser_Products_Data2(), FertiliserProducts[[#Headers],[Company]],31)</f>
        <v>Calcium nitrate</v>
      </c>
      <c r="P146" s="152" cm="1">
        <f t="array" ref="P146">Common_InputFunctions.Utility_DisplayArrayInTable(Fertiliser_SourceData.Fertiliser_Products_Data2(), FertiliserProducts[[#Headers],[Company]],31)</f>
        <v>1</v>
      </c>
      <c r="Q146" s="152" t="str" cm="1">
        <f t="array" ref="Q146">Common_InputFunctions.Utility_DisplayArrayInTable(Fertiliser_SourceData.Fertiliser_Products_Data2(), FertiliserProducts[[#Headers],[Company]],31)</f>
        <v>Boron</v>
      </c>
      <c r="R146" s="152" cm="1">
        <f t="array" ref="R146">Common_InputFunctions.Utility_DisplayArrayInTable(Fertiliser_SourceData.Fertiliser_Products_Data2(), FertiliserProducts[[#Headers],[Company]],31)</f>
        <v>1E-3</v>
      </c>
      <c r="S146" s="152" t="str" cm="1">
        <f t="array" ref="S146">Common_InputFunctions.Utility_DisplayArrayInTable(Fertiliser_SourceData.Fertiliser_Products_Data2(), FertiliserProducts[[#Headers],[Company]],31)</f>
        <v/>
      </c>
      <c r="T146" s="152" t="str" cm="1">
        <f t="array" ref="T146">Common_InputFunctions.Utility_DisplayArrayInTable(Fertiliser_SourceData.Fertiliser_Products_Data2(), FertiliserProducts[[#Headers],[Company]],31)</f>
        <v/>
      </c>
      <c r="U146" s="152" t="str" cm="1">
        <f t="array" ref="U146">Common_InputFunctions.Utility_DisplayArrayInTable(Fertiliser_SourceData.Fertiliser_Products_Data2(), FertiliserProducts[[#Headers],[Company]],31)</f>
        <v/>
      </c>
      <c r="V146" s="152" t="str" cm="1">
        <f t="array" ref="V146">Common_InputFunctions.Utility_DisplayArrayInTable(Fertiliser_SourceData.Fertiliser_Products_Data2(), FertiliserProducts[[#Headers],[Company]],31)</f>
        <v/>
      </c>
      <c r="W146" s="152" t="str" cm="1">
        <f t="array" ref="W146">Common_InputFunctions.Utility_DisplayArrayInTable(Fertiliser_SourceData.Fertiliser_Products_Data2(), FertiliserProducts[[#Headers],[Company]],31)</f>
        <v/>
      </c>
      <c r="X146" s="152" t="str" cm="1">
        <f t="array" ref="X146">Common_InputFunctions.Utility_DisplayArrayInTable(Fertiliser_SourceData.Fertiliser_Products_Data2(), FertiliserProducts[[#Headers],[Company]],31)</f>
        <v/>
      </c>
      <c r="Y146" s="152" t="str" cm="1">
        <f t="array" ref="Y146">Common_InputFunctions.Utility_DisplayArrayInTable(Fertiliser_SourceData.Fertiliser_Products_Data2(), FertiliserProducts[[#Headers],[Company]],31)</f>
        <v/>
      </c>
      <c r="Z146" s="152" t="str" cm="1">
        <f t="array" ref="Z146">Common_InputFunctions.Utility_DisplayArrayInTable(Fertiliser_SourceData.Fertiliser_Products_Data2(), FertiliserProducts[[#Headers],[Company]],31)</f>
        <v/>
      </c>
      <c r="AA146" s="152" t="str" cm="1">
        <f t="array" ref="AA146">Common_InputFunctions.Utility_DisplayArrayInTable(Fertiliser_SourceData.Fertiliser_Products_Data2(), FertiliserProducts[[#Headers],[Company]],31)</f>
        <v/>
      </c>
      <c r="AB146" s="152" t="str" cm="1">
        <f t="array" ref="AB146">Common_InputFunctions.Utility_DisplayArrayInTable(Fertiliser_SourceData.Fertiliser_Products_Data2(), FertiliserProducts[[#Headers],[Company]],31)</f>
        <v/>
      </c>
      <c r="AC146" s="152" t="str" cm="1">
        <f t="array" ref="AC146">Common_InputFunctions.Utility_DisplayArrayInTable(Fertiliser_SourceData.Fertiliser_Products_Data2(), FertiliserProducts[[#Headers],[Company]],31)</f>
        <v/>
      </c>
      <c r="AD146" s="152" t="str" cm="1">
        <f t="array" ref="AD146">Common_InputFunctions.Utility_DisplayArrayInTable(Fertiliser_SourceData.Fertiliser_Products_Data2(), FertiliserProducts[[#Headers],[Company]],31)</f>
        <v/>
      </c>
      <c r="AE146" s="152" t="str" cm="1">
        <f t="array" ref="AE146">Common_InputFunctions.Utility_DisplayArrayInTable(Fertiliser_SourceData.Fertiliser_Products_Data2(), FertiliserProducts[[#Headers],[Company]],31)</f>
        <v/>
      </c>
      <c r="AF146" s="152" t="str" cm="1">
        <f t="array" ref="AF146">Common_InputFunctions.Utility_DisplayArrayInTable(Fertiliser_SourceData.Fertiliser_Products_Data2(), FertiliserProducts[[#Headers],[Company]],31)</f>
        <v/>
      </c>
      <c r="AG146" s="152" t="str" cm="1">
        <f t="array" ref="AG146">Common_InputFunctions.Utility_DisplayArrayInTable(Fertiliser_SourceData.Fertiliser_Products_Data2(), FertiliserProducts[[#Headers],[Company]],31)</f>
        <v/>
      </c>
      <c r="AH146" s="152" t="str" cm="1">
        <f t="array" ref="AH146">Common_InputFunctions.Utility_DisplayArrayInTable(Fertiliser_SourceData.Fertiliser_Products_Data2(), FertiliserProducts[[#Headers],[Company]],31)</f>
        <v/>
      </c>
      <c r="AK146" s="1"/>
      <c r="AL146" s="1"/>
      <c r="AM146" s="1"/>
    </row>
    <row r="147" spans="1:39" ht="20.100000000000001" customHeight="1" x14ac:dyDescent="0.2">
      <c r="D147" s="152" t="str" cm="1">
        <f t="array" ref="D147">Common_InputFunctions.Utility_DisplayArrayInTable(Fertiliser_SourceData.Fertiliser_Products_Data2(), FertiliserProducts[[#Headers],[Company]],31)</f>
        <v>Yara Australia</v>
      </c>
      <c r="E147" s="152" t="str" cm="1">
        <f t="array" ref="E147">Common_InputFunctions.Utility_DisplayArrayInTable(Fertiliser_SourceData.Fertiliser_Products_Data2(), FertiliserProducts[[#Headers],[Company]],31)</f>
        <v>YaraTera KRISTA MAP</v>
      </c>
      <c r="F147" s="152" t="str" cm="1">
        <f t="array" ref="F147">Common_InputFunctions.Utility_DisplayArrayInTable(Fertiliser_SourceData.Fertiliser_Products_Data2(), FertiliserProducts[[#Headers],[Company]],31)</f>
        <v>kg</v>
      </c>
      <c r="G147" s="152" cm="1">
        <f t="array" ref="G147">Common_InputFunctions.Utility_DisplayArrayInTable(Fertiliser_SourceData.Fertiliser_Products_Data2(), FertiliserProducts[[#Headers],[Company]],31)</f>
        <v>1</v>
      </c>
      <c r="H147" s="152" t="str" cm="1">
        <f t="array" ref="H147">Common_InputFunctions.Utility_DisplayArrayInTable(Fertiliser_SourceData.Fertiliser_Products_Data2(), FertiliserProducts[[#Headers],[Company]],31)</f>
        <v/>
      </c>
      <c r="I147" s="152" t="str" cm="1">
        <f t="array" ref="I147">Common_InputFunctions.Utility_DisplayArrayInTable(Fertiliser_SourceData.Fertiliser_Products_Data2(), FertiliserProducts[[#Headers],[Company]],31)</f>
        <v/>
      </c>
      <c r="J147" s="152" t="str" cm="1">
        <f t="array" ref="J147">Common_InputFunctions.Utility_DisplayArrayInTable(Fertiliser_SourceData.Fertiliser_Products_Data2(), FertiliserProducts[[#Headers],[Company]],31)</f>
        <v/>
      </c>
      <c r="K147" s="152" cm="1">
        <f t="array" ref="K147">Common_InputFunctions.Utility_DisplayArrayInTable(Fertiliser_SourceData.Fertiliser_Products_Data2(), FertiliserProducts[[#Headers],[Company]],31)</f>
        <v>10</v>
      </c>
      <c r="L147" s="152" cm="1">
        <f t="array" ref="L147">Common_InputFunctions.Utility_DisplayArrayInTable(Fertiliser_SourceData.Fertiliser_Products_Data2(), FertiliserProducts[[#Headers],[Company]],31)</f>
        <v>21.9</v>
      </c>
      <c r="M147" s="152" t="str" cm="1">
        <f t="array" ref="M147">Common_InputFunctions.Utility_DisplayArrayInTable(Fertiliser_SourceData.Fertiliser_Products_Data2(), FertiliserProducts[[#Headers],[Company]],31)</f>
        <v/>
      </c>
      <c r="N147" s="152" t="str" cm="1">
        <f t="array" ref="N147">Common_InputFunctions.Utility_DisplayArrayInTable(Fertiliser_SourceData.Fertiliser_Products_Data2(), FertiliserProducts[[#Headers],[Company]],31)</f>
        <v/>
      </c>
      <c r="O147" s="152" t="str" cm="1">
        <f t="array" ref="O147">Common_InputFunctions.Utility_DisplayArrayInTable(Fertiliser_SourceData.Fertiliser_Products_Data2(), FertiliserProducts[[#Headers],[Company]],31)</f>
        <v>Monoammonium phosphate (MAP)</v>
      </c>
      <c r="P147" s="152" cm="1">
        <f t="array" ref="P147">Common_InputFunctions.Utility_DisplayArrayInTable(Fertiliser_SourceData.Fertiliser_Products_Data2(), FertiliserProducts[[#Headers],[Company]],31)</f>
        <v>1</v>
      </c>
      <c r="Q147" s="152" t="str" cm="1">
        <f t="array" ref="Q147">Common_InputFunctions.Utility_DisplayArrayInTable(Fertiliser_SourceData.Fertiliser_Products_Data2(), FertiliserProducts[[#Headers],[Company]],31)</f>
        <v/>
      </c>
      <c r="R147" s="152" t="str" cm="1">
        <f t="array" ref="R147">Common_InputFunctions.Utility_DisplayArrayInTable(Fertiliser_SourceData.Fertiliser_Products_Data2(), FertiliserProducts[[#Headers],[Company]],31)</f>
        <v/>
      </c>
      <c r="S147" s="152" t="str" cm="1">
        <f t="array" ref="S147">Common_InputFunctions.Utility_DisplayArrayInTable(Fertiliser_SourceData.Fertiliser_Products_Data2(), FertiliserProducts[[#Headers],[Company]],31)</f>
        <v/>
      </c>
      <c r="T147" s="152" t="str" cm="1">
        <f t="array" ref="T147">Common_InputFunctions.Utility_DisplayArrayInTable(Fertiliser_SourceData.Fertiliser_Products_Data2(), FertiliserProducts[[#Headers],[Company]],31)</f>
        <v/>
      </c>
      <c r="U147" s="152" t="str" cm="1">
        <f t="array" ref="U147">Common_InputFunctions.Utility_DisplayArrayInTable(Fertiliser_SourceData.Fertiliser_Products_Data2(), FertiliserProducts[[#Headers],[Company]],31)</f>
        <v/>
      </c>
      <c r="V147" s="152" t="str" cm="1">
        <f t="array" ref="V147">Common_InputFunctions.Utility_DisplayArrayInTable(Fertiliser_SourceData.Fertiliser_Products_Data2(), FertiliserProducts[[#Headers],[Company]],31)</f>
        <v/>
      </c>
      <c r="W147" s="152" t="str" cm="1">
        <f t="array" ref="W147">Common_InputFunctions.Utility_DisplayArrayInTable(Fertiliser_SourceData.Fertiliser_Products_Data2(), FertiliserProducts[[#Headers],[Company]],31)</f>
        <v/>
      </c>
      <c r="X147" s="152" t="str" cm="1">
        <f t="array" ref="X147">Common_InputFunctions.Utility_DisplayArrayInTable(Fertiliser_SourceData.Fertiliser_Products_Data2(), FertiliserProducts[[#Headers],[Company]],31)</f>
        <v/>
      </c>
      <c r="Y147" s="152" t="str" cm="1">
        <f t="array" ref="Y147">Common_InputFunctions.Utility_DisplayArrayInTable(Fertiliser_SourceData.Fertiliser_Products_Data2(), FertiliserProducts[[#Headers],[Company]],31)</f>
        <v/>
      </c>
      <c r="Z147" s="152" t="str" cm="1">
        <f t="array" ref="Z147">Common_InputFunctions.Utility_DisplayArrayInTable(Fertiliser_SourceData.Fertiliser_Products_Data2(), FertiliserProducts[[#Headers],[Company]],31)</f>
        <v/>
      </c>
      <c r="AA147" s="152" t="str" cm="1">
        <f t="array" ref="AA147">Common_InputFunctions.Utility_DisplayArrayInTable(Fertiliser_SourceData.Fertiliser_Products_Data2(), FertiliserProducts[[#Headers],[Company]],31)</f>
        <v/>
      </c>
      <c r="AB147" s="152" t="str" cm="1">
        <f t="array" ref="AB147">Common_InputFunctions.Utility_DisplayArrayInTable(Fertiliser_SourceData.Fertiliser_Products_Data2(), FertiliserProducts[[#Headers],[Company]],31)</f>
        <v/>
      </c>
      <c r="AC147" s="152" t="str" cm="1">
        <f t="array" ref="AC147">Common_InputFunctions.Utility_DisplayArrayInTable(Fertiliser_SourceData.Fertiliser_Products_Data2(), FertiliserProducts[[#Headers],[Company]],31)</f>
        <v/>
      </c>
      <c r="AD147" s="152" t="str" cm="1">
        <f t="array" ref="AD147">Common_InputFunctions.Utility_DisplayArrayInTable(Fertiliser_SourceData.Fertiliser_Products_Data2(), FertiliserProducts[[#Headers],[Company]],31)</f>
        <v/>
      </c>
      <c r="AE147" s="152" t="str" cm="1">
        <f t="array" ref="AE147">Common_InputFunctions.Utility_DisplayArrayInTable(Fertiliser_SourceData.Fertiliser_Products_Data2(), FertiliserProducts[[#Headers],[Company]],31)</f>
        <v/>
      </c>
      <c r="AF147" s="152" t="str" cm="1">
        <f t="array" ref="AF147">Common_InputFunctions.Utility_DisplayArrayInTable(Fertiliser_SourceData.Fertiliser_Products_Data2(), FertiliserProducts[[#Headers],[Company]],31)</f>
        <v/>
      </c>
      <c r="AG147" s="152" t="str" cm="1">
        <f t="array" ref="AG147">Common_InputFunctions.Utility_DisplayArrayInTable(Fertiliser_SourceData.Fertiliser_Products_Data2(), FertiliserProducts[[#Headers],[Company]],31)</f>
        <v/>
      </c>
      <c r="AH147" s="152" t="str" cm="1">
        <f t="array" ref="AH147">Common_InputFunctions.Utility_DisplayArrayInTable(Fertiliser_SourceData.Fertiliser_Products_Data2(), FertiliserProducts[[#Headers],[Company]],31)</f>
        <v/>
      </c>
      <c r="AK147" s="1"/>
      <c r="AL147" s="1"/>
      <c r="AM147" s="1"/>
    </row>
    <row r="148" spans="1:39" ht="20.100000000000001" customHeight="1" x14ac:dyDescent="0.2">
      <c r="D148" s="152" t="str" cm="1">
        <f t="array" ref="D148">Common_InputFunctions.Utility_DisplayArrayInTable(Fertiliser_SourceData.Fertiliser_Products_Data2(), FertiliserProducts[[#Headers],[Company]],31)</f>
        <v>Yara Australia</v>
      </c>
      <c r="E148" s="152" t="str" cm="1">
        <f t="array" ref="E148">Common_InputFunctions.Utility_DisplayArrayInTable(Fertiliser_SourceData.Fertiliser_Products_Data2(), FertiliserProducts[[#Headers],[Company]],31)</f>
        <v>YaraTera KRISTALON RED</v>
      </c>
      <c r="F148" s="152" t="str" cm="1">
        <f t="array" ref="F148">Common_InputFunctions.Utility_DisplayArrayInTable(Fertiliser_SourceData.Fertiliser_Products_Data2(), FertiliserProducts[[#Headers],[Company]],31)</f>
        <v>kg</v>
      </c>
      <c r="G148" s="152" cm="1">
        <f t="array" ref="G148">Common_InputFunctions.Utility_DisplayArrayInTable(Fertiliser_SourceData.Fertiliser_Products_Data2(), FertiliserProducts[[#Headers],[Company]],31)</f>
        <v>1</v>
      </c>
      <c r="H148" s="152" t="str" cm="1">
        <f t="array" ref="H148">Common_InputFunctions.Utility_DisplayArrayInTable(Fertiliser_SourceData.Fertiliser_Products_Data2(), FertiliserProducts[[#Headers],[Company]],31)</f>
        <v/>
      </c>
      <c r="I148" s="152" t="str" cm="1">
        <f t="array" ref="I148">Common_InputFunctions.Utility_DisplayArrayInTable(Fertiliser_SourceData.Fertiliser_Products_Data2(), FertiliserProducts[[#Headers],[Company]],31)</f>
        <v/>
      </c>
      <c r="J148" s="152" t="str" cm="1">
        <f t="array" ref="J148">Common_InputFunctions.Utility_DisplayArrayInTable(Fertiliser_SourceData.Fertiliser_Products_Data2(), FertiliserProducts[[#Headers],[Company]],31)</f>
        <v/>
      </c>
      <c r="K148" s="152" cm="1">
        <f t="array" ref="K148">Common_InputFunctions.Utility_DisplayArrayInTable(Fertiliser_SourceData.Fertiliser_Products_Data2(), FertiliserProducts[[#Headers],[Company]],31)</f>
        <v>12</v>
      </c>
      <c r="L148" s="152" cm="1">
        <f t="array" ref="L148">Common_InputFunctions.Utility_DisplayArrayInTable(Fertiliser_SourceData.Fertiliser_Products_Data2(), FertiliserProducts[[#Headers],[Company]],31)</f>
        <v>5.2</v>
      </c>
      <c r="M148" s="152" cm="1">
        <f t="array" ref="M148">Common_InputFunctions.Utility_DisplayArrayInTable(Fertiliser_SourceData.Fertiliser_Products_Data2(), FertiliserProducts[[#Headers],[Company]],31)</f>
        <v>29.9</v>
      </c>
      <c r="N148" s="152" cm="1">
        <f t="array" ref="N148">Common_InputFunctions.Utility_DisplayArrayInTable(Fertiliser_SourceData.Fertiliser_Products_Data2(), FertiliserProducts[[#Headers],[Company]],31)</f>
        <v>1</v>
      </c>
      <c r="O148" s="152" t="str" cm="1">
        <f t="array" ref="O148">Common_InputFunctions.Utility_DisplayArrayInTable(Fertiliser_SourceData.Fertiliser_Products_Data2(), FertiliserProducts[[#Headers],[Company]],31)</f>
        <v>Potassium - Generic</v>
      </c>
      <c r="P148" s="152" cm="1">
        <f t="array" ref="P148">Common_InputFunctions.Utility_DisplayArrayInTable(Fertiliser_SourceData.Fertiliser_Products_Data2(), FertiliserProducts[[#Headers],[Company]],31)</f>
        <v>0.29899999999999999</v>
      </c>
      <c r="Q148" s="152" t="str" cm="1">
        <f t="array" ref="Q148">Common_InputFunctions.Utility_DisplayArrayInTable(Fertiliser_SourceData.Fertiliser_Products_Data2(), FertiliserProducts[[#Headers],[Company]],31)</f>
        <v>Nitrogen - Nitrate</v>
      </c>
      <c r="R148" s="152" cm="1">
        <f t="array" ref="R148">Common_InputFunctions.Utility_DisplayArrayInTable(Fertiliser_SourceData.Fertiliser_Products_Data2(), FertiliserProducts[[#Headers],[Company]],31)</f>
        <v>0.10100000000000001</v>
      </c>
      <c r="S148" s="152" t="str" cm="1">
        <f t="array" ref="S148">Common_InputFunctions.Utility_DisplayArrayInTable(Fertiliser_SourceData.Fertiliser_Products_Data2(), FertiliserProducts[[#Headers],[Company]],31)</f>
        <v>Phosphorus - Generic</v>
      </c>
      <c r="T148" s="152" cm="1">
        <f t="array" ref="T148">Common_InputFunctions.Utility_DisplayArrayInTable(Fertiliser_SourceData.Fertiliser_Products_Data2(), FertiliserProducts[[#Headers],[Company]],31)</f>
        <v>5.1999999999999998E-2</v>
      </c>
      <c r="U148" s="152" t="str" cm="1">
        <f t="array" ref="U148">Common_InputFunctions.Utility_DisplayArrayInTable(Fertiliser_SourceData.Fertiliser_Products_Data2(), FertiliserProducts[[#Headers],[Company]],31)</f>
        <v>Nitrogen - Ammoniacal</v>
      </c>
      <c r="V148" s="152" cm="1">
        <f t="array" ref="V148">Common_InputFunctions.Utility_DisplayArrayInTable(Fertiliser_SourceData.Fertiliser_Products_Data2(), FertiliserProducts[[#Headers],[Company]],31)</f>
        <v>1.9E-2</v>
      </c>
      <c r="W148" s="152" t="str" cm="1">
        <f t="array" ref="W148">Common_InputFunctions.Utility_DisplayArrayInTable(Fertiliser_SourceData.Fertiliser_Products_Data2(), FertiliserProducts[[#Headers],[Company]],31)</f>
        <v>Sulfur - Generic</v>
      </c>
      <c r="X148" s="152" cm="1">
        <f t="array" ref="X148">Common_InputFunctions.Utility_DisplayArrayInTable(Fertiliser_SourceData.Fertiliser_Products_Data2(), FertiliserProducts[[#Headers],[Company]],31)</f>
        <v>0.01</v>
      </c>
      <c r="Y148" s="152" t="str" cm="1">
        <f t="array" ref="Y148">Common_InputFunctions.Utility_DisplayArrayInTable(Fertiliser_SourceData.Fertiliser_Products_Data2(), FertiliserProducts[[#Headers],[Company]],31)</f>
        <v>Magnesium</v>
      </c>
      <c r="Z148" s="152" cm="1">
        <f t="array" ref="Z148">Common_InputFunctions.Utility_DisplayArrayInTable(Fertiliser_SourceData.Fertiliser_Products_Data2(), FertiliserProducts[[#Headers],[Company]],31)</f>
        <v>6.0000000000000001E-3</v>
      </c>
      <c r="AA148" s="152" t="str" cm="1">
        <f t="array" ref="AA148">Common_InputFunctions.Utility_DisplayArrayInTable(Fertiliser_SourceData.Fertiliser_Products_Data2(), FertiliserProducts[[#Headers],[Company]],31)</f>
        <v>Iron</v>
      </c>
      <c r="AB148" s="152" cm="1">
        <f t="array" ref="AB148">Common_InputFunctions.Utility_DisplayArrayInTable(Fertiliser_SourceData.Fertiliser_Products_Data2(), FertiliserProducts[[#Headers],[Company]],31)</f>
        <v>6.9999999999999999E-4</v>
      </c>
      <c r="AC148" s="152" t="str" cm="1">
        <f t="array" ref="AC148">Common_InputFunctions.Utility_DisplayArrayInTable(Fertiliser_SourceData.Fertiliser_Products_Data2(), FertiliserProducts[[#Headers],[Company]],31)</f>
        <v>Manganese</v>
      </c>
      <c r="AD148" s="152" cm="1">
        <f t="array" ref="AD148">Common_InputFunctions.Utility_DisplayArrayInTable(Fertiliser_SourceData.Fertiliser_Products_Data2(), FertiliserProducts[[#Headers],[Company]],31)</f>
        <v>4.0000000000000002E-4</v>
      </c>
      <c r="AE148" s="152" t="str" cm="1">
        <f t="array" ref="AE148">Common_InputFunctions.Utility_DisplayArrayInTable(Fertiliser_SourceData.Fertiliser_Products_Data2(), FertiliserProducts[[#Headers],[Company]],31)</f>
        <v>Zinc</v>
      </c>
      <c r="AF148" s="152" cm="1">
        <f t="array" ref="AF148">Common_InputFunctions.Utility_DisplayArrayInTable(Fertiliser_SourceData.Fertiliser_Products_Data2(), FertiliserProducts[[#Headers],[Company]],31)</f>
        <v>2.5000000000000001E-4</v>
      </c>
      <c r="AG148" s="152" t="str" cm="1">
        <f t="array" ref="AG148">Common_InputFunctions.Utility_DisplayArrayInTable(Fertiliser_SourceData.Fertiliser_Products_Data2(), FertiliserProducts[[#Headers],[Company]],31)</f>
        <v>Boron</v>
      </c>
      <c r="AH148" s="152" cm="1">
        <f t="array" ref="AH148">Common_InputFunctions.Utility_DisplayArrayInTable(Fertiliser_SourceData.Fertiliser_Products_Data2(), FertiliserProducts[[#Headers],[Company]],31)</f>
        <v>2.5000000000000001E-4</v>
      </c>
      <c r="AK148" s="1"/>
      <c r="AL148" s="1"/>
      <c r="AM148" s="1"/>
    </row>
    <row r="149" spans="1:39" ht="20.100000000000001" customHeight="1" x14ac:dyDescent="0.2">
      <c r="D149" s="152" t="str" cm="1">
        <f t="array" ref="D149">Common_InputFunctions.Utility_DisplayArrayInTable(Fertiliser_SourceData.Fertiliser_Products_Data2(), FertiliserProducts[[#Headers],[Company]],31)</f>
        <v>Yara Australia</v>
      </c>
      <c r="E149" s="152" t="str" cm="1">
        <f t="array" ref="E149">Common_InputFunctions.Utility_DisplayArrayInTable(Fertiliser_SourceData.Fertiliser_Products_Data2(), FertiliserProducts[[#Headers],[Company]],31)</f>
        <v>YaraTera KRISTALON SPECIAL</v>
      </c>
      <c r="F149" s="152" t="str" cm="1">
        <f t="array" ref="F149">Common_InputFunctions.Utility_DisplayArrayInTable(Fertiliser_SourceData.Fertiliser_Products_Data2(), FertiliserProducts[[#Headers],[Company]],31)</f>
        <v>kg</v>
      </c>
      <c r="G149" s="152" cm="1">
        <f t="array" ref="G149">Common_InputFunctions.Utility_DisplayArrayInTable(Fertiliser_SourceData.Fertiliser_Products_Data2(), FertiliserProducts[[#Headers],[Company]],31)</f>
        <v>1</v>
      </c>
      <c r="H149" s="152" t="str" cm="1">
        <f t="array" ref="H149">Common_InputFunctions.Utility_DisplayArrayInTable(Fertiliser_SourceData.Fertiliser_Products_Data2(), FertiliserProducts[[#Headers],[Company]],31)</f>
        <v/>
      </c>
      <c r="I149" s="152" t="str" cm="1">
        <f t="array" ref="I149">Common_InputFunctions.Utility_DisplayArrayInTable(Fertiliser_SourceData.Fertiliser_Products_Data2(), FertiliserProducts[[#Headers],[Company]],31)</f>
        <v/>
      </c>
      <c r="J149" s="152" t="str" cm="1">
        <f t="array" ref="J149">Common_InputFunctions.Utility_DisplayArrayInTable(Fertiliser_SourceData.Fertiliser_Products_Data2(), FertiliserProducts[[#Headers],[Company]],31)</f>
        <v/>
      </c>
      <c r="K149" s="152" cm="1">
        <f t="array" ref="K149">Common_InputFunctions.Utility_DisplayArrayInTable(Fertiliser_SourceData.Fertiliser_Products_Data2(), FertiliserProducts[[#Headers],[Company]],31)</f>
        <v>18</v>
      </c>
      <c r="L149" s="152" cm="1">
        <f t="array" ref="L149">Common_InputFunctions.Utility_DisplayArrayInTable(Fertiliser_SourceData.Fertiliser_Products_Data2(), FertiliserProducts[[#Headers],[Company]],31)</f>
        <v>7.9</v>
      </c>
      <c r="M149" s="152" cm="1">
        <f t="array" ref="M149">Common_InputFunctions.Utility_DisplayArrayInTable(Fertiliser_SourceData.Fertiliser_Products_Data2(), FertiliserProducts[[#Headers],[Company]],31)</f>
        <v>14.9</v>
      </c>
      <c r="N149" s="152" cm="1">
        <f t="array" ref="N149">Common_InputFunctions.Utility_DisplayArrayInTable(Fertiliser_SourceData.Fertiliser_Products_Data2(), FertiliserProducts[[#Headers],[Company]],31)</f>
        <v>2</v>
      </c>
      <c r="O149" s="152" t="str" cm="1">
        <f t="array" ref="O149">Common_InputFunctions.Utility_DisplayArrayInTable(Fertiliser_SourceData.Fertiliser_Products_Data2(), FertiliserProducts[[#Headers],[Company]],31)</f>
        <v>Potassium - Generic</v>
      </c>
      <c r="P149" s="152" cm="1">
        <f t="array" ref="P149">Common_InputFunctions.Utility_DisplayArrayInTable(Fertiliser_SourceData.Fertiliser_Products_Data2(), FertiliserProducts[[#Headers],[Company]],31)</f>
        <v>0.14899999999999999</v>
      </c>
      <c r="Q149" s="152" t="str" cm="1">
        <f t="array" ref="Q149">Common_InputFunctions.Utility_DisplayArrayInTable(Fertiliser_SourceData.Fertiliser_Products_Data2(), FertiliserProducts[[#Headers],[Company]],31)</f>
        <v>Urea</v>
      </c>
      <c r="R149" s="152" cm="1">
        <f t="array" ref="R149">Common_InputFunctions.Utility_DisplayArrayInTable(Fertiliser_SourceData.Fertiliser_Products_Data2(), FertiliserProducts[[#Headers],[Company]],31)</f>
        <v>0.21304300000000001</v>
      </c>
      <c r="S149" s="152" t="str" cm="1">
        <f t="array" ref="S149">Common_InputFunctions.Utility_DisplayArrayInTable(Fertiliser_SourceData.Fertiliser_Products_Data2(), FertiliserProducts[[#Headers],[Company]],31)</f>
        <v>Phosphorus - Generic</v>
      </c>
      <c r="T149" s="152" cm="1">
        <f t="array" ref="T149">Common_InputFunctions.Utility_DisplayArrayInTable(Fertiliser_SourceData.Fertiliser_Products_Data2(), FertiliserProducts[[#Headers],[Company]],31)</f>
        <v>7.9000000000000001E-2</v>
      </c>
      <c r="U149" s="152" t="str" cm="1">
        <f t="array" ref="U149">Common_InputFunctions.Utility_DisplayArrayInTable(Fertiliser_SourceData.Fertiliser_Products_Data2(), FertiliserProducts[[#Headers],[Company]],31)</f>
        <v>Nitrogen - Nitrate</v>
      </c>
      <c r="V149" s="152" cm="1">
        <f t="array" ref="V149">Common_InputFunctions.Utility_DisplayArrayInTable(Fertiliser_SourceData.Fertiliser_Products_Data2(), FertiliserProducts[[#Headers],[Company]],31)</f>
        <v>4.9000000000000002E-2</v>
      </c>
      <c r="W149" s="152" t="str" cm="1">
        <f t="array" ref="W149">Common_InputFunctions.Utility_DisplayArrayInTable(Fertiliser_SourceData.Fertiliser_Products_Data2(), FertiliserProducts[[#Headers],[Company]],31)</f>
        <v>Nitrogen - Ammoniacal</v>
      </c>
      <c r="X149" s="152" cm="1">
        <f t="array" ref="X149">Common_InputFunctions.Utility_DisplayArrayInTable(Fertiliser_SourceData.Fertiliser_Products_Data2(), FertiliserProducts[[#Headers],[Company]],31)</f>
        <v>3.3000000000000002E-2</v>
      </c>
      <c r="Y149" s="152" t="str" cm="1">
        <f t="array" ref="Y149">Common_InputFunctions.Utility_DisplayArrayInTable(Fertiliser_SourceData.Fertiliser_Products_Data2(), FertiliserProducts[[#Headers],[Company]],31)</f>
        <v>Sulfur - Generic</v>
      </c>
      <c r="Z149" s="152" cm="1">
        <f t="array" ref="Z149">Common_InputFunctions.Utility_DisplayArrayInTable(Fertiliser_SourceData.Fertiliser_Products_Data2(), FertiliserProducts[[#Headers],[Company]],31)</f>
        <v>0.02</v>
      </c>
      <c r="AA149" s="152" t="str" cm="1">
        <f t="array" ref="AA149">Common_InputFunctions.Utility_DisplayArrayInTable(Fertiliser_SourceData.Fertiliser_Products_Data2(), FertiliserProducts[[#Headers],[Company]],31)</f>
        <v>Magnesium</v>
      </c>
      <c r="AB149" s="152" cm="1">
        <f t="array" ref="AB149">Common_InputFunctions.Utility_DisplayArrayInTable(Fertiliser_SourceData.Fertiliser_Products_Data2(), FertiliserProducts[[#Headers],[Company]],31)</f>
        <v>1.7999999999999999E-2</v>
      </c>
      <c r="AC149" s="152" t="str" cm="1">
        <f t="array" ref="AC149">Common_InputFunctions.Utility_DisplayArrayInTable(Fertiliser_SourceData.Fertiliser_Products_Data2(), FertiliserProducts[[#Headers],[Company]],31)</f>
        <v>Iron</v>
      </c>
      <c r="AD149" s="152" cm="1">
        <f t="array" ref="AD149">Common_InputFunctions.Utility_DisplayArrayInTable(Fertiliser_SourceData.Fertiliser_Products_Data2(), FertiliserProducts[[#Headers],[Company]],31)</f>
        <v>6.9999999999999999E-4</v>
      </c>
      <c r="AE149" s="152" t="str" cm="1">
        <f t="array" ref="AE149">Common_InputFunctions.Utility_DisplayArrayInTable(Fertiliser_SourceData.Fertiliser_Products_Data2(), FertiliserProducts[[#Headers],[Company]],31)</f>
        <v>Manganese</v>
      </c>
      <c r="AF149" s="152" cm="1">
        <f t="array" ref="AF149">Common_InputFunctions.Utility_DisplayArrayInTable(Fertiliser_SourceData.Fertiliser_Products_Data2(), FertiliserProducts[[#Headers],[Company]],31)</f>
        <v>4.0000000000000002E-4</v>
      </c>
      <c r="AG149" s="152" t="str" cm="1">
        <f t="array" ref="AG149">Common_InputFunctions.Utility_DisplayArrayInTable(Fertiliser_SourceData.Fertiliser_Products_Data2(), FertiliserProducts[[#Headers],[Company]],31)</f>
        <v>Zinc</v>
      </c>
      <c r="AH149" s="152" cm="1">
        <f t="array" ref="AH149">Common_InputFunctions.Utility_DisplayArrayInTable(Fertiliser_SourceData.Fertiliser_Products_Data2(), FertiliserProducts[[#Headers],[Company]],31)</f>
        <v>2.5000000000000001E-4</v>
      </c>
      <c r="AK149" s="1"/>
      <c r="AL149" s="1"/>
      <c r="AM149" s="1"/>
    </row>
    <row r="150" spans="1:39" ht="20.100000000000001" customHeight="1" x14ac:dyDescent="0.2">
      <c r="D150" s="152" t="str" cm="1">
        <f t="array" ref="D150">Common_InputFunctions.Utility_DisplayArrayInTable(Fertiliser_SourceData.Fertiliser_Products_Data3(), FertiliserProducts[[#Headers],[Company]],61)</f>
        <v>Yara Australia</v>
      </c>
      <c r="E150" s="152" t="str" cm="1">
        <f t="array" ref="E150">Common_InputFunctions.Utility_DisplayArrayInTable(Fertiliser_SourceData.Fertiliser_Products_Data3(), FertiliserProducts[[#Headers],[Company]],61)</f>
        <v>YaraMila 21-7-3(4)</v>
      </c>
      <c r="F150" s="152" t="str" cm="1">
        <f t="array" ref="F150">Common_InputFunctions.Utility_DisplayArrayInTable(Fertiliser_SourceData.Fertiliser_Products_Data3(), FertiliserProducts[[#Headers],[Company]],61)</f>
        <v>kg</v>
      </c>
      <c r="G150" s="152" cm="1">
        <f t="array" ref="G150">Common_InputFunctions.Utility_DisplayArrayInTable(Fertiliser_SourceData.Fertiliser_Products_Data3(), FertiliserProducts[[#Headers],[Company]],61)</f>
        <v>1</v>
      </c>
      <c r="H150" s="152" t="str" cm="1">
        <f t="array" ref="H150">Common_InputFunctions.Utility_DisplayArrayInTable(Fertiliser_SourceData.Fertiliser_Products_Data3(), FertiliserProducts[[#Headers],[Company]],61)</f>
        <v/>
      </c>
      <c r="I150" s="152" t="str" cm="1">
        <f t="array" ref="I150">Common_InputFunctions.Utility_DisplayArrayInTable(Fertiliser_SourceData.Fertiliser_Products_Data3(), FertiliserProducts[[#Headers],[Company]],61)</f>
        <v/>
      </c>
      <c r="J150" s="152" t="str" cm="1">
        <f t="array" ref="J150">Common_InputFunctions.Utility_DisplayArrayInTable(Fertiliser_SourceData.Fertiliser_Products_Data3(), FertiliserProducts[[#Headers],[Company]],61)</f>
        <v/>
      </c>
      <c r="K150" s="152" cm="1">
        <f t="array" ref="K150">Common_InputFunctions.Utility_DisplayArrayInTable(Fertiliser_SourceData.Fertiliser_Products_Data3(), FertiliserProducts[[#Headers],[Company]],61)</f>
        <v>21</v>
      </c>
      <c r="L150" s="152" cm="1">
        <f t="array" ref="L150">Common_InputFunctions.Utility_DisplayArrayInTable(Fertiliser_SourceData.Fertiliser_Products_Data3(), FertiliserProducts[[#Headers],[Company]],61)</f>
        <v>7.4</v>
      </c>
      <c r="M150" s="152" cm="1">
        <f t="array" ref="M150">Common_InputFunctions.Utility_DisplayArrayInTable(Fertiliser_SourceData.Fertiliser_Products_Data3(), FertiliserProducts[[#Headers],[Company]],61)</f>
        <v>2.5</v>
      </c>
      <c r="N150" s="152" cm="1">
        <f t="array" ref="N150">Common_InputFunctions.Utility_DisplayArrayInTable(Fertiliser_SourceData.Fertiliser_Products_Data3(), FertiliserProducts[[#Headers],[Company]],61)</f>
        <v>4</v>
      </c>
      <c r="O150" s="152" t="str" cm="1">
        <f t="array" ref="O150">Common_InputFunctions.Utility_DisplayArrayInTable(Fertiliser_SourceData.Fertiliser_Products_Data3(), FertiliserProducts[[#Headers],[Company]],61)</f>
        <v>Nitrogen - Nitrate</v>
      </c>
      <c r="P150" s="152" cm="1">
        <f t="array" ref="P150">Common_InputFunctions.Utility_DisplayArrayInTable(Fertiliser_SourceData.Fertiliser_Products_Data3(), FertiliserProducts[[#Headers],[Company]],61)</f>
        <v>0.105</v>
      </c>
      <c r="Q150" s="152" t="str" cm="1">
        <f t="array" ref="Q150">Common_InputFunctions.Utility_DisplayArrayInTable(Fertiliser_SourceData.Fertiliser_Products_Data3(), FertiliserProducts[[#Headers],[Company]],61)</f>
        <v>Nitrogen - Ammoniacal</v>
      </c>
      <c r="R150" s="152" cm="1">
        <f t="array" ref="R150">Common_InputFunctions.Utility_DisplayArrayInTable(Fertiliser_SourceData.Fertiliser_Products_Data3(), FertiliserProducts[[#Headers],[Company]],61)</f>
        <v>0.105</v>
      </c>
      <c r="S150" s="152" t="str" cm="1">
        <f t="array" ref="S150">Common_InputFunctions.Utility_DisplayArrayInTable(Fertiliser_SourceData.Fertiliser_Products_Data3(), FertiliserProducts[[#Headers],[Company]],61)</f>
        <v>Phosphorus - Generic</v>
      </c>
      <c r="T150" s="152" cm="1">
        <f t="array" ref="T150">Common_InputFunctions.Utility_DisplayArrayInTable(Fertiliser_SourceData.Fertiliser_Products_Data3(), FertiliserProducts[[#Headers],[Company]],61)</f>
        <v>7.3999999999999996E-2</v>
      </c>
      <c r="U150" s="152" t="str" cm="1">
        <f t="array" ref="U150">Common_InputFunctions.Utility_DisplayArrayInTable(Fertiliser_SourceData.Fertiliser_Products_Data3(), FertiliserProducts[[#Headers],[Company]],61)</f>
        <v>Sulfur - Generic</v>
      </c>
      <c r="V150" s="152" cm="1">
        <f t="array" ref="V150">Common_InputFunctions.Utility_DisplayArrayInTable(Fertiliser_SourceData.Fertiliser_Products_Data3(), FertiliserProducts[[#Headers],[Company]],61)</f>
        <v>0.04</v>
      </c>
      <c r="W150" s="152" t="str" cm="1">
        <f t="array" ref="W150">Common_InputFunctions.Utility_DisplayArrayInTable(Fertiliser_SourceData.Fertiliser_Products_Data3(), FertiliserProducts[[#Headers],[Company]],61)</f>
        <v>Potassium - Generic</v>
      </c>
      <c r="X150" s="152" cm="1">
        <f t="array" ref="X150">Common_InputFunctions.Utility_DisplayArrayInTable(Fertiliser_SourceData.Fertiliser_Products_Data3(), FertiliserProducts[[#Headers],[Company]],61)</f>
        <v>2.5000000000000001E-2</v>
      </c>
      <c r="Y150" s="152" t="str" cm="1">
        <f t="array" ref="Y150">Common_InputFunctions.Utility_DisplayArrayInTable(Fertiliser_SourceData.Fertiliser_Products_Data3(), FertiliserProducts[[#Headers],[Company]],61)</f>
        <v>Magnesium</v>
      </c>
      <c r="Z150" s="152" cm="1">
        <f t="array" ref="Z150">Common_InputFunctions.Utility_DisplayArrayInTable(Fertiliser_SourceData.Fertiliser_Products_Data3(), FertiliserProducts[[#Headers],[Company]],61)</f>
        <v>4.0000000000000001E-3</v>
      </c>
      <c r="AA150" s="152" t="str" cm="1">
        <f t="array" ref="AA150">Common_InputFunctions.Utility_DisplayArrayInTable(Fertiliser_SourceData.Fertiliser_Products_Data3(), FertiliserProducts[[#Headers],[Company]],61)</f>
        <v>Zinc</v>
      </c>
      <c r="AB150" s="152" cm="1">
        <f t="array" ref="AB150">Common_InputFunctions.Utility_DisplayArrayInTable(Fertiliser_SourceData.Fertiliser_Products_Data3(), FertiliserProducts[[#Headers],[Company]],61)</f>
        <v>1.5E-3</v>
      </c>
      <c r="AC150" s="152" t="str" cm="1">
        <f t="array" ref="AC150">Common_InputFunctions.Utility_DisplayArrayInTable(Fertiliser_SourceData.Fertiliser_Products_Data3(), FertiliserProducts[[#Headers],[Company]],61)</f>
        <v/>
      </c>
      <c r="AD150" s="152" t="str" cm="1">
        <f t="array" ref="AD150">Common_InputFunctions.Utility_DisplayArrayInTable(Fertiliser_SourceData.Fertiliser_Products_Data3(), FertiliserProducts[[#Headers],[Company]],61)</f>
        <v/>
      </c>
      <c r="AE150" s="152" t="str" cm="1">
        <f t="array" ref="AE150">Common_InputFunctions.Utility_DisplayArrayInTable(Fertiliser_SourceData.Fertiliser_Products_Data3(), FertiliserProducts[[#Headers],[Company]],61)</f>
        <v/>
      </c>
      <c r="AF150" s="152" t="str" cm="1">
        <f t="array" ref="AF150">Common_InputFunctions.Utility_DisplayArrayInTable(Fertiliser_SourceData.Fertiliser_Products_Data3(), FertiliserProducts[[#Headers],[Company]],61)</f>
        <v/>
      </c>
      <c r="AG150" s="152" t="str" cm="1">
        <f t="array" ref="AG150">Common_InputFunctions.Utility_DisplayArrayInTable(Fertiliser_SourceData.Fertiliser_Products_Data3(), FertiliserProducts[[#Headers],[Company]],61)</f>
        <v/>
      </c>
      <c r="AH150" s="152" t="str" cm="1">
        <f t="array" ref="AH150">Common_InputFunctions.Utility_DisplayArrayInTable(Fertiliser_SourceData.Fertiliser_Products_Data3(), FertiliserProducts[[#Headers],[Company]],61)</f>
        <v/>
      </c>
      <c r="AK150" s="1"/>
      <c r="AL150" s="1"/>
      <c r="AM150" s="1"/>
    </row>
    <row r="151" spans="1:39" ht="20.100000000000001" customHeight="1" x14ac:dyDescent="0.2">
      <c r="D151" s="152" t="str" cm="1">
        <f t="array" ref="D151">Common_InputFunctions.Utility_DisplayArrayInTable(Fertiliser_SourceData.Fertiliser_Products_Data3(), FertiliserProducts[[#Headers],[Company]],61)</f>
        <v>Yara Australia</v>
      </c>
      <c r="E151" s="152" t="str" cm="1">
        <f t="array" ref="E151">Common_InputFunctions.Utility_DisplayArrayInTable(Fertiliser_SourceData.Fertiliser_Products_Data3(), FertiliserProducts[[#Headers],[Company]],61)</f>
        <v>YaraTera KRISTALON SCARLET</v>
      </c>
      <c r="F151" s="152" t="str" cm="1">
        <f t="array" ref="F151">Common_InputFunctions.Utility_DisplayArrayInTable(Fertiliser_SourceData.Fertiliser_Products_Data3(), FertiliserProducts[[#Headers],[Company]],61)</f>
        <v>kg</v>
      </c>
      <c r="G151" s="152" cm="1">
        <f t="array" ref="G151">Common_InputFunctions.Utility_DisplayArrayInTable(Fertiliser_SourceData.Fertiliser_Products_Data3(), FertiliserProducts[[#Headers],[Company]],61)</f>
        <v>1</v>
      </c>
      <c r="H151" s="152" t="str" cm="1">
        <f t="array" ref="H151">Common_InputFunctions.Utility_DisplayArrayInTable(Fertiliser_SourceData.Fertiliser_Products_Data3(), FertiliserProducts[[#Headers],[Company]],61)</f>
        <v/>
      </c>
      <c r="I151" s="152" t="str" cm="1">
        <f t="array" ref="I151">Common_InputFunctions.Utility_DisplayArrayInTable(Fertiliser_SourceData.Fertiliser_Products_Data3(), FertiliserProducts[[#Headers],[Company]],61)</f>
        <v/>
      </c>
      <c r="J151" s="152" t="str" cm="1">
        <f t="array" ref="J151">Common_InputFunctions.Utility_DisplayArrayInTable(Fertiliser_SourceData.Fertiliser_Products_Data3(), FertiliserProducts[[#Headers],[Company]],61)</f>
        <v/>
      </c>
      <c r="K151" s="152" cm="1">
        <f t="array" ref="K151">Common_InputFunctions.Utility_DisplayArrayInTable(Fertiliser_SourceData.Fertiliser_Products_Data3(), FertiliserProducts[[#Headers],[Company]],61)</f>
        <v>7.5</v>
      </c>
      <c r="L151" s="152" t="str" cm="1">
        <f t="array" ref="L151">Common_InputFunctions.Utility_DisplayArrayInTable(Fertiliser_SourceData.Fertiliser_Products_Data3(), FertiliserProducts[[#Headers],[Company]],61)</f>
        <v/>
      </c>
      <c r="M151" s="152" cm="1">
        <f t="array" ref="M151">Common_InputFunctions.Utility_DisplayArrayInTable(Fertiliser_SourceData.Fertiliser_Products_Data3(), FertiliserProducts[[#Headers],[Company]],61)</f>
        <v>29.9</v>
      </c>
      <c r="N151" s="152" cm="1">
        <f t="array" ref="N151">Common_InputFunctions.Utility_DisplayArrayInTable(Fertiliser_SourceData.Fertiliser_Products_Data3(), FertiliserProducts[[#Headers],[Company]],61)</f>
        <v>4</v>
      </c>
      <c r="O151" s="152" t="str" cm="1">
        <f t="array" ref="O151">Common_InputFunctions.Utility_DisplayArrayInTable(Fertiliser_SourceData.Fertiliser_Products_Data3(), FertiliserProducts[[#Headers],[Company]],61)</f>
        <v>Potassium - Generic</v>
      </c>
      <c r="P151" s="152" cm="1">
        <f t="array" ref="P151">Common_InputFunctions.Utility_DisplayArrayInTable(Fertiliser_SourceData.Fertiliser_Products_Data3(), FertiliserProducts[[#Headers],[Company]],61)</f>
        <v>0.29899999999999999</v>
      </c>
      <c r="Q151" s="152" t="str" cm="1">
        <f t="array" ref="Q151">Common_InputFunctions.Utility_DisplayArrayInTable(Fertiliser_SourceData.Fertiliser_Products_Data3(), FertiliserProducts[[#Headers],[Company]],61)</f>
        <v>Nitrogen - Nitrate</v>
      </c>
      <c r="R151" s="152" cm="1">
        <f t="array" ref="R151">Common_InputFunctions.Utility_DisplayArrayInTable(Fertiliser_SourceData.Fertiliser_Products_Data3(), FertiliserProducts[[#Headers],[Company]],61)</f>
        <v>5.1999999999999998E-2</v>
      </c>
      <c r="S151" s="152" t="str" cm="1">
        <f t="array" ref="S151">Common_InputFunctions.Utility_DisplayArrayInTable(Fertiliser_SourceData.Fertiliser_Products_Data3(), FertiliserProducts[[#Headers],[Company]],61)</f>
        <v>Sulfur - Generic</v>
      </c>
      <c r="T151" s="152" cm="1">
        <f t="array" ref="T151">Common_InputFunctions.Utility_DisplayArrayInTable(Fertiliser_SourceData.Fertiliser_Products_Data3(), FertiliserProducts[[#Headers],[Company]],61)</f>
        <v>0.04</v>
      </c>
      <c r="U151" s="152" t="str" cm="1">
        <f t="array" ref="U151">Common_InputFunctions.Utility_DisplayArrayInTable(Fertiliser_SourceData.Fertiliser_Products_Data3(), FertiliserProducts[[#Headers],[Company]],61)</f>
        <v>Magnesium</v>
      </c>
      <c r="V151" s="152" cm="1">
        <f t="array" ref="V151">Common_InputFunctions.Utility_DisplayArrayInTable(Fertiliser_SourceData.Fertiliser_Products_Data3(), FertiliserProducts[[#Headers],[Company]],61)</f>
        <v>2.7E-2</v>
      </c>
      <c r="W151" s="152" t="str" cm="1">
        <f t="array" ref="W151">Common_InputFunctions.Utility_DisplayArrayInTable(Fertiliser_SourceData.Fertiliser_Products_Data3(), FertiliserProducts[[#Headers],[Company]],61)</f>
        <v>Nitrogen - Ammoniacal</v>
      </c>
      <c r="X151" s="152" cm="1">
        <f t="array" ref="X151">Common_InputFunctions.Utility_DisplayArrayInTable(Fertiliser_SourceData.Fertiliser_Products_Data3(), FertiliserProducts[[#Headers],[Company]],61)</f>
        <v>2.3E-2</v>
      </c>
      <c r="Y151" s="152" t="str" cm="1">
        <f t="array" ref="Y151">Common_InputFunctions.Utility_DisplayArrayInTable(Fertiliser_SourceData.Fertiliser_Products_Data3(), FertiliserProducts[[#Headers],[Company]],61)</f>
        <v/>
      </c>
      <c r="Z151" s="152" t="str" cm="1">
        <f t="array" ref="Z151">Common_InputFunctions.Utility_DisplayArrayInTable(Fertiliser_SourceData.Fertiliser_Products_Data3(), FertiliserProducts[[#Headers],[Company]],61)</f>
        <v/>
      </c>
      <c r="AA151" s="152" t="str" cm="1">
        <f t="array" ref="AA151">Common_InputFunctions.Utility_DisplayArrayInTable(Fertiliser_SourceData.Fertiliser_Products_Data3(), FertiliserProducts[[#Headers],[Company]],61)</f>
        <v/>
      </c>
      <c r="AB151" s="152" t="str" cm="1">
        <f t="array" ref="AB151">Common_InputFunctions.Utility_DisplayArrayInTable(Fertiliser_SourceData.Fertiliser_Products_Data3(), FertiliserProducts[[#Headers],[Company]],61)</f>
        <v/>
      </c>
      <c r="AC151" s="152" t="str" cm="1">
        <f t="array" ref="AC151">Common_InputFunctions.Utility_DisplayArrayInTable(Fertiliser_SourceData.Fertiliser_Products_Data3(), FertiliserProducts[[#Headers],[Company]],61)</f>
        <v/>
      </c>
      <c r="AD151" s="152" t="str" cm="1">
        <f t="array" ref="AD151">Common_InputFunctions.Utility_DisplayArrayInTable(Fertiliser_SourceData.Fertiliser_Products_Data3(), FertiliserProducts[[#Headers],[Company]],61)</f>
        <v/>
      </c>
      <c r="AE151" s="152" t="str" cm="1">
        <f t="array" ref="AE151">Common_InputFunctions.Utility_DisplayArrayInTable(Fertiliser_SourceData.Fertiliser_Products_Data3(), FertiliserProducts[[#Headers],[Company]],61)</f>
        <v/>
      </c>
      <c r="AF151" s="152" t="str" cm="1">
        <f t="array" ref="AF151">Common_InputFunctions.Utility_DisplayArrayInTable(Fertiliser_SourceData.Fertiliser_Products_Data3(), FertiliserProducts[[#Headers],[Company]],61)</f>
        <v/>
      </c>
      <c r="AG151" s="152" t="str" cm="1">
        <f t="array" ref="AG151">Common_InputFunctions.Utility_DisplayArrayInTable(Fertiliser_SourceData.Fertiliser_Products_Data3(), FertiliserProducts[[#Headers],[Company]],61)</f>
        <v/>
      </c>
      <c r="AH151" s="152" t="str" cm="1">
        <f t="array" ref="AH151">Common_InputFunctions.Utility_DisplayArrayInTable(Fertiliser_SourceData.Fertiliser_Products_Data3(), FertiliserProducts[[#Headers],[Company]],61)</f>
        <v/>
      </c>
      <c r="AK151" s="1"/>
      <c r="AL151" s="1"/>
      <c r="AM151" s="1"/>
    </row>
    <row r="152" spans="1:39" ht="20.100000000000001" customHeight="1" x14ac:dyDescent="0.2">
      <c r="D152" s="152" t="str" cm="1">
        <f t="array" ref="D152">Common_InputFunctions.Utility_DisplayArrayInTable(Fertiliser_SourceData.Fertiliser_Products_Data3(), FertiliserProducts[[#Headers],[Company]],61)</f>
        <v>Campbells fertilisers Australia</v>
      </c>
      <c r="E152" s="152" t="str" cm="1">
        <f t="array" ref="E152">Common_InputFunctions.Utility_DisplayArrayInTable(Fertiliser_SourceData.Fertiliser_Products_Data3(), FertiliserProducts[[#Headers],[Company]],61)</f>
        <v>Solu-MAP</v>
      </c>
      <c r="F152" s="152" t="str" cm="1">
        <f t="array" ref="F152">Common_InputFunctions.Utility_DisplayArrayInTable(Fertiliser_SourceData.Fertiliser_Products_Data3(), FertiliserProducts[[#Headers],[Company]],61)</f>
        <v>kg</v>
      </c>
      <c r="G152" s="152" cm="1">
        <f t="array" ref="G152">Common_InputFunctions.Utility_DisplayArrayInTable(Fertiliser_SourceData.Fertiliser_Products_Data3(), FertiliserProducts[[#Headers],[Company]],61)</f>
        <v>1</v>
      </c>
      <c r="H152" s="152" t="str" cm="1">
        <f t="array" ref="H152">Common_InputFunctions.Utility_DisplayArrayInTable(Fertiliser_SourceData.Fertiliser_Products_Data3(), FertiliserProducts[[#Headers],[Company]],61)</f>
        <v/>
      </c>
      <c r="I152" s="152" t="str" cm="1">
        <f t="array" ref="I152">Common_InputFunctions.Utility_DisplayArrayInTable(Fertiliser_SourceData.Fertiliser_Products_Data3(), FertiliserProducts[[#Headers],[Company]],61)</f>
        <v/>
      </c>
      <c r="J152" s="152" t="str" cm="1">
        <f t="array" ref="J152">Common_InputFunctions.Utility_DisplayArrayInTable(Fertiliser_SourceData.Fertiliser_Products_Data3(), FertiliserProducts[[#Headers],[Company]],61)</f>
        <v/>
      </c>
      <c r="K152" s="152" cm="1">
        <f t="array" ref="K152">Common_InputFunctions.Utility_DisplayArrayInTable(Fertiliser_SourceData.Fertiliser_Products_Data3(), FertiliserProducts[[#Headers],[Company]],61)</f>
        <v>10</v>
      </c>
      <c r="L152" s="152" cm="1">
        <f t="array" ref="L152">Common_InputFunctions.Utility_DisplayArrayInTable(Fertiliser_SourceData.Fertiliser_Products_Data3(), FertiliserProducts[[#Headers],[Company]],61)</f>
        <v>21.9</v>
      </c>
      <c r="M152" s="152" t="str" cm="1">
        <f t="array" ref="M152">Common_InputFunctions.Utility_DisplayArrayInTable(Fertiliser_SourceData.Fertiliser_Products_Data3(), FertiliserProducts[[#Headers],[Company]],61)</f>
        <v/>
      </c>
      <c r="N152" s="152" t="str" cm="1">
        <f t="array" ref="N152">Common_InputFunctions.Utility_DisplayArrayInTable(Fertiliser_SourceData.Fertiliser_Products_Data3(), FertiliserProducts[[#Headers],[Company]],61)</f>
        <v/>
      </c>
      <c r="O152" s="152" t="str" cm="1">
        <f t="array" ref="O152">Common_InputFunctions.Utility_DisplayArrayInTable(Fertiliser_SourceData.Fertiliser_Products_Data3(), FertiliserProducts[[#Headers],[Company]],61)</f>
        <v>Monoammonium phosphate (MAP)</v>
      </c>
      <c r="P152" s="152" cm="1">
        <f t="array" ref="P152">Common_InputFunctions.Utility_DisplayArrayInTable(Fertiliser_SourceData.Fertiliser_Products_Data3(), FertiliserProducts[[#Headers],[Company]],61)</f>
        <v>1</v>
      </c>
      <c r="Q152" s="152" t="str" cm="1">
        <f t="array" ref="Q152">Common_InputFunctions.Utility_DisplayArrayInTable(Fertiliser_SourceData.Fertiliser_Products_Data3(), FertiliserProducts[[#Headers],[Company]],61)</f>
        <v/>
      </c>
      <c r="R152" s="152" t="str" cm="1">
        <f t="array" ref="R152">Common_InputFunctions.Utility_DisplayArrayInTable(Fertiliser_SourceData.Fertiliser_Products_Data3(), FertiliserProducts[[#Headers],[Company]],61)</f>
        <v/>
      </c>
      <c r="S152" s="152" t="str" cm="1">
        <f t="array" ref="S152">Common_InputFunctions.Utility_DisplayArrayInTable(Fertiliser_SourceData.Fertiliser_Products_Data3(), FertiliserProducts[[#Headers],[Company]],61)</f>
        <v/>
      </c>
      <c r="T152" s="152" t="str" cm="1">
        <f t="array" ref="T152">Common_InputFunctions.Utility_DisplayArrayInTable(Fertiliser_SourceData.Fertiliser_Products_Data3(), FertiliserProducts[[#Headers],[Company]],61)</f>
        <v/>
      </c>
      <c r="U152" s="152" t="str" cm="1">
        <f t="array" ref="U152">Common_InputFunctions.Utility_DisplayArrayInTable(Fertiliser_SourceData.Fertiliser_Products_Data3(), FertiliserProducts[[#Headers],[Company]],61)</f>
        <v/>
      </c>
      <c r="V152" s="152" t="str" cm="1">
        <f t="array" ref="V152">Common_InputFunctions.Utility_DisplayArrayInTable(Fertiliser_SourceData.Fertiliser_Products_Data3(), FertiliserProducts[[#Headers],[Company]],61)</f>
        <v/>
      </c>
      <c r="W152" s="152" t="str" cm="1">
        <f t="array" ref="W152">Common_InputFunctions.Utility_DisplayArrayInTable(Fertiliser_SourceData.Fertiliser_Products_Data3(), FertiliserProducts[[#Headers],[Company]],61)</f>
        <v/>
      </c>
      <c r="X152" s="152" t="str" cm="1">
        <f t="array" ref="X152">Common_InputFunctions.Utility_DisplayArrayInTable(Fertiliser_SourceData.Fertiliser_Products_Data3(), FertiliserProducts[[#Headers],[Company]],61)</f>
        <v/>
      </c>
      <c r="Y152" s="152" t="str" cm="1">
        <f t="array" ref="Y152">Common_InputFunctions.Utility_DisplayArrayInTable(Fertiliser_SourceData.Fertiliser_Products_Data3(), FertiliserProducts[[#Headers],[Company]],61)</f>
        <v/>
      </c>
      <c r="Z152" s="152" t="str" cm="1">
        <f t="array" ref="Z152">Common_InputFunctions.Utility_DisplayArrayInTable(Fertiliser_SourceData.Fertiliser_Products_Data3(), FertiliserProducts[[#Headers],[Company]],61)</f>
        <v/>
      </c>
      <c r="AA152" s="152" t="str" cm="1">
        <f t="array" ref="AA152">Common_InputFunctions.Utility_DisplayArrayInTable(Fertiliser_SourceData.Fertiliser_Products_Data3(), FertiliserProducts[[#Headers],[Company]],61)</f>
        <v/>
      </c>
      <c r="AB152" s="152" t="str" cm="1">
        <f t="array" ref="AB152">Common_InputFunctions.Utility_DisplayArrayInTable(Fertiliser_SourceData.Fertiliser_Products_Data3(), FertiliserProducts[[#Headers],[Company]],61)</f>
        <v/>
      </c>
      <c r="AC152" s="152" t="str" cm="1">
        <f t="array" ref="AC152">Common_InputFunctions.Utility_DisplayArrayInTable(Fertiliser_SourceData.Fertiliser_Products_Data3(), FertiliserProducts[[#Headers],[Company]],61)</f>
        <v/>
      </c>
      <c r="AD152" s="152" t="str" cm="1">
        <f t="array" ref="AD152">Common_InputFunctions.Utility_DisplayArrayInTable(Fertiliser_SourceData.Fertiliser_Products_Data3(), FertiliserProducts[[#Headers],[Company]],61)</f>
        <v/>
      </c>
      <c r="AE152" s="152" t="str" cm="1">
        <f t="array" ref="AE152">Common_InputFunctions.Utility_DisplayArrayInTable(Fertiliser_SourceData.Fertiliser_Products_Data3(), FertiliserProducts[[#Headers],[Company]],61)</f>
        <v/>
      </c>
      <c r="AF152" s="152" t="str" cm="1">
        <f t="array" ref="AF152">Common_InputFunctions.Utility_DisplayArrayInTable(Fertiliser_SourceData.Fertiliser_Products_Data3(), FertiliserProducts[[#Headers],[Company]],61)</f>
        <v/>
      </c>
      <c r="AG152" s="152" t="str" cm="1">
        <f t="array" ref="AG152">Common_InputFunctions.Utility_DisplayArrayInTable(Fertiliser_SourceData.Fertiliser_Products_Data3(), FertiliserProducts[[#Headers],[Company]],61)</f>
        <v/>
      </c>
      <c r="AH152" s="152" t="str" cm="1">
        <f t="array" ref="AH152">Common_InputFunctions.Utility_DisplayArrayInTable(Fertiliser_SourceData.Fertiliser_Products_Data3(), FertiliserProducts[[#Headers],[Company]],61)</f>
        <v/>
      </c>
      <c r="AK152" s="1"/>
      <c r="AL152" s="1"/>
      <c r="AM152" s="1"/>
    </row>
    <row r="153" spans="1:39" ht="20.100000000000001" customHeight="1" x14ac:dyDescent="0.2">
      <c r="D153" s="152" t="str" cm="1">
        <f t="array" ref="D153">Common_InputFunctions.Utility_DisplayArrayInTable(Fertiliser_SourceData.Fertiliser_Products_Data3(), FertiliserProducts[[#Headers],[Company]],61)</f>
        <v>Campbells fertilisers Australia</v>
      </c>
      <c r="E153" s="152" t="str" cm="1">
        <f t="array" ref="E153">Common_InputFunctions.Utility_DisplayArrayInTable(Fertiliser_SourceData.Fertiliser_Products_Data3(), FertiliserProducts[[#Headers],[Company]],61)</f>
        <v>Solu-Sam</v>
      </c>
      <c r="F153" s="152" t="str" cm="1">
        <f t="array" ref="F153">Common_InputFunctions.Utility_DisplayArrayInTable(Fertiliser_SourceData.Fertiliser_Products_Data3(), FertiliserProducts[[#Headers],[Company]],61)</f>
        <v>kg</v>
      </c>
      <c r="G153" s="152" cm="1">
        <f t="array" ref="G153">Common_InputFunctions.Utility_DisplayArrayInTable(Fertiliser_SourceData.Fertiliser_Products_Data3(), FertiliserProducts[[#Headers],[Company]],61)</f>
        <v>1</v>
      </c>
      <c r="H153" s="152" t="str" cm="1">
        <f t="array" ref="H153">Common_InputFunctions.Utility_DisplayArrayInTable(Fertiliser_SourceData.Fertiliser_Products_Data3(), FertiliserProducts[[#Headers],[Company]],61)</f>
        <v/>
      </c>
      <c r="I153" s="152" t="str" cm="1">
        <f t="array" ref="I153">Common_InputFunctions.Utility_DisplayArrayInTable(Fertiliser_SourceData.Fertiliser_Products_Data3(), FertiliserProducts[[#Headers],[Company]],61)</f>
        <v/>
      </c>
      <c r="J153" s="152" t="str" cm="1">
        <f t="array" ref="J153">Common_InputFunctions.Utility_DisplayArrayInTable(Fertiliser_SourceData.Fertiliser_Products_Data3(), FertiliserProducts[[#Headers],[Company]],61)</f>
        <v/>
      </c>
      <c r="K153" s="152" cm="1">
        <f t="array" ref="K153">Common_InputFunctions.Utility_DisplayArrayInTable(Fertiliser_SourceData.Fertiliser_Products_Data3(), FertiliserProducts[[#Headers],[Company]],61)</f>
        <v>21</v>
      </c>
      <c r="L153" s="152" t="str" cm="1">
        <f t="array" ref="L153">Common_InputFunctions.Utility_DisplayArrayInTable(Fertiliser_SourceData.Fertiliser_Products_Data3(), FertiliserProducts[[#Headers],[Company]],61)</f>
        <v/>
      </c>
      <c r="M153" s="152" t="str" cm="1">
        <f t="array" ref="M153">Common_InputFunctions.Utility_DisplayArrayInTable(Fertiliser_SourceData.Fertiliser_Products_Data3(), FertiliserProducts[[#Headers],[Company]],61)</f>
        <v/>
      </c>
      <c r="N153" s="152" cm="1">
        <f t="array" ref="N153">Common_InputFunctions.Utility_DisplayArrayInTable(Fertiliser_SourceData.Fertiliser_Products_Data3(), FertiliserProducts[[#Headers],[Company]],61)</f>
        <v>24</v>
      </c>
      <c r="O153" s="152" t="str" cm="1">
        <f t="array" ref="O153">Common_InputFunctions.Utility_DisplayArrayInTable(Fertiliser_SourceData.Fertiliser_Products_Data3(), FertiliserProducts[[#Headers],[Company]],61)</f>
        <v>Sulphate of ammonia (SOA)</v>
      </c>
      <c r="P153" s="152" cm="1">
        <f t="array" ref="P153">Common_InputFunctions.Utility_DisplayArrayInTable(Fertiliser_SourceData.Fertiliser_Products_Data3(), FertiliserProducts[[#Headers],[Company]],61)</f>
        <v>1</v>
      </c>
      <c r="Q153" s="152" t="str" cm="1">
        <f t="array" ref="Q153">Common_InputFunctions.Utility_DisplayArrayInTable(Fertiliser_SourceData.Fertiliser_Products_Data3(), FertiliserProducts[[#Headers],[Company]],61)</f>
        <v/>
      </c>
      <c r="R153" s="152" t="str" cm="1">
        <f t="array" ref="R153">Common_InputFunctions.Utility_DisplayArrayInTable(Fertiliser_SourceData.Fertiliser_Products_Data3(), FertiliserProducts[[#Headers],[Company]],61)</f>
        <v/>
      </c>
      <c r="S153" s="152" t="str" cm="1">
        <f t="array" ref="S153">Common_InputFunctions.Utility_DisplayArrayInTable(Fertiliser_SourceData.Fertiliser_Products_Data3(), FertiliserProducts[[#Headers],[Company]],61)</f>
        <v/>
      </c>
      <c r="T153" s="152" t="str" cm="1">
        <f t="array" ref="T153">Common_InputFunctions.Utility_DisplayArrayInTable(Fertiliser_SourceData.Fertiliser_Products_Data3(), FertiliserProducts[[#Headers],[Company]],61)</f>
        <v/>
      </c>
      <c r="U153" s="152" t="str" cm="1">
        <f t="array" ref="U153">Common_InputFunctions.Utility_DisplayArrayInTable(Fertiliser_SourceData.Fertiliser_Products_Data3(), FertiliserProducts[[#Headers],[Company]],61)</f>
        <v/>
      </c>
      <c r="V153" s="152" t="str" cm="1">
        <f t="array" ref="V153">Common_InputFunctions.Utility_DisplayArrayInTable(Fertiliser_SourceData.Fertiliser_Products_Data3(), FertiliserProducts[[#Headers],[Company]],61)</f>
        <v/>
      </c>
      <c r="W153" s="152" t="str" cm="1">
        <f t="array" ref="W153">Common_InputFunctions.Utility_DisplayArrayInTable(Fertiliser_SourceData.Fertiliser_Products_Data3(), FertiliserProducts[[#Headers],[Company]],61)</f>
        <v/>
      </c>
      <c r="X153" s="152" t="str" cm="1">
        <f t="array" ref="X153">Common_InputFunctions.Utility_DisplayArrayInTable(Fertiliser_SourceData.Fertiliser_Products_Data3(), FertiliserProducts[[#Headers],[Company]],61)</f>
        <v/>
      </c>
      <c r="Y153" s="152" t="str" cm="1">
        <f t="array" ref="Y153">Common_InputFunctions.Utility_DisplayArrayInTable(Fertiliser_SourceData.Fertiliser_Products_Data3(), FertiliserProducts[[#Headers],[Company]],61)</f>
        <v/>
      </c>
      <c r="Z153" s="152" t="str" cm="1">
        <f t="array" ref="Z153">Common_InputFunctions.Utility_DisplayArrayInTable(Fertiliser_SourceData.Fertiliser_Products_Data3(), FertiliserProducts[[#Headers],[Company]],61)</f>
        <v/>
      </c>
      <c r="AA153" s="152" t="str" cm="1">
        <f t="array" ref="AA153">Common_InputFunctions.Utility_DisplayArrayInTable(Fertiliser_SourceData.Fertiliser_Products_Data3(), FertiliserProducts[[#Headers],[Company]],61)</f>
        <v/>
      </c>
      <c r="AB153" s="152" t="str" cm="1">
        <f t="array" ref="AB153">Common_InputFunctions.Utility_DisplayArrayInTable(Fertiliser_SourceData.Fertiliser_Products_Data3(), FertiliserProducts[[#Headers],[Company]],61)</f>
        <v/>
      </c>
      <c r="AC153" s="152" t="str" cm="1">
        <f t="array" ref="AC153">Common_InputFunctions.Utility_DisplayArrayInTable(Fertiliser_SourceData.Fertiliser_Products_Data3(), FertiliserProducts[[#Headers],[Company]],61)</f>
        <v/>
      </c>
      <c r="AD153" s="152" t="str" cm="1">
        <f t="array" ref="AD153">Common_InputFunctions.Utility_DisplayArrayInTable(Fertiliser_SourceData.Fertiliser_Products_Data3(), FertiliserProducts[[#Headers],[Company]],61)</f>
        <v/>
      </c>
      <c r="AE153" s="152" t="str" cm="1">
        <f t="array" ref="AE153">Common_InputFunctions.Utility_DisplayArrayInTable(Fertiliser_SourceData.Fertiliser_Products_Data3(), FertiliserProducts[[#Headers],[Company]],61)</f>
        <v/>
      </c>
      <c r="AF153" s="152" t="str" cm="1">
        <f t="array" ref="AF153">Common_InputFunctions.Utility_DisplayArrayInTable(Fertiliser_SourceData.Fertiliser_Products_Data3(), FertiliserProducts[[#Headers],[Company]],61)</f>
        <v/>
      </c>
      <c r="AG153" s="152" t="str" cm="1">
        <f t="array" ref="AG153">Common_InputFunctions.Utility_DisplayArrayInTable(Fertiliser_SourceData.Fertiliser_Products_Data3(), FertiliserProducts[[#Headers],[Company]],61)</f>
        <v/>
      </c>
      <c r="AH153" s="152" t="str" cm="1">
        <f t="array" ref="AH153">Common_InputFunctions.Utility_DisplayArrayInTable(Fertiliser_SourceData.Fertiliser_Products_Data3(), FertiliserProducts[[#Headers],[Company]],61)</f>
        <v/>
      </c>
      <c r="AK153" s="1"/>
      <c r="AL153" s="1"/>
      <c r="AM153" s="1"/>
    </row>
    <row r="154" spans="1:39" ht="20.100000000000001" customHeight="1" x14ac:dyDescent="0.2">
      <c r="D154" s="152" t="str" cm="1">
        <f t="array" ref="D154">Common_InputFunctions.Utility_DisplayArrayInTable(Fertiliser_SourceData.Fertiliser_Products_Data3(), FertiliserProducts[[#Headers],[Company]],61)</f>
        <v>Campbells fertilisers Australia</v>
      </c>
      <c r="E154" s="152" t="str" cm="1">
        <f t="array" ref="E154">Common_InputFunctions.Utility_DisplayArrayInTable(Fertiliser_SourceData.Fertiliser_Products_Data3(), FertiliserProducts[[#Headers],[Company]],61)</f>
        <v>Rustica Plus</v>
      </c>
      <c r="F154" s="152" t="str" cm="1">
        <f t="array" ref="F154">Common_InputFunctions.Utility_DisplayArrayInTable(Fertiliser_SourceData.Fertiliser_Products_Data3(), FertiliserProducts[[#Headers],[Company]],61)</f>
        <v>kg</v>
      </c>
      <c r="G154" s="152" cm="1">
        <f t="array" ref="G154">Common_InputFunctions.Utility_DisplayArrayInTable(Fertiliser_SourceData.Fertiliser_Products_Data3(), FertiliserProducts[[#Headers],[Company]],61)</f>
        <v>1</v>
      </c>
      <c r="H154" s="152" t="str" cm="1">
        <f t="array" ref="H154">Common_InputFunctions.Utility_DisplayArrayInTable(Fertiliser_SourceData.Fertiliser_Products_Data3(), FertiliserProducts[[#Headers],[Company]],61)</f>
        <v/>
      </c>
      <c r="I154" s="152" t="str" cm="1">
        <f t="array" ref="I154">Common_InputFunctions.Utility_DisplayArrayInTable(Fertiliser_SourceData.Fertiliser_Products_Data3(), FertiliserProducts[[#Headers],[Company]],61)</f>
        <v/>
      </c>
      <c r="J154" s="152" t="str" cm="1">
        <f t="array" ref="J154">Common_InputFunctions.Utility_DisplayArrayInTable(Fertiliser_SourceData.Fertiliser_Products_Data3(), FertiliserProducts[[#Headers],[Company]],61)</f>
        <v/>
      </c>
      <c r="K154" s="152" cm="1">
        <f t="array" ref="K154">Common_InputFunctions.Utility_DisplayArrayInTable(Fertiliser_SourceData.Fertiliser_Products_Data3(), FertiliserProducts[[#Headers],[Company]],61)</f>
        <v>12</v>
      </c>
      <c r="L154" s="152" cm="1">
        <f t="array" ref="L154">Common_InputFunctions.Utility_DisplayArrayInTable(Fertiliser_SourceData.Fertiliser_Products_Data3(), FertiliserProducts[[#Headers],[Company]],61)</f>
        <v>5</v>
      </c>
      <c r="M154" s="152" cm="1">
        <f t="array" ref="M154">Common_InputFunctions.Utility_DisplayArrayInTable(Fertiliser_SourceData.Fertiliser_Products_Data3(), FertiliserProducts[[#Headers],[Company]],61)</f>
        <v>14</v>
      </c>
      <c r="N154" s="152" cm="1">
        <f t="array" ref="N154">Common_InputFunctions.Utility_DisplayArrayInTable(Fertiliser_SourceData.Fertiliser_Products_Data3(), FertiliserProducts[[#Headers],[Company]],61)</f>
        <v>9.6999999999999993</v>
      </c>
      <c r="O154" s="152" t="str" cm="1">
        <f t="array" ref="O154">Common_InputFunctions.Utility_DisplayArrayInTable(Fertiliser_SourceData.Fertiliser_Products_Data3(), FertiliserProducts[[#Headers],[Company]],61)</f>
        <v>Potassium - Generic</v>
      </c>
      <c r="P154" s="152" cm="1">
        <f t="array" ref="P154">Common_InputFunctions.Utility_DisplayArrayInTable(Fertiliser_SourceData.Fertiliser_Products_Data3(), FertiliserProducts[[#Headers],[Company]],61)</f>
        <v>0.14000000000000001</v>
      </c>
      <c r="Q154" s="152" t="str" cm="1">
        <f t="array" ref="Q154">Common_InputFunctions.Utility_DisplayArrayInTable(Fertiliser_SourceData.Fertiliser_Products_Data3(), FertiliserProducts[[#Headers],[Company]],61)</f>
        <v>Sulfur - Generic</v>
      </c>
      <c r="R154" s="152" cm="1">
        <f t="array" ref="R154">Common_InputFunctions.Utility_DisplayArrayInTable(Fertiliser_SourceData.Fertiliser_Products_Data3(), FertiliserProducts[[#Headers],[Company]],61)</f>
        <v>9.7000000000000003E-2</v>
      </c>
      <c r="S154" s="152" t="str" cm="1">
        <f t="array" ref="S154">Common_InputFunctions.Utility_DisplayArrayInTable(Fertiliser_SourceData.Fertiliser_Products_Data3(), FertiliserProducts[[#Headers],[Company]],61)</f>
        <v>Nitrogen - Nitrate</v>
      </c>
      <c r="T154" s="152" cm="1">
        <f t="array" ref="T154">Common_InputFunctions.Utility_DisplayArrayInTable(Fertiliser_SourceData.Fertiliser_Products_Data3(), FertiliserProducts[[#Headers],[Company]],61)</f>
        <v>0.06</v>
      </c>
      <c r="U154" s="152" t="str" cm="1">
        <f t="array" ref="U154">Common_InputFunctions.Utility_DisplayArrayInTable(Fertiliser_SourceData.Fertiliser_Products_Data3(), FertiliserProducts[[#Headers],[Company]],61)</f>
        <v>Nitrogen - Ammoniacal</v>
      </c>
      <c r="V154" s="152" cm="1">
        <f t="array" ref="V154">Common_InputFunctions.Utility_DisplayArrayInTable(Fertiliser_SourceData.Fertiliser_Products_Data3(), FertiliserProducts[[#Headers],[Company]],61)</f>
        <v>0.06</v>
      </c>
      <c r="W154" s="152" t="str" cm="1">
        <f t="array" ref="W154">Common_InputFunctions.Utility_DisplayArrayInTable(Fertiliser_SourceData.Fertiliser_Products_Data3(), FertiliserProducts[[#Headers],[Company]],61)</f>
        <v>Phosphorus - Generic</v>
      </c>
      <c r="X154" s="152" cm="1">
        <f t="array" ref="X154">Common_InputFunctions.Utility_DisplayArrayInTable(Fertiliser_SourceData.Fertiliser_Products_Data3(), FertiliserProducts[[#Headers],[Company]],61)</f>
        <v>0.05</v>
      </c>
      <c r="Y154" s="152" t="str" cm="1">
        <f t="array" ref="Y154">Common_InputFunctions.Utility_DisplayArrayInTable(Fertiliser_SourceData.Fertiliser_Products_Data3(), FertiliserProducts[[#Headers],[Company]],61)</f>
        <v>Calcium</v>
      </c>
      <c r="Z154" s="152" cm="1">
        <f t="array" ref="Z154">Common_InputFunctions.Utility_DisplayArrayInTable(Fertiliser_SourceData.Fertiliser_Products_Data3(), FertiliserProducts[[#Headers],[Company]],61)</f>
        <v>3.1E-2</v>
      </c>
      <c r="AA154" s="152" t="str" cm="1">
        <f t="array" ref="AA154">Common_InputFunctions.Utility_DisplayArrayInTable(Fertiliser_SourceData.Fertiliser_Products_Data3(), FertiliserProducts[[#Headers],[Company]],61)</f>
        <v>Magnesium</v>
      </c>
      <c r="AB154" s="152" cm="1">
        <f t="array" ref="AB154">Common_InputFunctions.Utility_DisplayArrayInTable(Fertiliser_SourceData.Fertiliser_Products_Data3(), FertiliserProducts[[#Headers],[Company]],61)</f>
        <v>1.2E-2</v>
      </c>
      <c r="AC154" s="152" t="str" cm="1">
        <f t="array" ref="AC154">Common_InputFunctions.Utility_DisplayArrayInTable(Fertiliser_SourceData.Fertiliser_Products_Data3(), FertiliserProducts[[#Headers],[Company]],61)</f>
        <v>Zinc</v>
      </c>
      <c r="AD154" s="152" cm="1">
        <f t="array" ref="AD154">Common_InputFunctions.Utility_DisplayArrayInTable(Fertiliser_SourceData.Fertiliser_Products_Data3(), FertiliserProducts[[#Headers],[Company]],61)</f>
        <v>1E-3</v>
      </c>
      <c r="AE154" s="152" t="str" cm="1">
        <f t="array" ref="AE154">Common_InputFunctions.Utility_DisplayArrayInTable(Fertiliser_SourceData.Fertiliser_Products_Data3(), FertiliserProducts[[#Headers],[Company]],61)</f>
        <v>Boron</v>
      </c>
      <c r="AF154" s="152" cm="1">
        <f t="array" ref="AF154">Common_InputFunctions.Utility_DisplayArrayInTable(Fertiliser_SourceData.Fertiliser_Products_Data3(), FertiliserProducts[[#Headers],[Company]],61)</f>
        <v>2.0000000000000001E-4</v>
      </c>
      <c r="AG154" s="152" t="str" cm="1">
        <f t="array" ref="AG154">Common_InputFunctions.Utility_DisplayArrayInTable(Fertiliser_SourceData.Fertiliser_Products_Data3(), FertiliserProducts[[#Headers],[Company]],61)</f>
        <v/>
      </c>
      <c r="AH154" s="152" t="str" cm="1">
        <f t="array" ref="AH154">Common_InputFunctions.Utility_DisplayArrayInTable(Fertiliser_SourceData.Fertiliser_Products_Data3(), FertiliserProducts[[#Headers],[Company]],61)</f>
        <v/>
      </c>
      <c r="AK154" s="1"/>
    </row>
    <row r="155" spans="1:39" ht="20.100000000000001" customHeight="1" x14ac:dyDescent="0.2">
      <c r="D155" s="152" t="str" cm="1">
        <f t="array" ref="D155">Common_InputFunctions.Utility_DisplayArrayInTable(Fertiliser_SourceData.Fertiliser_Products_Data3(), FertiliserProducts[[#Headers],[Company]],61)</f>
        <v>Campbells fertilisers Australia</v>
      </c>
      <c r="E155" s="152" t="str" cm="1">
        <f t="array" ref="E155">Common_InputFunctions.Utility_DisplayArrayInTable(Fertiliser_SourceData.Fertiliser_Products_Data3(), FertiliserProducts[[#Headers],[Company]],61)</f>
        <v>Platinum Plus</v>
      </c>
      <c r="F155" s="152" t="str" cm="1">
        <f t="array" ref="F155">Common_InputFunctions.Utility_DisplayArrayInTable(Fertiliser_SourceData.Fertiliser_Products_Data3(), FertiliserProducts[[#Headers],[Company]],61)</f>
        <v>kg</v>
      </c>
      <c r="G155" s="152" cm="1">
        <f t="array" ref="G155">Common_InputFunctions.Utility_DisplayArrayInTable(Fertiliser_SourceData.Fertiliser_Products_Data3(), FertiliserProducts[[#Headers],[Company]],61)</f>
        <v>1</v>
      </c>
      <c r="H155" s="152" t="str" cm="1">
        <f t="array" ref="H155">Common_InputFunctions.Utility_DisplayArrayInTable(Fertiliser_SourceData.Fertiliser_Products_Data3(), FertiliserProducts[[#Headers],[Company]],61)</f>
        <v/>
      </c>
      <c r="I155" s="152" t="str" cm="1">
        <f t="array" ref="I155">Common_InputFunctions.Utility_DisplayArrayInTable(Fertiliser_SourceData.Fertiliser_Products_Data3(), FertiliserProducts[[#Headers],[Company]],61)</f>
        <v/>
      </c>
      <c r="J155" s="152" t="str" cm="1">
        <f t="array" ref="J155">Common_InputFunctions.Utility_DisplayArrayInTable(Fertiliser_SourceData.Fertiliser_Products_Data3(), FertiliserProducts[[#Headers],[Company]],61)</f>
        <v/>
      </c>
      <c r="K155" s="152" cm="1">
        <f t="array" ref="K155">Common_InputFunctions.Utility_DisplayArrayInTable(Fertiliser_SourceData.Fertiliser_Products_Data3(), FertiliserProducts[[#Headers],[Company]],61)</f>
        <v>10</v>
      </c>
      <c r="L155" s="152" cm="1">
        <f t="array" ref="L155">Common_InputFunctions.Utility_DisplayArrayInTable(Fertiliser_SourceData.Fertiliser_Products_Data3(), FertiliserProducts[[#Headers],[Company]],61)</f>
        <v>11</v>
      </c>
      <c r="M155" s="152" cm="1">
        <f t="array" ref="M155">Common_InputFunctions.Utility_DisplayArrayInTable(Fertiliser_SourceData.Fertiliser_Products_Data3(), FertiliserProducts[[#Headers],[Company]],61)</f>
        <v>10</v>
      </c>
      <c r="N155" s="152" cm="1">
        <f t="array" ref="N155">Common_InputFunctions.Utility_DisplayArrayInTable(Fertiliser_SourceData.Fertiliser_Products_Data3(), FertiliserProducts[[#Headers],[Company]],61)</f>
        <v>6</v>
      </c>
      <c r="O155" s="152" t="str" cm="1">
        <f t="array" ref="O155">Common_InputFunctions.Utility_DisplayArrayInTable(Fertiliser_SourceData.Fertiliser_Products_Data3(), FertiliserProducts[[#Headers],[Company]],61)</f>
        <v>Phosphorus - Generic</v>
      </c>
      <c r="P155" s="152" cm="1">
        <f t="array" ref="P155">Common_InputFunctions.Utility_DisplayArrayInTable(Fertiliser_SourceData.Fertiliser_Products_Data3(), FertiliserProducts[[#Headers],[Company]],61)</f>
        <v>0.11</v>
      </c>
      <c r="Q155" s="152" t="str" cm="1">
        <f t="array" ref="Q155">Common_InputFunctions.Utility_DisplayArrayInTable(Fertiliser_SourceData.Fertiliser_Products_Data3(), FertiliserProducts[[#Headers],[Company]],61)</f>
        <v>Potassium - Generic</v>
      </c>
      <c r="R155" s="152" cm="1">
        <f t="array" ref="R155">Common_InputFunctions.Utility_DisplayArrayInTable(Fertiliser_SourceData.Fertiliser_Products_Data3(), FertiliserProducts[[#Headers],[Company]],61)</f>
        <v>0.1</v>
      </c>
      <c r="S155" s="152" t="str" cm="1">
        <f t="array" ref="S155">Common_InputFunctions.Utility_DisplayArrayInTable(Fertiliser_SourceData.Fertiliser_Products_Data3(), FertiliserProducts[[#Headers],[Company]],61)</f>
        <v>Sulfur - Generic</v>
      </c>
      <c r="T155" s="152" cm="1">
        <f t="array" ref="T155">Common_InputFunctions.Utility_DisplayArrayInTable(Fertiliser_SourceData.Fertiliser_Products_Data3(), FertiliserProducts[[#Headers],[Company]],61)</f>
        <v>0.06</v>
      </c>
      <c r="U155" s="152" t="str" cm="1">
        <f t="array" ref="U155">Common_InputFunctions.Utility_DisplayArrayInTable(Fertiliser_SourceData.Fertiliser_Products_Data3(), FertiliserProducts[[#Headers],[Company]],61)</f>
        <v>Nitrogen - Nitrate</v>
      </c>
      <c r="V155" s="152" cm="1">
        <f t="array" ref="V155">Common_InputFunctions.Utility_DisplayArrayInTable(Fertiliser_SourceData.Fertiliser_Products_Data3(), FertiliserProducts[[#Headers],[Company]],61)</f>
        <v>0.05</v>
      </c>
      <c r="W155" s="152" t="str" cm="1">
        <f t="array" ref="W155">Common_InputFunctions.Utility_DisplayArrayInTable(Fertiliser_SourceData.Fertiliser_Products_Data3(), FertiliserProducts[[#Headers],[Company]],61)</f>
        <v>Nitrogen - Ammoniacal</v>
      </c>
      <c r="X155" s="152" cm="1">
        <f t="array" ref="X155">Common_InputFunctions.Utility_DisplayArrayInTable(Fertiliser_SourceData.Fertiliser_Products_Data3(), FertiliserProducts[[#Headers],[Company]],61)</f>
        <v>0.05</v>
      </c>
      <c r="Y155" s="152" t="str" cm="1">
        <f t="array" ref="Y155">Common_InputFunctions.Utility_DisplayArrayInTable(Fertiliser_SourceData.Fertiliser_Products_Data3(), FertiliserProducts[[#Headers],[Company]],61)</f>
        <v>Calcium</v>
      </c>
      <c r="Z155" s="152" cm="1">
        <f t="array" ref="Z155">Common_InputFunctions.Utility_DisplayArrayInTable(Fertiliser_SourceData.Fertiliser_Products_Data3(), FertiliserProducts[[#Headers],[Company]],61)</f>
        <v>4.2999999999999997E-2</v>
      </c>
      <c r="AA155" s="152" t="str" cm="1">
        <f t="array" ref="AA155">Common_InputFunctions.Utility_DisplayArrayInTable(Fertiliser_SourceData.Fertiliser_Products_Data3(), FertiliserProducts[[#Headers],[Company]],61)</f>
        <v>Magnesium</v>
      </c>
      <c r="AB155" s="152" cm="1">
        <f t="array" ref="AB155">Common_InputFunctions.Utility_DisplayArrayInTable(Fertiliser_SourceData.Fertiliser_Products_Data3(), FertiliserProducts[[#Headers],[Company]],61)</f>
        <v>1.2E-2</v>
      </c>
      <c r="AC155" s="152" t="str" cm="1">
        <f t="array" ref="AC155">Common_InputFunctions.Utility_DisplayArrayInTable(Fertiliser_SourceData.Fertiliser_Products_Data3(), FertiliserProducts[[#Headers],[Company]],61)</f>
        <v>Zinc</v>
      </c>
      <c r="AD155" s="152" cm="1">
        <f t="array" ref="AD155">Common_InputFunctions.Utility_DisplayArrayInTable(Fertiliser_SourceData.Fertiliser_Products_Data3(), FertiliserProducts[[#Headers],[Company]],61)</f>
        <v>3.5999999999999999E-3</v>
      </c>
      <c r="AE155" s="152" t="str" cm="1">
        <f t="array" ref="AE155">Common_InputFunctions.Utility_DisplayArrayInTable(Fertiliser_SourceData.Fertiliser_Products_Data3(), FertiliserProducts[[#Headers],[Company]],61)</f>
        <v>Boron</v>
      </c>
      <c r="AF155" s="152" cm="1">
        <f t="array" ref="AF155">Common_InputFunctions.Utility_DisplayArrayInTable(Fertiliser_SourceData.Fertiliser_Products_Data3(), FertiliserProducts[[#Headers],[Company]],61)</f>
        <v>1E-3</v>
      </c>
      <c r="AG155" s="152" t="str" cm="1">
        <f t="array" ref="AG155">Common_InputFunctions.Utility_DisplayArrayInTable(Fertiliser_SourceData.Fertiliser_Products_Data3(), FertiliserProducts[[#Headers],[Company]],61)</f>
        <v/>
      </c>
      <c r="AH155" s="152" t="str" cm="1">
        <f t="array" ref="AH155">Common_InputFunctions.Utility_DisplayArrayInTable(Fertiliser_SourceData.Fertiliser_Products_Data3(), FertiliserProducts[[#Headers],[Company]],61)</f>
        <v/>
      </c>
      <c r="AK155" s="1"/>
    </row>
    <row r="156" spans="1:39" ht="20.100000000000001" customHeight="1" x14ac:dyDescent="0.2">
      <c r="D156" s="152" t="str" cm="1">
        <f t="array" ref="D156">Common_InputFunctions.Utility_DisplayArrayInTable(Fertiliser_SourceData.Fertiliser_Products_Data3(), FertiliserProducts[[#Headers],[Company]],61)</f>
        <v>Campbells fertilisers Australia</v>
      </c>
      <c r="E156" s="152" t="str" cm="1">
        <f t="array" ref="E156">Common_InputFunctions.Utility_DisplayArrayInTable(Fertiliser_SourceData.Fertiliser_Products_Data3(), FertiliserProducts[[#Headers],[Company]],61)</f>
        <v>Tropika</v>
      </c>
      <c r="F156" s="152" t="str" cm="1">
        <f t="array" ref="F156">Common_InputFunctions.Utility_DisplayArrayInTable(Fertiliser_SourceData.Fertiliser_Products_Data3(), FertiliserProducts[[#Headers],[Company]],61)</f>
        <v>kg</v>
      </c>
      <c r="G156" s="152" cm="1">
        <f t="array" ref="G156">Common_InputFunctions.Utility_DisplayArrayInTable(Fertiliser_SourceData.Fertiliser_Products_Data3(), FertiliserProducts[[#Headers],[Company]],61)</f>
        <v>1</v>
      </c>
      <c r="H156" s="152" t="str" cm="1">
        <f t="array" ref="H156">Common_InputFunctions.Utility_DisplayArrayInTable(Fertiliser_SourceData.Fertiliser_Products_Data3(), FertiliserProducts[[#Headers],[Company]],61)</f>
        <v/>
      </c>
      <c r="I156" s="152" t="str" cm="1">
        <f t="array" ref="I156">Common_InputFunctions.Utility_DisplayArrayInTable(Fertiliser_SourceData.Fertiliser_Products_Data3(), FertiliserProducts[[#Headers],[Company]],61)</f>
        <v/>
      </c>
      <c r="J156" s="152" t="str" cm="1">
        <f t="array" ref="J156">Common_InputFunctions.Utility_DisplayArrayInTable(Fertiliser_SourceData.Fertiliser_Products_Data3(), FertiliserProducts[[#Headers],[Company]],61)</f>
        <v/>
      </c>
      <c r="K156" s="152" cm="1">
        <f t="array" ref="K156">Common_InputFunctions.Utility_DisplayArrayInTable(Fertiliser_SourceData.Fertiliser_Products_Data3(), FertiliserProducts[[#Headers],[Company]],61)</f>
        <v>11</v>
      </c>
      <c r="L156" s="152" cm="1">
        <f t="array" ref="L156">Common_InputFunctions.Utility_DisplayArrayInTable(Fertiliser_SourceData.Fertiliser_Products_Data3(), FertiliserProducts[[#Headers],[Company]],61)</f>
        <v>2.6</v>
      </c>
      <c r="M156" s="152" cm="1">
        <f t="array" ref="M156">Common_InputFunctions.Utility_DisplayArrayInTable(Fertiliser_SourceData.Fertiliser_Products_Data3(), FertiliserProducts[[#Headers],[Company]],61)</f>
        <v>20.8</v>
      </c>
      <c r="N156" s="152" cm="1">
        <f t="array" ref="N156">Common_InputFunctions.Utility_DisplayArrayInTable(Fertiliser_SourceData.Fertiliser_Products_Data3(), FertiliserProducts[[#Headers],[Company]],61)</f>
        <v>4</v>
      </c>
      <c r="O156" s="152" t="str" cm="1">
        <f t="array" ref="O156">Common_InputFunctions.Utility_DisplayArrayInTable(Fertiliser_SourceData.Fertiliser_Products_Data3(), FertiliserProducts[[#Headers],[Company]],61)</f>
        <v>Nitrogen - Nitrate</v>
      </c>
      <c r="P156" s="152" cm="1">
        <f t="array" ref="P156">Common_InputFunctions.Utility_DisplayArrayInTable(Fertiliser_SourceData.Fertiliser_Products_Data3(), FertiliserProducts[[#Headers],[Company]],61)</f>
        <v>5.5E-2</v>
      </c>
      <c r="Q156" s="152" t="str" cm="1">
        <f t="array" ref="Q156">Common_InputFunctions.Utility_DisplayArrayInTable(Fertiliser_SourceData.Fertiliser_Products_Data3(), FertiliserProducts[[#Headers],[Company]],61)</f>
        <v>Nitrogen - Ammoniacal</v>
      </c>
      <c r="R156" s="152" cm="1">
        <f t="array" ref="R156">Common_InputFunctions.Utility_DisplayArrayInTable(Fertiliser_SourceData.Fertiliser_Products_Data3(), FertiliserProducts[[#Headers],[Company]],61)</f>
        <v>5.5E-2</v>
      </c>
      <c r="S156" s="152" t="str" cm="1">
        <f t="array" ref="S156">Common_InputFunctions.Utility_DisplayArrayInTable(Fertiliser_SourceData.Fertiliser_Products_Data3(), FertiliserProducts[[#Headers],[Company]],61)</f>
        <v>Phosphorus - Generic</v>
      </c>
      <c r="T156" s="152" cm="1">
        <f t="array" ref="T156">Common_InputFunctions.Utility_DisplayArrayInTable(Fertiliser_SourceData.Fertiliser_Products_Data3(), FertiliserProducts[[#Headers],[Company]],61)</f>
        <v>2.5999999999999999E-2</v>
      </c>
      <c r="U156" s="152" t="str" cm="1">
        <f t="array" ref="U156">Common_InputFunctions.Utility_DisplayArrayInTable(Fertiliser_SourceData.Fertiliser_Products_Data3(), FertiliserProducts[[#Headers],[Company]],61)</f>
        <v>Potassium - Generic</v>
      </c>
      <c r="V156" s="152" cm="1">
        <f t="array" ref="V156">Common_InputFunctions.Utility_DisplayArrayInTable(Fertiliser_SourceData.Fertiliser_Products_Data3(), FertiliserProducts[[#Headers],[Company]],61)</f>
        <v>0.20799999999999999</v>
      </c>
      <c r="W156" s="152" t="str" cm="1">
        <f t="array" ref="W156">Common_InputFunctions.Utility_DisplayArrayInTable(Fertiliser_SourceData.Fertiliser_Products_Data3(), FertiliserProducts[[#Headers],[Company]],61)</f>
        <v>Sulfur - Generic</v>
      </c>
      <c r="X156" s="152" cm="1">
        <f t="array" ref="X156">Common_InputFunctions.Utility_DisplayArrayInTable(Fertiliser_SourceData.Fertiliser_Products_Data3(), FertiliserProducts[[#Headers],[Company]],61)</f>
        <v>0.04</v>
      </c>
      <c r="Y156" s="152" t="str" cm="1">
        <f t="array" ref="Y156">Common_InputFunctions.Utility_DisplayArrayInTable(Fertiliser_SourceData.Fertiliser_Products_Data3(), FertiliserProducts[[#Headers],[Company]],61)</f>
        <v>Magnesium</v>
      </c>
      <c r="Z156" s="152" cm="1">
        <f t="array" ref="Z156">Common_InputFunctions.Utility_DisplayArrayInTable(Fertiliser_SourceData.Fertiliser_Products_Data3(), FertiliserProducts[[#Headers],[Company]],61)</f>
        <v>2.4E-2</v>
      </c>
      <c r="AA156" s="152" t="str" cm="1">
        <f t="array" ref="AA156">Common_InputFunctions.Utility_DisplayArrayInTable(Fertiliser_SourceData.Fertiliser_Products_Data3(), FertiliserProducts[[#Headers],[Company]],61)</f>
        <v/>
      </c>
      <c r="AB156" s="152" t="str" cm="1">
        <f t="array" ref="AB156">Common_InputFunctions.Utility_DisplayArrayInTable(Fertiliser_SourceData.Fertiliser_Products_Data3(), FertiliserProducts[[#Headers],[Company]],61)</f>
        <v/>
      </c>
      <c r="AC156" s="152" t="str" cm="1">
        <f t="array" ref="AC156">Common_InputFunctions.Utility_DisplayArrayInTable(Fertiliser_SourceData.Fertiliser_Products_Data3(), FertiliserProducts[[#Headers],[Company]],61)</f>
        <v/>
      </c>
      <c r="AD156" s="152" t="str" cm="1">
        <f t="array" ref="AD156">Common_InputFunctions.Utility_DisplayArrayInTable(Fertiliser_SourceData.Fertiliser_Products_Data3(), FertiliserProducts[[#Headers],[Company]],61)</f>
        <v/>
      </c>
      <c r="AE156" s="152" t="str" cm="1">
        <f t="array" ref="AE156">Common_InputFunctions.Utility_DisplayArrayInTable(Fertiliser_SourceData.Fertiliser_Products_Data3(), FertiliserProducts[[#Headers],[Company]],61)</f>
        <v/>
      </c>
      <c r="AF156" s="152" t="str" cm="1">
        <f t="array" ref="AF156">Common_InputFunctions.Utility_DisplayArrayInTable(Fertiliser_SourceData.Fertiliser_Products_Data3(), FertiliserProducts[[#Headers],[Company]],61)</f>
        <v/>
      </c>
      <c r="AG156" s="152" t="str" cm="1">
        <f t="array" ref="AG156">Common_InputFunctions.Utility_DisplayArrayInTable(Fertiliser_SourceData.Fertiliser_Products_Data3(), FertiliserProducts[[#Headers],[Company]],61)</f>
        <v/>
      </c>
      <c r="AH156" s="152" t="str" cm="1">
        <f t="array" ref="AH156">Common_InputFunctions.Utility_DisplayArrayInTable(Fertiliser_SourceData.Fertiliser_Products_Data3(), FertiliserProducts[[#Headers],[Company]],61)</f>
        <v/>
      </c>
      <c r="AK156" s="1"/>
    </row>
    <row r="157" spans="1:39" ht="20.100000000000001" customHeight="1" x14ac:dyDescent="0.2">
      <c r="A157" s="131" t="str">
        <f>HYPERLINK("#A1", "▲ Back to top")</f>
        <v>▲ Back to top</v>
      </c>
      <c r="D157" s="152" t="str" cm="1">
        <f t="array" ref="D157">Common_InputFunctions.Utility_DisplayArrayInTable(Fertiliser_SourceData.Fertiliser_Products_Data3(), FertiliserProducts[[#Headers],[Company]],61)</f>
        <v>Campbells fertilisers Australia</v>
      </c>
      <c r="E157" s="152" t="str" cm="1">
        <f t="array" ref="E157">Common_InputFunctions.Utility_DisplayArrayInTable(Fertiliser_SourceData.Fertiliser_Products_Data3(), FertiliserProducts[[#Headers],[Company]],61)</f>
        <v>Rustica Nergetic</v>
      </c>
      <c r="F157" s="152" t="str" cm="1">
        <f t="array" ref="F157">Common_InputFunctions.Utility_DisplayArrayInTable(Fertiliser_SourceData.Fertiliser_Products_Data3(), FertiliserProducts[[#Headers],[Company]],61)</f>
        <v>kg</v>
      </c>
      <c r="G157" s="152" cm="1">
        <f t="array" ref="G157">Common_InputFunctions.Utility_DisplayArrayInTable(Fertiliser_SourceData.Fertiliser_Products_Data3(), FertiliserProducts[[#Headers],[Company]],61)</f>
        <v>1</v>
      </c>
      <c r="H157" s="152" t="str" cm="1">
        <f t="array" ref="H157">Common_InputFunctions.Utility_DisplayArrayInTable(Fertiliser_SourceData.Fertiliser_Products_Data3(), FertiliserProducts[[#Headers],[Company]],61)</f>
        <v/>
      </c>
      <c r="I157" s="152" t="str" cm="1">
        <f t="array" ref="I157">Common_InputFunctions.Utility_DisplayArrayInTable(Fertiliser_SourceData.Fertiliser_Products_Data3(), FertiliserProducts[[#Headers],[Company]],61)</f>
        <v/>
      </c>
      <c r="J157" s="152" t="str" cm="1">
        <f t="array" ref="J157">Common_InputFunctions.Utility_DisplayArrayInTable(Fertiliser_SourceData.Fertiliser_Products_Data3(), FertiliserProducts[[#Headers],[Company]],61)</f>
        <v/>
      </c>
      <c r="K157" s="152" cm="1">
        <f t="array" ref="K157">Common_InputFunctions.Utility_DisplayArrayInTable(Fertiliser_SourceData.Fertiliser_Products_Data3(), FertiliserProducts[[#Headers],[Company]],61)</f>
        <v>12</v>
      </c>
      <c r="L157" s="152" cm="1">
        <f t="array" ref="L157">Common_InputFunctions.Utility_DisplayArrayInTable(Fertiliser_SourceData.Fertiliser_Products_Data3(), FertiliserProducts[[#Headers],[Company]],61)</f>
        <v>5.2</v>
      </c>
      <c r="M157" s="152" cm="1">
        <f t="array" ref="M157">Common_InputFunctions.Utility_DisplayArrayInTable(Fertiliser_SourceData.Fertiliser_Products_Data3(), FertiliserProducts[[#Headers],[Company]],61)</f>
        <v>14.1</v>
      </c>
      <c r="N157" s="152" cm="1">
        <f t="array" ref="N157">Common_InputFunctions.Utility_DisplayArrayInTable(Fertiliser_SourceData.Fertiliser_Products_Data3(), FertiliserProducts[[#Headers],[Company]],61)</f>
        <v>9.6</v>
      </c>
      <c r="O157" s="152" t="str" cm="1">
        <f t="array" ref="O157">Common_InputFunctions.Utility_DisplayArrayInTable(Fertiliser_SourceData.Fertiliser_Products_Data3(), FertiliserProducts[[#Headers],[Company]],61)</f>
        <v>Potassium - Generic</v>
      </c>
      <c r="P157" s="152" cm="1">
        <f t="array" ref="P157">Common_InputFunctions.Utility_DisplayArrayInTable(Fertiliser_SourceData.Fertiliser_Products_Data3(), FertiliserProducts[[#Headers],[Company]],61)</f>
        <v>0.14099999999999999</v>
      </c>
      <c r="Q157" s="152" t="str" cm="1">
        <f t="array" ref="Q157">Common_InputFunctions.Utility_DisplayArrayInTable(Fertiliser_SourceData.Fertiliser_Products_Data3(), FertiliserProducts[[#Headers],[Company]],61)</f>
        <v>Sulfur - Generic</v>
      </c>
      <c r="R157" s="152" cm="1">
        <f t="array" ref="R157">Common_InputFunctions.Utility_DisplayArrayInTable(Fertiliser_SourceData.Fertiliser_Products_Data3(), FertiliserProducts[[#Headers],[Company]],61)</f>
        <v>9.6000000000000002E-2</v>
      </c>
      <c r="S157" s="152" t="str" cm="1">
        <f t="array" ref="S157">Common_InputFunctions.Utility_DisplayArrayInTable(Fertiliser_SourceData.Fertiliser_Products_Data3(), FertiliserProducts[[#Headers],[Company]],61)</f>
        <v>Nitrogen - Nitrate</v>
      </c>
      <c r="T157" s="152" cm="1">
        <f t="array" ref="T157">Common_InputFunctions.Utility_DisplayArrayInTable(Fertiliser_SourceData.Fertiliser_Products_Data3(), FertiliserProducts[[#Headers],[Company]],61)</f>
        <v>0.06</v>
      </c>
      <c r="U157" s="152" t="str" cm="1">
        <f t="array" ref="U157">Common_InputFunctions.Utility_DisplayArrayInTable(Fertiliser_SourceData.Fertiliser_Products_Data3(), FertiliserProducts[[#Headers],[Company]],61)</f>
        <v>Nitrogen - Ammoniacal</v>
      </c>
      <c r="V157" s="152" cm="1">
        <f t="array" ref="V157">Common_InputFunctions.Utility_DisplayArrayInTable(Fertiliser_SourceData.Fertiliser_Products_Data3(), FertiliserProducts[[#Headers],[Company]],61)</f>
        <v>0.06</v>
      </c>
      <c r="W157" s="152" t="str" cm="1">
        <f t="array" ref="W157">Common_InputFunctions.Utility_DisplayArrayInTable(Fertiliser_SourceData.Fertiliser_Products_Data3(), FertiliserProducts[[#Headers],[Company]],61)</f>
        <v>Phosphorus - Generic</v>
      </c>
      <c r="X157" s="152" cm="1">
        <f t="array" ref="X157">Common_InputFunctions.Utility_DisplayArrayInTable(Fertiliser_SourceData.Fertiliser_Products_Data3(), FertiliserProducts[[#Headers],[Company]],61)</f>
        <v>5.1999999999999998E-2</v>
      </c>
      <c r="Y157" s="152" t="str" cm="1">
        <f t="array" ref="Y157">Common_InputFunctions.Utility_DisplayArrayInTable(Fertiliser_SourceData.Fertiliser_Products_Data3(), FertiliserProducts[[#Headers],[Company]],61)</f>
        <v>Magnesium</v>
      </c>
      <c r="Z157" s="152" cm="1">
        <f t="array" ref="Z157">Common_InputFunctions.Utility_DisplayArrayInTable(Fertiliser_SourceData.Fertiliser_Products_Data3(), FertiliserProducts[[#Headers],[Company]],61)</f>
        <v>1.2E-2</v>
      </c>
      <c r="AA157" s="152" t="str" cm="1">
        <f t="array" ref="AA157">Common_InputFunctions.Utility_DisplayArrayInTable(Fertiliser_SourceData.Fertiliser_Products_Data3(), FertiliserProducts[[#Headers],[Company]],61)</f>
        <v>Zinc</v>
      </c>
      <c r="AB157" s="152" cm="1">
        <f t="array" ref="AB157">Common_InputFunctions.Utility_DisplayArrayInTable(Fertiliser_SourceData.Fertiliser_Products_Data3(), FertiliserProducts[[#Headers],[Company]],61)</f>
        <v>8.0000000000000004E-4</v>
      </c>
      <c r="AC157" s="152" t="str" cm="1">
        <f t="array" ref="AC157">Common_InputFunctions.Utility_DisplayArrayInTable(Fertiliser_SourceData.Fertiliser_Products_Data3(), FertiliserProducts[[#Headers],[Company]],61)</f>
        <v>Iron</v>
      </c>
      <c r="AD157" s="152" cm="1">
        <f t="array" ref="AD157">Common_InputFunctions.Utility_DisplayArrayInTable(Fertiliser_SourceData.Fertiliser_Products_Data3(), FertiliserProducts[[#Headers],[Company]],61)</f>
        <v>6.9999999999999999E-4</v>
      </c>
      <c r="AE157" s="152" t="str" cm="1">
        <f t="array" ref="AE157">Common_InputFunctions.Utility_DisplayArrayInTable(Fertiliser_SourceData.Fertiliser_Products_Data3(), FertiliserProducts[[#Headers],[Company]],61)</f>
        <v>Manganese</v>
      </c>
      <c r="AF157" s="152" cm="1">
        <f t="array" ref="AF157">Common_InputFunctions.Utility_DisplayArrayInTable(Fertiliser_SourceData.Fertiliser_Products_Data3(), FertiliserProducts[[#Headers],[Company]],61)</f>
        <v>5.9999999999999995E-4</v>
      </c>
      <c r="AG157" s="152" t="str" cm="1">
        <f t="array" ref="AG157">Common_InputFunctions.Utility_DisplayArrayInTable(Fertiliser_SourceData.Fertiliser_Products_Data3(), FertiliserProducts[[#Headers],[Company]],61)</f>
        <v>Boron</v>
      </c>
      <c r="AH157" s="152" cm="1">
        <f t="array" ref="AH157">Common_InputFunctions.Utility_DisplayArrayInTable(Fertiliser_SourceData.Fertiliser_Products_Data3(), FertiliserProducts[[#Headers],[Company]],61)</f>
        <v>2.0000000000000001E-4</v>
      </c>
      <c r="AK157" s="1"/>
    </row>
    <row r="158" spans="1:39" ht="20.100000000000001" customHeight="1" x14ac:dyDescent="0.2">
      <c r="D158" s="152" t="str" cm="1">
        <f t="array" ref="D158">Common_InputFunctions.Utility_DisplayArrayInTable(Fertiliser_SourceData.Fertiliser_Products_Data3(), FertiliserProducts[[#Headers],[Company]],61)</f>
        <v>Campbells fertilisers Australia</v>
      </c>
      <c r="E158" s="152" t="str" cm="1">
        <f t="array" ref="E158">Common_InputFunctions.Utility_DisplayArrayInTable(Fertiliser_SourceData.Fertiliser_Products_Data3(), FertiliserProducts[[#Headers],[Company]],61)</f>
        <v>Quick-N Nergetic</v>
      </c>
      <c r="F158" s="152" t="str" cm="1">
        <f t="array" ref="F158">Common_InputFunctions.Utility_DisplayArrayInTable(Fertiliser_SourceData.Fertiliser_Products_Data3(), FertiliserProducts[[#Headers],[Company]],61)</f>
        <v>kg</v>
      </c>
      <c r="G158" s="152" cm="1">
        <f t="array" ref="G158">Common_InputFunctions.Utility_DisplayArrayInTable(Fertiliser_SourceData.Fertiliser_Products_Data3(), FertiliserProducts[[#Headers],[Company]],61)</f>
        <v>1</v>
      </c>
      <c r="H158" s="152" t="str" cm="1">
        <f t="array" ref="H158">Common_InputFunctions.Utility_DisplayArrayInTable(Fertiliser_SourceData.Fertiliser_Products_Data3(), FertiliserProducts[[#Headers],[Company]],61)</f>
        <v/>
      </c>
      <c r="I158" s="152" t="str" cm="1">
        <f t="array" ref="I158">Common_InputFunctions.Utility_DisplayArrayInTable(Fertiliser_SourceData.Fertiliser_Products_Data3(), FertiliserProducts[[#Headers],[Company]],61)</f>
        <v/>
      </c>
      <c r="J158" s="152" t="str" cm="1">
        <f t="array" ref="J158">Common_InputFunctions.Utility_DisplayArrayInTable(Fertiliser_SourceData.Fertiliser_Products_Data3(), FertiliserProducts[[#Headers],[Company]],61)</f>
        <v/>
      </c>
      <c r="K158" s="152" cm="1">
        <f t="array" ref="K158">Common_InputFunctions.Utility_DisplayArrayInTable(Fertiliser_SourceData.Fertiliser_Products_Data3(), FertiliserProducts[[#Headers],[Company]],61)</f>
        <v>25</v>
      </c>
      <c r="L158" s="152" t="str" cm="1">
        <f t="array" ref="L158">Common_InputFunctions.Utility_DisplayArrayInTable(Fertiliser_SourceData.Fertiliser_Products_Data3(), FertiliserProducts[[#Headers],[Company]],61)</f>
        <v/>
      </c>
      <c r="M158" s="152" t="str" cm="1">
        <f t="array" ref="M158">Common_InputFunctions.Utility_DisplayArrayInTable(Fertiliser_SourceData.Fertiliser_Products_Data3(), FertiliserProducts[[#Headers],[Company]],61)</f>
        <v/>
      </c>
      <c r="N158" s="152" cm="1">
        <f t="array" ref="N158">Common_InputFunctions.Utility_DisplayArrayInTable(Fertiliser_SourceData.Fertiliser_Products_Data3(), FertiliserProducts[[#Headers],[Company]],61)</f>
        <v>12.8</v>
      </c>
      <c r="O158" s="152" t="str" cm="1">
        <f t="array" ref="O158">Common_InputFunctions.Utility_DisplayArrayInTable(Fertiliser_SourceData.Fertiliser_Products_Data3(), FertiliserProducts[[#Headers],[Company]],61)</f>
        <v>Sulphate of ammonia (SOA)</v>
      </c>
      <c r="P158" s="152" cm="1">
        <f t="array" ref="P158">Common_InputFunctions.Utility_DisplayArrayInTable(Fertiliser_SourceData.Fertiliser_Products_Data3(), FertiliserProducts[[#Headers],[Company]],61)</f>
        <v>0.53333299999999995</v>
      </c>
      <c r="Q158" s="152" t="str" cm="1">
        <f t="array" ref="Q158">Common_InputFunctions.Utility_DisplayArrayInTable(Fertiliser_SourceData.Fertiliser_Products_Data3(), FertiliserProducts[[#Headers],[Company]],61)</f>
        <v>Ammonium nitrate (AN)</v>
      </c>
      <c r="R158" s="152" cm="1">
        <f t="array" ref="R158">Common_InputFunctions.Utility_DisplayArrayInTable(Fertiliser_SourceData.Fertiliser_Products_Data3(), FertiliserProducts[[#Headers],[Company]],61)</f>
        <v>0.40949600000000003</v>
      </c>
      <c r="S158" s="152" t="str" cm="1">
        <f t="array" ref="S158">Common_InputFunctions.Utility_DisplayArrayInTable(Fertiliser_SourceData.Fertiliser_Products_Data3(), FertiliserProducts[[#Headers],[Company]],61)</f>
        <v>Zinc</v>
      </c>
      <c r="T158" s="152" cm="1">
        <f t="array" ref="T158">Common_InputFunctions.Utility_DisplayArrayInTable(Fertiliser_SourceData.Fertiliser_Products_Data3(), FertiliserProducts[[#Headers],[Company]],61)</f>
        <v>1E-3</v>
      </c>
      <c r="U158" s="152" t="str" cm="1">
        <f t="array" ref="U158">Common_InputFunctions.Utility_DisplayArrayInTable(Fertiliser_SourceData.Fertiliser_Products_Data3(), FertiliserProducts[[#Headers],[Company]],61)</f>
        <v>Manganese</v>
      </c>
      <c r="V158" s="152" cm="1">
        <f t="array" ref="V158">Common_InputFunctions.Utility_DisplayArrayInTable(Fertiliser_SourceData.Fertiliser_Products_Data3(), FertiliserProducts[[#Headers],[Company]],61)</f>
        <v>1E-3</v>
      </c>
      <c r="W158" s="152" t="str" cm="1">
        <f t="array" ref="W158">Common_InputFunctions.Utility_DisplayArrayInTable(Fertiliser_SourceData.Fertiliser_Products_Data3(), FertiliserProducts[[#Headers],[Company]],61)</f>
        <v>Boron</v>
      </c>
      <c r="X158" s="152" cm="1">
        <f t="array" ref="X158">Common_InputFunctions.Utility_DisplayArrayInTable(Fertiliser_SourceData.Fertiliser_Products_Data3(), FertiliserProducts[[#Headers],[Company]],61)</f>
        <v>1E-4</v>
      </c>
      <c r="Y158" s="152" t="str" cm="1">
        <f t="array" ref="Y158">Common_InputFunctions.Utility_DisplayArrayInTable(Fertiliser_SourceData.Fertiliser_Products_Data3(), FertiliserProducts[[#Headers],[Company]],61)</f>
        <v>Molybdenum</v>
      </c>
      <c r="Z158" s="152" cm="1">
        <f t="array" ref="Z158">Common_InputFunctions.Utility_DisplayArrayInTable(Fertiliser_SourceData.Fertiliser_Products_Data3(), FertiliserProducts[[#Headers],[Company]],61)</f>
        <v>1.0000000000000001E-5</v>
      </c>
      <c r="AA158" s="152" t="str" cm="1">
        <f t="array" ref="AA158">Common_InputFunctions.Utility_DisplayArrayInTable(Fertiliser_SourceData.Fertiliser_Products_Data3(), FertiliserProducts[[#Headers],[Company]],61)</f>
        <v/>
      </c>
      <c r="AB158" s="152" t="str" cm="1">
        <f t="array" ref="AB158">Common_InputFunctions.Utility_DisplayArrayInTable(Fertiliser_SourceData.Fertiliser_Products_Data3(), FertiliserProducts[[#Headers],[Company]],61)</f>
        <v/>
      </c>
      <c r="AC158" s="152" t="str" cm="1">
        <f t="array" ref="AC158">Common_InputFunctions.Utility_DisplayArrayInTable(Fertiliser_SourceData.Fertiliser_Products_Data3(), FertiliserProducts[[#Headers],[Company]],61)</f>
        <v/>
      </c>
      <c r="AD158" s="152" t="str" cm="1">
        <f t="array" ref="AD158">Common_InputFunctions.Utility_DisplayArrayInTable(Fertiliser_SourceData.Fertiliser_Products_Data3(), FertiliserProducts[[#Headers],[Company]],61)</f>
        <v/>
      </c>
      <c r="AE158" s="152" t="str" cm="1">
        <f t="array" ref="AE158">Common_InputFunctions.Utility_DisplayArrayInTable(Fertiliser_SourceData.Fertiliser_Products_Data3(), FertiliserProducts[[#Headers],[Company]],61)</f>
        <v/>
      </c>
      <c r="AF158" s="152" t="str" cm="1">
        <f t="array" ref="AF158">Common_InputFunctions.Utility_DisplayArrayInTable(Fertiliser_SourceData.Fertiliser_Products_Data3(), FertiliserProducts[[#Headers],[Company]],61)</f>
        <v/>
      </c>
      <c r="AG158" s="152" t="str" cm="1">
        <f t="array" ref="AG158">Common_InputFunctions.Utility_DisplayArrayInTable(Fertiliser_SourceData.Fertiliser_Products_Data3(), FertiliserProducts[[#Headers],[Company]],61)</f>
        <v/>
      </c>
      <c r="AH158" s="152" t="str" cm="1">
        <f t="array" ref="AH158">Common_InputFunctions.Utility_DisplayArrayInTable(Fertiliser_SourceData.Fertiliser_Products_Data3(), FertiliserProducts[[#Headers],[Company]],61)</f>
        <v/>
      </c>
      <c r="AK158" s="1"/>
    </row>
    <row r="159" spans="1:39" ht="20.100000000000001" customHeight="1" x14ac:dyDescent="0.2">
      <c r="D159" s="152" t="str" cm="1">
        <f t="array" ref="D159">Common_InputFunctions.Utility_DisplayArrayInTable(Fertiliser_SourceData.Fertiliser_Products_Data3(), FertiliserProducts[[#Headers],[Company]],61)</f>
        <v>FertPro Manufacturing Pty. Ltd.</v>
      </c>
      <c r="E159" s="152" t="str" cm="1">
        <f t="array" ref="E159">Common_InputFunctions.Utility_DisplayArrayInTable(Fertiliser_SourceData.Fertiliser_Products_Data3(), FertiliserProducts[[#Headers],[Company]],61)</f>
        <v>(SSP) Single Super Fertiliser</v>
      </c>
      <c r="F159" s="152" t="str" cm="1">
        <f t="array" ref="F159">Common_InputFunctions.Utility_DisplayArrayInTable(Fertiliser_SourceData.Fertiliser_Products_Data3(), FertiliserProducts[[#Headers],[Company]],61)</f>
        <v>kg</v>
      </c>
      <c r="G159" s="152" cm="1">
        <f t="array" ref="G159">Common_InputFunctions.Utility_DisplayArrayInTable(Fertiliser_SourceData.Fertiliser_Products_Data3(), FertiliserProducts[[#Headers],[Company]],61)</f>
        <v>1</v>
      </c>
      <c r="H159" s="152" t="str" cm="1">
        <f t="array" ref="H159">Common_InputFunctions.Utility_DisplayArrayInTable(Fertiliser_SourceData.Fertiliser_Products_Data3(), FertiliserProducts[[#Headers],[Company]],61)</f>
        <v/>
      </c>
      <c r="I159" s="152" t="str" cm="1">
        <f t="array" ref="I159">Common_InputFunctions.Utility_DisplayArrayInTable(Fertiliser_SourceData.Fertiliser_Products_Data3(), FertiliserProducts[[#Headers],[Company]],61)</f>
        <v/>
      </c>
      <c r="J159" s="152" t="str" cm="1">
        <f t="array" ref="J159">Common_InputFunctions.Utility_DisplayArrayInTable(Fertiliser_SourceData.Fertiliser_Products_Data3(), FertiliserProducts[[#Headers],[Company]],61)</f>
        <v/>
      </c>
      <c r="K159" s="152" t="str" cm="1">
        <f t="array" ref="K159">Common_InputFunctions.Utility_DisplayArrayInTable(Fertiliser_SourceData.Fertiliser_Products_Data3(), FertiliserProducts[[#Headers],[Company]],61)</f>
        <v/>
      </c>
      <c r="L159" s="152" cm="1">
        <f t="array" ref="L159">Common_InputFunctions.Utility_DisplayArrayInTable(Fertiliser_SourceData.Fertiliser_Products_Data3(), FertiliserProducts[[#Headers],[Company]],61)</f>
        <v>8.8000000000000007</v>
      </c>
      <c r="M159" s="152" t="str" cm="1">
        <f t="array" ref="M159">Common_InputFunctions.Utility_DisplayArrayInTable(Fertiliser_SourceData.Fertiliser_Products_Data3(), FertiliserProducts[[#Headers],[Company]],61)</f>
        <v/>
      </c>
      <c r="N159" s="152" cm="1">
        <f t="array" ref="N159">Common_InputFunctions.Utility_DisplayArrayInTable(Fertiliser_SourceData.Fertiliser_Products_Data3(), FertiliserProducts[[#Headers],[Company]],61)</f>
        <v>11</v>
      </c>
      <c r="O159" s="152" t="str" cm="1">
        <f t="array" ref="O159">Common_InputFunctions.Utility_DisplayArrayInTable(Fertiliser_SourceData.Fertiliser_Products_Data3(), FertiliserProducts[[#Headers],[Company]],61)</f>
        <v>Single superphosphate (SSP)</v>
      </c>
      <c r="P159" s="152" cm="1">
        <f t="array" ref="P159">Common_InputFunctions.Utility_DisplayArrayInTable(Fertiliser_SourceData.Fertiliser_Products_Data3(), FertiliserProducts[[#Headers],[Company]],61)</f>
        <v>1</v>
      </c>
      <c r="Q159" s="152" t="str" cm="1">
        <f t="array" ref="Q159">Common_InputFunctions.Utility_DisplayArrayInTable(Fertiliser_SourceData.Fertiliser_Products_Data3(), FertiliserProducts[[#Headers],[Company]],61)</f>
        <v/>
      </c>
      <c r="R159" s="152" t="str" cm="1">
        <f t="array" ref="R159">Common_InputFunctions.Utility_DisplayArrayInTable(Fertiliser_SourceData.Fertiliser_Products_Data3(), FertiliserProducts[[#Headers],[Company]],61)</f>
        <v/>
      </c>
      <c r="S159" s="152" t="str" cm="1">
        <f t="array" ref="S159">Common_InputFunctions.Utility_DisplayArrayInTable(Fertiliser_SourceData.Fertiliser_Products_Data3(), FertiliserProducts[[#Headers],[Company]],61)</f>
        <v/>
      </c>
      <c r="T159" s="152" t="str" cm="1">
        <f t="array" ref="T159">Common_InputFunctions.Utility_DisplayArrayInTable(Fertiliser_SourceData.Fertiliser_Products_Data3(), FertiliserProducts[[#Headers],[Company]],61)</f>
        <v/>
      </c>
      <c r="U159" s="152" t="str" cm="1">
        <f t="array" ref="U159">Common_InputFunctions.Utility_DisplayArrayInTable(Fertiliser_SourceData.Fertiliser_Products_Data3(), FertiliserProducts[[#Headers],[Company]],61)</f>
        <v/>
      </c>
      <c r="V159" s="152" t="str" cm="1">
        <f t="array" ref="V159">Common_InputFunctions.Utility_DisplayArrayInTable(Fertiliser_SourceData.Fertiliser_Products_Data3(), FertiliserProducts[[#Headers],[Company]],61)</f>
        <v/>
      </c>
      <c r="W159" s="152" t="str" cm="1">
        <f t="array" ref="W159">Common_InputFunctions.Utility_DisplayArrayInTable(Fertiliser_SourceData.Fertiliser_Products_Data3(), FertiliserProducts[[#Headers],[Company]],61)</f>
        <v/>
      </c>
      <c r="X159" s="152" t="str" cm="1">
        <f t="array" ref="X159">Common_InputFunctions.Utility_DisplayArrayInTable(Fertiliser_SourceData.Fertiliser_Products_Data3(), FertiliserProducts[[#Headers],[Company]],61)</f>
        <v/>
      </c>
      <c r="Y159" s="152" t="str" cm="1">
        <f t="array" ref="Y159">Common_InputFunctions.Utility_DisplayArrayInTable(Fertiliser_SourceData.Fertiliser_Products_Data3(), FertiliserProducts[[#Headers],[Company]],61)</f>
        <v/>
      </c>
      <c r="Z159" s="152" t="str" cm="1">
        <f t="array" ref="Z159">Common_InputFunctions.Utility_DisplayArrayInTable(Fertiliser_SourceData.Fertiliser_Products_Data3(), FertiliserProducts[[#Headers],[Company]],61)</f>
        <v/>
      </c>
      <c r="AA159" s="152" t="str" cm="1">
        <f t="array" ref="AA159">Common_InputFunctions.Utility_DisplayArrayInTable(Fertiliser_SourceData.Fertiliser_Products_Data3(), FertiliserProducts[[#Headers],[Company]],61)</f>
        <v/>
      </c>
      <c r="AB159" s="152" t="str" cm="1">
        <f t="array" ref="AB159">Common_InputFunctions.Utility_DisplayArrayInTable(Fertiliser_SourceData.Fertiliser_Products_Data3(), FertiliserProducts[[#Headers],[Company]],61)</f>
        <v/>
      </c>
      <c r="AC159" s="152" t="str" cm="1">
        <f t="array" ref="AC159">Common_InputFunctions.Utility_DisplayArrayInTable(Fertiliser_SourceData.Fertiliser_Products_Data3(), FertiliserProducts[[#Headers],[Company]],61)</f>
        <v/>
      </c>
      <c r="AD159" s="152" t="str" cm="1">
        <f t="array" ref="AD159">Common_InputFunctions.Utility_DisplayArrayInTable(Fertiliser_SourceData.Fertiliser_Products_Data3(), FertiliserProducts[[#Headers],[Company]],61)</f>
        <v/>
      </c>
      <c r="AE159" s="152" t="str" cm="1">
        <f t="array" ref="AE159">Common_InputFunctions.Utility_DisplayArrayInTable(Fertiliser_SourceData.Fertiliser_Products_Data3(), FertiliserProducts[[#Headers],[Company]],61)</f>
        <v/>
      </c>
      <c r="AF159" s="152" t="str" cm="1">
        <f t="array" ref="AF159">Common_InputFunctions.Utility_DisplayArrayInTable(Fertiliser_SourceData.Fertiliser_Products_Data3(), FertiliserProducts[[#Headers],[Company]],61)</f>
        <v/>
      </c>
      <c r="AG159" s="152" t="str" cm="1">
        <f t="array" ref="AG159">Common_InputFunctions.Utility_DisplayArrayInTable(Fertiliser_SourceData.Fertiliser_Products_Data3(), FertiliserProducts[[#Headers],[Company]],61)</f>
        <v/>
      </c>
      <c r="AH159" s="152" t="str" cm="1">
        <f t="array" ref="AH159">Common_InputFunctions.Utility_DisplayArrayInTable(Fertiliser_SourceData.Fertiliser_Products_Data3(), FertiliserProducts[[#Headers],[Company]],61)</f>
        <v/>
      </c>
      <c r="AK159" s="1"/>
    </row>
    <row r="160" spans="1:39" ht="20.100000000000001" customHeight="1" x14ac:dyDescent="0.2">
      <c r="D160" s="152" t="str" cm="1">
        <f t="array" ref="D160">Common_InputFunctions.Utility_DisplayArrayInTable(Fertiliser_SourceData.Fertiliser_Products_Data3(), FertiliserProducts[[#Headers],[Company]],61)</f>
        <v>Impact Fertilisers</v>
      </c>
      <c r="E160" s="152" t="str" cm="1">
        <f t="array" ref="E160">Common_InputFunctions.Utility_DisplayArrayInTable(Fertiliser_SourceData.Fertiliser_Products_Data3(), FertiliserProducts[[#Headers],[Company]],61)</f>
        <v>ZincStar</v>
      </c>
      <c r="F160" s="152" t="str" cm="1">
        <f t="array" ref="F160">Common_InputFunctions.Utility_DisplayArrayInTable(Fertiliser_SourceData.Fertiliser_Products_Data3(), FertiliserProducts[[#Headers],[Company]],61)</f>
        <v>kg</v>
      </c>
      <c r="G160" s="152" cm="1">
        <f t="array" ref="G160">Common_InputFunctions.Utility_DisplayArrayInTable(Fertiliser_SourceData.Fertiliser_Products_Data3(), FertiliserProducts[[#Headers],[Company]],61)</f>
        <v>1</v>
      </c>
      <c r="H160" s="152" t="str" cm="1">
        <f t="array" ref="H160">Common_InputFunctions.Utility_DisplayArrayInTable(Fertiliser_SourceData.Fertiliser_Products_Data3(), FertiliserProducts[[#Headers],[Company]],61)</f>
        <v/>
      </c>
      <c r="I160" s="152" t="str" cm="1">
        <f t="array" ref="I160">Common_InputFunctions.Utility_DisplayArrayInTable(Fertiliser_SourceData.Fertiliser_Products_Data3(), FertiliserProducts[[#Headers],[Company]],61)</f>
        <v/>
      </c>
      <c r="J160" s="152" t="str" cm="1">
        <f t="array" ref="J160">Common_InputFunctions.Utility_DisplayArrayInTable(Fertiliser_SourceData.Fertiliser_Products_Data3(), FertiliserProducts[[#Headers],[Company]],61)</f>
        <v/>
      </c>
      <c r="K160" s="152" cm="1">
        <f t="array" ref="K160">Common_InputFunctions.Utility_DisplayArrayInTable(Fertiliser_SourceData.Fertiliser_Products_Data3(), FertiliserProducts[[#Headers],[Company]],61)</f>
        <v>10</v>
      </c>
      <c r="L160" s="152" cm="1">
        <f t="array" ref="L160">Common_InputFunctions.Utility_DisplayArrayInTable(Fertiliser_SourceData.Fertiliser_Products_Data3(), FertiliserProducts[[#Headers],[Company]],61)</f>
        <v>21.9</v>
      </c>
      <c r="M160" s="152" cm="1">
        <f t="array" ref="M160">Common_InputFunctions.Utility_DisplayArrayInTable(Fertiliser_SourceData.Fertiliser_Products_Data3(), FertiliserProducts[[#Headers],[Company]],61)</f>
        <v>0</v>
      </c>
      <c r="N160" s="152" cm="1">
        <f t="array" ref="N160">Common_InputFunctions.Utility_DisplayArrayInTable(Fertiliser_SourceData.Fertiliser_Products_Data3(), FertiliserProducts[[#Headers],[Company]],61)</f>
        <v>2</v>
      </c>
      <c r="O160" s="152" t="str" cm="1">
        <f t="array" ref="O160">Common_InputFunctions.Utility_DisplayArrayInTable(Fertiliser_SourceData.Fertiliser_Products_Data3(), FertiliserProducts[[#Headers],[Company]],61)</f>
        <v>Monoammonium phosphate (MAP)</v>
      </c>
      <c r="P160" s="152" cm="1">
        <f t="array" ref="P160">Common_InputFunctions.Utility_DisplayArrayInTable(Fertiliser_SourceData.Fertiliser_Products_Data3(), FertiliserProducts[[#Headers],[Company]],61)</f>
        <v>1</v>
      </c>
      <c r="Q160" s="152" t="str" cm="1">
        <f t="array" ref="Q160">Common_InputFunctions.Utility_DisplayArrayInTable(Fertiliser_SourceData.Fertiliser_Products_Data3(), FertiliserProducts[[#Headers],[Company]],61)</f>
        <v>Zinc</v>
      </c>
      <c r="R160" s="152" cm="1">
        <f t="array" ref="R160">Common_InputFunctions.Utility_DisplayArrayInTable(Fertiliser_SourceData.Fertiliser_Products_Data3(), FertiliserProducts[[#Headers],[Company]],61)</f>
        <v>0.01</v>
      </c>
      <c r="S160" s="152" t="str" cm="1">
        <f t="array" ref="S160">Common_InputFunctions.Utility_DisplayArrayInTable(Fertiliser_SourceData.Fertiliser_Products_Data3(), FertiliserProducts[[#Headers],[Company]],61)</f>
        <v/>
      </c>
      <c r="T160" s="152" t="str" cm="1">
        <f t="array" ref="T160">Common_InputFunctions.Utility_DisplayArrayInTable(Fertiliser_SourceData.Fertiliser_Products_Data3(), FertiliserProducts[[#Headers],[Company]],61)</f>
        <v/>
      </c>
      <c r="U160" s="152" t="str" cm="1">
        <f t="array" ref="U160">Common_InputFunctions.Utility_DisplayArrayInTable(Fertiliser_SourceData.Fertiliser_Products_Data3(), FertiliserProducts[[#Headers],[Company]],61)</f>
        <v/>
      </c>
      <c r="V160" s="152" t="str" cm="1">
        <f t="array" ref="V160">Common_InputFunctions.Utility_DisplayArrayInTable(Fertiliser_SourceData.Fertiliser_Products_Data3(), FertiliserProducts[[#Headers],[Company]],61)</f>
        <v/>
      </c>
      <c r="W160" s="152" t="str" cm="1">
        <f t="array" ref="W160">Common_InputFunctions.Utility_DisplayArrayInTable(Fertiliser_SourceData.Fertiliser_Products_Data3(), FertiliserProducts[[#Headers],[Company]],61)</f>
        <v/>
      </c>
      <c r="X160" s="152" t="str" cm="1">
        <f t="array" ref="X160">Common_InputFunctions.Utility_DisplayArrayInTable(Fertiliser_SourceData.Fertiliser_Products_Data3(), FertiliserProducts[[#Headers],[Company]],61)</f>
        <v/>
      </c>
      <c r="Y160" s="152" t="str" cm="1">
        <f t="array" ref="Y160">Common_InputFunctions.Utility_DisplayArrayInTable(Fertiliser_SourceData.Fertiliser_Products_Data3(), FertiliserProducts[[#Headers],[Company]],61)</f>
        <v/>
      </c>
      <c r="Z160" s="152" t="str" cm="1">
        <f t="array" ref="Z160">Common_InputFunctions.Utility_DisplayArrayInTable(Fertiliser_SourceData.Fertiliser_Products_Data3(), FertiliserProducts[[#Headers],[Company]],61)</f>
        <v/>
      </c>
      <c r="AA160" s="152" t="str" cm="1">
        <f t="array" ref="AA160">Common_InputFunctions.Utility_DisplayArrayInTable(Fertiliser_SourceData.Fertiliser_Products_Data3(), FertiliserProducts[[#Headers],[Company]],61)</f>
        <v/>
      </c>
      <c r="AB160" s="152" t="str" cm="1">
        <f t="array" ref="AB160">Common_InputFunctions.Utility_DisplayArrayInTable(Fertiliser_SourceData.Fertiliser_Products_Data3(), FertiliserProducts[[#Headers],[Company]],61)</f>
        <v/>
      </c>
      <c r="AC160" s="152" t="str" cm="1">
        <f t="array" ref="AC160">Common_InputFunctions.Utility_DisplayArrayInTable(Fertiliser_SourceData.Fertiliser_Products_Data3(), FertiliserProducts[[#Headers],[Company]],61)</f>
        <v/>
      </c>
      <c r="AD160" s="152" t="str" cm="1">
        <f t="array" ref="AD160">Common_InputFunctions.Utility_DisplayArrayInTable(Fertiliser_SourceData.Fertiliser_Products_Data3(), FertiliserProducts[[#Headers],[Company]],61)</f>
        <v/>
      </c>
      <c r="AE160" s="152" t="str" cm="1">
        <f t="array" ref="AE160">Common_InputFunctions.Utility_DisplayArrayInTable(Fertiliser_SourceData.Fertiliser_Products_Data3(), FertiliserProducts[[#Headers],[Company]],61)</f>
        <v/>
      </c>
      <c r="AF160" s="152" t="str" cm="1">
        <f t="array" ref="AF160">Common_InputFunctions.Utility_DisplayArrayInTable(Fertiliser_SourceData.Fertiliser_Products_Data3(), FertiliserProducts[[#Headers],[Company]],61)</f>
        <v/>
      </c>
      <c r="AG160" s="152" t="str" cm="1">
        <f t="array" ref="AG160">Common_InputFunctions.Utility_DisplayArrayInTable(Fertiliser_SourceData.Fertiliser_Products_Data3(), FertiliserProducts[[#Headers],[Company]],61)</f>
        <v/>
      </c>
      <c r="AH160" s="152" t="str" cm="1">
        <f t="array" ref="AH160">Common_InputFunctions.Utility_DisplayArrayInTable(Fertiliser_SourceData.Fertiliser_Products_Data3(), FertiliserProducts[[#Headers],[Company]],61)</f>
        <v/>
      </c>
      <c r="AK160" s="1"/>
    </row>
    <row r="161" spans="4:37" ht="20.100000000000001" customHeight="1" x14ac:dyDescent="0.2">
      <c r="D161" s="152" t="str" cm="1">
        <f t="array" ref="D161">Common_InputFunctions.Utility_DisplayArrayInTable(Fertiliser_SourceData.Fertiliser_Products_Data3(), FertiliserProducts[[#Headers],[Company]],61)</f>
        <v>Baileys (Simplot) [listed as Impact]</v>
      </c>
      <c r="E161" s="152" t="str" cm="1">
        <f t="array" ref="E161">Common_InputFunctions.Utility_DisplayArrayInTable(Fertiliser_SourceData.Fertiliser_Products_Data3(), FertiliserProducts[[#Headers],[Company]],61)</f>
        <v>Apex GaIXe Low P 21-1-6</v>
      </c>
      <c r="F161" s="152" t="str" cm="1">
        <f t="array" ref="F161">Common_InputFunctions.Utility_DisplayArrayInTable(Fertiliser_SourceData.Fertiliser_Products_Data3(), FertiliserProducts[[#Headers],[Company]],61)</f>
        <v>kg</v>
      </c>
      <c r="G161" s="152" cm="1">
        <f t="array" ref="G161">Common_InputFunctions.Utility_DisplayArrayInTable(Fertiliser_SourceData.Fertiliser_Products_Data3(), FertiliserProducts[[#Headers],[Company]],61)</f>
        <v>1</v>
      </c>
      <c r="H161" s="152" t="str" cm="1">
        <f t="array" ref="H161">Common_InputFunctions.Utility_DisplayArrayInTable(Fertiliser_SourceData.Fertiliser_Products_Data3(), FertiliserProducts[[#Headers],[Company]],61)</f>
        <v/>
      </c>
      <c r="I161" s="152" t="str" cm="1">
        <f t="array" ref="I161">Common_InputFunctions.Utility_DisplayArrayInTable(Fertiliser_SourceData.Fertiliser_Products_Data3(), FertiliserProducts[[#Headers],[Company]],61)</f>
        <v/>
      </c>
      <c r="J161" s="152" t="str" cm="1">
        <f t="array" ref="J161">Common_InputFunctions.Utility_DisplayArrayInTable(Fertiliser_SourceData.Fertiliser_Products_Data3(), FertiliserProducts[[#Headers],[Company]],61)</f>
        <v/>
      </c>
      <c r="K161" s="152" cm="1">
        <f t="array" ref="K161">Common_InputFunctions.Utility_DisplayArrayInTable(Fertiliser_SourceData.Fertiliser_Products_Data3(), FertiliserProducts[[#Headers],[Company]],61)</f>
        <v>21</v>
      </c>
      <c r="L161" s="152" cm="1">
        <f t="array" ref="L161">Common_InputFunctions.Utility_DisplayArrayInTable(Fertiliser_SourceData.Fertiliser_Products_Data3(), FertiliserProducts[[#Headers],[Company]],61)</f>
        <v>0.86</v>
      </c>
      <c r="M161" s="152" cm="1">
        <f t="array" ref="M161">Common_InputFunctions.Utility_DisplayArrayInTable(Fertiliser_SourceData.Fertiliser_Products_Data3(), FertiliserProducts[[#Headers],[Company]],61)</f>
        <v>5.8</v>
      </c>
      <c r="N161" s="152" cm="1">
        <f t="array" ref="N161">Common_InputFunctions.Utility_DisplayArrayInTable(Fertiliser_SourceData.Fertiliser_Products_Data3(), FertiliserProducts[[#Headers],[Company]],61)</f>
        <v>4.2</v>
      </c>
      <c r="O161" s="152" t="str" cm="1">
        <f t="array" ref="O161">Common_InputFunctions.Utility_DisplayArrayInTable(Fertiliser_SourceData.Fertiliser_Products_Data3(), FertiliserProducts[[#Headers],[Company]],61)</f>
        <v>Nitrogen - Generic</v>
      </c>
      <c r="P161" s="152" cm="1">
        <f t="array" ref="P161">Common_InputFunctions.Utility_DisplayArrayInTable(Fertiliser_SourceData.Fertiliser_Products_Data3(), FertiliserProducts[[#Headers],[Company]],61)</f>
        <v>0.21</v>
      </c>
      <c r="Q161" s="152" t="str" cm="1">
        <f t="array" ref="Q161">Common_InputFunctions.Utility_DisplayArrayInTable(Fertiliser_SourceData.Fertiliser_Products_Data3(), FertiliserProducts[[#Headers],[Company]],61)</f>
        <v>Potassium - Generic</v>
      </c>
      <c r="R161" s="152" cm="1">
        <f t="array" ref="R161">Common_InputFunctions.Utility_DisplayArrayInTable(Fertiliser_SourceData.Fertiliser_Products_Data3(), FertiliserProducts[[#Headers],[Company]],61)</f>
        <v>5.8000000000000003E-2</v>
      </c>
      <c r="S161" s="152" t="str" cm="1">
        <f t="array" ref="S161">Common_InputFunctions.Utility_DisplayArrayInTable(Fertiliser_SourceData.Fertiliser_Products_Data3(), FertiliserProducts[[#Headers],[Company]],61)</f>
        <v>Sulfur - Generic</v>
      </c>
      <c r="T161" s="152" cm="1">
        <f t="array" ref="T161">Common_InputFunctions.Utility_DisplayArrayInTable(Fertiliser_SourceData.Fertiliser_Products_Data3(), FertiliserProducts[[#Headers],[Company]],61)</f>
        <v>4.2000000000000003E-2</v>
      </c>
      <c r="U161" s="152" t="str" cm="1">
        <f t="array" ref="U161">Common_InputFunctions.Utility_DisplayArrayInTable(Fertiliser_SourceData.Fertiliser_Products_Data3(), FertiliserProducts[[#Headers],[Company]],61)</f>
        <v>Phosphorus - Generic</v>
      </c>
      <c r="V161" s="152" cm="1">
        <f t="array" ref="V161">Common_InputFunctions.Utility_DisplayArrayInTable(Fertiliser_SourceData.Fertiliser_Products_Data3(), FertiliserProducts[[#Headers],[Company]],61)</f>
        <v>8.6E-3</v>
      </c>
      <c r="W161" s="152" t="str" cm="1">
        <f t="array" ref="W161">Common_InputFunctions.Utility_DisplayArrayInTable(Fertiliser_SourceData.Fertiliser_Products_Data3(), FertiliserProducts[[#Headers],[Company]],61)</f>
        <v/>
      </c>
      <c r="X161" s="152" t="str" cm="1">
        <f t="array" ref="X161">Common_InputFunctions.Utility_DisplayArrayInTable(Fertiliser_SourceData.Fertiliser_Products_Data3(), FertiliserProducts[[#Headers],[Company]],61)</f>
        <v/>
      </c>
      <c r="Y161" s="152" t="str" cm="1">
        <f t="array" ref="Y161">Common_InputFunctions.Utility_DisplayArrayInTable(Fertiliser_SourceData.Fertiliser_Products_Data3(), FertiliserProducts[[#Headers],[Company]],61)</f>
        <v/>
      </c>
      <c r="Z161" s="152" t="str" cm="1">
        <f t="array" ref="Z161">Common_InputFunctions.Utility_DisplayArrayInTable(Fertiliser_SourceData.Fertiliser_Products_Data3(), FertiliserProducts[[#Headers],[Company]],61)</f>
        <v/>
      </c>
      <c r="AA161" s="152" t="str" cm="1">
        <f t="array" ref="AA161">Common_InputFunctions.Utility_DisplayArrayInTable(Fertiliser_SourceData.Fertiliser_Products_Data3(), FertiliserProducts[[#Headers],[Company]],61)</f>
        <v/>
      </c>
      <c r="AB161" s="152" t="str" cm="1">
        <f t="array" ref="AB161">Common_InputFunctions.Utility_DisplayArrayInTable(Fertiliser_SourceData.Fertiliser_Products_Data3(), FertiliserProducts[[#Headers],[Company]],61)</f>
        <v/>
      </c>
      <c r="AC161" s="152" t="str" cm="1">
        <f t="array" ref="AC161">Common_InputFunctions.Utility_DisplayArrayInTable(Fertiliser_SourceData.Fertiliser_Products_Data3(), FertiliserProducts[[#Headers],[Company]],61)</f>
        <v/>
      </c>
      <c r="AD161" s="152" t="str" cm="1">
        <f t="array" ref="AD161">Common_InputFunctions.Utility_DisplayArrayInTable(Fertiliser_SourceData.Fertiliser_Products_Data3(), FertiliserProducts[[#Headers],[Company]],61)</f>
        <v/>
      </c>
      <c r="AE161" s="152" t="str" cm="1">
        <f t="array" ref="AE161">Common_InputFunctions.Utility_DisplayArrayInTable(Fertiliser_SourceData.Fertiliser_Products_Data3(), FertiliserProducts[[#Headers],[Company]],61)</f>
        <v/>
      </c>
      <c r="AF161" s="152" t="str" cm="1">
        <f t="array" ref="AF161">Common_InputFunctions.Utility_DisplayArrayInTable(Fertiliser_SourceData.Fertiliser_Products_Data3(), FertiliserProducts[[#Headers],[Company]],61)</f>
        <v/>
      </c>
      <c r="AG161" s="152" t="str" cm="1">
        <f t="array" ref="AG161">Common_InputFunctions.Utility_DisplayArrayInTable(Fertiliser_SourceData.Fertiliser_Products_Data3(), FertiliserProducts[[#Headers],[Company]],61)</f>
        <v/>
      </c>
      <c r="AH161" s="152" t="str" cm="1">
        <f t="array" ref="AH161">Common_InputFunctions.Utility_DisplayArrayInTable(Fertiliser_SourceData.Fertiliser_Products_Data3(), FertiliserProducts[[#Headers],[Company]],61)</f>
        <v/>
      </c>
      <c r="AK161" s="1"/>
    </row>
    <row r="162" spans="4:37" ht="20.100000000000001" customHeight="1" x14ac:dyDescent="0.2">
      <c r="D162" s="152" t="str" cm="1">
        <f t="array" ref="D162">Common_InputFunctions.Utility_DisplayArrayInTable(Fertiliser_SourceData.Fertiliser_Products_Data3(), FertiliserProducts[[#Headers],[Company]],61)</f>
        <v>Incitec Pivot Fertilisers</v>
      </c>
      <c r="E162" s="152" t="str" cm="1">
        <f t="array" ref="E162">Common_InputFunctions.Utility_DisplayArrayInTable(Fertiliser_SourceData.Fertiliser_Products_Data3(), FertiliserProducts[[#Headers],[Company]],61)</f>
        <v>SuPerfect</v>
      </c>
      <c r="F162" s="152" t="str" cm="1">
        <f t="array" ref="F162">Common_InputFunctions.Utility_DisplayArrayInTable(Fertiliser_SourceData.Fertiliser_Products_Data3(), FertiliserProducts[[#Headers],[Company]],61)</f>
        <v>kg</v>
      </c>
      <c r="G162" s="152" cm="1">
        <f t="array" ref="G162">Common_InputFunctions.Utility_DisplayArrayInTable(Fertiliser_SourceData.Fertiliser_Products_Data3(), FertiliserProducts[[#Headers],[Company]],61)</f>
        <v>1</v>
      </c>
      <c r="H162" s="152" t="str" cm="1">
        <f t="array" ref="H162">Common_InputFunctions.Utility_DisplayArrayInTable(Fertiliser_SourceData.Fertiliser_Products_Data3(), FertiliserProducts[[#Headers],[Company]],61)</f>
        <v/>
      </c>
      <c r="I162" s="152" t="str" cm="1">
        <f t="array" ref="I162">Common_InputFunctions.Utility_DisplayArrayInTable(Fertiliser_SourceData.Fertiliser_Products_Data3(), FertiliserProducts[[#Headers],[Company]],61)</f>
        <v/>
      </c>
      <c r="J162" s="152" t="str" cm="1">
        <f t="array" ref="J162">Common_InputFunctions.Utility_DisplayArrayInTable(Fertiliser_SourceData.Fertiliser_Products_Data3(), FertiliserProducts[[#Headers],[Company]],61)</f>
        <v/>
      </c>
      <c r="K162" s="152" t="str" cm="1">
        <f t="array" ref="K162">Common_InputFunctions.Utility_DisplayArrayInTable(Fertiliser_SourceData.Fertiliser_Products_Data3(), FertiliserProducts[[#Headers],[Company]],61)</f>
        <v/>
      </c>
      <c r="L162" s="152" cm="1">
        <f t="array" ref="L162">Common_InputFunctions.Utility_DisplayArrayInTable(Fertiliser_SourceData.Fertiliser_Products_Data3(), FertiliserProducts[[#Headers],[Company]],61)</f>
        <v>8.8000000000000007</v>
      </c>
      <c r="M162" s="152" t="str" cm="1">
        <f t="array" ref="M162">Common_InputFunctions.Utility_DisplayArrayInTable(Fertiliser_SourceData.Fertiliser_Products_Data3(), FertiliserProducts[[#Headers],[Company]],61)</f>
        <v/>
      </c>
      <c r="N162" s="152" cm="1">
        <f t="array" ref="N162">Common_InputFunctions.Utility_DisplayArrayInTable(Fertiliser_SourceData.Fertiliser_Products_Data3(), FertiliserProducts[[#Headers],[Company]],61)</f>
        <v>11</v>
      </c>
      <c r="O162" s="152" t="str" cm="1">
        <f t="array" ref="O162">Common_InputFunctions.Utility_DisplayArrayInTable(Fertiliser_SourceData.Fertiliser_Products_Data3(), FertiliserProducts[[#Headers],[Company]],61)</f>
        <v>Single superphosphate (SSP)</v>
      </c>
      <c r="P162" s="152" cm="1">
        <f t="array" ref="P162">Common_InputFunctions.Utility_DisplayArrayInTable(Fertiliser_SourceData.Fertiliser_Products_Data3(), FertiliserProducts[[#Headers],[Company]],61)</f>
        <v>1</v>
      </c>
      <c r="Q162" s="152" t="str" cm="1">
        <f t="array" ref="Q162">Common_InputFunctions.Utility_DisplayArrayInTable(Fertiliser_SourceData.Fertiliser_Products_Data3(), FertiliserProducts[[#Headers],[Company]],61)</f>
        <v/>
      </c>
      <c r="R162" s="152" t="str" cm="1">
        <f t="array" ref="R162">Common_InputFunctions.Utility_DisplayArrayInTable(Fertiliser_SourceData.Fertiliser_Products_Data3(), FertiliserProducts[[#Headers],[Company]],61)</f>
        <v/>
      </c>
      <c r="S162" s="152" t="str" cm="1">
        <f t="array" ref="S162">Common_InputFunctions.Utility_DisplayArrayInTable(Fertiliser_SourceData.Fertiliser_Products_Data3(), FertiliserProducts[[#Headers],[Company]],61)</f>
        <v/>
      </c>
      <c r="T162" s="152" t="str" cm="1">
        <f t="array" ref="T162">Common_InputFunctions.Utility_DisplayArrayInTable(Fertiliser_SourceData.Fertiliser_Products_Data3(), FertiliserProducts[[#Headers],[Company]],61)</f>
        <v/>
      </c>
      <c r="U162" s="152" t="str" cm="1">
        <f t="array" ref="U162">Common_InputFunctions.Utility_DisplayArrayInTable(Fertiliser_SourceData.Fertiliser_Products_Data3(), FertiliserProducts[[#Headers],[Company]],61)</f>
        <v/>
      </c>
      <c r="V162" s="152" t="str" cm="1">
        <f t="array" ref="V162">Common_InputFunctions.Utility_DisplayArrayInTable(Fertiliser_SourceData.Fertiliser_Products_Data3(), FertiliserProducts[[#Headers],[Company]],61)</f>
        <v/>
      </c>
      <c r="W162" s="152" t="str" cm="1">
        <f t="array" ref="W162">Common_InputFunctions.Utility_DisplayArrayInTable(Fertiliser_SourceData.Fertiliser_Products_Data3(), FertiliserProducts[[#Headers],[Company]],61)</f>
        <v/>
      </c>
      <c r="X162" s="152" t="str" cm="1">
        <f t="array" ref="X162">Common_InputFunctions.Utility_DisplayArrayInTable(Fertiliser_SourceData.Fertiliser_Products_Data3(), FertiliserProducts[[#Headers],[Company]],61)</f>
        <v/>
      </c>
      <c r="Y162" s="152" t="str" cm="1">
        <f t="array" ref="Y162">Common_InputFunctions.Utility_DisplayArrayInTable(Fertiliser_SourceData.Fertiliser_Products_Data3(), FertiliserProducts[[#Headers],[Company]],61)</f>
        <v/>
      </c>
      <c r="Z162" s="152" t="str" cm="1">
        <f t="array" ref="Z162">Common_InputFunctions.Utility_DisplayArrayInTable(Fertiliser_SourceData.Fertiliser_Products_Data3(), FertiliserProducts[[#Headers],[Company]],61)</f>
        <v/>
      </c>
      <c r="AA162" s="152" t="str" cm="1">
        <f t="array" ref="AA162">Common_InputFunctions.Utility_DisplayArrayInTable(Fertiliser_SourceData.Fertiliser_Products_Data3(), FertiliserProducts[[#Headers],[Company]],61)</f>
        <v/>
      </c>
      <c r="AB162" s="152" t="str" cm="1">
        <f t="array" ref="AB162">Common_InputFunctions.Utility_DisplayArrayInTable(Fertiliser_SourceData.Fertiliser_Products_Data3(), FertiliserProducts[[#Headers],[Company]],61)</f>
        <v/>
      </c>
      <c r="AC162" s="152" t="str" cm="1">
        <f t="array" ref="AC162">Common_InputFunctions.Utility_DisplayArrayInTable(Fertiliser_SourceData.Fertiliser_Products_Data3(), FertiliserProducts[[#Headers],[Company]],61)</f>
        <v/>
      </c>
      <c r="AD162" s="152" t="str" cm="1">
        <f t="array" ref="AD162">Common_InputFunctions.Utility_DisplayArrayInTable(Fertiliser_SourceData.Fertiliser_Products_Data3(), FertiliserProducts[[#Headers],[Company]],61)</f>
        <v/>
      </c>
      <c r="AE162" s="152" t="str" cm="1">
        <f t="array" ref="AE162">Common_InputFunctions.Utility_DisplayArrayInTable(Fertiliser_SourceData.Fertiliser_Products_Data3(), FertiliserProducts[[#Headers],[Company]],61)</f>
        <v/>
      </c>
      <c r="AF162" s="152" t="str" cm="1">
        <f t="array" ref="AF162">Common_InputFunctions.Utility_DisplayArrayInTable(Fertiliser_SourceData.Fertiliser_Products_Data3(), FertiliserProducts[[#Headers],[Company]],61)</f>
        <v/>
      </c>
      <c r="AG162" s="152" t="str" cm="1">
        <f t="array" ref="AG162">Common_InputFunctions.Utility_DisplayArrayInTable(Fertiliser_SourceData.Fertiliser_Products_Data3(), FertiliserProducts[[#Headers],[Company]],61)</f>
        <v/>
      </c>
      <c r="AH162" s="152" t="str" cm="1">
        <f t="array" ref="AH162">Common_InputFunctions.Utility_DisplayArrayInTable(Fertiliser_SourceData.Fertiliser_Products_Data3(), FertiliserProducts[[#Headers],[Company]],61)</f>
        <v/>
      </c>
      <c r="AK162" s="1"/>
    </row>
    <row r="163" spans="4:37" ht="20.100000000000001" customHeight="1" x14ac:dyDescent="0.2">
      <c r="D163" s="152" t="str" cm="1">
        <f t="array" ref="D163">Common_InputFunctions.Utility_DisplayArrayInTable(Fertiliser_SourceData.Fertiliser_Products_Data3(), FertiliserProducts[[#Headers],[Company]],61)</f>
        <v>Incitec Pivot Fertilisers [listed as Summit]</v>
      </c>
      <c r="E163" s="152" t="str" cm="1">
        <f t="array" ref="E163">Common_InputFunctions.Utility_DisplayArrayInTable(Fertiliser_SourceData.Fertiliser_Products_Data3(), FertiliserProducts[[#Headers],[Company]],61)</f>
        <v>Big N</v>
      </c>
      <c r="F163" s="152" t="str" cm="1">
        <f t="array" ref="F163">Common_InputFunctions.Utility_DisplayArrayInTable(Fertiliser_SourceData.Fertiliser_Products_Data3(), FertiliserProducts[[#Headers],[Company]],61)</f>
        <v>kg</v>
      </c>
      <c r="G163" s="152" cm="1">
        <f t="array" ref="G163">Common_InputFunctions.Utility_DisplayArrayInTable(Fertiliser_SourceData.Fertiliser_Products_Data3(), FertiliserProducts[[#Headers],[Company]],61)</f>
        <v>1</v>
      </c>
      <c r="H163" s="152" t="str" cm="1">
        <f t="array" ref="H163">Common_InputFunctions.Utility_DisplayArrayInTable(Fertiliser_SourceData.Fertiliser_Products_Data3(), FertiliserProducts[[#Headers],[Company]],61)</f>
        <v/>
      </c>
      <c r="I163" s="152" t="str" cm="1">
        <f t="array" ref="I163">Common_InputFunctions.Utility_DisplayArrayInTable(Fertiliser_SourceData.Fertiliser_Products_Data3(), FertiliserProducts[[#Headers],[Company]],61)</f>
        <v/>
      </c>
      <c r="J163" s="152" t="str" cm="1">
        <f t="array" ref="J163">Common_InputFunctions.Utility_DisplayArrayInTable(Fertiliser_SourceData.Fertiliser_Products_Data3(), FertiliserProducts[[#Headers],[Company]],61)</f>
        <v/>
      </c>
      <c r="K163" s="152" cm="1">
        <f t="array" ref="K163">Common_InputFunctions.Utility_DisplayArrayInTable(Fertiliser_SourceData.Fertiliser_Products_Data3(), FertiliserProducts[[#Headers],[Company]],61)</f>
        <v>82.35</v>
      </c>
      <c r="L163" s="152" t="str" cm="1">
        <f t="array" ref="L163">Common_InputFunctions.Utility_DisplayArrayInTable(Fertiliser_SourceData.Fertiliser_Products_Data3(), FertiliserProducts[[#Headers],[Company]],61)</f>
        <v/>
      </c>
      <c r="M163" s="152" t="str" cm="1">
        <f t="array" ref="M163">Common_InputFunctions.Utility_DisplayArrayInTable(Fertiliser_SourceData.Fertiliser_Products_Data3(), FertiliserProducts[[#Headers],[Company]],61)</f>
        <v/>
      </c>
      <c r="N163" s="152" t="str" cm="1">
        <f t="array" ref="N163">Common_InputFunctions.Utility_DisplayArrayInTable(Fertiliser_SourceData.Fertiliser_Products_Data3(), FertiliserProducts[[#Headers],[Company]],61)</f>
        <v/>
      </c>
      <c r="O163" s="152" t="str" cm="1">
        <f t="array" ref="O163">Common_InputFunctions.Utility_DisplayArrayInTable(Fertiliser_SourceData.Fertiliser_Products_Data3(), FertiliserProducts[[#Headers],[Company]],61)</f>
        <v>Ammonia</v>
      </c>
      <c r="P163" s="152" cm="1">
        <f t="array" ref="P163">Common_InputFunctions.Utility_DisplayArrayInTable(Fertiliser_SourceData.Fertiliser_Products_Data3(), FertiliserProducts[[#Headers],[Company]],61)</f>
        <v>1</v>
      </c>
      <c r="Q163" s="152" t="str" cm="1">
        <f t="array" ref="Q163">Common_InputFunctions.Utility_DisplayArrayInTable(Fertiliser_SourceData.Fertiliser_Products_Data3(), FertiliserProducts[[#Headers],[Company]],61)</f>
        <v/>
      </c>
      <c r="R163" s="152" t="str" cm="1">
        <f t="array" ref="R163">Common_InputFunctions.Utility_DisplayArrayInTable(Fertiliser_SourceData.Fertiliser_Products_Data3(), FertiliserProducts[[#Headers],[Company]],61)</f>
        <v/>
      </c>
      <c r="S163" s="152" t="str" cm="1">
        <f t="array" ref="S163">Common_InputFunctions.Utility_DisplayArrayInTable(Fertiliser_SourceData.Fertiliser_Products_Data3(), FertiliserProducts[[#Headers],[Company]],61)</f>
        <v/>
      </c>
      <c r="T163" s="152" t="str" cm="1">
        <f t="array" ref="T163">Common_InputFunctions.Utility_DisplayArrayInTable(Fertiliser_SourceData.Fertiliser_Products_Data3(), FertiliserProducts[[#Headers],[Company]],61)</f>
        <v/>
      </c>
      <c r="U163" s="152" t="str" cm="1">
        <f t="array" ref="U163">Common_InputFunctions.Utility_DisplayArrayInTable(Fertiliser_SourceData.Fertiliser_Products_Data3(), FertiliserProducts[[#Headers],[Company]],61)</f>
        <v/>
      </c>
      <c r="V163" s="152" t="str" cm="1">
        <f t="array" ref="V163">Common_InputFunctions.Utility_DisplayArrayInTable(Fertiliser_SourceData.Fertiliser_Products_Data3(), FertiliserProducts[[#Headers],[Company]],61)</f>
        <v/>
      </c>
      <c r="W163" s="152" t="str" cm="1">
        <f t="array" ref="W163">Common_InputFunctions.Utility_DisplayArrayInTable(Fertiliser_SourceData.Fertiliser_Products_Data3(), FertiliserProducts[[#Headers],[Company]],61)</f>
        <v/>
      </c>
      <c r="X163" s="152" t="str" cm="1">
        <f t="array" ref="X163">Common_InputFunctions.Utility_DisplayArrayInTable(Fertiliser_SourceData.Fertiliser_Products_Data3(), FertiliserProducts[[#Headers],[Company]],61)</f>
        <v/>
      </c>
      <c r="Y163" s="152" t="str" cm="1">
        <f t="array" ref="Y163">Common_InputFunctions.Utility_DisplayArrayInTable(Fertiliser_SourceData.Fertiliser_Products_Data3(), FertiliserProducts[[#Headers],[Company]],61)</f>
        <v/>
      </c>
      <c r="Z163" s="152" t="str" cm="1">
        <f t="array" ref="Z163">Common_InputFunctions.Utility_DisplayArrayInTable(Fertiliser_SourceData.Fertiliser_Products_Data3(), FertiliserProducts[[#Headers],[Company]],61)</f>
        <v/>
      </c>
      <c r="AA163" s="152" t="str" cm="1">
        <f t="array" ref="AA163">Common_InputFunctions.Utility_DisplayArrayInTable(Fertiliser_SourceData.Fertiliser_Products_Data3(), FertiliserProducts[[#Headers],[Company]],61)</f>
        <v/>
      </c>
      <c r="AB163" s="152" t="str" cm="1">
        <f t="array" ref="AB163">Common_InputFunctions.Utility_DisplayArrayInTable(Fertiliser_SourceData.Fertiliser_Products_Data3(), FertiliserProducts[[#Headers],[Company]],61)</f>
        <v/>
      </c>
      <c r="AC163" s="152" t="str" cm="1">
        <f t="array" ref="AC163">Common_InputFunctions.Utility_DisplayArrayInTable(Fertiliser_SourceData.Fertiliser_Products_Data3(), FertiliserProducts[[#Headers],[Company]],61)</f>
        <v/>
      </c>
      <c r="AD163" s="152" t="str" cm="1">
        <f t="array" ref="AD163">Common_InputFunctions.Utility_DisplayArrayInTable(Fertiliser_SourceData.Fertiliser_Products_Data3(), FertiliserProducts[[#Headers],[Company]],61)</f>
        <v/>
      </c>
      <c r="AE163" s="152" t="str" cm="1">
        <f t="array" ref="AE163">Common_InputFunctions.Utility_DisplayArrayInTable(Fertiliser_SourceData.Fertiliser_Products_Data3(), FertiliserProducts[[#Headers],[Company]],61)</f>
        <v/>
      </c>
      <c r="AF163" s="152" t="str" cm="1">
        <f t="array" ref="AF163">Common_InputFunctions.Utility_DisplayArrayInTable(Fertiliser_SourceData.Fertiliser_Products_Data3(), FertiliserProducts[[#Headers],[Company]],61)</f>
        <v/>
      </c>
      <c r="AG163" s="152" t="str" cm="1">
        <f t="array" ref="AG163">Common_InputFunctions.Utility_DisplayArrayInTable(Fertiliser_SourceData.Fertiliser_Products_Data3(), FertiliserProducts[[#Headers],[Company]],61)</f>
        <v/>
      </c>
      <c r="AH163" s="152" t="str" cm="1">
        <f t="array" ref="AH163">Common_InputFunctions.Utility_DisplayArrayInTable(Fertiliser_SourceData.Fertiliser_Products_Data3(), FertiliserProducts[[#Headers],[Company]],61)</f>
        <v/>
      </c>
      <c r="AK163" s="1"/>
    </row>
    <row r="164" spans="4:37" ht="20.100000000000001" customHeight="1" x14ac:dyDescent="0.2">
      <c r="D164" s="152" t="str" cm="1">
        <f t="array" ref="D164">Common_InputFunctions.Utility_DisplayArrayInTable(Fertiliser_SourceData.Fertiliser_Products_Data3(), FertiliserProducts[[#Headers],[Company]],61)</f>
        <v>Incitec Pivot Fertilisers</v>
      </c>
      <c r="E164" s="152" t="str" cm="1">
        <f t="array" ref="E164">Common_InputFunctions.Utility_DisplayArrayInTable(Fertiliser_SourceData.Fertiliser_Products_Data3(), FertiliserProducts[[#Headers],[Company]],61)</f>
        <v>Entec Urea</v>
      </c>
      <c r="F164" s="152" t="str" cm="1">
        <f t="array" ref="F164">Common_InputFunctions.Utility_DisplayArrayInTable(Fertiliser_SourceData.Fertiliser_Products_Data3(), FertiliserProducts[[#Headers],[Company]],61)</f>
        <v>kg</v>
      </c>
      <c r="G164" s="152" cm="1">
        <f t="array" ref="G164">Common_InputFunctions.Utility_DisplayArrayInTable(Fertiliser_SourceData.Fertiliser_Products_Data3(), FertiliserProducts[[#Headers],[Company]],61)</f>
        <v>1</v>
      </c>
      <c r="H164" s="152" t="str" cm="1">
        <f t="array" ref="H164">Common_InputFunctions.Utility_DisplayArrayInTable(Fertiliser_SourceData.Fertiliser_Products_Data3(), FertiliserProducts[[#Headers],[Company]],61)</f>
        <v>Yes</v>
      </c>
      <c r="I164" s="152" t="str" cm="1">
        <f t="array" ref="I164">Common_InputFunctions.Utility_DisplayArrayInTable(Fertiliser_SourceData.Fertiliser_Products_Data3(), FertiliserProducts[[#Headers],[Company]],61)</f>
        <v/>
      </c>
      <c r="J164" s="152" t="str" cm="1">
        <f t="array" ref="J164">Common_InputFunctions.Utility_DisplayArrayInTable(Fertiliser_SourceData.Fertiliser_Products_Data3(), FertiliserProducts[[#Headers],[Company]],61)</f>
        <v/>
      </c>
      <c r="K164" s="152" cm="1">
        <f t="array" ref="K164">Common_InputFunctions.Utility_DisplayArrayInTable(Fertiliser_SourceData.Fertiliser_Products_Data3(), FertiliserProducts[[#Headers],[Company]],61)</f>
        <v>46</v>
      </c>
      <c r="L164" s="152" t="str" cm="1">
        <f t="array" ref="L164">Common_InputFunctions.Utility_DisplayArrayInTable(Fertiliser_SourceData.Fertiliser_Products_Data3(), FertiliserProducts[[#Headers],[Company]],61)</f>
        <v/>
      </c>
      <c r="M164" s="152" t="str" cm="1">
        <f t="array" ref="M164">Common_InputFunctions.Utility_DisplayArrayInTable(Fertiliser_SourceData.Fertiliser_Products_Data3(), FertiliserProducts[[#Headers],[Company]],61)</f>
        <v/>
      </c>
      <c r="N164" s="152" t="str" cm="1">
        <f t="array" ref="N164">Common_InputFunctions.Utility_DisplayArrayInTable(Fertiliser_SourceData.Fertiliser_Products_Data3(), FertiliserProducts[[#Headers],[Company]],61)</f>
        <v/>
      </c>
      <c r="O164" s="152" t="str" cm="1">
        <f t="array" ref="O164">Common_InputFunctions.Utility_DisplayArrayInTable(Fertiliser_SourceData.Fertiliser_Products_Data3(), FertiliserProducts[[#Headers],[Company]],61)</f>
        <v>Urea</v>
      </c>
      <c r="P164" s="152" cm="1">
        <f t="array" ref="P164">Common_InputFunctions.Utility_DisplayArrayInTable(Fertiliser_SourceData.Fertiliser_Products_Data3(), FertiliserProducts[[#Headers],[Company]],61)</f>
        <v>1</v>
      </c>
      <c r="Q164" s="152" t="str" cm="1">
        <f t="array" ref="Q164">Common_InputFunctions.Utility_DisplayArrayInTable(Fertiliser_SourceData.Fertiliser_Products_Data3(), FertiliserProducts[[#Headers],[Company]],61)</f>
        <v/>
      </c>
      <c r="R164" s="152" t="str" cm="1">
        <f t="array" ref="R164">Common_InputFunctions.Utility_DisplayArrayInTable(Fertiliser_SourceData.Fertiliser_Products_Data3(), FertiliserProducts[[#Headers],[Company]],61)</f>
        <v/>
      </c>
      <c r="S164" s="152" t="str" cm="1">
        <f t="array" ref="S164">Common_InputFunctions.Utility_DisplayArrayInTable(Fertiliser_SourceData.Fertiliser_Products_Data3(), FertiliserProducts[[#Headers],[Company]],61)</f>
        <v/>
      </c>
      <c r="T164" s="152" t="str" cm="1">
        <f t="array" ref="T164">Common_InputFunctions.Utility_DisplayArrayInTable(Fertiliser_SourceData.Fertiliser_Products_Data3(), FertiliserProducts[[#Headers],[Company]],61)</f>
        <v/>
      </c>
      <c r="U164" s="152" t="str" cm="1">
        <f t="array" ref="U164">Common_InputFunctions.Utility_DisplayArrayInTable(Fertiliser_SourceData.Fertiliser_Products_Data3(), FertiliserProducts[[#Headers],[Company]],61)</f>
        <v/>
      </c>
      <c r="V164" s="152" t="str" cm="1">
        <f t="array" ref="V164">Common_InputFunctions.Utility_DisplayArrayInTable(Fertiliser_SourceData.Fertiliser_Products_Data3(), FertiliserProducts[[#Headers],[Company]],61)</f>
        <v/>
      </c>
      <c r="W164" s="152" t="str" cm="1">
        <f t="array" ref="W164">Common_InputFunctions.Utility_DisplayArrayInTable(Fertiliser_SourceData.Fertiliser_Products_Data3(), FertiliserProducts[[#Headers],[Company]],61)</f>
        <v/>
      </c>
      <c r="X164" s="152" t="str" cm="1">
        <f t="array" ref="X164">Common_InputFunctions.Utility_DisplayArrayInTable(Fertiliser_SourceData.Fertiliser_Products_Data3(), FertiliserProducts[[#Headers],[Company]],61)</f>
        <v/>
      </c>
      <c r="Y164" s="152" t="str" cm="1">
        <f t="array" ref="Y164">Common_InputFunctions.Utility_DisplayArrayInTable(Fertiliser_SourceData.Fertiliser_Products_Data3(), FertiliserProducts[[#Headers],[Company]],61)</f>
        <v/>
      </c>
      <c r="Z164" s="152" t="str" cm="1">
        <f t="array" ref="Z164">Common_InputFunctions.Utility_DisplayArrayInTable(Fertiliser_SourceData.Fertiliser_Products_Data3(), FertiliserProducts[[#Headers],[Company]],61)</f>
        <v/>
      </c>
      <c r="AA164" s="152" t="str" cm="1">
        <f t="array" ref="AA164">Common_InputFunctions.Utility_DisplayArrayInTable(Fertiliser_SourceData.Fertiliser_Products_Data3(), FertiliserProducts[[#Headers],[Company]],61)</f>
        <v/>
      </c>
      <c r="AB164" s="152" t="str" cm="1">
        <f t="array" ref="AB164">Common_InputFunctions.Utility_DisplayArrayInTable(Fertiliser_SourceData.Fertiliser_Products_Data3(), FertiliserProducts[[#Headers],[Company]],61)</f>
        <v/>
      </c>
      <c r="AC164" s="152" t="str" cm="1">
        <f t="array" ref="AC164">Common_InputFunctions.Utility_DisplayArrayInTable(Fertiliser_SourceData.Fertiliser_Products_Data3(), FertiliserProducts[[#Headers],[Company]],61)</f>
        <v/>
      </c>
      <c r="AD164" s="152" t="str" cm="1">
        <f t="array" ref="AD164">Common_InputFunctions.Utility_DisplayArrayInTable(Fertiliser_SourceData.Fertiliser_Products_Data3(), FertiliserProducts[[#Headers],[Company]],61)</f>
        <v/>
      </c>
      <c r="AE164" s="152" t="str" cm="1">
        <f t="array" ref="AE164">Common_InputFunctions.Utility_DisplayArrayInTable(Fertiliser_SourceData.Fertiliser_Products_Data3(), FertiliserProducts[[#Headers],[Company]],61)</f>
        <v/>
      </c>
      <c r="AF164" s="152" t="str" cm="1">
        <f t="array" ref="AF164">Common_InputFunctions.Utility_DisplayArrayInTable(Fertiliser_SourceData.Fertiliser_Products_Data3(), FertiliserProducts[[#Headers],[Company]],61)</f>
        <v/>
      </c>
      <c r="AG164" s="152" t="str" cm="1">
        <f t="array" ref="AG164">Common_InputFunctions.Utility_DisplayArrayInTable(Fertiliser_SourceData.Fertiliser_Products_Data3(), FertiliserProducts[[#Headers],[Company]],61)</f>
        <v/>
      </c>
      <c r="AH164" s="152" t="str" cm="1">
        <f t="array" ref="AH164">Common_InputFunctions.Utility_DisplayArrayInTable(Fertiliser_SourceData.Fertiliser_Products_Data3(), FertiliserProducts[[#Headers],[Company]],61)</f>
        <v/>
      </c>
      <c r="AK164" s="1"/>
    </row>
    <row r="165" spans="4:37" ht="20.100000000000001" customHeight="1" x14ac:dyDescent="0.2">
      <c r="D165" s="152" t="str" cm="1">
        <f t="array" ref="D165">Common_InputFunctions.Utility_DisplayArrayInTable(Fertiliser_SourceData.Fertiliser_Products_Data3(), FertiliserProducts[[#Headers],[Company]],61)</f>
        <v>Incitec Pivot Fertilisers (or Ravensdown - see note)</v>
      </c>
      <c r="E165" s="152" t="str" cm="1">
        <f t="array" ref="E165">Common_InputFunctions.Utility_DisplayArrayInTable(Fertiliser_SourceData.Fertiliser_Products_Data3(), FertiliserProducts[[#Headers],[Company]],61)</f>
        <v>Flexi-N NI only</v>
      </c>
      <c r="F165" s="152" t="str" cm="1">
        <f t="array" ref="F165">Common_InputFunctions.Utility_DisplayArrayInTable(Fertiliser_SourceData.Fertiliser_Products_Data3(), FertiliserProducts[[#Headers],[Company]],61)</f>
        <v>kg</v>
      </c>
      <c r="G165" s="152" cm="1">
        <f t="array" ref="G165">Common_InputFunctions.Utility_DisplayArrayInTable(Fertiliser_SourceData.Fertiliser_Products_Data3(), FertiliserProducts[[#Headers],[Company]],61)</f>
        <v>1</v>
      </c>
      <c r="H165" s="152" t="str" cm="1">
        <f t="array" ref="H165">Common_InputFunctions.Utility_DisplayArrayInTable(Fertiliser_SourceData.Fertiliser_Products_Data3(), FertiliserProducts[[#Headers],[Company]],61)</f>
        <v>Yes</v>
      </c>
      <c r="I165" s="152" t="str" cm="1">
        <f t="array" ref="I165">Common_InputFunctions.Utility_DisplayArrayInTable(Fertiliser_SourceData.Fertiliser_Products_Data3(), FertiliserProducts[[#Headers],[Company]],61)</f>
        <v/>
      </c>
      <c r="J165" s="152" t="str" cm="1">
        <f t="array" ref="J165">Common_InputFunctions.Utility_DisplayArrayInTable(Fertiliser_SourceData.Fertiliser_Products_Data3(), FertiliserProducts[[#Headers],[Company]],61)</f>
        <v/>
      </c>
      <c r="K165" s="152" cm="1">
        <f t="array" ref="K165">Common_InputFunctions.Utility_DisplayArrayInTable(Fertiliser_SourceData.Fertiliser_Products_Data3(), FertiliserProducts[[#Headers],[Company]],61)</f>
        <v>45.54</v>
      </c>
      <c r="L165" s="152" t="str" cm="1">
        <f t="array" ref="L165">Common_InputFunctions.Utility_DisplayArrayInTable(Fertiliser_SourceData.Fertiliser_Products_Data3(), FertiliserProducts[[#Headers],[Company]],61)</f>
        <v/>
      </c>
      <c r="M165" s="152" t="str" cm="1">
        <f t="array" ref="M165">Common_InputFunctions.Utility_DisplayArrayInTable(Fertiliser_SourceData.Fertiliser_Products_Data3(), FertiliserProducts[[#Headers],[Company]],61)</f>
        <v/>
      </c>
      <c r="N165" s="152" t="str" cm="1">
        <f t="array" ref="N165">Common_InputFunctions.Utility_DisplayArrayInTable(Fertiliser_SourceData.Fertiliser_Products_Data3(), FertiliserProducts[[#Headers],[Company]],61)</f>
        <v/>
      </c>
      <c r="O165" s="152" t="str" cm="1">
        <f t="array" ref="O165">Common_InputFunctions.Utility_DisplayArrayInTable(Fertiliser_SourceData.Fertiliser_Products_Data3(), FertiliserProducts[[#Headers],[Company]],61)</f>
        <v>Urea</v>
      </c>
      <c r="P165" s="152" cm="1">
        <f t="array" ref="P165">Common_InputFunctions.Utility_DisplayArrayInTable(Fertiliser_SourceData.Fertiliser_Products_Data3(), FertiliserProducts[[#Headers],[Company]],61)</f>
        <v>0.99</v>
      </c>
      <c r="Q165" s="152" t="str" cm="1">
        <f t="array" ref="Q165">Common_InputFunctions.Utility_DisplayArrayInTable(Fertiliser_SourceData.Fertiliser_Products_Data3(), FertiliserProducts[[#Headers],[Company]],61)</f>
        <v>Urease/nitrification inhibitor</v>
      </c>
      <c r="R165" s="152" cm="1">
        <f t="array" ref="R165">Common_InputFunctions.Utility_DisplayArrayInTable(Fertiliser_SourceData.Fertiliser_Products_Data3(), FertiliserProducts[[#Headers],[Company]],61)</f>
        <v>0.01</v>
      </c>
      <c r="S165" s="152" t="str" cm="1">
        <f t="array" ref="S165">Common_InputFunctions.Utility_DisplayArrayInTable(Fertiliser_SourceData.Fertiliser_Products_Data3(), FertiliserProducts[[#Headers],[Company]],61)</f>
        <v/>
      </c>
      <c r="T165" s="152" t="str" cm="1">
        <f t="array" ref="T165">Common_InputFunctions.Utility_DisplayArrayInTable(Fertiliser_SourceData.Fertiliser_Products_Data3(), FertiliserProducts[[#Headers],[Company]],61)</f>
        <v/>
      </c>
      <c r="U165" s="152" t="str" cm="1">
        <f t="array" ref="U165">Common_InputFunctions.Utility_DisplayArrayInTable(Fertiliser_SourceData.Fertiliser_Products_Data3(), FertiliserProducts[[#Headers],[Company]],61)</f>
        <v/>
      </c>
      <c r="V165" s="152" t="str" cm="1">
        <f t="array" ref="V165">Common_InputFunctions.Utility_DisplayArrayInTable(Fertiliser_SourceData.Fertiliser_Products_Data3(), FertiliserProducts[[#Headers],[Company]],61)</f>
        <v/>
      </c>
      <c r="W165" s="152" t="str" cm="1">
        <f t="array" ref="W165">Common_InputFunctions.Utility_DisplayArrayInTable(Fertiliser_SourceData.Fertiliser_Products_Data3(), FertiliserProducts[[#Headers],[Company]],61)</f>
        <v/>
      </c>
      <c r="X165" s="152" t="str" cm="1">
        <f t="array" ref="X165">Common_InputFunctions.Utility_DisplayArrayInTable(Fertiliser_SourceData.Fertiliser_Products_Data3(), FertiliserProducts[[#Headers],[Company]],61)</f>
        <v/>
      </c>
      <c r="Y165" s="152" t="str" cm="1">
        <f t="array" ref="Y165">Common_InputFunctions.Utility_DisplayArrayInTable(Fertiliser_SourceData.Fertiliser_Products_Data3(), FertiliserProducts[[#Headers],[Company]],61)</f>
        <v/>
      </c>
      <c r="Z165" s="152" t="str" cm="1">
        <f t="array" ref="Z165">Common_InputFunctions.Utility_DisplayArrayInTable(Fertiliser_SourceData.Fertiliser_Products_Data3(), FertiliserProducts[[#Headers],[Company]],61)</f>
        <v/>
      </c>
      <c r="AA165" s="152" t="str" cm="1">
        <f t="array" ref="AA165">Common_InputFunctions.Utility_DisplayArrayInTable(Fertiliser_SourceData.Fertiliser_Products_Data3(), FertiliserProducts[[#Headers],[Company]],61)</f>
        <v/>
      </c>
      <c r="AB165" s="152" t="str" cm="1">
        <f t="array" ref="AB165">Common_InputFunctions.Utility_DisplayArrayInTable(Fertiliser_SourceData.Fertiliser_Products_Data3(), FertiliserProducts[[#Headers],[Company]],61)</f>
        <v/>
      </c>
      <c r="AC165" s="152" t="str" cm="1">
        <f t="array" ref="AC165">Common_InputFunctions.Utility_DisplayArrayInTable(Fertiliser_SourceData.Fertiliser_Products_Data3(), FertiliserProducts[[#Headers],[Company]],61)</f>
        <v/>
      </c>
      <c r="AD165" s="152" t="str" cm="1">
        <f t="array" ref="AD165">Common_InputFunctions.Utility_DisplayArrayInTable(Fertiliser_SourceData.Fertiliser_Products_Data3(), FertiliserProducts[[#Headers],[Company]],61)</f>
        <v/>
      </c>
      <c r="AE165" s="152" t="str" cm="1">
        <f t="array" ref="AE165">Common_InputFunctions.Utility_DisplayArrayInTable(Fertiliser_SourceData.Fertiliser_Products_Data3(), FertiliserProducts[[#Headers],[Company]],61)</f>
        <v/>
      </c>
      <c r="AF165" s="152" t="str" cm="1">
        <f t="array" ref="AF165">Common_InputFunctions.Utility_DisplayArrayInTable(Fertiliser_SourceData.Fertiliser_Products_Data3(), FertiliserProducts[[#Headers],[Company]],61)</f>
        <v/>
      </c>
      <c r="AG165" s="152" t="str" cm="1">
        <f t="array" ref="AG165">Common_InputFunctions.Utility_DisplayArrayInTable(Fertiliser_SourceData.Fertiliser_Products_Data3(), FertiliserProducts[[#Headers],[Company]],61)</f>
        <v/>
      </c>
      <c r="AH165" s="152" t="str" cm="1">
        <f t="array" ref="AH165">Common_InputFunctions.Utility_DisplayArrayInTable(Fertiliser_SourceData.Fertiliser_Products_Data3(), FertiliserProducts[[#Headers],[Company]],61)</f>
        <v/>
      </c>
      <c r="AK165" s="1"/>
    </row>
    <row r="166" spans="4:37" ht="20.100000000000001" customHeight="1" x14ac:dyDescent="0.2">
      <c r="D166" s="152" t="str" cm="1">
        <f t="array" ref="D166">Common_InputFunctions.Utility_DisplayArrayInTable(Fertiliser_SourceData.Fertiliser_Products_Data3(), FertiliserProducts[[#Headers],[Company]],61)</f>
        <v>Nutri-Tech Solutions (NTS)</v>
      </c>
      <c r="E166" s="152" t="str" cm="1">
        <f t="array" ref="E166">Common_InputFunctions.Utility_DisplayArrayInTable(Fertiliser_SourceData.Fertiliser_Products_Data3(), FertiliserProducts[[#Headers],[Company]],61)</f>
        <v>Muriate Of Potash MOP</v>
      </c>
      <c r="F166" s="152" t="str" cm="1">
        <f t="array" ref="F166">Common_InputFunctions.Utility_DisplayArrayInTable(Fertiliser_SourceData.Fertiliser_Products_Data3(), FertiliserProducts[[#Headers],[Company]],61)</f>
        <v>kg</v>
      </c>
      <c r="G166" s="152" cm="1">
        <f t="array" ref="G166">Common_InputFunctions.Utility_DisplayArrayInTable(Fertiliser_SourceData.Fertiliser_Products_Data3(), FertiliserProducts[[#Headers],[Company]],61)</f>
        <v>1</v>
      </c>
      <c r="H166" s="152" t="str" cm="1">
        <f t="array" ref="H166">Common_InputFunctions.Utility_DisplayArrayInTable(Fertiliser_SourceData.Fertiliser_Products_Data3(), FertiliserProducts[[#Headers],[Company]],61)</f>
        <v/>
      </c>
      <c r="I166" s="152" t="str" cm="1">
        <f t="array" ref="I166">Common_InputFunctions.Utility_DisplayArrayInTable(Fertiliser_SourceData.Fertiliser_Products_Data3(), FertiliserProducts[[#Headers],[Company]],61)</f>
        <v/>
      </c>
      <c r="J166" s="152" t="str" cm="1">
        <f t="array" ref="J166">Common_InputFunctions.Utility_DisplayArrayInTable(Fertiliser_SourceData.Fertiliser_Products_Data3(), FertiliserProducts[[#Headers],[Company]],61)</f>
        <v/>
      </c>
      <c r="K166" s="152" t="str" cm="1">
        <f t="array" ref="K166">Common_InputFunctions.Utility_DisplayArrayInTable(Fertiliser_SourceData.Fertiliser_Products_Data3(), FertiliserProducts[[#Headers],[Company]],61)</f>
        <v/>
      </c>
      <c r="L166" s="152" t="str" cm="1">
        <f t="array" ref="L166">Common_InputFunctions.Utility_DisplayArrayInTable(Fertiliser_SourceData.Fertiliser_Products_Data3(), FertiliserProducts[[#Headers],[Company]],61)</f>
        <v/>
      </c>
      <c r="M166" s="152" cm="1">
        <f t="array" ref="M166">Common_InputFunctions.Utility_DisplayArrayInTable(Fertiliser_SourceData.Fertiliser_Products_Data3(), FertiliserProducts[[#Headers],[Company]],61)</f>
        <v>50</v>
      </c>
      <c r="N166" s="152" t="str" cm="1">
        <f t="array" ref="N166">Common_InputFunctions.Utility_DisplayArrayInTable(Fertiliser_SourceData.Fertiliser_Products_Data3(), FertiliserProducts[[#Headers],[Company]],61)</f>
        <v/>
      </c>
      <c r="O166" s="152" t="str" cm="1">
        <f t="array" ref="O166">Common_InputFunctions.Utility_DisplayArrayInTable(Fertiliser_SourceData.Fertiliser_Products_Data3(), FertiliserProducts[[#Headers],[Company]],61)</f>
        <v>Muriate of potash (MOP)</v>
      </c>
      <c r="P166" s="152" cm="1">
        <f t="array" ref="P166">Common_InputFunctions.Utility_DisplayArrayInTable(Fertiliser_SourceData.Fertiliser_Products_Data3(), FertiliserProducts[[#Headers],[Company]],61)</f>
        <v>1</v>
      </c>
      <c r="Q166" s="152" t="str" cm="1">
        <f t="array" ref="Q166">Common_InputFunctions.Utility_DisplayArrayInTable(Fertiliser_SourceData.Fertiliser_Products_Data3(), FertiliserProducts[[#Headers],[Company]],61)</f>
        <v/>
      </c>
      <c r="R166" s="152" t="str" cm="1">
        <f t="array" ref="R166">Common_InputFunctions.Utility_DisplayArrayInTable(Fertiliser_SourceData.Fertiliser_Products_Data3(), FertiliserProducts[[#Headers],[Company]],61)</f>
        <v/>
      </c>
      <c r="S166" s="152" t="str" cm="1">
        <f t="array" ref="S166">Common_InputFunctions.Utility_DisplayArrayInTable(Fertiliser_SourceData.Fertiliser_Products_Data3(), FertiliserProducts[[#Headers],[Company]],61)</f>
        <v/>
      </c>
      <c r="T166" s="152" t="str" cm="1">
        <f t="array" ref="T166">Common_InputFunctions.Utility_DisplayArrayInTable(Fertiliser_SourceData.Fertiliser_Products_Data3(), FertiliserProducts[[#Headers],[Company]],61)</f>
        <v/>
      </c>
      <c r="U166" s="152" t="str" cm="1">
        <f t="array" ref="U166">Common_InputFunctions.Utility_DisplayArrayInTable(Fertiliser_SourceData.Fertiliser_Products_Data3(), FertiliserProducts[[#Headers],[Company]],61)</f>
        <v/>
      </c>
      <c r="V166" s="152" t="str" cm="1">
        <f t="array" ref="V166">Common_InputFunctions.Utility_DisplayArrayInTable(Fertiliser_SourceData.Fertiliser_Products_Data3(), FertiliserProducts[[#Headers],[Company]],61)</f>
        <v/>
      </c>
      <c r="W166" s="152" t="str" cm="1">
        <f t="array" ref="W166">Common_InputFunctions.Utility_DisplayArrayInTable(Fertiliser_SourceData.Fertiliser_Products_Data3(), FertiliserProducts[[#Headers],[Company]],61)</f>
        <v/>
      </c>
      <c r="X166" s="152" t="str" cm="1">
        <f t="array" ref="X166">Common_InputFunctions.Utility_DisplayArrayInTable(Fertiliser_SourceData.Fertiliser_Products_Data3(), FertiliserProducts[[#Headers],[Company]],61)</f>
        <v/>
      </c>
      <c r="Y166" s="152" t="str" cm="1">
        <f t="array" ref="Y166">Common_InputFunctions.Utility_DisplayArrayInTable(Fertiliser_SourceData.Fertiliser_Products_Data3(), FertiliserProducts[[#Headers],[Company]],61)</f>
        <v/>
      </c>
      <c r="Z166" s="152" t="str" cm="1">
        <f t="array" ref="Z166">Common_InputFunctions.Utility_DisplayArrayInTable(Fertiliser_SourceData.Fertiliser_Products_Data3(), FertiliserProducts[[#Headers],[Company]],61)</f>
        <v/>
      </c>
      <c r="AA166" s="152" t="str" cm="1">
        <f t="array" ref="AA166">Common_InputFunctions.Utility_DisplayArrayInTable(Fertiliser_SourceData.Fertiliser_Products_Data3(), FertiliserProducts[[#Headers],[Company]],61)</f>
        <v/>
      </c>
      <c r="AB166" s="152" t="str" cm="1">
        <f t="array" ref="AB166">Common_InputFunctions.Utility_DisplayArrayInTable(Fertiliser_SourceData.Fertiliser_Products_Data3(), FertiliserProducts[[#Headers],[Company]],61)</f>
        <v/>
      </c>
      <c r="AC166" s="152" t="str" cm="1">
        <f t="array" ref="AC166">Common_InputFunctions.Utility_DisplayArrayInTable(Fertiliser_SourceData.Fertiliser_Products_Data3(), FertiliserProducts[[#Headers],[Company]],61)</f>
        <v/>
      </c>
      <c r="AD166" s="152" t="str" cm="1">
        <f t="array" ref="AD166">Common_InputFunctions.Utility_DisplayArrayInTable(Fertiliser_SourceData.Fertiliser_Products_Data3(), FertiliserProducts[[#Headers],[Company]],61)</f>
        <v/>
      </c>
      <c r="AE166" s="152" t="str" cm="1">
        <f t="array" ref="AE166">Common_InputFunctions.Utility_DisplayArrayInTable(Fertiliser_SourceData.Fertiliser_Products_Data3(), FertiliserProducts[[#Headers],[Company]],61)</f>
        <v/>
      </c>
      <c r="AF166" s="152" t="str" cm="1">
        <f t="array" ref="AF166">Common_InputFunctions.Utility_DisplayArrayInTable(Fertiliser_SourceData.Fertiliser_Products_Data3(), FertiliserProducts[[#Headers],[Company]],61)</f>
        <v/>
      </c>
      <c r="AG166" s="152" t="str" cm="1">
        <f t="array" ref="AG166">Common_InputFunctions.Utility_DisplayArrayInTable(Fertiliser_SourceData.Fertiliser_Products_Data3(), FertiliserProducts[[#Headers],[Company]],61)</f>
        <v/>
      </c>
      <c r="AH166" s="152" t="str" cm="1">
        <f t="array" ref="AH166">Common_InputFunctions.Utility_DisplayArrayInTable(Fertiliser_SourceData.Fertiliser_Products_Data3(), FertiliserProducts[[#Headers],[Company]],61)</f>
        <v/>
      </c>
      <c r="AK166" s="1"/>
    </row>
    <row r="167" spans="4:37" ht="20.100000000000001" customHeight="1" x14ac:dyDescent="0.2">
      <c r="D167" s="152" t="str" cm="1">
        <f t="array" ref="D167">Common_InputFunctions.Utility_DisplayArrayInTable(Fertiliser_SourceData.Fertiliser_Products_Data3(), FertiliserProducts[[#Headers],[Company]],61)</f>
        <v>Nuturf</v>
      </c>
      <c r="E167" s="152" t="str" cm="1">
        <f t="array" ref="E167">Common_InputFunctions.Utility_DisplayArrayInTable(Fertiliser_SourceData.Fertiliser_Products_Data3(), FertiliserProducts[[#Headers],[Company]],61)</f>
        <v>MAP NUTURF</v>
      </c>
      <c r="F167" s="152" t="str" cm="1">
        <f t="array" ref="F167">Common_InputFunctions.Utility_DisplayArrayInTable(Fertiliser_SourceData.Fertiliser_Products_Data3(), FertiliserProducts[[#Headers],[Company]],61)</f>
        <v>kg</v>
      </c>
      <c r="G167" s="152" cm="1">
        <f t="array" ref="G167">Common_InputFunctions.Utility_DisplayArrayInTable(Fertiliser_SourceData.Fertiliser_Products_Data3(), FertiliserProducts[[#Headers],[Company]],61)</f>
        <v>1</v>
      </c>
      <c r="H167" s="152" t="str" cm="1">
        <f t="array" ref="H167">Common_InputFunctions.Utility_DisplayArrayInTable(Fertiliser_SourceData.Fertiliser_Products_Data3(), FertiliserProducts[[#Headers],[Company]],61)</f>
        <v/>
      </c>
      <c r="I167" s="152" t="str" cm="1">
        <f t="array" ref="I167">Common_InputFunctions.Utility_DisplayArrayInTable(Fertiliser_SourceData.Fertiliser_Products_Data3(), FertiliserProducts[[#Headers],[Company]],61)</f>
        <v/>
      </c>
      <c r="J167" s="152" t="str" cm="1">
        <f t="array" ref="J167">Common_InputFunctions.Utility_DisplayArrayInTable(Fertiliser_SourceData.Fertiliser_Products_Data3(), FertiliserProducts[[#Headers],[Company]],61)</f>
        <v/>
      </c>
      <c r="K167" s="152" cm="1">
        <f t="array" ref="K167">Common_InputFunctions.Utility_DisplayArrayInTable(Fertiliser_SourceData.Fertiliser_Products_Data3(), FertiliserProducts[[#Headers],[Company]],61)</f>
        <v>10</v>
      </c>
      <c r="L167" s="152" cm="1">
        <f t="array" ref="L167">Common_InputFunctions.Utility_DisplayArrayInTable(Fertiliser_SourceData.Fertiliser_Products_Data3(), FertiliserProducts[[#Headers],[Company]],61)</f>
        <v>21.9</v>
      </c>
      <c r="M167" s="152" t="str" cm="1">
        <f t="array" ref="M167">Common_InputFunctions.Utility_DisplayArrayInTable(Fertiliser_SourceData.Fertiliser_Products_Data3(), FertiliserProducts[[#Headers],[Company]],61)</f>
        <v/>
      </c>
      <c r="N167" s="152" t="str" cm="1">
        <f t="array" ref="N167">Common_InputFunctions.Utility_DisplayArrayInTable(Fertiliser_SourceData.Fertiliser_Products_Data3(), FertiliserProducts[[#Headers],[Company]],61)</f>
        <v/>
      </c>
      <c r="O167" s="152" t="str" cm="1">
        <f t="array" ref="O167">Common_InputFunctions.Utility_DisplayArrayInTable(Fertiliser_SourceData.Fertiliser_Products_Data3(), FertiliserProducts[[#Headers],[Company]],61)</f>
        <v>Monoammonium phosphate (MAP)</v>
      </c>
      <c r="P167" s="152" cm="1">
        <f t="array" ref="P167">Common_InputFunctions.Utility_DisplayArrayInTable(Fertiliser_SourceData.Fertiliser_Products_Data3(), FertiliserProducts[[#Headers],[Company]],61)</f>
        <v>1</v>
      </c>
      <c r="Q167" s="152" t="str" cm="1">
        <f t="array" ref="Q167">Common_InputFunctions.Utility_DisplayArrayInTable(Fertiliser_SourceData.Fertiliser_Products_Data3(), FertiliserProducts[[#Headers],[Company]],61)</f>
        <v/>
      </c>
      <c r="R167" s="152" t="str" cm="1">
        <f t="array" ref="R167">Common_InputFunctions.Utility_DisplayArrayInTable(Fertiliser_SourceData.Fertiliser_Products_Data3(), FertiliserProducts[[#Headers],[Company]],61)</f>
        <v/>
      </c>
      <c r="S167" s="152" t="str" cm="1">
        <f t="array" ref="S167">Common_InputFunctions.Utility_DisplayArrayInTable(Fertiliser_SourceData.Fertiliser_Products_Data3(), FertiliserProducts[[#Headers],[Company]],61)</f>
        <v/>
      </c>
      <c r="T167" s="152" t="str" cm="1">
        <f t="array" ref="T167">Common_InputFunctions.Utility_DisplayArrayInTable(Fertiliser_SourceData.Fertiliser_Products_Data3(), FertiliserProducts[[#Headers],[Company]],61)</f>
        <v/>
      </c>
      <c r="U167" s="152" t="str" cm="1">
        <f t="array" ref="U167">Common_InputFunctions.Utility_DisplayArrayInTable(Fertiliser_SourceData.Fertiliser_Products_Data3(), FertiliserProducts[[#Headers],[Company]],61)</f>
        <v/>
      </c>
      <c r="V167" s="152" t="str" cm="1">
        <f t="array" ref="V167">Common_InputFunctions.Utility_DisplayArrayInTable(Fertiliser_SourceData.Fertiliser_Products_Data3(), FertiliserProducts[[#Headers],[Company]],61)</f>
        <v/>
      </c>
      <c r="W167" s="152" t="str" cm="1">
        <f t="array" ref="W167">Common_InputFunctions.Utility_DisplayArrayInTable(Fertiliser_SourceData.Fertiliser_Products_Data3(), FertiliserProducts[[#Headers],[Company]],61)</f>
        <v/>
      </c>
      <c r="X167" s="152" t="str" cm="1">
        <f t="array" ref="X167">Common_InputFunctions.Utility_DisplayArrayInTable(Fertiliser_SourceData.Fertiliser_Products_Data3(), FertiliserProducts[[#Headers],[Company]],61)</f>
        <v/>
      </c>
      <c r="Y167" s="152" t="str" cm="1">
        <f t="array" ref="Y167">Common_InputFunctions.Utility_DisplayArrayInTable(Fertiliser_SourceData.Fertiliser_Products_Data3(), FertiliserProducts[[#Headers],[Company]],61)</f>
        <v/>
      </c>
      <c r="Z167" s="152" t="str" cm="1">
        <f t="array" ref="Z167">Common_InputFunctions.Utility_DisplayArrayInTable(Fertiliser_SourceData.Fertiliser_Products_Data3(), FertiliserProducts[[#Headers],[Company]],61)</f>
        <v/>
      </c>
      <c r="AA167" s="152" t="str" cm="1">
        <f t="array" ref="AA167">Common_InputFunctions.Utility_DisplayArrayInTable(Fertiliser_SourceData.Fertiliser_Products_Data3(), FertiliserProducts[[#Headers],[Company]],61)</f>
        <v/>
      </c>
      <c r="AB167" s="152" t="str" cm="1">
        <f t="array" ref="AB167">Common_InputFunctions.Utility_DisplayArrayInTable(Fertiliser_SourceData.Fertiliser_Products_Data3(), FertiliserProducts[[#Headers],[Company]],61)</f>
        <v/>
      </c>
      <c r="AC167" s="152" t="str" cm="1">
        <f t="array" ref="AC167">Common_InputFunctions.Utility_DisplayArrayInTable(Fertiliser_SourceData.Fertiliser_Products_Data3(), FertiliserProducts[[#Headers],[Company]],61)</f>
        <v/>
      </c>
      <c r="AD167" s="152" t="str" cm="1">
        <f t="array" ref="AD167">Common_InputFunctions.Utility_DisplayArrayInTable(Fertiliser_SourceData.Fertiliser_Products_Data3(), FertiliserProducts[[#Headers],[Company]],61)</f>
        <v/>
      </c>
      <c r="AE167" s="152" t="str" cm="1">
        <f t="array" ref="AE167">Common_InputFunctions.Utility_DisplayArrayInTable(Fertiliser_SourceData.Fertiliser_Products_Data3(), FertiliserProducts[[#Headers],[Company]],61)</f>
        <v/>
      </c>
      <c r="AF167" s="152" t="str" cm="1">
        <f t="array" ref="AF167">Common_InputFunctions.Utility_DisplayArrayInTable(Fertiliser_SourceData.Fertiliser_Products_Data3(), FertiliserProducts[[#Headers],[Company]],61)</f>
        <v/>
      </c>
      <c r="AG167" s="152" t="str" cm="1">
        <f t="array" ref="AG167">Common_InputFunctions.Utility_DisplayArrayInTable(Fertiliser_SourceData.Fertiliser_Products_Data3(), FertiliserProducts[[#Headers],[Company]],61)</f>
        <v/>
      </c>
      <c r="AH167" s="152" t="str" cm="1">
        <f t="array" ref="AH167">Common_InputFunctions.Utility_DisplayArrayInTable(Fertiliser_SourceData.Fertiliser_Products_Data3(), FertiliserProducts[[#Headers],[Company]],61)</f>
        <v/>
      </c>
      <c r="AK167" s="1"/>
    </row>
    <row r="168" spans="4:37" ht="20.100000000000001" customHeight="1" x14ac:dyDescent="0.2">
      <c r="D168" s="152" t="str" cm="1">
        <f t="array" ref="D168">Common_InputFunctions.Utility_DisplayArrayInTable(Fertiliser_SourceData.Fertiliser_Products_Data3(), FertiliserProducts[[#Headers],[Company]],61)</f>
        <v>Campbells fertilisers Australia</v>
      </c>
      <c r="E168" s="152" t="str" cm="1">
        <f t="array" ref="E168">Common_InputFunctions.Utility_DisplayArrayInTable(Fertiliser_SourceData.Fertiliser_Products_Data3(), FertiliserProducts[[#Headers],[Company]],61)</f>
        <v>Quick-N</v>
      </c>
      <c r="F168" s="152" t="str" cm="1">
        <f t="array" ref="F168">Common_InputFunctions.Utility_DisplayArrayInTable(Fertiliser_SourceData.Fertiliser_Products_Data3(), FertiliserProducts[[#Headers],[Company]],61)</f>
        <v>kg</v>
      </c>
      <c r="G168" s="152" cm="1">
        <f t="array" ref="G168">Common_InputFunctions.Utility_DisplayArrayInTable(Fertiliser_SourceData.Fertiliser_Products_Data3(), FertiliserProducts[[#Headers],[Company]],61)</f>
        <v>1</v>
      </c>
      <c r="H168" s="152" t="str" cm="1">
        <f t="array" ref="H168">Common_InputFunctions.Utility_DisplayArrayInTable(Fertiliser_SourceData.Fertiliser_Products_Data3(), FertiliserProducts[[#Headers],[Company]],61)</f>
        <v/>
      </c>
      <c r="I168" s="152" t="str" cm="1">
        <f t="array" ref="I168">Common_InputFunctions.Utility_DisplayArrayInTable(Fertiliser_SourceData.Fertiliser_Products_Data3(), FertiliserProducts[[#Headers],[Company]],61)</f>
        <v/>
      </c>
      <c r="J168" s="152" t="str" cm="1">
        <f t="array" ref="J168">Common_InputFunctions.Utility_DisplayArrayInTable(Fertiliser_SourceData.Fertiliser_Products_Data3(), FertiliserProducts[[#Headers],[Company]],61)</f>
        <v/>
      </c>
      <c r="K168" s="152" cm="1">
        <f t="array" ref="K168">Common_InputFunctions.Utility_DisplayArrayInTable(Fertiliser_SourceData.Fertiliser_Products_Data3(), FertiliserProducts[[#Headers],[Company]],61)</f>
        <v>26</v>
      </c>
      <c r="L168" s="152" t="str" cm="1">
        <f t="array" ref="L168">Common_InputFunctions.Utility_DisplayArrayInTable(Fertiliser_SourceData.Fertiliser_Products_Data3(), FertiliserProducts[[#Headers],[Company]],61)</f>
        <v/>
      </c>
      <c r="M168" s="152" t="str" cm="1">
        <f t="array" ref="M168">Common_InputFunctions.Utility_DisplayArrayInTable(Fertiliser_SourceData.Fertiliser_Products_Data3(), FertiliserProducts[[#Headers],[Company]],61)</f>
        <v/>
      </c>
      <c r="N168" s="152" cm="1">
        <f t="array" ref="N168">Common_InputFunctions.Utility_DisplayArrayInTable(Fertiliser_SourceData.Fertiliser_Products_Data3(), FertiliserProducts[[#Headers],[Company]],61)</f>
        <v>13</v>
      </c>
      <c r="O168" s="152" t="str" cm="1">
        <f t="array" ref="O168">Common_InputFunctions.Utility_DisplayArrayInTable(Fertiliser_SourceData.Fertiliser_Products_Data3(), FertiliserProducts[[#Headers],[Company]],61)</f>
        <v>Sulphate of ammonia (SOA)</v>
      </c>
      <c r="P168" s="152" cm="1">
        <f t="array" ref="P168">Common_InputFunctions.Utility_DisplayArrayInTable(Fertiliser_SourceData.Fertiliser_Products_Data3(), FertiliserProducts[[#Headers],[Company]],61)</f>
        <v>0.54166700000000001</v>
      </c>
      <c r="Q168" s="152" t="str" cm="1">
        <f t="array" ref="Q168">Common_InputFunctions.Utility_DisplayArrayInTable(Fertiliser_SourceData.Fertiliser_Products_Data3(), FertiliserProducts[[#Headers],[Company]],61)</f>
        <v>Ammonium nitrate (AN)</v>
      </c>
      <c r="R168" s="152" cm="1">
        <f t="array" ref="R168">Common_InputFunctions.Utility_DisplayArrayInTable(Fertiliser_SourceData.Fertiliser_Products_Data3(), FertiliserProducts[[#Headers],[Company]],61)</f>
        <v>0.43397599999999997</v>
      </c>
      <c r="S168" s="152" t="str" cm="1">
        <f t="array" ref="S168">Common_InputFunctions.Utility_DisplayArrayInTable(Fertiliser_SourceData.Fertiliser_Products_Data3(), FertiliserProducts[[#Headers],[Company]],61)</f>
        <v/>
      </c>
      <c r="T168" s="152" t="str" cm="1">
        <f t="array" ref="T168">Common_InputFunctions.Utility_DisplayArrayInTable(Fertiliser_SourceData.Fertiliser_Products_Data3(), FertiliserProducts[[#Headers],[Company]],61)</f>
        <v/>
      </c>
      <c r="U168" s="152" t="str" cm="1">
        <f t="array" ref="U168">Common_InputFunctions.Utility_DisplayArrayInTable(Fertiliser_SourceData.Fertiliser_Products_Data3(), FertiliserProducts[[#Headers],[Company]],61)</f>
        <v/>
      </c>
      <c r="V168" s="152" t="str" cm="1">
        <f t="array" ref="V168">Common_InputFunctions.Utility_DisplayArrayInTable(Fertiliser_SourceData.Fertiliser_Products_Data3(), FertiliserProducts[[#Headers],[Company]],61)</f>
        <v/>
      </c>
      <c r="W168" s="152" t="str" cm="1">
        <f t="array" ref="W168">Common_InputFunctions.Utility_DisplayArrayInTable(Fertiliser_SourceData.Fertiliser_Products_Data3(), FertiliserProducts[[#Headers],[Company]],61)</f>
        <v/>
      </c>
      <c r="X168" s="152" t="str" cm="1">
        <f t="array" ref="X168">Common_InputFunctions.Utility_DisplayArrayInTable(Fertiliser_SourceData.Fertiliser_Products_Data3(), FertiliserProducts[[#Headers],[Company]],61)</f>
        <v/>
      </c>
      <c r="Y168" s="152" t="str" cm="1">
        <f t="array" ref="Y168">Common_InputFunctions.Utility_DisplayArrayInTable(Fertiliser_SourceData.Fertiliser_Products_Data3(), FertiliserProducts[[#Headers],[Company]],61)</f>
        <v/>
      </c>
      <c r="Z168" s="152" t="str" cm="1">
        <f t="array" ref="Z168">Common_InputFunctions.Utility_DisplayArrayInTable(Fertiliser_SourceData.Fertiliser_Products_Data3(), FertiliserProducts[[#Headers],[Company]],61)</f>
        <v/>
      </c>
      <c r="AA168" s="152" t="str" cm="1">
        <f t="array" ref="AA168">Common_InputFunctions.Utility_DisplayArrayInTable(Fertiliser_SourceData.Fertiliser_Products_Data3(), FertiliserProducts[[#Headers],[Company]],61)</f>
        <v/>
      </c>
      <c r="AB168" s="152" t="str" cm="1">
        <f t="array" ref="AB168">Common_InputFunctions.Utility_DisplayArrayInTable(Fertiliser_SourceData.Fertiliser_Products_Data3(), FertiliserProducts[[#Headers],[Company]],61)</f>
        <v/>
      </c>
      <c r="AC168" s="152" t="str" cm="1">
        <f t="array" ref="AC168">Common_InputFunctions.Utility_DisplayArrayInTable(Fertiliser_SourceData.Fertiliser_Products_Data3(), FertiliserProducts[[#Headers],[Company]],61)</f>
        <v/>
      </c>
      <c r="AD168" s="152" t="str" cm="1">
        <f t="array" ref="AD168">Common_InputFunctions.Utility_DisplayArrayInTable(Fertiliser_SourceData.Fertiliser_Products_Data3(), FertiliserProducts[[#Headers],[Company]],61)</f>
        <v/>
      </c>
      <c r="AE168" s="152" t="str" cm="1">
        <f t="array" ref="AE168">Common_InputFunctions.Utility_DisplayArrayInTable(Fertiliser_SourceData.Fertiliser_Products_Data3(), FertiliserProducts[[#Headers],[Company]],61)</f>
        <v/>
      </c>
      <c r="AF168" s="152" t="str" cm="1">
        <f t="array" ref="AF168">Common_InputFunctions.Utility_DisplayArrayInTable(Fertiliser_SourceData.Fertiliser_Products_Data3(), FertiliserProducts[[#Headers],[Company]],61)</f>
        <v/>
      </c>
      <c r="AG168" s="152" t="str" cm="1">
        <f t="array" ref="AG168">Common_InputFunctions.Utility_DisplayArrayInTable(Fertiliser_SourceData.Fertiliser_Products_Data3(), FertiliserProducts[[#Headers],[Company]],61)</f>
        <v/>
      </c>
      <c r="AH168" s="152" t="str" cm="1">
        <f t="array" ref="AH168">Common_InputFunctions.Utility_DisplayArrayInTable(Fertiliser_SourceData.Fertiliser_Products_Data3(), FertiliserProducts[[#Headers],[Company]],61)</f>
        <v/>
      </c>
      <c r="AK168" s="1"/>
    </row>
    <row r="169" spans="4:37" ht="20.100000000000001" customHeight="1" x14ac:dyDescent="0.2">
      <c r="D169" s="152" t="str" cm="1">
        <f t="array" ref="D169">Common_InputFunctions.Utility_DisplayArrayInTable(Fertiliser_SourceData.Fertiliser_Products_Data3(), FertiliserProducts[[#Headers],[Company]],61)</f>
        <v>SLTEC Fertilizers</v>
      </c>
      <c r="E169" s="152" t="str" cm="1">
        <f t="array" ref="E169">Common_InputFunctions.Utility_DisplayArrayInTable(Fertiliser_SourceData.Fertiliser_Products_Data3(), FertiliserProducts[[#Headers],[Company]],61)</f>
        <v>UAS</v>
      </c>
      <c r="F169" s="152" t="str" cm="1">
        <f t="array" ref="F169">Common_InputFunctions.Utility_DisplayArrayInTable(Fertiliser_SourceData.Fertiliser_Products_Data3(), FertiliserProducts[[#Headers],[Company]],61)</f>
        <v>L</v>
      </c>
      <c r="G169" s="152" cm="1">
        <f t="array" ref="G169">Common_InputFunctions.Utility_DisplayArrayInTable(Fertiliser_SourceData.Fertiliser_Products_Data3(), FertiliserProducts[[#Headers],[Company]],61)</f>
        <v>1.2350000000000001</v>
      </c>
      <c r="H169" s="152" t="str" cm="1">
        <f t="array" ref="H169">Common_InputFunctions.Utility_DisplayArrayInTable(Fertiliser_SourceData.Fertiliser_Products_Data3(), FertiliserProducts[[#Headers],[Company]],61)</f>
        <v/>
      </c>
      <c r="I169" s="152" t="str" cm="1">
        <f t="array" ref="I169">Common_InputFunctions.Utility_DisplayArrayInTable(Fertiliser_SourceData.Fertiliser_Products_Data3(), FertiliserProducts[[#Headers],[Company]],61)</f>
        <v/>
      </c>
      <c r="J169" s="152" t="str" cm="1">
        <f t="array" ref="J169">Common_InputFunctions.Utility_DisplayArrayInTable(Fertiliser_SourceData.Fertiliser_Products_Data3(), FertiliserProducts[[#Headers],[Company]],61)</f>
        <v/>
      </c>
      <c r="K169" s="152" cm="1">
        <f t="array" ref="K169">Common_InputFunctions.Utility_DisplayArrayInTable(Fertiliser_SourceData.Fertiliser_Products_Data3(), FertiliserProducts[[#Headers],[Company]],61)</f>
        <v>26.6</v>
      </c>
      <c r="L169" s="152" t="str" cm="1">
        <f t="array" ref="L169">Common_InputFunctions.Utility_DisplayArrayInTable(Fertiliser_SourceData.Fertiliser_Products_Data3(), FertiliserProducts[[#Headers],[Company]],61)</f>
        <v/>
      </c>
      <c r="M169" s="152" t="str" cm="1">
        <f t="array" ref="M169">Common_InputFunctions.Utility_DisplayArrayInTable(Fertiliser_SourceData.Fertiliser_Products_Data3(), FertiliserProducts[[#Headers],[Company]],61)</f>
        <v/>
      </c>
      <c r="N169" s="152" cm="1">
        <f t="array" ref="N169">Common_InputFunctions.Utility_DisplayArrayInTable(Fertiliser_SourceData.Fertiliser_Products_Data3(), FertiliserProducts[[#Headers],[Company]],61)</f>
        <v>6.7</v>
      </c>
      <c r="O169" s="152" t="str" cm="1">
        <f t="array" ref="O169">Common_InputFunctions.Utility_DisplayArrayInTable(Fertiliser_SourceData.Fertiliser_Products_Data3(), FertiliserProducts[[#Headers],[Company]],61)</f>
        <v>Urea</v>
      </c>
      <c r="P169" s="152" cm="1">
        <f t="array" ref="P169">Common_InputFunctions.Utility_DisplayArrayInTable(Fertiliser_SourceData.Fertiliser_Products_Data3(), FertiliserProducts[[#Headers],[Company]],61)</f>
        <v>0.45081500000000002</v>
      </c>
      <c r="Q169" s="152" t="str" cm="1">
        <f t="array" ref="Q169">Common_InputFunctions.Utility_DisplayArrayInTable(Fertiliser_SourceData.Fertiliser_Products_Data3(), FertiliserProducts[[#Headers],[Company]],61)</f>
        <v>Sulphate of ammonia (SOA)</v>
      </c>
      <c r="R169" s="152" cm="1">
        <f t="array" ref="R169">Common_InputFunctions.Utility_DisplayArrayInTable(Fertiliser_SourceData.Fertiliser_Products_Data3(), FertiliserProducts[[#Headers],[Company]],61)</f>
        <v>0.279167</v>
      </c>
      <c r="S169" s="152" t="str" cm="1">
        <f t="array" ref="S169">Common_InputFunctions.Utility_DisplayArrayInTable(Fertiliser_SourceData.Fertiliser_Products_Data3(), FertiliserProducts[[#Headers],[Company]],61)</f>
        <v/>
      </c>
      <c r="T169" s="152" t="str" cm="1">
        <f t="array" ref="T169">Common_InputFunctions.Utility_DisplayArrayInTable(Fertiliser_SourceData.Fertiliser_Products_Data3(), FertiliserProducts[[#Headers],[Company]],61)</f>
        <v/>
      </c>
      <c r="U169" s="152" t="str" cm="1">
        <f t="array" ref="U169">Common_InputFunctions.Utility_DisplayArrayInTable(Fertiliser_SourceData.Fertiliser_Products_Data3(), FertiliserProducts[[#Headers],[Company]],61)</f>
        <v/>
      </c>
      <c r="V169" s="152" t="str" cm="1">
        <f t="array" ref="V169">Common_InputFunctions.Utility_DisplayArrayInTable(Fertiliser_SourceData.Fertiliser_Products_Data3(), FertiliserProducts[[#Headers],[Company]],61)</f>
        <v/>
      </c>
      <c r="W169" s="152" t="str" cm="1">
        <f t="array" ref="W169">Common_InputFunctions.Utility_DisplayArrayInTable(Fertiliser_SourceData.Fertiliser_Products_Data3(), FertiliserProducts[[#Headers],[Company]],61)</f>
        <v/>
      </c>
      <c r="X169" s="152" t="str" cm="1">
        <f t="array" ref="X169">Common_InputFunctions.Utility_DisplayArrayInTable(Fertiliser_SourceData.Fertiliser_Products_Data3(), FertiliserProducts[[#Headers],[Company]],61)</f>
        <v/>
      </c>
      <c r="Y169" s="152" t="str" cm="1">
        <f t="array" ref="Y169">Common_InputFunctions.Utility_DisplayArrayInTable(Fertiliser_SourceData.Fertiliser_Products_Data3(), FertiliserProducts[[#Headers],[Company]],61)</f>
        <v/>
      </c>
      <c r="Z169" s="152" t="str" cm="1">
        <f t="array" ref="Z169">Common_InputFunctions.Utility_DisplayArrayInTable(Fertiliser_SourceData.Fertiliser_Products_Data3(), FertiliserProducts[[#Headers],[Company]],61)</f>
        <v/>
      </c>
      <c r="AA169" s="152" t="str" cm="1">
        <f t="array" ref="AA169">Common_InputFunctions.Utility_DisplayArrayInTable(Fertiliser_SourceData.Fertiliser_Products_Data3(), FertiliserProducts[[#Headers],[Company]],61)</f>
        <v/>
      </c>
      <c r="AB169" s="152" t="str" cm="1">
        <f t="array" ref="AB169">Common_InputFunctions.Utility_DisplayArrayInTable(Fertiliser_SourceData.Fertiliser_Products_Data3(), FertiliserProducts[[#Headers],[Company]],61)</f>
        <v/>
      </c>
      <c r="AC169" s="152" t="str" cm="1">
        <f t="array" ref="AC169">Common_InputFunctions.Utility_DisplayArrayInTable(Fertiliser_SourceData.Fertiliser_Products_Data3(), FertiliserProducts[[#Headers],[Company]],61)</f>
        <v/>
      </c>
      <c r="AD169" s="152" t="str" cm="1">
        <f t="array" ref="AD169">Common_InputFunctions.Utility_DisplayArrayInTable(Fertiliser_SourceData.Fertiliser_Products_Data3(), FertiliserProducts[[#Headers],[Company]],61)</f>
        <v/>
      </c>
      <c r="AE169" s="152" t="str" cm="1">
        <f t="array" ref="AE169">Common_InputFunctions.Utility_DisplayArrayInTable(Fertiliser_SourceData.Fertiliser_Products_Data3(), FertiliserProducts[[#Headers],[Company]],61)</f>
        <v/>
      </c>
      <c r="AF169" s="152" t="str" cm="1">
        <f t="array" ref="AF169">Common_InputFunctions.Utility_DisplayArrayInTable(Fertiliser_SourceData.Fertiliser_Products_Data3(), FertiliserProducts[[#Headers],[Company]],61)</f>
        <v/>
      </c>
      <c r="AG169" s="152" t="str" cm="1">
        <f t="array" ref="AG169">Common_InputFunctions.Utility_DisplayArrayInTable(Fertiliser_SourceData.Fertiliser_Products_Data3(), FertiliserProducts[[#Headers],[Company]],61)</f>
        <v/>
      </c>
      <c r="AH169" s="152" t="str" cm="1">
        <f t="array" ref="AH169">Common_InputFunctions.Utility_DisplayArrayInTable(Fertiliser_SourceData.Fertiliser_Products_Data3(), FertiliserProducts[[#Headers],[Company]],61)</f>
        <v/>
      </c>
      <c r="AK169" s="1"/>
    </row>
    <row r="170" spans="4:37" ht="20.100000000000001" customHeight="1" x14ac:dyDescent="0.2">
      <c r="D170" s="152" t="str" cm="1">
        <f t="array" ref="D170">Common_InputFunctions.Utility_DisplayArrayInTable(Fertiliser_SourceData.Fertiliser_Products_Data3(), FertiliserProducts[[#Headers],[Company]],61)</f>
        <v>SLTEC Fertilizers</v>
      </c>
      <c r="E170" s="152" t="str" cm="1">
        <f t="array" ref="E170">Common_InputFunctions.Utility_DisplayArrayInTable(Fertiliser_SourceData.Fertiliser_Products_Data3(), FertiliserProducts[[#Headers],[Company]],61)</f>
        <v>Triazone Urea</v>
      </c>
      <c r="F170" s="152" t="str" cm="1">
        <f t="array" ref="F170">Common_InputFunctions.Utility_DisplayArrayInTable(Fertiliser_SourceData.Fertiliser_Products_Data3(), FertiliserProducts[[#Headers],[Company]],61)</f>
        <v>L</v>
      </c>
      <c r="G170" s="152" cm="1">
        <f t="array" ref="G170">Common_InputFunctions.Utility_DisplayArrayInTable(Fertiliser_SourceData.Fertiliser_Products_Data3(), FertiliserProducts[[#Headers],[Company]],61)</f>
        <v>1.28</v>
      </c>
      <c r="H170" s="152" t="str" cm="1">
        <f t="array" ref="H170">Common_InputFunctions.Utility_DisplayArrayInTable(Fertiliser_SourceData.Fertiliser_Products_Data3(), FertiliserProducts[[#Headers],[Company]],61)</f>
        <v/>
      </c>
      <c r="I170" s="152" t="str" cm="1">
        <f t="array" ref="I170">Common_InputFunctions.Utility_DisplayArrayInTable(Fertiliser_SourceData.Fertiliser_Products_Data3(), FertiliserProducts[[#Headers],[Company]],61)</f>
        <v/>
      </c>
      <c r="J170" s="152" t="str" cm="1">
        <f t="array" ref="J170">Common_InputFunctions.Utility_DisplayArrayInTable(Fertiliser_SourceData.Fertiliser_Products_Data3(), FertiliserProducts[[#Headers],[Company]],61)</f>
        <v/>
      </c>
      <c r="K170" s="152" cm="1">
        <f t="array" ref="K170">Common_InputFunctions.Utility_DisplayArrayInTable(Fertiliser_SourceData.Fertiliser_Products_Data3(), FertiliserProducts[[#Headers],[Company]],61)</f>
        <v>0</v>
      </c>
      <c r="L170" s="152" t="str" cm="1">
        <f t="array" ref="L170">Common_InputFunctions.Utility_DisplayArrayInTable(Fertiliser_SourceData.Fertiliser_Products_Data3(), FertiliserProducts[[#Headers],[Company]],61)</f>
        <v/>
      </c>
      <c r="M170" s="152" t="str" cm="1">
        <f t="array" ref="M170">Common_InputFunctions.Utility_DisplayArrayInTable(Fertiliser_SourceData.Fertiliser_Products_Data3(), FertiliserProducts[[#Headers],[Company]],61)</f>
        <v/>
      </c>
      <c r="N170" s="152" t="str" cm="1">
        <f t="array" ref="N170">Common_InputFunctions.Utility_DisplayArrayInTable(Fertiliser_SourceData.Fertiliser_Products_Data3(), FertiliserProducts[[#Headers],[Company]],61)</f>
        <v/>
      </c>
      <c r="O170" s="152" t="str" cm="1">
        <f t="array" ref="O170">Common_InputFunctions.Utility_DisplayArrayInTable(Fertiliser_SourceData.Fertiliser_Products_Data3(), FertiliserProducts[[#Headers],[Company]],61)</f>
        <v>Urea</v>
      </c>
      <c r="P170" s="152" cm="1">
        <f t="array" ref="P170">Common_InputFunctions.Utility_DisplayArrayInTable(Fertiliser_SourceData.Fertiliser_Products_Data3(), FertiliserProducts[[#Headers],[Company]],61)</f>
        <v>0.65217400000000003</v>
      </c>
      <c r="Q170" s="152" t="str" cm="1">
        <f t="array" ref="Q170">Common_InputFunctions.Utility_DisplayArrayInTable(Fertiliser_SourceData.Fertiliser_Products_Data3(), FertiliserProducts[[#Headers],[Company]],61)</f>
        <v/>
      </c>
      <c r="R170" s="152" t="str" cm="1">
        <f t="array" ref="R170">Common_InputFunctions.Utility_DisplayArrayInTable(Fertiliser_SourceData.Fertiliser_Products_Data3(), FertiliserProducts[[#Headers],[Company]],61)</f>
        <v/>
      </c>
      <c r="S170" s="152" t="str" cm="1">
        <f t="array" ref="S170">Common_InputFunctions.Utility_DisplayArrayInTable(Fertiliser_SourceData.Fertiliser_Products_Data3(), FertiliserProducts[[#Headers],[Company]],61)</f>
        <v/>
      </c>
      <c r="T170" s="152" t="str" cm="1">
        <f t="array" ref="T170">Common_InputFunctions.Utility_DisplayArrayInTable(Fertiliser_SourceData.Fertiliser_Products_Data3(), FertiliserProducts[[#Headers],[Company]],61)</f>
        <v/>
      </c>
      <c r="U170" s="152" t="str" cm="1">
        <f t="array" ref="U170">Common_InputFunctions.Utility_DisplayArrayInTable(Fertiliser_SourceData.Fertiliser_Products_Data3(), FertiliserProducts[[#Headers],[Company]],61)</f>
        <v/>
      </c>
      <c r="V170" s="152" t="str" cm="1">
        <f t="array" ref="V170">Common_InputFunctions.Utility_DisplayArrayInTable(Fertiliser_SourceData.Fertiliser_Products_Data3(), FertiliserProducts[[#Headers],[Company]],61)</f>
        <v/>
      </c>
      <c r="W170" s="152" t="str" cm="1">
        <f t="array" ref="W170">Common_InputFunctions.Utility_DisplayArrayInTable(Fertiliser_SourceData.Fertiliser_Products_Data3(), FertiliserProducts[[#Headers],[Company]],61)</f>
        <v/>
      </c>
      <c r="X170" s="152" t="str" cm="1">
        <f t="array" ref="X170">Common_InputFunctions.Utility_DisplayArrayInTable(Fertiliser_SourceData.Fertiliser_Products_Data3(), FertiliserProducts[[#Headers],[Company]],61)</f>
        <v/>
      </c>
      <c r="Y170" s="152" t="str" cm="1">
        <f t="array" ref="Y170">Common_InputFunctions.Utility_DisplayArrayInTable(Fertiliser_SourceData.Fertiliser_Products_Data3(), FertiliserProducts[[#Headers],[Company]],61)</f>
        <v/>
      </c>
      <c r="Z170" s="152" t="str" cm="1">
        <f t="array" ref="Z170">Common_InputFunctions.Utility_DisplayArrayInTable(Fertiliser_SourceData.Fertiliser_Products_Data3(), FertiliserProducts[[#Headers],[Company]],61)</f>
        <v/>
      </c>
      <c r="AA170" s="152" t="str" cm="1">
        <f t="array" ref="AA170">Common_InputFunctions.Utility_DisplayArrayInTable(Fertiliser_SourceData.Fertiliser_Products_Data3(), FertiliserProducts[[#Headers],[Company]],61)</f>
        <v/>
      </c>
      <c r="AB170" s="152" t="str" cm="1">
        <f t="array" ref="AB170">Common_InputFunctions.Utility_DisplayArrayInTable(Fertiliser_SourceData.Fertiliser_Products_Data3(), FertiliserProducts[[#Headers],[Company]],61)</f>
        <v/>
      </c>
      <c r="AC170" s="152" t="str" cm="1">
        <f t="array" ref="AC170">Common_InputFunctions.Utility_DisplayArrayInTable(Fertiliser_SourceData.Fertiliser_Products_Data3(), FertiliserProducts[[#Headers],[Company]],61)</f>
        <v/>
      </c>
      <c r="AD170" s="152" t="str" cm="1">
        <f t="array" ref="AD170">Common_InputFunctions.Utility_DisplayArrayInTable(Fertiliser_SourceData.Fertiliser_Products_Data3(), FertiliserProducts[[#Headers],[Company]],61)</f>
        <v/>
      </c>
      <c r="AE170" s="152" t="str" cm="1">
        <f t="array" ref="AE170">Common_InputFunctions.Utility_DisplayArrayInTable(Fertiliser_SourceData.Fertiliser_Products_Data3(), FertiliserProducts[[#Headers],[Company]],61)</f>
        <v/>
      </c>
      <c r="AF170" s="152" t="str" cm="1">
        <f t="array" ref="AF170">Common_InputFunctions.Utility_DisplayArrayInTable(Fertiliser_SourceData.Fertiliser_Products_Data3(), FertiliserProducts[[#Headers],[Company]],61)</f>
        <v/>
      </c>
      <c r="AG170" s="152" t="str" cm="1">
        <f t="array" ref="AG170">Common_InputFunctions.Utility_DisplayArrayInTable(Fertiliser_SourceData.Fertiliser_Products_Data3(), FertiliserProducts[[#Headers],[Company]],61)</f>
        <v/>
      </c>
      <c r="AH170" s="152" t="str" cm="1">
        <f t="array" ref="AH170">Common_InputFunctions.Utility_DisplayArrayInTable(Fertiliser_SourceData.Fertiliser_Products_Data3(), FertiliserProducts[[#Headers],[Company]],61)</f>
        <v/>
      </c>
      <c r="AK170" s="1"/>
    </row>
    <row r="171" spans="4:37" ht="20.100000000000001" customHeight="1" x14ac:dyDescent="0.2">
      <c r="D171" s="152" t="str" cm="1">
        <f t="array" ref="D171">Common_InputFunctions.Utility_DisplayArrayInTable(Fertiliser_SourceData.Fertiliser_Products_Data3(), FertiliserProducts[[#Headers],[Company]],61)</f>
        <v>Marnco [listed as SLTEC]</v>
      </c>
      <c r="E171" s="152" t="str" cm="1">
        <f t="array" ref="E171">Common_InputFunctions.Utility_DisplayArrayInTable(Fertiliser_SourceData.Fertiliser_Products_Data3(), FertiliserProducts[[#Headers],[Company]],61)</f>
        <v>Ammo 36N</v>
      </c>
      <c r="F171" s="152" t="str" cm="1">
        <f t="array" ref="F171">Common_InputFunctions.Utility_DisplayArrayInTable(Fertiliser_SourceData.Fertiliser_Products_Data3(), FertiliserProducts[[#Headers],[Company]],61)</f>
        <v>kg</v>
      </c>
      <c r="G171" s="152" cm="1">
        <f t="array" ref="G171">Common_InputFunctions.Utility_DisplayArrayInTable(Fertiliser_SourceData.Fertiliser_Products_Data3(), FertiliserProducts[[#Headers],[Company]],61)</f>
        <v>1</v>
      </c>
      <c r="H171" s="152" t="str" cm="1">
        <f t="array" ref="H171">Common_InputFunctions.Utility_DisplayArrayInTable(Fertiliser_SourceData.Fertiliser_Products_Data3(), FertiliserProducts[[#Headers],[Company]],61)</f>
        <v/>
      </c>
      <c r="I171" s="152" t="str" cm="1">
        <f t="array" ref="I171">Common_InputFunctions.Utility_DisplayArrayInTable(Fertiliser_SourceData.Fertiliser_Products_Data3(), FertiliserProducts[[#Headers],[Company]],61)</f>
        <v/>
      </c>
      <c r="J171" s="152" t="str" cm="1">
        <f t="array" ref="J171">Common_InputFunctions.Utility_DisplayArrayInTable(Fertiliser_SourceData.Fertiliser_Products_Data3(), FertiliserProducts[[#Headers],[Company]],61)</f>
        <v/>
      </c>
      <c r="K171" s="152" cm="1">
        <f t="array" ref="K171">Common_InputFunctions.Utility_DisplayArrayInTable(Fertiliser_SourceData.Fertiliser_Products_Data3(), FertiliserProducts[[#Headers],[Company]],61)</f>
        <v>36</v>
      </c>
      <c r="L171" s="152" t="str" cm="1">
        <f t="array" ref="L171">Common_InputFunctions.Utility_DisplayArrayInTable(Fertiliser_SourceData.Fertiliser_Products_Data3(), FertiliserProducts[[#Headers],[Company]],61)</f>
        <v/>
      </c>
      <c r="M171" s="152" t="str" cm="1">
        <f t="array" ref="M171">Common_InputFunctions.Utility_DisplayArrayInTable(Fertiliser_SourceData.Fertiliser_Products_Data3(), FertiliserProducts[[#Headers],[Company]],61)</f>
        <v/>
      </c>
      <c r="N171" s="152" cm="1">
        <f t="array" ref="N171">Common_InputFunctions.Utility_DisplayArrayInTable(Fertiliser_SourceData.Fertiliser_Products_Data3(), FertiliserProducts[[#Headers],[Company]],61)</f>
        <v>9.6</v>
      </c>
      <c r="O171" s="152" t="str" cm="1">
        <f t="array" ref="O171">Common_InputFunctions.Utility_DisplayArrayInTable(Fertiliser_SourceData.Fertiliser_Products_Data3(), FertiliserProducts[[#Headers],[Company]],61)</f>
        <v>Nitrogen - Generic</v>
      </c>
      <c r="P171" s="152" cm="1">
        <f t="array" ref="P171">Common_InputFunctions.Utility_DisplayArrayInTable(Fertiliser_SourceData.Fertiliser_Products_Data3(), FertiliserProducts[[#Headers],[Company]],61)</f>
        <v>0.36</v>
      </c>
      <c r="Q171" s="152" t="str" cm="1">
        <f t="array" ref="Q171">Common_InputFunctions.Utility_DisplayArrayInTable(Fertiliser_SourceData.Fertiliser_Products_Data3(), FertiliserProducts[[#Headers],[Company]],61)</f>
        <v>Sulfur - Generic</v>
      </c>
      <c r="R171" s="152" cm="1">
        <f t="array" ref="R171">Common_InputFunctions.Utility_DisplayArrayInTable(Fertiliser_SourceData.Fertiliser_Products_Data3(), FertiliserProducts[[#Headers],[Company]],61)</f>
        <v>9.6000000000000002E-2</v>
      </c>
      <c r="S171" s="152" t="str" cm="1">
        <f t="array" ref="S171">Common_InputFunctions.Utility_DisplayArrayInTable(Fertiliser_SourceData.Fertiliser_Products_Data3(), FertiliserProducts[[#Headers],[Company]],61)</f>
        <v/>
      </c>
      <c r="T171" s="152" t="str" cm="1">
        <f t="array" ref="T171">Common_InputFunctions.Utility_DisplayArrayInTable(Fertiliser_SourceData.Fertiliser_Products_Data3(), FertiliserProducts[[#Headers],[Company]],61)</f>
        <v/>
      </c>
      <c r="U171" s="152" t="str" cm="1">
        <f t="array" ref="U171">Common_InputFunctions.Utility_DisplayArrayInTable(Fertiliser_SourceData.Fertiliser_Products_Data3(), FertiliserProducts[[#Headers],[Company]],61)</f>
        <v/>
      </c>
      <c r="V171" s="152" t="str" cm="1">
        <f t="array" ref="V171">Common_InputFunctions.Utility_DisplayArrayInTable(Fertiliser_SourceData.Fertiliser_Products_Data3(), FertiliserProducts[[#Headers],[Company]],61)</f>
        <v/>
      </c>
      <c r="W171" s="152" t="str" cm="1">
        <f t="array" ref="W171">Common_InputFunctions.Utility_DisplayArrayInTable(Fertiliser_SourceData.Fertiliser_Products_Data3(), FertiliserProducts[[#Headers],[Company]],61)</f>
        <v/>
      </c>
      <c r="X171" s="152" t="str" cm="1">
        <f t="array" ref="X171">Common_InputFunctions.Utility_DisplayArrayInTable(Fertiliser_SourceData.Fertiliser_Products_Data3(), FertiliserProducts[[#Headers],[Company]],61)</f>
        <v/>
      </c>
      <c r="Y171" s="152" t="str" cm="1">
        <f t="array" ref="Y171">Common_InputFunctions.Utility_DisplayArrayInTable(Fertiliser_SourceData.Fertiliser_Products_Data3(), FertiliserProducts[[#Headers],[Company]],61)</f>
        <v/>
      </c>
      <c r="Z171" s="152" t="str" cm="1">
        <f t="array" ref="Z171">Common_InputFunctions.Utility_DisplayArrayInTable(Fertiliser_SourceData.Fertiliser_Products_Data3(), FertiliserProducts[[#Headers],[Company]],61)</f>
        <v/>
      </c>
      <c r="AA171" s="152" t="str" cm="1">
        <f t="array" ref="AA171">Common_InputFunctions.Utility_DisplayArrayInTable(Fertiliser_SourceData.Fertiliser_Products_Data3(), FertiliserProducts[[#Headers],[Company]],61)</f>
        <v/>
      </c>
      <c r="AB171" s="152" t="str" cm="1">
        <f t="array" ref="AB171">Common_InputFunctions.Utility_DisplayArrayInTable(Fertiliser_SourceData.Fertiliser_Products_Data3(), FertiliserProducts[[#Headers],[Company]],61)</f>
        <v/>
      </c>
      <c r="AC171" s="152" t="str" cm="1">
        <f t="array" ref="AC171">Common_InputFunctions.Utility_DisplayArrayInTable(Fertiliser_SourceData.Fertiliser_Products_Data3(), FertiliserProducts[[#Headers],[Company]],61)</f>
        <v/>
      </c>
      <c r="AD171" s="152" t="str" cm="1">
        <f t="array" ref="AD171">Common_InputFunctions.Utility_DisplayArrayInTable(Fertiliser_SourceData.Fertiliser_Products_Data3(), FertiliserProducts[[#Headers],[Company]],61)</f>
        <v/>
      </c>
      <c r="AE171" s="152" t="str" cm="1">
        <f t="array" ref="AE171">Common_InputFunctions.Utility_DisplayArrayInTable(Fertiliser_SourceData.Fertiliser_Products_Data3(), FertiliserProducts[[#Headers],[Company]],61)</f>
        <v/>
      </c>
      <c r="AF171" s="152" t="str" cm="1">
        <f t="array" ref="AF171">Common_InputFunctions.Utility_DisplayArrayInTable(Fertiliser_SourceData.Fertiliser_Products_Data3(), FertiliserProducts[[#Headers],[Company]],61)</f>
        <v/>
      </c>
      <c r="AG171" s="152" t="str" cm="1">
        <f t="array" ref="AG171">Common_InputFunctions.Utility_DisplayArrayInTable(Fertiliser_SourceData.Fertiliser_Products_Data3(), FertiliserProducts[[#Headers],[Company]],61)</f>
        <v/>
      </c>
      <c r="AH171" s="152" t="str" cm="1">
        <f t="array" ref="AH171">Common_InputFunctions.Utility_DisplayArrayInTable(Fertiliser_SourceData.Fertiliser_Products_Data3(), FertiliserProducts[[#Headers],[Company]],61)</f>
        <v/>
      </c>
      <c r="AK171" s="1"/>
    </row>
    <row r="172" spans="4:37" ht="20.100000000000001" customHeight="1" x14ac:dyDescent="0.2">
      <c r="D172" s="152" t="str" cm="1">
        <f t="array" ref="D172">Common_InputFunctions.Utility_DisplayArrayInTable(Fertiliser_SourceData.Fertiliser_Products_Data3(), FertiliserProducts[[#Headers],[Company]],61)</f>
        <v>Risso-Chemical</v>
      </c>
      <c r="E172" s="152" t="str" cm="1">
        <f t="array" ref="E172">Common_InputFunctions.Utility_DisplayArrayInTable(Fertiliser_SourceData.Fertiliser_Products_Data3(), FertiliserProducts[[#Headers],[Company]],61)</f>
        <v>Risso Liquid NPK (200-200-200)</v>
      </c>
      <c r="F172" s="152" t="str" cm="1">
        <f t="array" ref="F172">Common_InputFunctions.Utility_DisplayArrayInTable(Fertiliser_SourceData.Fertiliser_Products_Data3(), FertiliserProducts[[#Headers],[Company]],61)</f>
        <v>L</v>
      </c>
      <c r="G172" s="152" cm="1">
        <f t="array" ref="G172">Common_InputFunctions.Utility_DisplayArrayInTable(Fertiliser_SourceData.Fertiliser_Products_Data3(), FertiliserProducts[[#Headers],[Company]],61)</f>
        <v>1.3</v>
      </c>
      <c r="H172" s="152" t="str" cm="1">
        <f t="array" ref="H172">Common_InputFunctions.Utility_DisplayArrayInTable(Fertiliser_SourceData.Fertiliser_Products_Data3(), FertiliserProducts[[#Headers],[Company]],61)</f>
        <v/>
      </c>
      <c r="I172" s="152" t="str" cm="1">
        <f t="array" ref="I172">Common_InputFunctions.Utility_DisplayArrayInTable(Fertiliser_SourceData.Fertiliser_Products_Data3(), FertiliserProducts[[#Headers],[Company]],61)</f>
        <v/>
      </c>
      <c r="J172" s="152" t="str" cm="1">
        <f t="array" ref="J172">Common_InputFunctions.Utility_DisplayArrayInTable(Fertiliser_SourceData.Fertiliser_Products_Data3(), FertiliserProducts[[#Headers],[Company]],61)</f>
        <v/>
      </c>
      <c r="K172" s="152" cm="1">
        <f t="array" ref="K172">Common_InputFunctions.Utility_DisplayArrayInTable(Fertiliser_SourceData.Fertiliser_Products_Data3(), FertiliserProducts[[#Headers],[Company]],61)</f>
        <v>20</v>
      </c>
      <c r="L172" s="152" cm="1">
        <f t="array" ref="L172">Common_InputFunctions.Utility_DisplayArrayInTable(Fertiliser_SourceData.Fertiliser_Products_Data3(), FertiliserProducts[[#Headers],[Company]],61)</f>
        <v>8.73</v>
      </c>
      <c r="M172" s="152" cm="1">
        <f t="array" ref="M172">Common_InputFunctions.Utility_DisplayArrayInTable(Fertiliser_SourceData.Fertiliser_Products_Data3(), FertiliserProducts[[#Headers],[Company]],61)</f>
        <v>16.600000000000001</v>
      </c>
      <c r="N172" s="152" t="str" cm="1">
        <f t="array" ref="N172">Common_InputFunctions.Utility_DisplayArrayInTable(Fertiliser_SourceData.Fertiliser_Products_Data3(), FertiliserProducts[[#Headers],[Company]],61)</f>
        <v/>
      </c>
      <c r="O172" s="152" t="str" cm="1">
        <f t="array" ref="O172">Common_InputFunctions.Utility_DisplayArrayInTable(Fertiliser_SourceData.Fertiliser_Products_Data3(), FertiliserProducts[[#Headers],[Company]],61)</f>
        <v>Nitrogen - Generic</v>
      </c>
      <c r="P172" s="152" cm="1">
        <f t="array" ref="P172">Common_InputFunctions.Utility_DisplayArrayInTable(Fertiliser_SourceData.Fertiliser_Products_Data3(), FertiliserProducts[[#Headers],[Company]],61)</f>
        <v>0.2</v>
      </c>
      <c r="Q172" s="152" t="str" cm="1">
        <f t="array" ref="Q172">Common_InputFunctions.Utility_DisplayArrayInTable(Fertiliser_SourceData.Fertiliser_Products_Data3(), FertiliserProducts[[#Headers],[Company]],61)</f>
        <v>Phosphorus - Generic</v>
      </c>
      <c r="R172" s="152" cm="1">
        <f t="array" ref="R172">Common_InputFunctions.Utility_DisplayArrayInTable(Fertiliser_SourceData.Fertiliser_Products_Data3(), FertiliserProducts[[#Headers],[Company]],61)</f>
        <v>8.7279999999999996E-2</v>
      </c>
      <c r="S172" s="152" t="str" cm="1">
        <f t="array" ref="S172">Common_InputFunctions.Utility_DisplayArrayInTable(Fertiliser_SourceData.Fertiliser_Products_Data3(), FertiliserProducts[[#Headers],[Company]],61)</f>
        <v>Potassium - Generic</v>
      </c>
      <c r="T172" s="152" cm="1">
        <f t="array" ref="T172">Common_InputFunctions.Utility_DisplayArrayInTable(Fertiliser_SourceData.Fertiliser_Products_Data3(), FertiliserProducts[[#Headers],[Company]],61)</f>
        <v>0.16602</v>
      </c>
      <c r="U172" s="152" t="str" cm="1">
        <f t="array" ref="U172">Common_InputFunctions.Utility_DisplayArrayInTable(Fertiliser_SourceData.Fertiliser_Products_Data3(), FertiliserProducts[[#Headers],[Company]],61)</f>
        <v/>
      </c>
      <c r="V172" s="152" t="str" cm="1">
        <f t="array" ref="V172">Common_InputFunctions.Utility_DisplayArrayInTable(Fertiliser_SourceData.Fertiliser_Products_Data3(), FertiliserProducts[[#Headers],[Company]],61)</f>
        <v/>
      </c>
      <c r="W172" s="152" t="str" cm="1">
        <f t="array" ref="W172">Common_InputFunctions.Utility_DisplayArrayInTable(Fertiliser_SourceData.Fertiliser_Products_Data3(), FertiliserProducts[[#Headers],[Company]],61)</f>
        <v/>
      </c>
      <c r="X172" s="152" t="str" cm="1">
        <f t="array" ref="X172">Common_InputFunctions.Utility_DisplayArrayInTable(Fertiliser_SourceData.Fertiliser_Products_Data3(), FertiliserProducts[[#Headers],[Company]],61)</f>
        <v/>
      </c>
      <c r="Y172" s="152" t="str" cm="1">
        <f t="array" ref="Y172">Common_InputFunctions.Utility_DisplayArrayInTable(Fertiliser_SourceData.Fertiliser_Products_Data3(), FertiliserProducts[[#Headers],[Company]],61)</f>
        <v/>
      </c>
      <c r="Z172" s="152" t="str" cm="1">
        <f t="array" ref="Z172">Common_InputFunctions.Utility_DisplayArrayInTable(Fertiliser_SourceData.Fertiliser_Products_Data3(), FertiliserProducts[[#Headers],[Company]],61)</f>
        <v/>
      </c>
      <c r="AA172" s="152" t="str" cm="1">
        <f t="array" ref="AA172">Common_InputFunctions.Utility_DisplayArrayInTable(Fertiliser_SourceData.Fertiliser_Products_Data3(), FertiliserProducts[[#Headers],[Company]],61)</f>
        <v/>
      </c>
      <c r="AB172" s="152" t="str" cm="1">
        <f t="array" ref="AB172">Common_InputFunctions.Utility_DisplayArrayInTable(Fertiliser_SourceData.Fertiliser_Products_Data3(), FertiliserProducts[[#Headers],[Company]],61)</f>
        <v/>
      </c>
      <c r="AC172" s="152" t="str" cm="1">
        <f t="array" ref="AC172">Common_InputFunctions.Utility_DisplayArrayInTable(Fertiliser_SourceData.Fertiliser_Products_Data3(), FertiliserProducts[[#Headers],[Company]],61)</f>
        <v/>
      </c>
      <c r="AD172" s="152" t="str" cm="1">
        <f t="array" ref="AD172">Common_InputFunctions.Utility_DisplayArrayInTable(Fertiliser_SourceData.Fertiliser_Products_Data3(), FertiliserProducts[[#Headers],[Company]],61)</f>
        <v/>
      </c>
      <c r="AE172" s="152" t="str" cm="1">
        <f t="array" ref="AE172">Common_InputFunctions.Utility_DisplayArrayInTable(Fertiliser_SourceData.Fertiliser_Products_Data3(), FertiliserProducts[[#Headers],[Company]],61)</f>
        <v/>
      </c>
      <c r="AF172" s="152" t="str" cm="1">
        <f t="array" ref="AF172">Common_InputFunctions.Utility_DisplayArrayInTable(Fertiliser_SourceData.Fertiliser_Products_Data3(), FertiliserProducts[[#Headers],[Company]],61)</f>
        <v/>
      </c>
      <c r="AG172" s="152" t="str" cm="1">
        <f t="array" ref="AG172">Common_InputFunctions.Utility_DisplayArrayInTable(Fertiliser_SourceData.Fertiliser_Products_Data3(), FertiliserProducts[[#Headers],[Company]],61)</f>
        <v/>
      </c>
      <c r="AH172" s="152" t="str" cm="1">
        <f t="array" ref="AH172">Common_InputFunctions.Utility_DisplayArrayInTable(Fertiliser_SourceData.Fertiliser_Products_Data3(), FertiliserProducts[[#Headers],[Company]],61)</f>
        <v/>
      </c>
      <c r="AK172" s="1"/>
    </row>
    <row r="173" spans="4:37" ht="20.100000000000001" customHeight="1" x14ac:dyDescent="0.2">
      <c r="D173" s="152" t="str" cm="1">
        <f t="array" ref="D173">Common_InputFunctions.Utility_DisplayArrayInTable(Fertiliser_SourceData.Fertiliser_Products_Data3(), FertiliserProducts[[#Headers],[Company]],61)</f>
        <v>Turf Group Australia (Simplot)</v>
      </c>
      <c r="E173" s="152" t="str" cm="1">
        <f t="array" ref="E173">Common_InputFunctions.Utility_DisplayArrayInTable(Fertiliser_SourceData.Fertiliser_Products_Data3(), FertiliserProducts[[#Headers],[Company]],61)</f>
        <v>Super Cal 15-0-12</v>
      </c>
      <c r="F173" s="152" t="str" cm="1">
        <f t="array" ref="F173">Common_InputFunctions.Utility_DisplayArrayInTable(Fertiliser_SourceData.Fertiliser_Products_Data3(), FertiliserProducts[[#Headers],[Company]],61)</f>
        <v>kg</v>
      </c>
      <c r="G173" s="152" cm="1">
        <f t="array" ref="G173">Common_InputFunctions.Utility_DisplayArrayInTable(Fertiliser_SourceData.Fertiliser_Products_Data3(), FertiliserProducts[[#Headers],[Company]],61)</f>
        <v>1</v>
      </c>
      <c r="H173" s="152" t="str" cm="1">
        <f t="array" ref="H173">Common_InputFunctions.Utility_DisplayArrayInTable(Fertiliser_SourceData.Fertiliser_Products_Data3(), FertiliserProducts[[#Headers],[Company]],61)</f>
        <v/>
      </c>
      <c r="I173" s="152" t="str" cm="1">
        <f t="array" ref="I173">Common_InputFunctions.Utility_DisplayArrayInTable(Fertiliser_SourceData.Fertiliser_Products_Data3(), FertiliserProducts[[#Headers],[Company]],61)</f>
        <v/>
      </c>
      <c r="J173" s="152" t="str" cm="1">
        <f t="array" ref="J173">Common_InputFunctions.Utility_DisplayArrayInTable(Fertiliser_SourceData.Fertiliser_Products_Data3(), FertiliserProducts[[#Headers],[Company]],61)</f>
        <v/>
      </c>
      <c r="K173" s="152" cm="1">
        <f t="array" ref="K173">Common_InputFunctions.Utility_DisplayArrayInTable(Fertiliser_SourceData.Fertiliser_Products_Data3(), FertiliserProducts[[#Headers],[Company]],61)</f>
        <v>15</v>
      </c>
      <c r="L173" s="152" t="str" cm="1">
        <f t="array" ref="L173">Common_InputFunctions.Utility_DisplayArrayInTable(Fertiliser_SourceData.Fertiliser_Products_Data3(), FertiliserProducts[[#Headers],[Company]],61)</f>
        <v/>
      </c>
      <c r="M173" s="152" cm="1">
        <f t="array" ref="M173">Common_InputFunctions.Utility_DisplayArrayInTable(Fertiliser_SourceData.Fertiliser_Products_Data3(), FertiliserProducts[[#Headers],[Company]],61)</f>
        <v>9.9600000000000009</v>
      </c>
      <c r="N173" s="152" t="str" cm="1">
        <f t="array" ref="N173">Common_InputFunctions.Utility_DisplayArrayInTable(Fertiliser_SourceData.Fertiliser_Products_Data3(), FertiliserProducts[[#Headers],[Company]],61)</f>
        <v/>
      </c>
      <c r="O173" s="152" t="str" cm="1">
        <f t="array" ref="O173">Common_InputFunctions.Utility_DisplayArrayInTable(Fertiliser_SourceData.Fertiliser_Products_Data3(), FertiliserProducts[[#Headers],[Company]],61)</f>
        <v>Nitrogen - Nitrate</v>
      </c>
      <c r="P173" s="152" cm="1">
        <f t="array" ref="P173">Common_InputFunctions.Utility_DisplayArrayInTable(Fertiliser_SourceData.Fertiliser_Products_Data3(), FertiliserProducts[[#Headers],[Company]],61)</f>
        <v>8.4737000000000007E-2</v>
      </c>
      <c r="Q173" s="152" t="str" cm="1">
        <f t="array" ref="Q173">Common_InputFunctions.Utility_DisplayArrayInTable(Fertiliser_SourceData.Fertiliser_Products_Data3(), FertiliserProducts[[#Headers],[Company]],61)</f>
        <v>Potassium - Generic</v>
      </c>
      <c r="R173" s="152" cm="1">
        <f t="array" ref="R173">Common_InputFunctions.Utility_DisplayArrayInTable(Fertiliser_SourceData.Fertiliser_Products_Data3(), FertiliserProducts[[#Headers],[Company]],61)</f>
        <v>9.9612000000000006E-2</v>
      </c>
      <c r="S173" s="152" t="str" cm="1">
        <f t="array" ref="S173">Common_InputFunctions.Utility_DisplayArrayInTable(Fertiliser_SourceData.Fertiliser_Products_Data3(), FertiliserProducts[[#Headers],[Company]],61)</f>
        <v>Calcium nitrate</v>
      </c>
      <c r="T173" s="152" cm="1">
        <f t="array" ref="T173">Common_InputFunctions.Utility_DisplayArrayInTable(Fertiliser_SourceData.Fertiliser_Products_Data3(), FertiliserProducts[[#Headers],[Company]],61)</f>
        <v>0.42105300000000001</v>
      </c>
      <c r="U173" s="152" t="str" cm="1">
        <f t="array" ref="U173">Common_InputFunctions.Utility_DisplayArrayInTable(Fertiliser_SourceData.Fertiliser_Products_Data3(), FertiliserProducts[[#Headers],[Company]],61)</f>
        <v>Magnesium</v>
      </c>
      <c r="V173" s="152" cm="1">
        <f t="array" ref="V173">Common_InputFunctions.Utility_DisplayArrayInTable(Fertiliser_SourceData.Fertiliser_Products_Data3(), FertiliserProducts[[#Headers],[Company]],61)</f>
        <v>5.0000000000000001E-3</v>
      </c>
      <c r="W173" s="152" t="str" cm="1">
        <f t="array" ref="W173">Common_InputFunctions.Utility_DisplayArrayInTable(Fertiliser_SourceData.Fertiliser_Products_Data3(), FertiliserProducts[[#Headers],[Company]],61)</f>
        <v>Boron</v>
      </c>
      <c r="X173" s="152" cm="1">
        <f t="array" ref="X173">Common_InputFunctions.Utility_DisplayArrayInTable(Fertiliser_SourceData.Fertiliser_Products_Data3(), FertiliserProducts[[#Headers],[Company]],61)</f>
        <v>2.0000000000000001E-4</v>
      </c>
      <c r="Y173" s="152" t="str" cm="1">
        <f t="array" ref="Y173">Common_InputFunctions.Utility_DisplayArrayInTable(Fertiliser_SourceData.Fertiliser_Products_Data3(), FertiliserProducts[[#Headers],[Company]],61)</f>
        <v/>
      </c>
      <c r="Z173" s="152" t="str" cm="1">
        <f t="array" ref="Z173">Common_InputFunctions.Utility_DisplayArrayInTable(Fertiliser_SourceData.Fertiliser_Products_Data3(), FertiliserProducts[[#Headers],[Company]],61)</f>
        <v/>
      </c>
      <c r="AA173" s="152" t="str" cm="1">
        <f t="array" ref="AA173">Common_InputFunctions.Utility_DisplayArrayInTable(Fertiliser_SourceData.Fertiliser_Products_Data3(), FertiliserProducts[[#Headers],[Company]],61)</f>
        <v/>
      </c>
      <c r="AB173" s="152" t="str" cm="1">
        <f t="array" ref="AB173">Common_InputFunctions.Utility_DisplayArrayInTable(Fertiliser_SourceData.Fertiliser_Products_Data3(), FertiliserProducts[[#Headers],[Company]],61)</f>
        <v/>
      </c>
      <c r="AC173" s="152" t="str" cm="1">
        <f t="array" ref="AC173">Common_InputFunctions.Utility_DisplayArrayInTable(Fertiliser_SourceData.Fertiliser_Products_Data3(), FertiliserProducts[[#Headers],[Company]],61)</f>
        <v/>
      </c>
      <c r="AD173" s="152" t="str" cm="1">
        <f t="array" ref="AD173">Common_InputFunctions.Utility_DisplayArrayInTable(Fertiliser_SourceData.Fertiliser_Products_Data3(), FertiliserProducts[[#Headers],[Company]],61)</f>
        <v/>
      </c>
      <c r="AE173" s="152" t="str" cm="1">
        <f t="array" ref="AE173">Common_InputFunctions.Utility_DisplayArrayInTable(Fertiliser_SourceData.Fertiliser_Products_Data3(), FertiliserProducts[[#Headers],[Company]],61)</f>
        <v/>
      </c>
      <c r="AF173" s="152" t="str" cm="1">
        <f t="array" ref="AF173">Common_InputFunctions.Utility_DisplayArrayInTable(Fertiliser_SourceData.Fertiliser_Products_Data3(), FertiliserProducts[[#Headers],[Company]],61)</f>
        <v/>
      </c>
      <c r="AG173" s="152" t="str" cm="1">
        <f t="array" ref="AG173">Common_InputFunctions.Utility_DisplayArrayInTable(Fertiliser_SourceData.Fertiliser_Products_Data3(), FertiliserProducts[[#Headers],[Company]],61)</f>
        <v/>
      </c>
      <c r="AH173" s="152" t="str" cm="1">
        <f t="array" ref="AH173">Common_InputFunctions.Utility_DisplayArrayInTable(Fertiliser_SourceData.Fertiliser_Products_Data3(), FertiliserProducts[[#Headers],[Company]],61)</f>
        <v/>
      </c>
      <c r="AK173" s="1"/>
    </row>
    <row r="174" spans="4:37" ht="20.100000000000001" customHeight="1" x14ac:dyDescent="0.2">
      <c r="D174" s="152" t="str" cm="1">
        <f t="array" ref="D174">Common_InputFunctions.Utility_DisplayArrayInTable(Fertiliser_SourceData.Fertiliser_Products_Data3(), FertiliserProducts[[#Headers],[Company]],61)</f>
        <v>Incitec Pivot Fertilisers</v>
      </c>
      <c r="E174" s="152" t="str" cm="1">
        <f t="array" ref="E174">Common_InputFunctions.Utility_DisplayArrayInTable(Fertiliser_SourceData.Fertiliser_Products_Data3(), FertiliserProducts[[#Headers],[Company]],61)</f>
        <v>CK 88</v>
      </c>
      <c r="F174" s="152" t="str" cm="1">
        <f t="array" ref="F174">Common_InputFunctions.Utility_DisplayArrayInTable(Fertiliser_SourceData.Fertiliser_Products_Data3(), FertiliserProducts[[#Headers],[Company]],61)</f>
        <v>kg</v>
      </c>
      <c r="G174" s="152" cm="1">
        <f t="array" ref="G174">Common_InputFunctions.Utility_DisplayArrayInTable(Fertiliser_SourceData.Fertiliser_Products_Data3(), FertiliserProducts[[#Headers],[Company]],61)</f>
        <v>1</v>
      </c>
      <c r="H174" s="152" t="str" cm="1">
        <f t="array" ref="H174">Common_InputFunctions.Utility_DisplayArrayInTable(Fertiliser_SourceData.Fertiliser_Products_Data3(), FertiliserProducts[[#Headers],[Company]],61)</f>
        <v/>
      </c>
      <c r="I174" s="152" t="str" cm="1">
        <f t="array" ref="I174">Common_InputFunctions.Utility_DisplayArrayInTable(Fertiliser_SourceData.Fertiliser_Products_Data3(), FertiliserProducts[[#Headers],[Company]],61)</f>
        <v/>
      </c>
      <c r="J174" s="152" t="str" cm="1">
        <f t="array" ref="J174">Common_InputFunctions.Utility_DisplayArrayInTable(Fertiliser_SourceData.Fertiliser_Products_Data3(), FertiliserProducts[[#Headers],[Company]],61)</f>
        <v/>
      </c>
      <c r="K174" s="152" cm="1">
        <f t="array" ref="K174">Common_InputFunctions.Utility_DisplayArrayInTable(Fertiliser_SourceData.Fertiliser_Products_Data3(), FertiliserProducts[[#Headers],[Company]],61)</f>
        <v>15.1</v>
      </c>
      <c r="L174" s="152" cm="1">
        <f t="array" ref="L174">Common_InputFunctions.Utility_DisplayArrayInTable(Fertiliser_SourceData.Fertiliser_Products_Data3(), FertiliserProducts[[#Headers],[Company]],61)</f>
        <v>4.4000000000000004</v>
      </c>
      <c r="M174" s="152" cm="1">
        <f t="array" ref="M174">Common_InputFunctions.Utility_DisplayArrayInTable(Fertiliser_SourceData.Fertiliser_Products_Data3(), FertiliserProducts[[#Headers],[Company]],61)</f>
        <v>11.5</v>
      </c>
      <c r="N174" s="152" cm="1">
        <f t="array" ref="N174">Common_InputFunctions.Utility_DisplayArrayInTable(Fertiliser_SourceData.Fertiliser_Products_Data3(), FertiliserProducts[[#Headers],[Company]],61)</f>
        <v>13.6</v>
      </c>
      <c r="O174" s="152" t="str" cm="1">
        <f t="array" ref="O174">Common_InputFunctions.Utility_DisplayArrayInTable(Fertiliser_SourceData.Fertiliser_Products_Data3(), FertiliserProducts[[#Headers],[Company]],61)</f>
        <v>Nitrogen - Generic</v>
      </c>
      <c r="P174" s="152" cm="1">
        <f t="array" ref="P174">Common_InputFunctions.Utility_DisplayArrayInTable(Fertiliser_SourceData.Fertiliser_Products_Data3(), FertiliserProducts[[#Headers],[Company]],61)</f>
        <v>0.151</v>
      </c>
      <c r="Q174" s="152" t="str" cm="1">
        <f t="array" ref="Q174">Common_InputFunctions.Utility_DisplayArrayInTable(Fertiliser_SourceData.Fertiliser_Products_Data3(), FertiliserProducts[[#Headers],[Company]],61)</f>
        <v>Phosphorus - Generic</v>
      </c>
      <c r="R174" s="152" cm="1">
        <f t="array" ref="R174">Common_InputFunctions.Utility_DisplayArrayInTable(Fertiliser_SourceData.Fertiliser_Products_Data3(), FertiliserProducts[[#Headers],[Company]],61)</f>
        <v>4.3999999999999997E-2</v>
      </c>
      <c r="S174" s="152" t="str" cm="1">
        <f t="array" ref="S174">Common_InputFunctions.Utility_DisplayArrayInTable(Fertiliser_SourceData.Fertiliser_Products_Data3(), FertiliserProducts[[#Headers],[Company]],61)</f>
        <v>Potassium - Generic</v>
      </c>
      <c r="T174" s="152" cm="1">
        <f t="array" ref="T174">Common_InputFunctions.Utility_DisplayArrayInTable(Fertiliser_SourceData.Fertiliser_Products_Data3(), FertiliserProducts[[#Headers],[Company]],61)</f>
        <v>0.115</v>
      </c>
      <c r="U174" s="152" t="str" cm="1">
        <f t="array" ref="U174">Common_InputFunctions.Utility_DisplayArrayInTable(Fertiliser_SourceData.Fertiliser_Products_Data3(), FertiliserProducts[[#Headers],[Company]],61)</f>
        <v>Sulfur - Generic</v>
      </c>
      <c r="V174" s="152" cm="1">
        <f t="array" ref="V174">Common_InputFunctions.Utility_DisplayArrayInTable(Fertiliser_SourceData.Fertiliser_Products_Data3(), FertiliserProducts[[#Headers],[Company]],61)</f>
        <v>0.13600000000000001</v>
      </c>
      <c r="W174" s="152" t="str" cm="1">
        <f t="array" ref="W174">Common_InputFunctions.Utility_DisplayArrayInTable(Fertiliser_SourceData.Fertiliser_Products_Data3(), FertiliserProducts[[#Headers],[Company]],61)</f>
        <v/>
      </c>
      <c r="X174" s="152" t="str" cm="1">
        <f t="array" ref="X174">Common_InputFunctions.Utility_DisplayArrayInTable(Fertiliser_SourceData.Fertiliser_Products_Data3(), FertiliserProducts[[#Headers],[Company]],61)</f>
        <v/>
      </c>
      <c r="Y174" s="152" t="str" cm="1">
        <f t="array" ref="Y174">Common_InputFunctions.Utility_DisplayArrayInTable(Fertiliser_SourceData.Fertiliser_Products_Data3(), FertiliserProducts[[#Headers],[Company]],61)</f>
        <v/>
      </c>
      <c r="Z174" s="152" t="str" cm="1">
        <f t="array" ref="Z174">Common_InputFunctions.Utility_DisplayArrayInTable(Fertiliser_SourceData.Fertiliser_Products_Data3(), FertiliserProducts[[#Headers],[Company]],61)</f>
        <v/>
      </c>
      <c r="AA174" s="152" t="str" cm="1">
        <f t="array" ref="AA174">Common_InputFunctions.Utility_DisplayArrayInTable(Fertiliser_SourceData.Fertiliser_Products_Data3(), FertiliserProducts[[#Headers],[Company]],61)</f>
        <v/>
      </c>
      <c r="AB174" s="152" t="str" cm="1">
        <f t="array" ref="AB174">Common_InputFunctions.Utility_DisplayArrayInTable(Fertiliser_SourceData.Fertiliser_Products_Data3(), FertiliserProducts[[#Headers],[Company]],61)</f>
        <v/>
      </c>
      <c r="AC174" s="152" t="str" cm="1">
        <f t="array" ref="AC174">Common_InputFunctions.Utility_DisplayArrayInTable(Fertiliser_SourceData.Fertiliser_Products_Data3(), FertiliserProducts[[#Headers],[Company]],61)</f>
        <v/>
      </c>
      <c r="AD174" s="152" t="str" cm="1">
        <f t="array" ref="AD174">Common_InputFunctions.Utility_DisplayArrayInTable(Fertiliser_SourceData.Fertiliser_Products_Data3(), FertiliserProducts[[#Headers],[Company]],61)</f>
        <v/>
      </c>
      <c r="AE174" s="152" t="str" cm="1">
        <f t="array" ref="AE174">Common_InputFunctions.Utility_DisplayArrayInTable(Fertiliser_SourceData.Fertiliser_Products_Data3(), FertiliserProducts[[#Headers],[Company]],61)</f>
        <v/>
      </c>
      <c r="AF174" s="152" t="str" cm="1">
        <f t="array" ref="AF174">Common_InputFunctions.Utility_DisplayArrayInTable(Fertiliser_SourceData.Fertiliser_Products_Data3(), FertiliserProducts[[#Headers],[Company]],61)</f>
        <v/>
      </c>
      <c r="AG174" s="152" t="str" cm="1">
        <f t="array" ref="AG174">Common_InputFunctions.Utility_DisplayArrayInTable(Fertiliser_SourceData.Fertiliser_Products_Data3(), FertiliserProducts[[#Headers],[Company]],61)</f>
        <v/>
      </c>
      <c r="AH174" s="152" t="str" cm="1">
        <f t="array" ref="AH174">Common_InputFunctions.Utility_DisplayArrayInTable(Fertiliser_SourceData.Fertiliser_Products_Data3(), FertiliserProducts[[#Headers],[Company]],61)</f>
        <v/>
      </c>
      <c r="AK174" s="1"/>
    </row>
    <row r="175" spans="4:37" ht="20.100000000000001" customHeight="1" x14ac:dyDescent="0.2">
      <c r="D175" s="152" t="str" cm="1">
        <f t="array" ref="D175">Common_InputFunctions.Utility_DisplayArrayInTable(Fertiliser_SourceData.Fertiliser_Products_Data3(), FertiliserProducts[[#Headers],[Company]],61)</f>
        <v>Incitec Pivot Fertilisers</v>
      </c>
      <c r="E175" s="152" t="str" cm="1">
        <f t="array" ref="E175">Common_InputFunctions.Utility_DisplayArrayInTable(Fertiliser_SourceData.Fertiliser_Products_Data3(), FertiliserProducts[[#Headers],[Company]],61)</f>
        <v>CropLift 15</v>
      </c>
      <c r="F175" s="152" t="str" cm="1">
        <f t="array" ref="F175">Common_InputFunctions.Utility_DisplayArrayInTable(Fertiliser_SourceData.Fertiliser_Products_Data3(), FertiliserProducts[[#Headers],[Company]],61)</f>
        <v>kg</v>
      </c>
      <c r="G175" s="152" cm="1">
        <f t="array" ref="G175">Common_InputFunctions.Utility_DisplayArrayInTable(Fertiliser_SourceData.Fertiliser_Products_Data3(), FertiliserProducts[[#Headers],[Company]],61)</f>
        <v>1</v>
      </c>
      <c r="H175" s="152" t="str" cm="1">
        <f t="array" ref="H175">Common_InputFunctions.Utility_DisplayArrayInTable(Fertiliser_SourceData.Fertiliser_Products_Data3(), FertiliserProducts[[#Headers],[Company]],61)</f>
        <v/>
      </c>
      <c r="I175" s="152" t="str" cm="1">
        <f t="array" ref="I175">Common_InputFunctions.Utility_DisplayArrayInTable(Fertiliser_SourceData.Fertiliser_Products_Data3(), FertiliserProducts[[#Headers],[Company]],61)</f>
        <v/>
      </c>
      <c r="J175" s="152" t="str" cm="1">
        <f t="array" ref="J175">Common_InputFunctions.Utility_DisplayArrayInTable(Fertiliser_SourceData.Fertiliser_Products_Data3(), FertiliserProducts[[#Headers],[Company]],61)</f>
        <v/>
      </c>
      <c r="K175" s="152" cm="1">
        <f t="array" ref="K175">Common_InputFunctions.Utility_DisplayArrayInTable(Fertiliser_SourceData.Fertiliser_Products_Data3(), FertiliserProducts[[#Headers],[Company]],61)</f>
        <v>14.6</v>
      </c>
      <c r="L175" s="152" cm="1">
        <f t="array" ref="L175">Common_InputFunctions.Utility_DisplayArrayInTable(Fertiliser_SourceData.Fertiliser_Products_Data3(), FertiliserProducts[[#Headers],[Company]],61)</f>
        <v>12.1</v>
      </c>
      <c r="M175" s="152" t="str" cm="1">
        <f t="array" ref="M175">Common_InputFunctions.Utility_DisplayArrayInTable(Fertiliser_SourceData.Fertiliser_Products_Data3(), FertiliserProducts[[#Headers],[Company]],61)</f>
        <v/>
      </c>
      <c r="N175" s="152" cm="1">
        <f t="array" ref="N175">Common_InputFunctions.Utility_DisplayArrayInTable(Fertiliser_SourceData.Fertiliser_Products_Data3(), FertiliserProducts[[#Headers],[Company]],61)</f>
        <v>11.6</v>
      </c>
      <c r="O175" s="152" t="str" cm="1">
        <f t="array" ref="O175">Common_InputFunctions.Utility_DisplayArrayInTable(Fertiliser_SourceData.Fertiliser_Products_Data3(), FertiliserProducts[[#Headers],[Company]],61)</f>
        <v>Nitrogen - Generic</v>
      </c>
      <c r="P175" s="152" cm="1">
        <f t="array" ref="P175">Common_InputFunctions.Utility_DisplayArrayInTable(Fertiliser_SourceData.Fertiliser_Products_Data3(), FertiliserProducts[[#Headers],[Company]],61)</f>
        <v>0.14599999999999999</v>
      </c>
      <c r="Q175" s="152" t="str" cm="1">
        <f t="array" ref="Q175">Common_InputFunctions.Utility_DisplayArrayInTable(Fertiliser_SourceData.Fertiliser_Products_Data3(), FertiliserProducts[[#Headers],[Company]],61)</f>
        <v>Phosphorus - Generic</v>
      </c>
      <c r="R175" s="152" cm="1">
        <f t="array" ref="R175">Common_InputFunctions.Utility_DisplayArrayInTable(Fertiliser_SourceData.Fertiliser_Products_Data3(), FertiliserProducts[[#Headers],[Company]],61)</f>
        <v>0.121</v>
      </c>
      <c r="S175" s="152" t="str" cm="1">
        <f t="array" ref="S175">Common_InputFunctions.Utility_DisplayArrayInTable(Fertiliser_SourceData.Fertiliser_Products_Data3(), FertiliserProducts[[#Headers],[Company]],61)</f>
        <v>Sulfur - Generic</v>
      </c>
      <c r="T175" s="152" cm="1">
        <f t="array" ref="T175">Common_InputFunctions.Utility_DisplayArrayInTable(Fertiliser_SourceData.Fertiliser_Products_Data3(), FertiliserProducts[[#Headers],[Company]],61)</f>
        <v>0.11600000000000001</v>
      </c>
      <c r="U175" s="152" t="str" cm="1">
        <f t="array" ref="U175">Common_InputFunctions.Utility_DisplayArrayInTable(Fertiliser_SourceData.Fertiliser_Products_Data3(), FertiliserProducts[[#Headers],[Company]],61)</f>
        <v/>
      </c>
      <c r="V175" s="152" t="str" cm="1">
        <f t="array" ref="V175">Common_InputFunctions.Utility_DisplayArrayInTable(Fertiliser_SourceData.Fertiliser_Products_Data3(), FertiliserProducts[[#Headers],[Company]],61)</f>
        <v/>
      </c>
      <c r="W175" s="152" t="str" cm="1">
        <f t="array" ref="W175">Common_InputFunctions.Utility_DisplayArrayInTable(Fertiliser_SourceData.Fertiliser_Products_Data3(), FertiliserProducts[[#Headers],[Company]],61)</f>
        <v/>
      </c>
      <c r="X175" s="152" t="str" cm="1">
        <f t="array" ref="X175">Common_InputFunctions.Utility_DisplayArrayInTable(Fertiliser_SourceData.Fertiliser_Products_Data3(), FertiliserProducts[[#Headers],[Company]],61)</f>
        <v/>
      </c>
      <c r="Y175" s="152" t="str" cm="1">
        <f t="array" ref="Y175">Common_InputFunctions.Utility_DisplayArrayInTable(Fertiliser_SourceData.Fertiliser_Products_Data3(), FertiliserProducts[[#Headers],[Company]],61)</f>
        <v/>
      </c>
      <c r="Z175" s="152" t="str" cm="1">
        <f t="array" ref="Z175">Common_InputFunctions.Utility_DisplayArrayInTable(Fertiliser_SourceData.Fertiliser_Products_Data3(), FertiliserProducts[[#Headers],[Company]],61)</f>
        <v/>
      </c>
      <c r="AA175" s="152" t="str" cm="1">
        <f t="array" ref="AA175">Common_InputFunctions.Utility_DisplayArrayInTable(Fertiliser_SourceData.Fertiliser_Products_Data3(), FertiliserProducts[[#Headers],[Company]],61)</f>
        <v/>
      </c>
      <c r="AB175" s="152" t="str" cm="1">
        <f t="array" ref="AB175">Common_InputFunctions.Utility_DisplayArrayInTable(Fertiliser_SourceData.Fertiliser_Products_Data3(), FertiliserProducts[[#Headers],[Company]],61)</f>
        <v/>
      </c>
      <c r="AC175" s="152" t="str" cm="1">
        <f t="array" ref="AC175">Common_InputFunctions.Utility_DisplayArrayInTable(Fertiliser_SourceData.Fertiliser_Products_Data3(), FertiliserProducts[[#Headers],[Company]],61)</f>
        <v/>
      </c>
      <c r="AD175" s="152" t="str" cm="1">
        <f t="array" ref="AD175">Common_InputFunctions.Utility_DisplayArrayInTable(Fertiliser_SourceData.Fertiliser_Products_Data3(), FertiliserProducts[[#Headers],[Company]],61)</f>
        <v/>
      </c>
      <c r="AE175" s="152" t="str" cm="1">
        <f t="array" ref="AE175">Common_InputFunctions.Utility_DisplayArrayInTable(Fertiliser_SourceData.Fertiliser_Products_Data3(), FertiliserProducts[[#Headers],[Company]],61)</f>
        <v/>
      </c>
      <c r="AF175" s="152" t="str" cm="1">
        <f t="array" ref="AF175">Common_InputFunctions.Utility_DisplayArrayInTable(Fertiliser_SourceData.Fertiliser_Products_Data3(), FertiliserProducts[[#Headers],[Company]],61)</f>
        <v/>
      </c>
      <c r="AG175" s="152" t="str" cm="1">
        <f t="array" ref="AG175">Common_InputFunctions.Utility_DisplayArrayInTable(Fertiliser_SourceData.Fertiliser_Products_Data3(), FertiliserProducts[[#Headers],[Company]],61)</f>
        <v/>
      </c>
      <c r="AH175" s="152" t="str" cm="1">
        <f t="array" ref="AH175">Common_InputFunctions.Utility_DisplayArrayInTable(Fertiliser_SourceData.Fertiliser_Products_Data3(), FertiliserProducts[[#Headers],[Company]],61)</f>
        <v/>
      </c>
      <c r="AK175" s="1"/>
    </row>
    <row r="176" spans="4:37" ht="20.100000000000001" customHeight="1" x14ac:dyDescent="0.2">
      <c r="D176" s="152" t="str" cm="1">
        <f t="array" ref="D176">Common_InputFunctions.Utility_DisplayArrayInTable(Fertiliser_SourceData.Fertiliser_Products_Data3(), FertiliserProducts[[#Headers],[Company]],61)</f>
        <v>Incitec Pivot Fertilisers</v>
      </c>
      <c r="E176" s="152" t="str" cm="1">
        <f t="array" ref="E176">Common_InputFunctions.Utility_DisplayArrayInTable(Fertiliser_SourceData.Fertiliser_Products_Data3(), FertiliserProducts[[#Headers],[Company]],61)</f>
        <v>NPKS 19-13-0-9</v>
      </c>
      <c r="F176" s="152" t="str" cm="1">
        <f t="array" ref="F176">Common_InputFunctions.Utility_DisplayArrayInTable(Fertiliser_SourceData.Fertiliser_Products_Data3(), FertiliserProducts[[#Headers],[Company]],61)</f>
        <v>kg</v>
      </c>
      <c r="G176" s="152" cm="1">
        <f t="array" ref="G176">Common_InputFunctions.Utility_DisplayArrayInTable(Fertiliser_SourceData.Fertiliser_Products_Data3(), FertiliserProducts[[#Headers],[Company]],61)</f>
        <v>1</v>
      </c>
      <c r="H176" s="152" t="str" cm="1">
        <f t="array" ref="H176">Common_InputFunctions.Utility_DisplayArrayInTable(Fertiliser_SourceData.Fertiliser_Products_Data3(), FertiliserProducts[[#Headers],[Company]],61)</f>
        <v/>
      </c>
      <c r="I176" s="152" t="str" cm="1">
        <f t="array" ref="I176">Common_InputFunctions.Utility_DisplayArrayInTable(Fertiliser_SourceData.Fertiliser_Products_Data3(), FertiliserProducts[[#Headers],[Company]],61)</f>
        <v/>
      </c>
      <c r="J176" s="152" t="str" cm="1">
        <f t="array" ref="J176">Common_InputFunctions.Utility_DisplayArrayInTable(Fertiliser_SourceData.Fertiliser_Products_Data3(), FertiliserProducts[[#Headers],[Company]],61)</f>
        <v/>
      </c>
      <c r="K176" s="152" cm="1">
        <f t="array" ref="K176">Common_InputFunctions.Utility_DisplayArrayInTable(Fertiliser_SourceData.Fertiliser_Products_Data3(), FertiliserProducts[[#Headers],[Company]],61)</f>
        <v>19</v>
      </c>
      <c r="L176" s="152" cm="1">
        <f t="array" ref="L176">Common_InputFunctions.Utility_DisplayArrayInTable(Fertiliser_SourceData.Fertiliser_Products_Data3(), FertiliserProducts[[#Headers],[Company]],61)</f>
        <v>13</v>
      </c>
      <c r="M176" s="152" cm="1">
        <f t="array" ref="M176">Common_InputFunctions.Utility_DisplayArrayInTable(Fertiliser_SourceData.Fertiliser_Products_Data3(), FertiliserProducts[[#Headers],[Company]],61)</f>
        <v>0</v>
      </c>
      <c r="N176" s="152" cm="1">
        <f t="array" ref="N176">Common_InputFunctions.Utility_DisplayArrayInTable(Fertiliser_SourceData.Fertiliser_Products_Data3(), FertiliserProducts[[#Headers],[Company]],61)</f>
        <v>9</v>
      </c>
      <c r="O176" s="152" t="str" cm="1">
        <f t="array" ref="O176">Common_InputFunctions.Utility_DisplayArrayInTable(Fertiliser_SourceData.Fertiliser_Products_Data3(), FertiliserProducts[[#Headers],[Company]],61)</f>
        <v>Nitrogen - Generic</v>
      </c>
      <c r="P176" s="152" cm="1">
        <f t="array" ref="P176">Common_InputFunctions.Utility_DisplayArrayInTable(Fertiliser_SourceData.Fertiliser_Products_Data3(), FertiliserProducts[[#Headers],[Company]],61)</f>
        <v>0.19</v>
      </c>
      <c r="Q176" s="152" t="str" cm="1">
        <f t="array" ref="Q176">Common_InputFunctions.Utility_DisplayArrayInTable(Fertiliser_SourceData.Fertiliser_Products_Data3(), FertiliserProducts[[#Headers],[Company]],61)</f>
        <v>Phosphorus - Generic</v>
      </c>
      <c r="R176" s="152" cm="1">
        <f t="array" ref="R176">Common_InputFunctions.Utility_DisplayArrayInTable(Fertiliser_SourceData.Fertiliser_Products_Data3(), FertiliserProducts[[#Headers],[Company]],61)</f>
        <v>0.13</v>
      </c>
      <c r="S176" s="152" t="str" cm="1">
        <f t="array" ref="S176">Common_InputFunctions.Utility_DisplayArrayInTable(Fertiliser_SourceData.Fertiliser_Products_Data3(), FertiliserProducts[[#Headers],[Company]],61)</f>
        <v>Sulfur - Generic</v>
      </c>
      <c r="T176" s="152" cm="1">
        <f t="array" ref="T176">Common_InputFunctions.Utility_DisplayArrayInTable(Fertiliser_SourceData.Fertiliser_Products_Data3(), FertiliserProducts[[#Headers],[Company]],61)</f>
        <v>0.09</v>
      </c>
      <c r="U176" s="152" t="str" cm="1">
        <f t="array" ref="U176">Common_InputFunctions.Utility_DisplayArrayInTable(Fertiliser_SourceData.Fertiliser_Products_Data3(), FertiliserProducts[[#Headers],[Company]],61)</f>
        <v/>
      </c>
      <c r="V176" s="152" t="str" cm="1">
        <f t="array" ref="V176">Common_InputFunctions.Utility_DisplayArrayInTable(Fertiliser_SourceData.Fertiliser_Products_Data3(), FertiliserProducts[[#Headers],[Company]],61)</f>
        <v/>
      </c>
      <c r="W176" s="152" t="str" cm="1">
        <f t="array" ref="W176">Common_InputFunctions.Utility_DisplayArrayInTable(Fertiliser_SourceData.Fertiliser_Products_Data3(), FertiliserProducts[[#Headers],[Company]],61)</f>
        <v/>
      </c>
      <c r="X176" s="152" t="str" cm="1">
        <f t="array" ref="X176">Common_InputFunctions.Utility_DisplayArrayInTable(Fertiliser_SourceData.Fertiliser_Products_Data3(), FertiliserProducts[[#Headers],[Company]],61)</f>
        <v/>
      </c>
      <c r="Y176" s="152" t="str" cm="1">
        <f t="array" ref="Y176">Common_InputFunctions.Utility_DisplayArrayInTable(Fertiliser_SourceData.Fertiliser_Products_Data3(), FertiliserProducts[[#Headers],[Company]],61)</f>
        <v/>
      </c>
      <c r="Z176" s="152" t="str" cm="1">
        <f t="array" ref="Z176">Common_InputFunctions.Utility_DisplayArrayInTable(Fertiliser_SourceData.Fertiliser_Products_Data3(), FertiliserProducts[[#Headers],[Company]],61)</f>
        <v/>
      </c>
      <c r="AA176" s="152" t="str" cm="1">
        <f t="array" ref="AA176">Common_InputFunctions.Utility_DisplayArrayInTable(Fertiliser_SourceData.Fertiliser_Products_Data3(), FertiliserProducts[[#Headers],[Company]],61)</f>
        <v/>
      </c>
      <c r="AB176" s="152" t="str" cm="1">
        <f t="array" ref="AB176">Common_InputFunctions.Utility_DisplayArrayInTable(Fertiliser_SourceData.Fertiliser_Products_Data3(), FertiliserProducts[[#Headers],[Company]],61)</f>
        <v/>
      </c>
      <c r="AC176" s="152" t="str" cm="1">
        <f t="array" ref="AC176">Common_InputFunctions.Utility_DisplayArrayInTable(Fertiliser_SourceData.Fertiliser_Products_Data3(), FertiliserProducts[[#Headers],[Company]],61)</f>
        <v/>
      </c>
      <c r="AD176" s="152" t="str" cm="1">
        <f t="array" ref="AD176">Common_InputFunctions.Utility_DisplayArrayInTable(Fertiliser_SourceData.Fertiliser_Products_Data3(), FertiliserProducts[[#Headers],[Company]],61)</f>
        <v/>
      </c>
      <c r="AE176" s="152" t="str" cm="1">
        <f t="array" ref="AE176">Common_InputFunctions.Utility_DisplayArrayInTable(Fertiliser_SourceData.Fertiliser_Products_Data3(), FertiliserProducts[[#Headers],[Company]],61)</f>
        <v/>
      </c>
      <c r="AF176" s="152" t="str" cm="1">
        <f t="array" ref="AF176">Common_InputFunctions.Utility_DisplayArrayInTable(Fertiliser_SourceData.Fertiliser_Products_Data3(), FertiliserProducts[[#Headers],[Company]],61)</f>
        <v/>
      </c>
      <c r="AG176" s="152" t="str" cm="1">
        <f t="array" ref="AG176">Common_InputFunctions.Utility_DisplayArrayInTable(Fertiliser_SourceData.Fertiliser_Products_Data3(), FertiliserProducts[[#Headers],[Company]],61)</f>
        <v/>
      </c>
      <c r="AH176" s="152" t="str" cm="1">
        <f t="array" ref="AH176">Common_InputFunctions.Utility_DisplayArrayInTable(Fertiliser_SourceData.Fertiliser_Products_Data3(), FertiliserProducts[[#Headers],[Company]],61)</f>
        <v/>
      </c>
      <c r="AK176" s="1"/>
    </row>
    <row r="177" spans="1:37" ht="20.100000000000001" customHeight="1" x14ac:dyDescent="0.2">
      <c r="D177" s="152" t="str" cm="1">
        <f t="array" ref="D177">Common_InputFunctions.Utility_DisplayArrayInTable(Fertiliser_SourceData.Fertiliser_Products_Data3(), FertiliserProducts[[#Headers],[Company]],61)</f>
        <v>Incitec Pivot Fertilisers</v>
      </c>
      <c r="E177" s="152" t="str" cm="1">
        <f t="array" ref="E177">Common_InputFunctions.Utility_DisplayArrayInTable(Fertiliser_SourceData.Fertiliser_Products_Data3(), FertiliserProducts[[#Headers],[Company]],61)</f>
        <v>PastureBoosta</v>
      </c>
      <c r="F177" s="152" t="str" cm="1">
        <f t="array" ref="F177">Common_InputFunctions.Utility_DisplayArrayInTable(Fertiliser_SourceData.Fertiliser_Products_Data3(), FertiliserProducts[[#Headers],[Company]],61)</f>
        <v>kg</v>
      </c>
      <c r="G177" s="152" cm="1">
        <f t="array" ref="G177">Common_InputFunctions.Utility_DisplayArrayInTable(Fertiliser_SourceData.Fertiliser_Products_Data3(), FertiliserProducts[[#Headers],[Company]],61)</f>
        <v>1</v>
      </c>
      <c r="H177" s="152" t="str" cm="1">
        <f t="array" ref="H177">Common_InputFunctions.Utility_DisplayArrayInTable(Fertiliser_SourceData.Fertiliser_Products_Data3(), FertiliserProducts[[#Headers],[Company]],61)</f>
        <v/>
      </c>
      <c r="I177" s="152" t="str" cm="1">
        <f t="array" ref="I177">Common_InputFunctions.Utility_DisplayArrayInTable(Fertiliser_SourceData.Fertiliser_Products_Data3(), FertiliserProducts[[#Headers],[Company]],61)</f>
        <v/>
      </c>
      <c r="J177" s="152" t="str" cm="1">
        <f t="array" ref="J177">Common_InputFunctions.Utility_DisplayArrayInTable(Fertiliser_SourceData.Fertiliser_Products_Data3(), FertiliserProducts[[#Headers],[Company]],61)</f>
        <v/>
      </c>
      <c r="K177" s="152" cm="1">
        <f t="array" ref="K177">Common_InputFunctions.Utility_DisplayArrayInTable(Fertiliser_SourceData.Fertiliser_Products_Data3(), FertiliserProducts[[#Headers],[Company]],61)</f>
        <v>23.8</v>
      </c>
      <c r="L177" s="152" cm="1">
        <f t="array" ref="L177">Common_InputFunctions.Utility_DisplayArrayInTable(Fertiliser_SourceData.Fertiliser_Products_Data3(), FertiliserProducts[[#Headers],[Company]],61)</f>
        <v>3.7</v>
      </c>
      <c r="M177" s="152" cm="1">
        <f t="array" ref="M177">Common_InputFunctions.Utility_DisplayArrayInTable(Fertiliser_SourceData.Fertiliser_Products_Data3(), FertiliserProducts[[#Headers],[Company]],61)</f>
        <v>13</v>
      </c>
      <c r="N177" s="152" cm="1">
        <f t="array" ref="N177">Common_InputFunctions.Utility_DisplayArrayInTable(Fertiliser_SourceData.Fertiliser_Products_Data3(), FertiliserProducts[[#Headers],[Company]],61)</f>
        <v>4.0999999999999996</v>
      </c>
      <c r="O177" s="152" t="str" cm="1">
        <f t="array" ref="O177">Common_InputFunctions.Utility_DisplayArrayInTable(Fertiliser_SourceData.Fertiliser_Products_Data3(), FertiliserProducts[[#Headers],[Company]],61)</f>
        <v>Nitrogen - Generic</v>
      </c>
      <c r="P177" s="152" cm="1">
        <f t="array" ref="P177">Common_InputFunctions.Utility_DisplayArrayInTable(Fertiliser_SourceData.Fertiliser_Products_Data3(), FertiliserProducts[[#Headers],[Company]],61)</f>
        <v>0.23799999999999999</v>
      </c>
      <c r="Q177" s="152" t="str" cm="1">
        <f t="array" ref="Q177">Common_InputFunctions.Utility_DisplayArrayInTable(Fertiliser_SourceData.Fertiliser_Products_Data3(), FertiliserProducts[[#Headers],[Company]],61)</f>
        <v>Phosphorus - Generic</v>
      </c>
      <c r="R177" s="152" cm="1">
        <f t="array" ref="R177">Common_InputFunctions.Utility_DisplayArrayInTable(Fertiliser_SourceData.Fertiliser_Products_Data3(), FertiliserProducts[[#Headers],[Company]],61)</f>
        <v>3.6999999999999998E-2</v>
      </c>
      <c r="S177" s="152" t="str" cm="1">
        <f t="array" ref="S177">Common_InputFunctions.Utility_DisplayArrayInTable(Fertiliser_SourceData.Fertiliser_Products_Data3(), FertiliserProducts[[#Headers],[Company]],61)</f>
        <v>Potassium - Generic</v>
      </c>
      <c r="T177" s="152" cm="1">
        <f t="array" ref="T177">Common_InputFunctions.Utility_DisplayArrayInTable(Fertiliser_SourceData.Fertiliser_Products_Data3(), FertiliserProducts[[#Headers],[Company]],61)</f>
        <v>0.13</v>
      </c>
      <c r="U177" s="152" t="str" cm="1">
        <f t="array" ref="U177">Common_InputFunctions.Utility_DisplayArrayInTable(Fertiliser_SourceData.Fertiliser_Products_Data3(), FertiliserProducts[[#Headers],[Company]],61)</f>
        <v>Sulfur - Generic</v>
      </c>
      <c r="V177" s="152" cm="1">
        <f t="array" ref="V177">Common_InputFunctions.Utility_DisplayArrayInTable(Fertiliser_SourceData.Fertiliser_Products_Data3(), FertiliserProducts[[#Headers],[Company]],61)</f>
        <v>4.1000000000000002E-2</v>
      </c>
      <c r="W177" s="152" t="str" cm="1">
        <f t="array" ref="W177">Common_InputFunctions.Utility_DisplayArrayInTable(Fertiliser_SourceData.Fertiliser_Products_Data3(), FertiliserProducts[[#Headers],[Company]],61)</f>
        <v/>
      </c>
      <c r="X177" s="152" t="str" cm="1">
        <f t="array" ref="X177">Common_InputFunctions.Utility_DisplayArrayInTable(Fertiliser_SourceData.Fertiliser_Products_Data3(), FertiliserProducts[[#Headers],[Company]],61)</f>
        <v/>
      </c>
      <c r="Y177" s="152" t="str" cm="1">
        <f t="array" ref="Y177">Common_InputFunctions.Utility_DisplayArrayInTable(Fertiliser_SourceData.Fertiliser_Products_Data3(), FertiliserProducts[[#Headers],[Company]],61)</f>
        <v/>
      </c>
      <c r="Z177" s="152" t="str" cm="1">
        <f t="array" ref="Z177">Common_InputFunctions.Utility_DisplayArrayInTable(Fertiliser_SourceData.Fertiliser_Products_Data3(), FertiliserProducts[[#Headers],[Company]],61)</f>
        <v/>
      </c>
      <c r="AA177" s="152" t="str" cm="1">
        <f t="array" ref="AA177">Common_InputFunctions.Utility_DisplayArrayInTable(Fertiliser_SourceData.Fertiliser_Products_Data3(), FertiliserProducts[[#Headers],[Company]],61)</f>
        <v/>
      </c>
      <c r="AB177" s="152" t="str" cm="1">
        <f t="array" ref="AB177">Common_InputFunctions.Utility_DisplayArrayInTable(Fertiliser_SourceData.Fertiliser_Products_Data3(), FertiliserProducts[[#Headers],[Company]],61)</f>
        <v/>
      </c>
      <c r="AC177" s="152" t="str" cm="1">
        <f t="array" ref="AC177">Common_InputFunctions.Utility_DisplayArrayInTable(Fertiliser_SourceData.Fertiliser_Products_Data3(), FertiliserProducts[[#Headers],[Company]],61)</f>
        <v/>
      </c>
      <c r="AD177" s="152" t="str" cm="1">
        <f t="array" ref="AD177">Common_InputFunctions.Utility_DisplayArrayInTable(Fertiliser_SourceData.Fertiliser_Products_Data3(), FertiliserProducts[[#Headers],[Company]],61)</f>
        <v/>
      </c>
      <c r="AE177" s="152" t="str" cm="1">
        <f t="array" ref="AE177">Common_InputFunctions.Utility_DisplayArrayInTable(Fertiliser_SourceData.Fertiliser_Products_Data3(), FertiliserProducts[[#Headers],[Company]],61)</f>
        <v/>
      </c>
      <c r="AF177" s="152" t="str" cm="1">
        <f t="array" ref="AF177">Common_InputFunctions.Utility_DisplayArrayInTable(Fertiliser_SourceData.Fertiliser_Products_Data3(), FertiliserProducts[[#Headers],[Company]],61)</f>
        <v/>
      </c>
      <c r="AG177" s="152" t="str" cm="1">
        <f t="array" ref="AG177">Common_InputFunctions.Utility_DisplayArrayInTable(Fertiliser_SourceData.Fertiliser_Products_Data3(), FertiliserProducts[[#Headers],[Company]],61)</f>
        <v/>
      </c>
      <c r="AH177" s="152" t="str" cm="1">
        <f t="array" ref="AH177">Common_InputFunctions.Utility_DisplayArrayInTable(Fertiliser_SourceData.Fertiliser_Products_Data3(), FertiliserProducts[[#Headers],[Company]],61)</f>
        <v/>
      </c>
      <c r="AK177" s="1"/>
    </row>
    <row r="178" spans="1:37" ht="20.100000000000001" customHeight="1" x14ac:dyDescent="0.2">
      <c r="D178" s="152" t="str" cm="1">
        <f t="array" ref="D178">Common_InputFunctions.Utility_DisplayArrayInTable(Fertiliser_SourceData.Fertiliser_Products_Data3(), FertiliserProducts[[#Headers],[Company]],61)</f>
        <v>Incitec Pivot Fertilisers</v>
      </c>
      <c r="E178" s="152" t="str" cm="1">
        <f t="array" ref="E178">Common_InputFunctions.Utility_DisplayArrayInTable(Fertiliser_SourceData.Fertiliser_Products_Data3(), FertiliserProducts[[#Headers],[Company]],61)</f>
        <v>Greentop K</v>
      </c>
      <c r="F178" s="152" t="str" cm="1">
        <f t="array" ref="F178">Common_InputFunctions.Utility_DisplayArrayInTable(Fertiliser_SourceData.Fertiliser_Products_Data3(), FertiliserProducts[[#Headers],[Company]],61)</f>
        <v>kg</v>
      </c>
      <c r="G178" s="152" cm="1">
        <f t="array" ref="G178">Common_InputFunctions.Utility_DisplayArrayInTable(Fertiliser_SourceData.Fertiliser_Products_Data3(), FertiliserProducts[[#Headers],[Company]],61)</f>
        <v>1</v>
      </c>
      <c r="H178" s="152" t="str" cm="1">
        <f t="array" ref="H178">Common_InputFunctions.Utility_DisplayArrayInTable(Fertiliser_SourceData.Fertiliser_Products_Data3(), FertiliserProducts[[#Headers],[Company]],61)</f>
        <v/>
      </c>
      <c r="I178" s="152" t="str" cm="1">
        <f t="array" ref="I178">Common_InputFunctions.Utility_DisplayArrayInTable(Fertiliser_SourceData.Fertiliser_Products_Data3(), FertiliserProducts[[#Headers],[Company]],61)</f>
        <v/>
      </c>
      <c r="J178" s="152" t="str" cm="1">
        <f t="array" ref="J178">Common_InputFunctions.Utility_DisplayArrayInTable(Fertiliser_SourceData.Fertiliser_Products_Data3(), FertiliserProducts[[#Headers],[Company]],61)</f>
        <v/>
      </c>
      <c r="K178" s="152" cm="1">
        <f t="array" ref="K178">Common_InputFunctions.Utility_DisplayArrayInTable(Fertiliser_SourceData.Fertiliser_Products_Data3(), FertiliserProducts[[#Headers],[Company]],61)</f>
        <v>32.799999999999997</v>
      </c>
      <c r="L178" s="152" t="str" cm="1">
        <f t="array" ref="L178">Common_InputFunctions.Utility_DisplayArrayInTable(Fertiliser_SourceData.Fertiliser_Products_Data3(), FertiliserProducts[[#Headers],[Company]],61)</f>
        <v/>
      </c>
      <c r="M178" s="152" cm="1">
        <f t="array" ref="M178">Common_InputFunctions.Utility_DisplayArrayInTable(Fertiliser_SourceData.Fertiliser_Products_Data3(), FertiliserProducts[[#Headers],[Company]],61)</f>
        <v>11</v>
      </c>
      <c r="N178" s="152" cm="1">
        <f t="array" ref="N178">Common_InputFunctions.Utility_DisplayArrayInTable(Fertiliser_SourceData.Fertiliser_Products_Data3(), FertiliserProducts[[#Headers],[Company]],61)</f>
        <v>2.9</v>
      </c>
      <c r="O178" s="152" t="str" cm="1">
        <f t="array" ref="O178">Common_InputFunctions.Utility_DisplayArrayInTable(Fertiliser_SourceData.Fertiliser_Products_Data3(), FertiliserProducts[[#Headers],[Company]],61)</f>
        <v>Urea</v>
      </c>
      <c r="P178" s="152" cm="1">
        <f t="array" ref="P178">Common_InputFunctions.Utility_DisplayArrayInTable(Fertiliser_SourceData.Fertiliser_Products_Data3(), FertiliserProducts[[#Headers],[Company]],61)</f>
        <v>0.66086999999999996</v>
      </c>
      <c r="Q178" s="152" t="str" cm="1">
        <f t="array" ref="Q178">Common_InputFunctions.Utility_DisplayArrayInTable(Fertiliser_SourceData.Fertiliser_Products_Data3(), FertiliserProducts[[#Headers],[Company]],61)</f>
        <v>Nitrogen - Ammoniacal</v>
      </c>
      <c r="R178" s="152" cm="1">
        <f t="array" ref="R178">Common_InputFunctions.Utility_DisplayArrayInTable(Fertiliser_SourceData.Fertiliser_Products_Data3(), FertiliserProducts[[#Headers],[Company]],61)</f>
        <v>2.4E-2</v>
      </c>
      <c r="S178" s="152" t="str" cm="1">
        <f t="array" ref="S178">Common_InputFunctions.Utility_DisplayArrayInTable(Fertiliser_SourceData.Fertiliser_Products_Data3(), FertiliserProducts[[#Headers],[Company]],61)</f>
        <v>Potassium - Generic</v>
      </c>
      <c r="T178" s="152" cm="1">
        <f t="array" ref="T178">Common_InputFunctions.Utility_DisplayArrayInTable(Fertiliser_SourceData.Fertiliser_Products_Data3(), FertiliserProducts[[#Headers],[Company]],61)</f>
        <v>0.11</v>
      </c>
      <c r="U178" s="152" t="str" cm="1">
        <f t="array" ref="U178">Common_InputFunctions.Utility_DisplayArrayInTable(Fertiliser_SourceData.Fertiliser_Products_Data3(), FertiliserProducts[[#Headers],[Company]],61)</f>
        <v>Sulfur - Generic</v>
      </c>
      <c r="V178" s="152" cm="1">
        <f t="array" ref="V178">Common_InputFunctions.Utility_DisplayArrayInTable(Fertiliser_SourceData.Fertiliser_Products_Data3(), FertiliserProducts[[#Headers],[Company]],61)</f>
        <v>2.9000000000000001E-2</v>
      </c>
      <c r="W178" s="152" t="str" cm="1">
        <f t="array" ref="W178">Common_InputFunctions.Utility_DisplayArrayInTable(Fertiliser_SourceData.Fertiliser_Products_Data3(), FertiliserProducts[[#Headers],[Company]],61)</f>
        <v/>
      </c>
      <c r="X178" s="152" t="str" cm="1">
        <f t="array" ref="X178">Common_InputFunctions.Utility_DisplayArrayInTable(Fertiliser_SourceData.Fertiliser_Products_Data3(), FertiliserProducts[[#Headers],[Company]],61)</f>
        <v/>
      </c>
      <c r="Y178" s="152" t="str" cm="1">
        <f t="array" ref="Y178">Common_InputFunctions.Utility_DisplayArrayInTable(Fertiliser_SourceData.Fertiliser_Products_Data3(), FertiliserProducts[[#Headers],[Company]],61)</f>
        <v/>
      </c>
      <c r="Z178" s="152" t="str" cm="1">
        <f t="array" ref="Z178">Common_InputFunctions.Utility_DisplayArrayInTable(Fertiliser_SourceData.Fertiliser_Products_Data3(), FertiliserProducts[[#Headers],[Company]],61)</f>
        <v/>
      </c>
      <c r="AA178" s="152" t="str" cm="1">
        <f t="array" ref="AA178">Common_InputFunctions.Utility_DisplayArrayInTable(Fertiliser_SourceData.Fertiliser_Products_Data3(), FertiliserProducts[[#Headers],[Company]],61)</f>
        <v/>
      </c>
      <c r="AB178" s="152" t="str" cm="1">
        <f t="array" ref="AB178">Common_InputFunctions.Utility_DisplayArrayInTable(Fertiliser_SourceData.Fertiliser_Products_Data3(), FertiliserProducts[[#Headers],[Company]],61)</f>
        <v/>
      </c>
      <c r="AC178" s="152" t="str" cm="1">
        <f t="array" ref="AC178">Common_InputFunctions.Utility_DisplayArrayInTable(Fertiliser_SourceData.Fertiliser_Products_Data3(), FertiliserProducts[[#Headers],[Company]],61)</f>
        <v/>
      </c>
      <c r="AD178" s="152" t="str" cm="1">
        <f t="array" ref="AD178">Common_InputFunctions.Utility_DisplayArrayInTable(Fertiliser_SourceData.Fertiliser_Products_Data3(), FertiliserProducts[[#Headers],[Company]],61)</f>
        <v/>
      </c>
      <c r="AE178" s="152" t="str" cm="1">
        <f t="array" ref="AE178">Common_InputFunctions.Utility_DisplayArrayInTable(Fertiliser_SourceData.Fertiliser_Products_Data3(), FertiliserProducts[[#Headers],[Company]],61)</f>
        <v/>
      </c>
      <c r="AF178" s="152" t="str" cm="1">
        <f t="array" ref="AF178">Common_InputFunctions.Utility_DisplayArrayInTable(Fertiliser_SourceData.Fertiliser_Products_Data3(), FertiliserProducts[[#Headers],[Company]],61)</f>
        <v/>
      </c>
      <c r="AG178" s="152" t="str" cm="1">
        <f t="array" ref="AG178">Common_InputFunctions.Utility_DisplayArrayInTable(Fertiliser_SourceData.Fertiliser_Products_Data3(), FertiliserProducts[[#Headers],[Company]],61)</f>
        <v/>
      </c>
      <c r="AH178" s="152" t="str" cm="1">
        <f t="array" ref="AH178">Common_InputFunctions.Utility_DisplayArrayInTable(Fertiliser_SourceData.Fertiliser_Products_Data3(), FertiliserProducts[[#Headers],[Company]],61)</f>
        <v/>
      </c>
      <c r="AK178" s="1"/>
    </row>
    <row r="179" spans="1:37" ht="20.100000000000001" customHeight="1" x14ac:dyDescent="0.2">
      <c r="D179" s="152" t="str" cm="1">
        <f t="array" ref="D179">Common_InputFunctions.Utility_DisplayArrayInTable(Fertiliser_SourceData.Fertiliser_Products_Data3(), FertiliserProducts[[#Headers],[Company]],61)</f>
        <v>Incitec Pivot Fertilisers</v>
      </c>
      <c r="E179" s="152" t="str" cm="1">
        <f t="array" ref="E179">Common_InputFunctions.Utility_DisplayArrayInTable(Fertiliser_SourceData.Fertiliser_Products_Data3(), FertiliserProducts[[#Headers],[Company]],61)</f>
        <v>HayBoosta</v>
      </c>
      <c r="F179" s="152" t="str" cm="1">
        <f t="array" ref="F179">Common_InputFunctions.Utility_DisplayArrayInTable(Fertiliser_SourceData.Fertiliser_Products_Data3(), FertiliserProducts[[#Headers],[Company]],61)</f>
        <v>kg</v>
      </c>
      <c r="G179" s="152" cm="1">
        <f t="array" ref="G179">Common_InputFunctions.Utility_DisplayArrayInTable(Fertiliser_SourceData.Fertiliser_Products_Data3(), FertiliserProducts[[#Headers],[Company]],61)</f>
        <v>1</v>
      </c>
      <c r="H179" s="152" t="str" cm="1">
        <f t="array" ref="H179">Common_InputFunctions.Utility_DisplayArrayInTable(Fertiliser_SourceData.Fertiliser_Products_Data3(), FertiliserProducts[[#Headers],[Company]],61)</f>
        <v/>
      </c>
      <c r="I179" s="152" t="str" cm="1">
        <f t="array" ref="I179">Common_InputFunctions.Utility_DisplayArrayInTable(Fertiliser_SourceData.Fertiliser_Products_Data3(), FertiliserProducts[[#Headers],[Company]],61)</f>
        <v/>
      </c>
      <c r="J179" s="152" t="str" cm="1">
        <f t="array" ref="J179">Common_InputFunctions.Utility_DisplayArrayInTable(Fertiliser_SourceData.Fertiliser_Products_Data3(), FertiliserProducts[[#Headers],[Company]],61)</f>
        <v/>
      </c>
      <c r="K179" s="152" cm="1">
        <f t="array" ref="K179">Common_InputFunctions.Utility_DisplayArrayInTable(Fertiliser_SourceData.Fertiliser_Products_Data3(), FertiliserProducts[[#Headers],[Company]],61)</f>
        <v>11.7</v>
      </c>
      <c r="L179" s="152" cm="1">
        <f t="array" ref="L179">Common_InputFunctions.Utility_DisplayArrayInTable(Fertiliser_SourceData.Fertiliser_Products_Data3(), FertiliserProducts[[#Headers],[Company]],61)</f>
        <v>4.7</v>
      </c>
      <c r="M179" s="152" cm="1">
        <f t="array" ref="M179">Common_InputFunctions.Utility_DisplayArrayInTable(Fertiliser_SourceData.Fertiliser_Products_Data3(), FertiliserProducts[[#Headers],[Company]],61)</f>
        <v>23.9</v>
      </c>
      <c r="N179" s="152" cm="1">
        <f t="array" ref="N179">Common_InputFunctions.Utility_DisplayArrayInTable(Fertiliser_SourceData.Fertiliser_Products_Data3(), FertiliserProducts[[#Headers],[Company]],61)</f>
        <v>4.5999999999999996</v>
      </c>
      <c r="O179" s="152" t="str" cm="1">
        <f t="array" ref="O179">Common_InputFunctions.Utility_DisplayArrayInTable(Fertiliser_SourceData.Fertiliser_Products_Data3(), FertiliserProducts[[#Headers],[Company]],61)</f>
        <v>Nitrogen - Generic</v>
      </c>
      <c r="P179" s="152" cm="1">
        <f t="array" ref="P179">Common_InputFunctions.Utility_DisplayArrayInTable(Fertiliser_SourceData.Fertiliser_Products_Data3(), FertiliserProducts[[#Headers],[Company]],61)</f>
        <v>0.11700000000000001</v>
      </c>
      <c r="Q179" s="152" t="str" cm="1">
        <f t="array" ref="Q179">Common_InputFunctions.Utility_DisplayArrayInTable(Fertiliser_SourceData.Fertiliser_Products_Data3(), FertiliserProducts[[#Headers],[Company]],61)</f>
        <v>Phosphorus - Generic</v>
      </c>
      <c r="R179" s="152" cm="1">
        <f t="array" ref="R179">Common_InputFunctions.Utility_DisplayArrayInTable(Fertiliser_SourceData.Fertiliser_Products_Data3(), FertiliserProducts[[#Headers],[Company]],61)</f>
        <v>4.7E-2</v>
      </c>
      <c r="S179" s="152" t="str" cm="1">
        <f t="array" ref="S179">Common_InputFunctions.Utility_DisplayArrayInTable(Fertiliser_SourceData.Fertiliser_Products_Data3(), FertiliserProducts[[#Headers],[Company]],61)</f>
        <v>Potassium - Generic</v>
      </c>
      <c r="T179" s="152" cm="1">
        <f t="array" ref="T179">Common_InputFunctions.Utility_DisplayArrayInTable(Fertiliser_SourceData.Fertiliser_Products_Data3(), FertiliserProducts[[#Headers],[Company]],61)</f>
        <v>0.23899999999999999</v>
      </c>
      <c r="U179" s="152" t="str" cm="1">
        <f t="array" ref="U179">Common_InputFunctions.Utility_DisplayArrayInTable(Fertiliser_SourceData.Fertiliser_Products_Data3(), FertiliserProducts[[#Headers],[Company]],61)</f>
        <v>Sulfur - Generic</v>
      </c>
      <c r="V179" s="152" cm="1">
        <f t="array" ref="V179">Common_InputFunctions.Utility_DisplayArrayInTable(Fertiliser_SourceData.Fertiliser_Products_Data3(), FertiliserProducts[[#Headers],[Company]],61)</f>
        <v>4.5999999999999999E-2</v>
      </c>
      <c r="W179" s="152" t="str" cm="1">
        <f t="array" ref="W179">Common_InputFunctions.Utility_DisplayArrayInTable(Fertiliser_SourceData.Fertiliser_Products_Data3(), FertiliserProducts[[#Headers],[Company]],61)</f>
        <v/>
      </c>
      <c r="X179" s="152" t="str" cm="1">
        <f t="array" ref="X179">Common_InputFunctions.Utility_DisplayArrayInTable(Fertiliser_SourceData.Fertiliser_Products_Data3(), FertiliserProducts[[#Headers],[Company]],61)</f>
        <v/>
      </c>
      <c r="Y179" s="152" t="str" cm="1">
        <f t="array" ref="Y179">Common_InputFunctions.Utility_DisplayArrayInTable(Fertiliser_SourceData.Fertiliser_Products_Data3(), FertiliserProducts[[#Headers],[Company]],61)</f>
        <v/>
      </c>
      <c r="Z179" s="152" t="str" cm="1">
        <f t="array" ref="Z179">Common_InputFunctions.Utility_DisplayArrayInTable(Fertiliser_SourceData.Fertiliser_Products_Data3(), FertiliserProducts[[#Headers],[Company]],61)</f>
        <v/>
      </c>
      <c r="AA179" s="152" t="str" cm="1">
        <f t="array" ref="AA179">Common_InputFunctions.Utility_DisplayArrayInTable(Fertiliser_SourceData.Fertiliser_Products_Data3(), FertiliserProducts[[#Headers],[Company]],61)</f>
        <v/>
      </c>
      <c r="AB179" s="152" t="str" cm="1">
        <f t="array" ref="AB179">Common_InputFunctions.Utility_DisplayArrayInTable(Fertiliser_SourceData.Fertiliser_Products_Data3(), FertiliserProducts[[#Headers],[Company]],61)</f>
        <v/>
      </c>
      <c r="AC179" s="152" t="str" cm="1">
        <f t="array" ref="AC179">Common_InputFunctions.Utility_DisplayArrayInTable(Fertiliser_SourceData.Fertiliser_Products_Data3(), FertiliserProducts[[#Headers],[Company]],61)</f>
        <v/>
      </c>
      <c r="AD179" s="152" t="str" cm="1">
        <f t="array" ref="AD179">Common_InputFunctions.Utility_DisplayArrayInTable(Fertiliser_SourceData.Fertiliser_Products_Data3(), FertiliserProducts[[#Headers],[Company]],61)</f>
        <v/>
      </c>
      <c r="AE179" s="152" t="str" cm="1">
        <f t="array" ref="AE179">Common_InputFunctions.Utility_DisplayArrayInTable(Fertiliser_SourceData.Fertiliser_Products_Data3(), FertiliserProducts[[#Headers],[Company]],61)</f>
        <v/>
      </c>
      <c r="AF179" s="152" t="str" cm="1">
        <f t="array" ref="AF179">Common_InputFunctions.Utility_DisplayArrayInTable(Fertiliser_SourceData.Fertiliser_Products_Data3(), FertiliserProducts[[#Headers],[Company]],61)</f>
        <v/>
      </c>
      <c r="AG179" s="152" t="str" cm="1">
        <f t="array" ref="AG179">Common_InputFunctions.Utility_DisplayArrayInTable(Fertiliser_SourceData.Fertiliser_Products_Data3(), FertiliserProducts[[#Headers],[Company]],61)</f>
        <v/>
      </c>
      <c r="AH179" s="152" t="str" cm="1">
        <f t="array" ref="AH179">Common_InputFunctions.Utility_DisplayArrayInTable(Fertiliser_SourceData.Fertiliser_Products_Data3(), FertiliserProducts[[#Headers],[Company]],61)</f>
        <v/>
      </c>
      <c r="AK179" s="1"/>
    </row>
    <row r="180" spans="1:37" ht="20.100000000000001" customHeight="1" x14ac:dyDescent="0.2">
      <c r="D180" s="152" t="str" cm="1">
        <f t="array" ref="D180">Common_InputFunctions.Utility_DisplayArrayInTable(Fertiliser_SourceData.Fertiliser_Products_Data4(),FertiliserProducts[[#Headers],[Company]], 91)</f>
        <v>Impact Fertilisers</v>
      </c>
      <c r="E180" s="152" t="str" cm="1">
        <f t="array" ref="E180">Common_InputFunctions.Utility_DisplayArrayInTable(Fertiliser_SourceData.Fertiliser_Products_Data4(),FertiliserProducts[[#Headers],[Company]], 91)</f>
        <v>Impact Super Potash 1&amp;1</v>
      </c>
      <c r="F180" s="152" t="str" cm="1">
        <f t="array" ref="F180">Common_InputFunctions.Utility_DisplayArrayInTable(Fertiliser_SourceData.Fertiliser_Products_Data4(),FertiliserProducts[[#Headers],[Company]], 91)</f>
        <v>kg</v>
      </c>
      <c r="G180" s="152" cm="1">
        <f t="array" ref="G180">Common_InputFunctions.Utility_DisplayArrayInTable(Fertiliser_SourceData.Fertiliser_Products_Data4(),FertiliserProducts[[#Headers],[Company]], 91)</f>
        <v>1</v>
      </c>
      <c r="H180" s="152" t="str" cm="1">
        <f t="array" ref="H180">Common_InputFunctions.Utility_DisplayArrayInTable(Fertiliser_SourceData.Fertiliser_Products_Data4(),FertiliserProducts[[#Headers],[Company]], 91)</f>
        <v/>
      </c>
      <c r="I180" s="152" t="str" cm="1">
        <f t="array" ref="I180">Common_InputFunctions.Utility_DisplayArrayInTable(Fertiliser_SourceData.Fertiliser_Products_Data4(),FertiliserProducts[[#Headers],[Company]], 91)</f>
        <v/>
      </c>
      <c r="J180" s="152" t="str" cm="1">
        <f t="array" ref="J180">Common_InputFunctions.Utility_DisplayArrayInTable(Fertiliser_SourceData.Fertiliser_Products_Data4(),FertiliserProducts[[#Headers],[Company]], 91)</f>
        <v/>
      </c>
      <c r="K180" s="152" t="str" cm="1">
        <f t="array" ref="K180">Common_InputFunctions.Utility_DisplayArrayInTable(Fertiliser_SourceData.Fertiliser_Products_Data4(),FertiliserProducts[[#Headers],[Company]], 91)</f>
        <v/>
      </c>
      <c r="L180" s="152" cm="1">
        <f t="array" ref="L180">Common_InputFunctions.Utility_DisplayArrayInTable(Fertiliser_SourceData.Fertiliser_Products_Data4(),FertiliserProducts[[#Headers],[Company]], 91)</f>
        <v>4.4000000000000004</v>
      </c>
      <c r="M180" s="152" cm="1">
        <f t="array" ref="M180">Common_InputFunctions.Utility_DisplayArrayInTable(Fertiliser_SourceData.Fertiliser_Products_Data4(),FertiliserProducts[[#Headers],[Company]], 91)</f>
        <v>25</v>
      </c>
      <c r="N180" s="152" cm="1">
        <f t="array" ref="N180">Common_InputFunctions.Utility_DisplayArrayInTable(Fertiliser_SourceData.Fertiliser_Products_Data4(),FertiliserProducts[[#Headers],[Company]], 91)</f>
        <v>5.5</v>
      </c>
      <c r="O180" s="152" t="str" cm="1">
        <f t="array" ref="O180">Common_InputFunctions.Utility_DisplayArrayInTable(Fertiliser_SourceData.Fertiliser_Products_Data4(),FertiliserProducts[[#Headers],[Company]], 91)</f>
        <v>Single superphosphate (SSP)</v>
      </c>
      <c r="P180" s="152" cm="1">
        <f t="array" ref="P180">Common_InputFunctions.Utility_DisplayArrayInTable(Fertiliser_SourceData.Fertiliser_Products_Data4(),FertiliserProducts[[#Headers],[Company]], 91)</f>
        <v>0.5</v>
      </c>
      <c r="Q180" s="152" t="str" cm="1">
        <f t="array" ref="Q180">Common_InputFunctions.Utility_DisplayArrayInTable(Fertiliser_SourceData.Fertiliser_Products_Data4(),FertiliserProducts[[#Headers],[Company]], 91)</f>
        <v>Muriate of potash (MOP)</v>
      </c>
      <c r="R180" s="152" cm="1">
        <f t="array" ref="R180">Common_InputFunctions.Utility_DisplayArrayInTable(Fertiliser_SourceData.Fertiliser_Products_Data4(),FertiliserProducts[[#Headers],[Company]], 91)</f>
        <v>0.5</v>
      </c>
      <c r="S180" s="152" t="str" cm="1">
        <f t="array" ref="S180">Common_InputFunctions.Utility_DisplayArrayInTable(Fertiliser_SourceData.Fertiliser_Products_Data4(),FertiliserProducts[[#Headers],[Company]], 91)</f>
        <v/>
      </c>
      <c r="T180" s="152" t="str" cm="1">
        <f t="array" ref="T180">Common_InputFunctions.Utility_DisplayArrayInTable(Fertiliser_SourceData.Fertiliser_Products_Data4(),FertiliserProducts[[#Headers],[Company]], 91)</f>
        <v/>
      </c>
      <c r="U180" s="152" t="str" cm="1">
        <f t="array" ref="U180">Common_InputFunctions.Utility_DisplayArrayInTable(Fertiliser_SourceData.Fertiliser_Products_Data4(),FertiliserProducts[[#Headers],[Company]], 91)</f>
        <v/>
      </c>
      <c r="V180" s="152" t="str" cm="1">
        <f t="array" ref="V180">Common_InputFunctions.Utility_DisplayArrayInTable(Fertiliser_SourceData.Fertiliser_Products_Data4(),FertiliserProducts[[#Headers],[Company]], 91)</f>
        <v/>
      </c>
      <c r="W180" s="152" t="str" cm="1">
        <f t="array" ref="W180">Common_InputFunctions.Utility_DisplayArrayInTable(Fertiliser_SourceData.Fertiliser_Products_Data4(),FertiliserProducts[[#Headers],[Company]], 91)</f>
        <v/>
      </c>
      <c r="X180" s="152" t="str" cm="1">
        <f t="array" ref="X180">Common_InputFunctions.Utility_DisplayArrayInTable(Fertiliser_SourceData.Fertiliser_Products_Data4(),FertiliserProducts[[#Headers],[Company]], 91)</f>
        <v/>
      </c>
      <c r="Y180" s="152" t="str" cm="1">
        <f t="array" ref="Y180">Common_InputFunctions.Utility_DisplayArrayInTable(Fertiliser_SourceData.Fertiliser_Products_Data4(),FertiliserProducts[[#Headers],[Company]], 91)</f>
        <v/>
      </c>
      <c r="Z180" s="152" t="str" cm="1">
        <f t="array" ref="Z180">Common_InputFunctions.Utility_DisplayArrayInTable(Fertiliser_SourceData.Fertiliser_Products_Data4(),FertiliserProducts[[#Headers],[Company]], 91)</f>
        <v/>
      </c>
      <c r="AA180" s="152" t="str" cm="1">
        <f t="array" ref="AA180">Common_InputFunctions.Utility_DisplayArrayInTable(Fertiliser_SourceData.Fertiliser_Products_Data4(),FertiliserProducts[[#Headers],[Company]], 91)</f>
        <v/>
      </c>
      <c r="AB180" s="152" t="str" cm="1">
        <f t="array" ref="AB180">Common_InputFunctions.Utility_DisplayArrayInTable(Fertiliser_SourceData.Fertiliser_Products_Data4(),FertiliserProducts[[#Headers],[Company]], 91)</f>
        <v/>
      </c>
      <c r="AC180" s="152" t="str" cm="1">
        <f t="array" ref="AC180">Common_InputFunctions.Utility_DisplayArrayInTable(Fertiliser_SourceData.Fertiliser_Products_Data4(),FertiliserProducts[[#Headers],[Company]], 91)</f>
        <v/>
      </c>
      <c r="AD180" s="152" t="str" cm="1">
        <f t="array" ref="AD180">Common_InputFunctions.Utility_DisplayArrayInTable(Fertiliser_SourceData.Fertiliser_Products_Data4(),FertiliserProducts[[#Headers],[Company]], 91)</f>
        <v/>
      </c>
      <c r="AE180" s="152" t="str" cm="1">
        <f t="array" ref="AE180">Common_InputFunctions.Utility_DisplayArrayInTable(Fertiliser_SourceData.Fertiliser_Products_Data4(),FertiliserProducts[[#Headers],[Company]], 91)</f>
        <v/>
      </c>
      <c r="AF180" s="152" t="str" cm="1">
        <f t="array" ref="AF180">Common_InputFunctions.Utility_DisplayArrayInTable(Fertiliser_SourceData.Fertiliser_Products_Data4(),FertiliserProducts[[#Headers],[Company]], 91)</f>
        <v/>
      </c>
      <c r="AG180" s="152" t="str" cm="1">
        <f t="array" ref="AG180">Common_InputFunctions.Utility_DisplayArrayInTable(Fertiliser_SourceData.Fertiliser_Products_Data4(),FertiliserProducts[[#Headers],[Company]], 91)</f>
        <v/>
      </c>
      <c r="AH180" s="152" t="str" cm="1">
        <f t="array" ref="AH180">Common_InputFunctions.Utility_DisplayArrayInTable(Fertiliser_SourceData.Fertiliser_Products_Data4(),FertiliserProducts[[#Headers],[Company]], 91)</f>
        <v/>
      </c>
    </row>
    <row r="181" spans="1:37" ht="20.100000000000001" customHeight="1" x14ac:dyDescent="0.2">
      <c r="D181" s="152" t="str" cm="1">
        <f t="array" ref="D181">Common_InputFunctions.Utility_DisplayArrayInTable(Fertiliser_SourceData.Fertiliser_Products_Data4(),FertiliserProducts[[#Headers],[Company]], 91)</f>
        <v>Impact Fertilisers</v>
      </c>
      <c r="E181" s="152" t="str" cm="1">
        <f t="array" ref="E181">Common_InputFunctions.Utility_DisplayArrayInTable(Fertiliser_SourceData.Fertiliser_Products_Data4(),FertiliserProducts[[#Headers],[Company]], 91)</f>
        <v>Impact Super Potash 2&amp;1</v>
      </c>
      <c r="F181" s="152" t="str" cm="1">
        <f t="array" ref="F181">Common_InputFunctions.Utility_DisplayArrayInTable(Fertiliser_SourceData.Fertiliser_Products_Data4(),FertiliserProducts[[#Headers],[Company]], 91)</f>
        <v>kg</v>
      </c>
      <c r="G181" s="152" cm="1">
        <f t="array" ref="G181">Common_InputFunctions.Utility_DisplayArrayInTable(Fertiliser_SourceData.Fertiliser_Products_Data4(),FertiliserProducts[[#Headers],[Company]], 91)</f>
        <v>1</v>
      </c>
      <c r="H181" s="152" t="str" cm="1">
        <f t="array" ref="H181">Common_InputFunctions.Utility_DisplayArrayInTable(Fertiliser_SourceData.Fertiliser_Products_Data4(),FertiliserProducts[[#Headers],[Company]], 91)</f>
        <v/>
      </c>
      <c r="I181" s="152" t="str" cm="1">
        <f t="array" ref="I181">Common_InputFunctions.Utility_DisplayArrayInTable(Fertiliser_SourceData.Fertiliser_Products_Data4(),FertiliserProducts[[#Headers],[Company]], 91)</f>
        <v/>
      </c>
      <c r="J181" s="152" t="str" cm="1">
        <f t="array" ref="J181">Common_InputFunctions.Utility_DisplayArrayInTable(Fertiliser_SourceData.Fertiliser_Products_Data4(),FertiliserProducts[[#Headers],[Company]], 91)</f>
        <v/>
      </c>
      <c r="K181" s="152" t="str" cm="1">
        <f t="array" ref="K181">Common_InputFunctions.Utility_DisplayArrayInTable(Fertiliser_SourceData.Fertiliser_Products_Data4(),FertiliserProducts[[#Headers],[Company]], 91)</f>
        <v/>
      </c>
      <c r="L181" s="152" cm="1">
        <f t="array" ref="L181">Common_InputFunctions.Utility_DisplayArrayInTable(Fertiliser_SourceData.Fertiliser_Products_Data4(),FertiliserProducts[[#Headers],[Company]], 91)</f>
        <v>5.84</v>
      </c>
      <c r="M181" s="152" cm="1">
        <f t="array" ref="M181">Common_InputFunctions.Utility_DisplayArrayInTable(Fertiliser_SourceData.Fertiliser_Products_Data4(),FertiliserProducts[[#Headers],[Company]], 91)</f>
        <v>16.8</v>
      </c>
      <c r="N181" s="152" cm="1">
        <f t="array" ref="N181">Common_InputFunctions.Utility_DisplayArrayInTable(Fertiliser_SourceData.Fertiliser_Products_Data4(),FertiliserProducts[[#Headers],[Company]], 91)</f>
        <v>7.29</v>
      </c>
      <c r="O181" s="152" t="str" cm="1">
        <f t="array" ref="O181">Common_InputFunctions.Utility_DisplayArrayInTable(Fertiliser_SourceData.Fertiliser_Products_Data4(),FertiliserProducts[[#Headers],[Company]], 91)</f>
        <v>Single superphosphate (SSP)</v>
      </c>
      <c r="P181" s="152" cm="1">
        <f t="array" ref="P181">Common_InputFunctions.Utility_DisplayArrayInTable(Fertiliser_SourceData.Fertiliser_Products_Data4(),FertiliserProducts[[#Headers],[Company]], 91)</f>
        <v>0.66315800000000003</v>
      </c>
      <c r="Q181" s="152" t="str" cm="1">
        <f t="array" ref="Q181">Common_InputFunctions.Utility_DisplayArrayInTable(Fertiliser_SourceData.Fertiliser_Products_Data4(),FertiliserProducts[[#Headers],[Company]], 91)</f>
        <v>Muriate of potash (MOP)</v>
      </c>
      <c r="R181" s="152" cm="1">
        <f t="array" ref="R181">Common_InputFunctions.Utility_DisplayArrayInTable(Fertiliser_SourceData.Fertiliser_Products_Data4(),FertiliserProducts[[#Headers],[Company]], 91)</f>
        <v>0.33600000000000002</v>
      </c>
      <c r="S181" s="152" t="str" cm="1">
        <f t="array" ref="S181">Common_InputFunctions.Utility_DisplayArrayInTable(Fertiliser_SourceData.Fertiliser_Products_Data4(),FertiliserProducts[[#Headers],[Company]], 91)</f>
        <v/>
      </c>
      <c r="T181" s="152" t="str" cm="1">
        <f t="array" ref="T181">Common_InputFunctions.Utility_DisplayArrayInTable(Fertiliser_SourceData.Fertiliser_Products_Data4(),FertiliserProducts[[#Headers],[Company]], 91)</f>
        <v/>
      </c>
      <c r="U181" s="152" t="str" cm="1">
        <f t="array" ref="U181">Common_InputFunctions.Utility_DisplayArrayInTable(Fertiliser_SourceData.Fertiliser_Products_Data4(),FertiliserProducts[[#Headers],[Company]], 91)</f>
        <v/>
      </c>
      <c r="V181" s="152" t="str" cm="1">
        <f t="array" ref="V181">Common_InputFunctions.Utility_DisplayArrayInTable(Fertiliser_SourceData.Fertiliser_Products_Data4(),FertiliserProducts[[#Headers],[Company]], 91)</f>
        <v/>
      </c>
      <c r="W181" s="152" t="str" cm="1">
        <f t="array" ref="W181">Common_InputFunctions.Utility_DisplayArrayInTable(Fertiliser_SourceData.Fertiliser_Products_Data4(),FertiliserProducts[[#Headers],[Company]], 91)</f>
        <v/>
      </c>
      <c r="X181" s="152" t="str" cm="1">
        <f t="array" ref="X181">Common_InputFunctions.Utility_DisplayArrayInTable(Fertiliser_SourceData.Fertiliser_Products_Data4(),FertiliserProducts[[#Headers],[Company]], 91)</f>
        <v/>
      </c>
      <c r="Y181" s="152" t="str" cm="1">
        <f t="array" ref="Y181">Common_InputFunctions.Utility_DisplayArrayInTable(Fertiliser_SourceData.Fertiliser_Products_Data4(),FertiliserProducts[[#Headers],[Company]], 91)</f>
        <v/>
      </c>
      <c r="Z181" s="152" t="str" cm="1">
        <f t="array" ref="Z181">Common_InputFunctions.Utility_DisplayArrayInTable(Fertiliser_SourceData.Fertiliser_Products_Data4(),FertiliserProducts[[#Headers],[Company]], 91)</f>
        <v/>
      </c>
      <c r="AA181" s="152" t="str" cm="1">
        <f t="array" ref="AA181">Common_InputFunctions.Utility_DisplayArrayInTable(Fertiliser_SourceData.Fertiliser_Products_Data4(),FertiliserProducts[[#Headers],[Company]], 91)</f>
        <v/>
      </c>
      <c r="AB181" s="152" t="str" cm="1">
        <f t="array" ref="AB181">Common_InputFunctions.Utility_DisplayArrayInTable(Fertiliser_SourceData.Fertiliser_Products_Data4(),FertiliserProducts[[#Headers],[Company]], 91)</f>
        <v/>
      </c>
      <c r="AC181" s="152" t="str" cm="1">
        <f t="array" ref="AC181">Common_InputFunctions.Utility_DisplayArrayInTable(Fertiliser_SourceData.Fertiliser_Products_Data4(),FertiliserProducts[[#Headers],[Company]], 91)</f>
        <v/>
      </c>
      <c r="AD181" s="152" t="str" cm="1">
        <f t="array" ref="AD181">Common_InputFunctions.Utility_DisplayArrayInTable(Fertiliser_SourceData.Fertiliser_Products_Data4(),FertiliserProducts[[#Headers],[Company]], 91)</f>
        <v/>
      </c>
      <c r="AE181" s="152" t="str" cm="1">
        <f t="array" ref="AE181">Common_InputFunctions.Utility_DisplayArrayInTable(Fertiliser_SourceData.Fertiliser_Products_Data4(),FertiliserProducts[[#Headers],[Company]], 91)</f>
        <v/>
      </c>
      <c r="AF181" s="152" t="str" cm="1">
        <f t="array" ref="AF181">Common_InputFunctions.Utility_DisplayArrayInTable(Fertiliser_SourceData.Fertiliser_Products_Data4(),FertiliserProducts[[#Headers],[Company]], 91)</f>
        <v/>
      </c>
      <c r="AG181" s="152" t="str" cm="1">
        <f t="array" ref="AG181">Common_InputFunctions.Utility_DisplayArrayInTable(Fertiliser_SourceData.Fertiliser_Products_Data4(),FertiliserProducts[[#Headers],[Company]], 91)</f>
        <v/>
      </c>
      <c r="AH181" s="152" t="str" cm="1">
        <f t="array" ref="AH181">Common_InputFunctions.Utility_DisplayArrayInTable(Fertiliser_SourceData.Fertiliser_Products_Data4(),FertiliserProducts[[#Headers],[Company]], 91)</f>
        <v/>
      </c>
    </row>
    <row r="182" spans="1:37" ht="20.100000000000001" customHeight="1" x14ac:dyDescent="0.2">
      <c r="D182" s="152" t="str" cm="1">
        <f t="array" ref="D182">Common_InputFunctions.Utility_DisplayArrayInTable(Fertiliser_SourceData.Fertiliser_Products_Data4(),FertiliserProducts[[#Headers],[Company]], 91)</f>
        <v>Impact Fertilisers</v>
      </c>
      <c r="E182" s="152" t="str" cm="1">
        <f t="array" ref="E182">Common_InputFunctions.Utility_DisplayArrayInTable(Fertiliser_SourceData.Fertiliser_Products_Data4(),FertiliserProducts[[#Headers],[Company]], 91)</f>
        <v>Impact Super Potash 3&amp;1</v>
      </c>
      <c r="F182" s="152" t="str" cm="1">
        <f t="array" ref="F182">Common_InputFunctions.Utility_DisplayArrayInTable(Fertiliser_SourceData.Fertiliser_Products_Data4(),FertiliserProducts[[#Headers],[Company]], 91)</f>
        <v>kg</v>
      </c>
      <c r="G182" s="152" cm="1">
        <f t="array" ref="G182">Common_InputFunctions.Utility_DisplayArrayInTable(Fertiliser_SourceData.Fertiliser_Products_Data4(),FertiliserProducts[[#Headers],[Company]], 91)</f>
        <v>1</v>
      </c>
      <c r="H182" s="152" t="str" cm="1">
        <f t="array" ref="H182">Common_InputFunctions.Utility_DisplayArrayInTable(Fertiliser_SourceData.Fertiliser_Products_Data4(),FertiliserProducts[[#Headers],[Company]], 91)</f>
        <v/>
      </c>
      <c r="I182" s="152" t="str" cm="1">
        <f t="array" ref="I182">Common_InputFunctions.Utility_DisplayArrayInTable(Fertiliser_SourceData.Fertiliser_Products_Data4(),FertiliserProducts[[#Headers],[Company]], 91)</f>
        <v/>
      </c>
      <c r="J182" s="152" t="str" cm="1">
        <f t="array" ref="J182">Common_InputFunctions.Utility_DisplayArrayInTable(Fertiliser_SourceData.Fertiliser_Products_Data4(),FertiliserProducts[[#Headers],[Company]], 91)</f>
        <v/>
      </c>
      <c r="K182" s="152" t="str" cm="1">
        <f t="array" ref="K182">Common_InputFunctions.Utility_DisplayArrayInTable(Fertiliser_SourceData.Fertiliser_Products_Data4(),FertiliserProducts[[#Headers],[Company]], 91)</f>
        <v/>
      </c>
      <c r="L182" s="152" cm="1">
        <f t="array" ref="L182">Common_InputFunctions.Utility_DisplayArrayInTable(Fertiliser_SourceData.Fertiliser_Products_Data4(),FertiliserProducts[[#Headers],[Company]], 91)</f>
        <v>6.58</v>
      </c>
      <c r="M182" s="152" cm="1">
        <f t="array" ref="M182">Common_InputFunctions.Utility_DisplayArrayInTable(Fertiliser_SourceData.Fertiliser_Products_Data4(),FertiliserProducts[[#Headers],[Company]], 91)</f>
        <v>12.5</v>
      </c>
      <c r="N182" s="152" cm="1">
        <f t="array" ref="N182">Common_InputFunctions.Utility_DisplayArrayInTable(Fertiliser_SourceData.Fertiliser_Products_Data4(),FertiliserProducts[[#Headers],[Company]], 91)</f>
        <v>8.2200000000000006</v>
      </c>
      <c r="O182" s="152" t="str" cm="1">
        <f t="array" ref="O182">Common_InputFunctions.Utility_DisplayArrayInTable(Fertiliser_SourceData.Fertiliser_Products_Data4(),FertiliserProducts[[#Headers],[Company]], 91)</f>
        <v>Single superphosphate (SSP)</v>
      </c>
      <c r="P182" s="152" cm="1">
        <f t="array" ref="P182">Common_InputFunctions.Utility_DisplayArrayInTable(Fertiliser_SourceData.Fertiliser_Products_Data4(),FertiliserProducts[[#Headers],[Company]], 91)</f>
        <v>0.74736800000000003</v>
      </c>
      <c r="Q182" s="152" t="str" cm="1">
        <f t="array" ref="Q182">Common_InputFunctions.Utility_DisplayArrayInTable(Fertiliser_SourceData.Fertiliser_Products_Data4(),FertiliserProducts[[#Headers],[Company]], 91)</f>
        <v>Muriate of potash (MOP)</v>
      </c>
      <c r="R182" s="152" cm="1">
        <f t="array" ref="R182">Common_InputFunctions.Utility_DisplayArrayInTable(Fertiliser_SourceData.Fertiliser_Products_Data4(),FertiliserProducts[[#Headers],[Company]], 91)</f>
        <v>0.25</v>
      </c>
      <c r="S182" s="152" t="str" cm="1">
        <f t="array" ref="S182">Common_InputFunctions.Utility_DisplayArrayInTable(Fertiliser_SourceData.Fertiliser_Products_Data4(),FertiliserProducts[[#Headers],[Company]], 91)</f>
        <v/>
      </c>
      <c r="T182" s="152" t="str" cm="1">
        <f t="array" ref="T182">Common_InputFunctions.Utility_DisplayArrayInTable(Fertiliser_SourceData.Fertiliser_Products_Data4(),FertiliserProducts[[#Headers],[Company]], 91)</f>
        <v/>
      </c>
      <c r="U182" s="152" t="str" cm="1">
        <f t="array" ref="U182">Common_InputFunctions.Utility_DisplayArrayInTable(Fertiliser_SourceData.Fertiliser_Products_Data4(),FertiliserProducts[[#Headers],[Company]], 91)</f>
        <v/>
      </c>
      <c r="V182" s="152" t="str" cm="1">
        <f t="array" ref="V182">Common_InputFunctions.Utility_DisplayArrayInTable(Fertiliser_SourceData.Fertiliser_Products_Data4(),FertiliserProducts[[#Headers],[Company]], 91)</f>
        <v/>
      </c>
      <c r="W182" s="152" t="str" cm="1">
        <f t="array" ref="W182">Common_InputFunctions.Utility_DisplayArrayInTable(Fertiliser_SourceData.Fertiliser_Products_Data4(),FertiliserProducts[[#Headers],[Company]], 91)</f>
        <v/>
      </c>
      <c r="X182" s="152" t="str" cm="1">
        <f t="array" ref="X182">Common_InputFunctions.Utility_DisplayArrayInTable(Fertiliser_SourceData.Fertiliser_Products_Data4(),FertiliserProducts[[#Headers],[Company]], 91)</f>
        <v/>
      </c>
      <c r="Y182" s="152" t="str" cm="1">
        <f t="array" ref="Y182">Common_InputFunctions.Utility_DisplayArrayInTable(Fertiliser_SourceData.Fertiliser_Products_Data4(),FertiliserProducts[[#Headers],[Company]], 91)</f>
        <v/>
      </c>
      <c r="Z182" s="152" t="str" cm="1">
        <f t="array" ref="Z182">Common_InputFunctions.Utility_DisplayArrayInTable(Fertiliser_SourceData.Fertiliser_Products_Data4(),FertiliserProducts[[#Headers],[Company]], 91)</f>
        <v/>
      </c>
      <c r="AA182" s="152" t="str" cm="1">
        <f t="array" ref="AA182">Common_InputFunctions.Utility_DisplayArrayInTable(Fertiliser_SourceData.Fertiliser_Products_Data4(),FertiliserProducts[[#Headers],[Company]], 91)</f>
        <v/>
      </c>
      <c r="AB182" s="152" t="str" cm="1">
        <f t="array" ref="AB182">Common_InputFunctions.Utility_DisplayArrayInTable(Fertiliser_SourceData.Fertiliser_Products_Data4(),FertiliserProducts[[#Headers],[Company]], 91)</f>
        <v/>
      </c>
      <c r="AC182" s="152" t="str" cm="1">
        <f t="array" ref="AC182">Common_InputFunctions.Utility_DisplayArrayInTable(Fertiliser_SourceData.Fertiliser_Products_Data4(),FertiliserProducts[[#Headers],[Company]], 91)</f>
        <v/>
      </c>
      <c r="AD182" s="152" t="str" cm="1">
        <f t="array" ref="AD182">Common_InputFunctions.Utility_DisplayArrayInTable(Fertiliser_SourceData.Fertiliser_Products_Data4(),FertiliserProducts[[#Headers],[Company]], 91)</f>
        <v/>
      </c>
      <c r="AE182" s="152" t="str" cm="1">
        <f t="array" ref="AE182">Common_InputFunctions.Utility_DisplayArrayInTable(Fertiliser_SourceData.Fertiliser_Products_Data4(),FertiliserProducts[[#Headers],[Company]], 91)</f>
        <v/>
      </c>
      <c r="AF182" s="152" t="str" cm="1">
        <f t="array" ref="AF182">Common_InputFunctions.Utility_DisplayArrayInTable(Fertiliser_SourceData.Fertiliser_Products_Data4(),FertiliserProducts[[#Headers],[Company]], 91)</f>
        <v/>
      </c>
      <c r="AG182" s="152" t="str" cm="1">
        <f t="array" ref="AG182">Common_InputFunctions.Utility_DisplayArrayInTable(Fertiliser_SourceData.Fertiliser_Products_Data4(),FertiliserProducts[[#Headers],[Company]], 91)</f>
        <v/>
      </c>
      <c r="AH182" s="152" t="str" cm="1">
        <f t="array" ref="AH182">Common_InputFunctions.Utility_DisplayArrayInTable(Fertiliser_SourceData.Fertiliser_Products_Data4(),FertiliserProducts[[#Headers],[Company]], 91)</f>
        <v/>
      </c>
    </row>
    <row r="183" spans="1:37" ht="20.100000000000001" customHeight="1" x14ac:dyDescent="0.2">
      <c r="D183" s="152" t="str" cm="1">
        <f t="array" ref="D183">Common_InputFunctions.Utility_DisplayArrayInTable(Fertiliser_SourceData.Fertiliser_Products_Data4(),FertiliserProducts[[#Headers],[Company]], 91)</f>
        <v>Impact Fertilisers</v>
      </c>
      <c r="E183" s="152" t="str" cm="1">
        <f t="array" ref="E183">Common_InputFunctions.Utility_DisplayArrayInTable(Fertiliser_SourceData.Fertiliser_Products_Data4(),FertiliserProducts[[#Headers],[Company]], 91)</f>
        <v>Impact Super Potash 4&amp;1</v>
      </c>
      <c r="F183" s="152" t="str" cm="1">
        <f t="array" ref="F183">Common_InputFunctions.Utility_DisplayArrayInTable(Fertiliser_SourceData.Fertiliser_Products_Data4(),FertiliserProducts[[#Headers],[Company]], 91)</f>
        <v>kg</v>
      </c>
      <c r="G183" s="152" cm="1">
        <f t="array" ref="G183">Common_InputFunctions.Utility_DisplayArrayInTable(Fertiliser_SourceData.Fertiliser_Products_Data4(),FertiliserProducts[[#Headers],[Company]], 91)</f>
        <v>1</v>
      </c>
      <c r="H183" s="152" t="str" cm="1">
        <f t="array" ref="H183">Common_InputFunctions.Utility_DisplayArrayInTable(Fertiliser_SourceData.Fertiliser_Products_Data4(),FertiliserProducts[[#Headers],[Company]], 91)</f>
        <v/>
      </c>
      <c r="I183" s="152" t="str" cm="1">
        <f t="array" ref="I183">Common_InputFunctions.Utility_DisplayArrayInTable(Fertiliser_SourceData.Fertiliser_Products_Data4(),FertiliserProducts[[#Headers],[Company]], 91)</f>
        <v/>
      </c>
      <c r="J183" s="152" t="str" cm="1">
        <f t="array" ref="J183">Common_InputFunctions.Utility_DisplayArrayInTable(Fertiliser_SourceData.Fertiliser_Products_Data4(),FertiliserProducts[[#Headers],[Company]], 91)</f>
        <v/>
      </c>
      <c r="K183" s="152" t="str" cm="1">
        <f t="array" ref="K183">Common_InputFunctions.Utility_DisplayArrayInTable(Fertiliser_SourceData.Fertiliser_Products_Data4(),FertiliserProducts[[#Headers],[Company]], 91)</f>
        <v/>
      </c>
      <c r="L183" s="152" cm="1">
        <f t="array" ref="L183">Common_InputFunctions.Utility_DisplayArrayInTable(Fertiliser_SourceData.Fertiliser_Products_Data4(),FertiliserProducts[[#Headers],[Company]], 91)</f>
        <v>7.04</v>
      </c>
      <c r="M183" s="152" cm="1">
        <f t="array" ref="M183">Common_InputFunctions.Utility_DisplayArrayInTable(Fertiliser_SourceData.Fertiliser_Products_Data4(),FertiliserProducts[[#Headers],[Company]], 91)</f>
        <v>10</v>
      </c>
      <c r="N183" s="152" cm="1">
        <f t="array" ref="N183">Common_InputFunctions.Utility_DisplayArrayInTable(Fertiliser_SourceData.Fertiliser_Products_Data4(),FertiliserProducts[[#Headers],[Company]], 91)</f>
        <v>8.8000000000000007</v>
      </c>
      <c r="O183" s="152" t="str" cm="1">
        <f t="array" ref="O183">Common_InputFunctions.Utility_DisplayArrayInTable(Fertiliser_SourceData.Fertiliser_Products_Data4(),FertiliserProducts[[#Headers],[Company]], 91)</f>
        <v>Single superphosphate (SSP)</v>
      </c>
      <c r="P183" s="152" cm="1">
        <f t="array" ref="P183">Common_InputFunctions.Utility_DisplayArrayInTable(Fertiliser_SourceData.Fertiliser_Products_Data4(),FertiliserProducts[[#Headers],[Company]], 91)</f>
        <v>0.8</v>
      </c>
      <c r="Q183" s="152" t="str" cm="1">
        <f t="array" ref="Q183">Common_InputFunctions.Utility_DisplayArrayInTable(Fertiliser_SourceData.Fertiliser_Products_Data4(),FertiliserProducts[[#Headers],[Company]], 91)</f>
        <v>Muriate of potash (MOP)</v>
      </c>
      <c r="R183" s="152" cm="1">
        <f t="array" ref="R183">Common_InputFunctions.Utility_DisplayArrayInTable(Fertiliser_SourceData.Fertiliser_Products_Data4(),FertiliserProducts[[#Headers],[Company]], 91)</f>
        <v>0.2</v>
      </c>
      <c r="S183" s="152" t="str" cm="1">
        <f t="array" ref="S183">Common_InputFunctions.Utility_DisplayArrayInTable(Fertiliser_SourceData.Fertiliser_Products_Data4(),FertiliserProducts[[#Headers],[Company]], 91)</f>
        <v/>
      </c>
      <c r="T183" s="152" t="str" cm="1">
        <f t="array" ref="T183">Common_InputFunctions.Utility_DisplayArrayInTable(Fertiliser_SourceData.Fertiliser_Products_Data4(),FertiliserProducts[[#Headers],[Company]], 91)</f>
        <v/>
      </c>
      <c r="U183" s="152" t="str" cm="1">
        <f t="array" ref="U183">Common_InputFunctions.Utility_DisplayArrayInTable(Fertiliser_SourceData.Fertiliser_Products_Data4(),FertiliserProducts[[#Headers],[Company]], 91)</f>
        <v/>
      </c>
      <c r="V183" s="152" t="str" cm="1">
        <f t="array" ref="V183">Common_InputFunctions.Utility_DisplayArrayInTable(Fertiliser_SourceData.Fertiliser_Products_Data4(),FertiliserProducts[[#Headers],[Company]], 91)</f>
        <v/>
      </c>
      <c r="W183" s="152" t="str" cm="1">
        <f t="array" ref="W183">Common_InputFunctions.Utility_DisplayArrayInTable(Fertiliser_SourceData.Fertiliser_Products_Data4(),FertiliserProducts[[#Headers],[Company]], 91)</f>
        <v/>
      </c>
      <c r="X183" s="152" t="str" cm="1">
        <f t="array" ref="X183">Common_InputFunctions.Utility_DisplayArrayInTable(Fertiliser_SourceData.Fertiliser_Products_Data4(),FertiliserProducts[[#Headers],[Company]], 91)</f>
        <v/>
      </c>
      <c r="Y183" s="152" t="str" cm="1">
        <f t="array" ref="Y183">Common_InputFunctions.Utility_DisplayArrayInTable(Fertiliser_SourceData.Fertiliser_Products_Data4(),FertiliserProducts[[#Headers],[Company]], 91)</f>
        <v/>
      </c>
      <c r="Z183" s="152" t="str" cm="1">
        <f t="array" ref="Z183">Common_InputFunctions.Utility_DisplayArrayInTable(Fertiliser_SourceData.Fertiliser_Products_Data4(),FertiliserProducts[[#Headers],[Company]], 91)</f>
        <v/>
      </c>
      <c r="AA183" s="152" t="str" cm="1">
        <f t="array" ref="AA183">Common_InputFunctions.Utility_DisplayArrayInTable(Fertiliser_SourceData.Fertiliser_Products_Data4(),FertiliserProducts[[#Headers],[Company]], 91)</f>
        <v/>
      </c>
      <c r="AB183" s="152" t="str" cm="1">
        <f t="array" ref="AB183">Common_InputFunctions.Utility_DisplayArrayInTable(Fertiliser_SourceData.Fertiliser_Products_Data4(),FertiliserProducts[[#Headers],[Company]], 91)</f>
        <v/>
      </c>
      <c r="AC183" s="152" t="str" cm="1">
        <f t="array" ref="AC183">Common_InputFunctions.Utility_DisplayArrayInTable(Fertiliser_SourceData.Fertiliser_Products_Data4(),FertiliserProducts[[#Headers],[Company]], 91)</f>
        <v/>
      </c>
      <c r="AD183" s="152" t="str" cm="1">
        <f t="array" ref="AD183">Common_InputFunctions.Utility_DisplayArrayInTable(Fertiliser_SourceData.Fertiliser_Products_Data4(),FertiliserProducts[[#Headers],[Company]], 91)</f>
        <v/>
      </c>
      <c r="AE183" s="152" t="str" cm="1">
        <f t="array" ref="AE183">Common_InputFunctions.Utility_DisplayArrayInTable(Fertiliser_SourceData.Fertiliser_Products_Data4(),FertiliserProducts[[#Headers],[Company]], 91)</f>
        <v/>
      </c>
      <c r="AF183" s="152" t="str" cm="1">
        <f t="array" ref="AF183">Common_InputFunctions.Utility_DisplayArrayInTable(Fertiliser_SourceData.Fertiliser_Products_Data4(),FertiliserProducts[[#Headers],[Company]], 91)</f>
        <v/>
      </c>
      <c r="AG183" s="152" t="str" cm="1">
        <f t="array" ref="AG183">Common_InputFunctions.Utility_DisplayArrayInTable(Fertiliser_SourceData.Fertiliser_Products_Data4(),FertiliserProducts[[#Headers],[Company]], 91)</f>
        <v/>
      </c>
      <c r="AH183" s="152" t="str" cm="1">
        <f t="array" ref="AH183">Common_InputFunctions.Utility_DisplayArrayInTable(Fertiliser_SourceData.Fertiliser_Products_Data4(),FertiliserProducts[[#Headers],[Company]], 91)</f>
        <v/>
      </c>
    </row>
    <row r="184" spans="1:37" ht="20.100000000000001" customHeight="1" x14ac:dyDescent="0.2">
      <c r="D184" s="152" t="str" cm="1">
        <f t="array" ref="D184">Common_InputFunctions.Utility_DisplayArrayInTable(Fertiliser_SourceData.Fertiliser_Products_Data4(),FertiliserProducts[[#Headers],[Company]], 91)</f>
        <v>Impact Fertilisers</v>
      </c>
      <c r="E184" s="152" t="str" cm="1">
        <f t="array" ref="E184">Common_InputFunctions.Utility_DisplayArrayInTable(Fertiliser_SourceData.Fertiliser_Products_Data4(),FertiliserProducts[[#Headers],[Company]], 91)</f>
        <v>Impact Super Potash 5&amp;1</v>
      </c>
      <c r="F184" s="152" t="str" cm="1">
        <f t="array" ref="F184">Common_InputFunctions.Utility_DisplayArrayInTable(Fertiliser_SourceData.Fertiliser_Products_Data4(),FertiliserProducts[[#Headers],[Company]], 91)</f>
        <v>kg</v>
      </c>
      <c r="G184" s="152" cm="1">
        <f t="array" ref="G184">Common_InputFunctions.Utility_DisplayArrayInTable(Fertiliser_SourceData.Fertiliser_Products_Data4(),FertiliserProducts[[#Headers],[Company]], 91)</f>
        <v>1</v>
      </c>
      <c r="H184" s="152" t="str" cm="1">
        <f t="array" ref="H184">Common_InputFunctions.Utility_DisplayArrayInTable(Fertiliser_SourceData.Fertiliser_Products_Data4(),FertiliserProducts[[#Headers],[Company]], 91)</f>
        <v/>
      </c>
      <c r="I184" s="152" t="str" cm="1">
        <f t="array" ref="I184">Common_InputFunctions.Utility_DisplayArrayInTable(Fertiliser_SourceData.Fertiliser_Products_Data4(),FertiliserProducts[[#Headers],[Company]], 91)</f>
        <v/>
      </c>
      <c r="J184" s="152" t="str" cm="1">
        <f t="array" ref="J184">Common_InputFunctions.Utility_DisplayArrayInTable(Fertiliser_SourceData.Fertiliser_Products_Data4(),FertiliserProducts[[#Headers],[Company]], 91)</f>
        <v/>
      </c>
      <c r="K184" s="152" t="str" cm="1">
        <f t="array" ref="K184">Common_InputFunctions.Utility_DisplayArrayInTable(Fertiliser_SourceData.Fertiliser_Products_Data4(),FertiliserProducts[[#Headers],[Company]], 91)</f>
        <v/>
      </c>
      <c r="L184" s="152" cm="1">
        <f t="array" ref="L184">Common_InputFunctions.Utility_DisplayArrayInTable(Fertiliser_SourceData.Fertiliser_Products_Data4(),FertiliserProducts[[#Headers],[Company]], 91)</f>
        <v>7.32</v>
      </c>
      <c r="M184" s="152" cm="1">
        <f t="array" ref="M184">Common_InputFunctions.Utility_DisplayArrayInTable(Fertiliser_SourceData.Fertiliser_Products_Data4(),FertiliserProducts[[#Headers],[Company]], 91)</f>
        <v>8.4</v>
      </c>
      <c r="N184" s="152" cm="1">
        <f t="array" ref="N184">Common_InputFunctions.Utility_DisplayArrayInTable(Fertiliser_SourceData.Fertiliser_Products_Data4(),FertiliserProducts[[#Headers],[Company]], 91)</f>
        <v>9.15</v>
      </c>
      <c r="O184" s="152" t="str" cm="1">
        <f t="array" ref="O184">Common_InputFunctions.Utility_DisplayArrayInTable(Fertiliser_SourceData.Fertiliser_Products_Data4(),FertiliserProducts[[#Headers],[Company]], 91)</f>
        <v>Single superphosphate (SSP)</v>
      </c>
      <c r="P184" s="152" cm="1">
        <f t="array" ref="P184">Common_InputFunctions.Utility_DisplayArrayInTable(Fertiliser_SourceData.Fertiliser_Products_Data4(),FertiliserProducts[[#Headers],[Company]], 91)</f>
        <v>0.83157899999999996</v>
      </c>
      <c r="Q184" s="152" t="str" cm="1">
        <f t="array" ref="Q184">Common_InputFunctions.Utility_DisplayArrayInTable(Fertiliser_SourceData.Fertiliser_Products_Data4(),FertiliserProducts[[#Headers],[Company]], 91)</f>
        <v>Muriate of potash (MOP)</v>
      </c>
      <c r="R184" s="152" cm="1">
        <f t="array" ref="R184">Common_InputFunctions.Utility_DisplayArrayInTable(Fertiliser_SourceData.Fertiliser_Products_Data4(),FertiliserProducts[[#Headers],[Company]], 91)</f>
        <v>0.16800000000000001</v>
      </c>
      <c r="S184" s="152" t="str" cm="1">
        <f t="array" ref="S184">Common_InputFunctions.Utility_DisplayArrayInTable(Fertiliser_SourceData.Fertiliser_Products_Data4(),FertiliserProducts[[#Headers],[Company]], 91)</f>
        <v/>
      </c>
      <c r="T184" s="152" t="str" cm="1">
        <f t="array" ref="T184">Common_InputFunctions.Utility_DisplayArrayInTable(Fertiliser_SourceData.Fertiliser_Products_Data4(),FertiliserProducts[[#Headers],[Company]], 91)</f>
        <v/>
      </c>
      <c r="U184" s="152" t="str" cm="1">
        <f t="array" ref="U184">Common_InputFunctions.Utility_DisplayArrayInTable(Fertiliser_SourceData.Fertiliser_Products_Data4(),FertiliserProducts[[#Headers],[Company]], 91)</f>
        <v/>
      </c>
      <c r="V184" s="152" t="str" cm="1">
        <f t="array" ref="V184">Common_InputFunctions.Utility_DisplayArrayInTable(Fertiliser_SourceData.Fertiliser_Products_Data4(),FertiliserProducts[[#Headers],[Company]], 91)</f>
        <v/>
      </c>
      <c r="W184" s="152" t="str" cm="1">
        <f t="array" ref="W184">Common_InputFunctions.Utility_DisplayArrayInTable(Fertiliser_SourceData.Fertiliser_Products_Data4(),FertiliserProducts[[#Headers],[Company]], 91)</f>
        <v/>
      </c>
      <c r="X184" s="152" t="str" cm="1">
        <f t="array" ref="X184">Common_InputFunctions.Utility_DisplayArrayInTable(Fertiliser_SourceData.Fertiliser_Products_Data4(),FertiliserProducts[[#Headers],[Company]], 91)</f>
        <v/>
      </c>
      <c r="Y184" s="152" t="str" cm="1">
        <f t="array" ref="Y184">Common_InputFunctions.Utility_DisplayArrayInTable(Fertiliser_SourceData.Fertiliser_Products_Data4(),FertiliserProducts[[#Headers],[Company]], 91)</f>
        <v/>
      </c>
      <c r="Z184" s="152" t="str" cm="1">
        <f t="array" ref="Z184">Common_InputFunctions.Utility_DisplayArrayInTable(Fertiliser_SourceData.Fertiliser_Products_Data4(),FertiliserProducts[[#Headers],[Company]], 91)</f>
        <v/>
      </c>
      <c r="AA184" s="152" t="str" cm="1">
        <f t="array" ref="AA184">Common_InputFunctions.Utility_DisplayArrayInTable(Fertiliser_SourceData.Fertiliser_Products_Data4(),FertiliserProducts[[#Headers],[Company]], 91)</f>
        <v/>
      </c>
      <c r="AB184" s="152" t="str" cm="1">
        <f t="array" ref="AB184">Common_InputFunctions.Utility_DisplayArrayInTable(Fertiliser_SourceData.Fertiliser_Products_Data4(),FertiliserProducts[[#Headers],[Company]], 91)</f>
        <v/>
      </c>
      <c r="AC184" s="152" t="str" cm="1">
        <f t="array" ref="AC184">Common_InputFunctions.Utility_DisplayArrayInTable(Fertiliser_SourceData.Fertiliser_Products_Data4(),FertiliserProducts[[#Headers],[Company]], 91)</f>
        <v/>
      </c>
      <c r="AD184" s="152" t="str" cm="1">
        <f t="array" ref="AD184">Common_InputFunctions.Utility_DisplayArrayInTable(Fertiliser_SourceData.Fertiliser_Products_Data4(),FertiliserProducts[[#Headers],[Company]], 91)</f>
        <v/>
      </c>
      <c r="AE184" s="152" t="str" cm="1">
        <f t="array" ref="AE184">Common_InputFunctions.Utility_DisplayArrayInTable(Fertiliser_SourceData.Fertiliser_Products_Data4(),FertiliserProducts[[#Headers],[Company]], 91)</f>
        <v/>
      </c>
      <c r="AF184" s="152" t="str" cm="1">
        <f t="array" ref="AF184">Common_InputFunctions.Utility_DisplayArrayInTable(Fertiliser_SourceData.Fertiliser_Products_Data4(),FertiliserProducts[[#Headers],[Company]], 91)</f>
        <v/>
      </c>
      <c r="AG184" s="152" t="str" cm="1">
        <f t="array" ref="AG184">Common_InputFunctions.Utility_DisplayArrayInTable(Fertiliser_SourceData.Fertiliser_Products_Data4(),FertiliserProducts[[#Headers],[Company]], 91)</f>
        <v/>
      </c>
      <c r="AH184" s="152" t="str" cm="1">
        <f t="array" ref="AH184">Common_InputFunctions.Utility_DisplayArrayInTable(Fertiliser_SourceData.Fertiliser_Products_Data4(),FertiliserProducts[[#Headers],[Company]], 91)</f>
        <v/>
      </c>
    </row>
    <row r="185" spans="1:37" ht="20.100000000000001" customHeight="1" x14ac:dyDescent="0.2">
      <c r="D185" s="152" t="str" cm="1">
        <f t="array" ref="D185">Common_InputFunctions.Utility_DisplayArrayInTable(Fertiliser_SourceData.Fertiliser_Products_Data4(),FertiliserProducts[[#Headers],[Company]], 91)</f>
        <v>Pacific Fertiliser / Incitec Pivot Fertilisers</v>
      </c>
      <c r="E185" s="152" t="str" cm="1">
        <f t="array" ref="E185">Common_InputFunctions.Utility_DisplayArrayInTable(Fertiliser_SourceData.Fertiliser_Products_Data4(),FertiliserProducts[[#Headers],[Company]], 91)</f>
        <v>Cal-Gran</v>
      </c>
      <c r="F185" s="152" t="str" cm="1">
        <f t="array" ref="F185">Common_InputFunctions.Utility_DisplayArrayInTable(Fertiliser_SourceData.Fertiliser_Products_Data4(),FertiliserProducts[[#Headers],[Company]], 91)</f>
        <v>kg</v>
      </c>
      <c r="G185" s="152" cm="1">
        <f t="array" ref="G185">Common_InputFunctions.Utility_DisplayArrayInTable(Fertiliser_SourceData.Fertiliser_Products_Data4(),FertiliserProducts[[#Headers],[Company]], 91)</f>
        <v>1</v>
      </c>
      <c r="H185" s="152" t="str" cm="1">
        <f t="array" ref="H185">Common_InputFunctions.Utility_DisplayArrayInTable(Fertiliser_SourceData.Fertiliser_Products_Data4(),FertiliserProducts[[#Headers],[Company]], 91)</f>
        <v/>
      </c>
      <c r="I185" s="152" t="str" cm="1">
        <f t="array" ref="I185">Common_InputFunctions.Utility_DisplayArrayInTable(Fertiliser_SourceData.Fertiliser_Products_Data4(),FertiliserProducts[[#Headers],[Company]], 91)</f>
        <v/>
      </c>
      <c r="J185" s="152" t="str" cm="1">
        <f t="array" ref="J185">Common_InputFunctions.Utility_DisplayArrayInTable(Fertiliser_SourceData.Fertiliser_Products_Data4(),FertiliserProducts[[#Headers],[Company]], 91)</f>
        <v/>
      </c>
      <c r="K185" s="152" cm="1">
        <f t="array" ref="K185">Common_InputFunctions.Utility_DisplayArrayInTable(Fertiliser_SourceData.Fertiliser_Products_Data4(),FertiliserProducts[[#Headers],[Company]], 91)</f>
        <v>23.9</v>
      </c>
      <c r="L185" s="152" t="str" cm="1">
        <f t="array" ref="L185">Common_InputFunctions.Utility_DisplayArrayInTable(Fertiliser_SourceData.Fertiliser_Products_Data4(),FertiliserProducts[[#Headers],[Company]], 91)</f>
        <v/>
      </c>
      <c r="M185" s="152" t="str" cm="1">
        <f t="array" ref="M185">Common_InputFunctions.Utility_DisplayArrayInTable(Fertiliser_SourceData.Fertiliser_Products_Data4(),FertiliserProducts[[#Headers],[Company]], 91)</f>
        <v/>
      </c>
      <c r="N185" s="152" cm="1">
        <f t="array" ref="N185">Common_InputFunctions.Utility_DisplayArrayInTable(Fertiliser_SourceData.Fertiliser_Products_Data4(),FertiliserProducts[[#Headers],[Company]], 91)</f>
        <v>10.8</v>
      </c>
      <c r="O185" s="152" t="str" cm="1">
        <f t="array" ref="O185">Common_InputFunctions.Utility_DisplayArrayInTable(Fertiliser_SourceData.Fertiliser_Products_Data4(),FertiliserProducts[[#Headers],[Company]], 91)</f>
        <v>Nitrogen - Nitrate</v>
      </c>
      <c r="P185" s="152" cm="1">
        <f t="array" ref="P185">Common_InputFunctions.Utility_DisplayArrayInTable(Fertiliser_SourceData.Fertiliser_Products_Data4(),FertiliserProducts[[#Headers],[Company]], 91)</f>
        <v>7.3999999999999996E-2</v>
      </c>
      <c r="Q185" s="152" t="str" cm="1">
        <f t="array" ref="Q185">Common_InputFunctions.Utility_DisplayArrayInTable(Fertiliser_SourceData.Fertiliser_Products_Data4(),FertiliserProducts[[#Headers],[Company]], 91)</f>
        <v>Nitrogen - Ammoniacal</v>
      </c>
      <c r="R185" s="152" cm="1">
        <f t="array" ref="R185">Common_InputFunctions.Utility_DisplayArrayInTable(Fertiliser_SourceData.Fertiliser_Products_Data4(),FertiliserProducts[[#Headers],[Company]], 91)</f>
        <v>0.16500000000000001</v>
      </c>
      <c r="S185" s="152" t="str" cm="1">
        <f t="array" ref="S185">Common_InputFunctions.Utility_DisplayArrayInTable(Fertiliser_SourceData.Fertiliser_Products_Data4(),FertiliserProducts[[#Headers],[Company]], 91)</f>
        <v>Sulfur - Generic</v>
      </c>
      <c r="T185" s="152" cm="1">
        <f t="array" ref="T185">Common_InputFunctions.Utility_DisplayArrayInTable(Fertiliser_SourceData.Fertiliser_Products_Data4(),FertiliserProducts[[#Headers],[Company]], 91)</f>
        <v>0.108</v>
      </c>
      <c r="U185" s="152" t="str" cm="1">
        <f t="array" ref="U185">Common_InputFunctions.Utility_DisplayArrayInTable(Fertiliser_SourceData.Fertiliser_Products_Data4(),FertiliserProducts[[#Headers],[Company]], 91)</f>
        <v>Calcium</v>
      </c>
      <c r="V185" s="152" cm="1">
        <f t="array" ref="V185">Common_InputFunctions.Utility_DisplayArrayInTable(Fertiliser_SourceData.Fertiliser_Products_Data4(),FertiliserProducts[[#Headers],[Company]], 91)</f>
        <v>4.3999999999999997E-2</v>
      </c>
      <c r="W185" s="152" t="str" cm="1">
        <f t="array" ref="W185">Common_InputFunctions.Utility_DisplayArrayInTable(Fertiliser_SourceData.Fertiliser_Products_Data4(),FertiliserProducts[[#Headers],[Company]], 91)</f>
        <v/>
      </c>
      <c r="X185" s="152" t="str" cm="1">
        <f t="array" ref="X185">Common_InputFunctions.Utility_DisplayArrayInTable(Fertiliser_SourceData.Fertiliser_Products_Data4(),FertiliserProducts[[#Headers],[Company]], 91)</f>
        <v/>
      </c>
      <c r="Y185" s="152" t="str" cm="1">
        <f t="array" ref="Y185">Common_InputFunctions.Utility_DisplayArrayInTable(Fertiliser_SourceData.Fertiliser_Products_Data4(),FertiliserProducts[[#Headers],[Company]], 91)</f>
        <v/>
      </c>
      <c r="Z185" s="152" t="str" cm="1">
        <f t="array" ref="Z185">Common_InputFunctions.Utility_DisplayArrayInTable(Fertiliser_SourceData.Fertiliser_Products_Data4(),FertiliserProducts[[#Headers],[Company]], 91)</f>
        <v/>
      </c>
      <c r="AA185" s="152" t="str" cm="1">
        <f t="array" ref="AA185">Common_InputFunctions.Utility_DisplayArrayInTable(Fertiliser_SourceData.Fertiliser_Products_Data4(),FertiliserProducts[[#Headers],[Company]], 91)</f>
        <v/>
      </c>
      <c r="AB185" s="152" t="str" cm="1">
        <f t="array" ref="AB185">Common_InputFunctions.Utility_DisplayArrayInTable(Fertiliser_SourceData.Fertiliser_Products_Data4(),FertiliserProducts[[#Headers],[Company]], 91)</f>
        <v/>
      </c>
      <c r="AC185" s="152" t="str" cm="1">
        <f t="array" ref="AC185">Common_InputFunctions.Utility_DisplayArrayInTable(Fertiliser_SourceData.Fertiliser_Products_Data4(),FertiliserProducts[[#Headers],[Company]], 91)</f>
        <v/>
      </c>
      <c r="AD185" s="152" t="str" cm="1">
        <f t="array" ref="AD185">Common_InputFunctions.Utility_DisplayArrayInTable(Fertiliser_SourceData.Fertiliser_Products_Data4(),FertiliserProducts[[#Headers],[Company]], 91)</f>
        <v/>
      </c>
      <c r="AE185" s="152" t="str" cm="1">
        <f t="array" ref="AE185">Common_InputFunctions.Utility_DisplayArrayInTable(Fertiliser_SourceData.Fertiliser_Products_Data4(),FertiliserProducts[[#Headers],[Company]], 91)</f>
        <v/>
      </c>
      <c r="AF185" s="152" t="str" cm="1">
        <f t="array" ref="AF185">Common_InputFunctions.Utility_DisplayArrayInTable(Fertiliser_SourceData.Fertiliser_Products_Data4(),FertiliserProducts[[#Headers],[Company]], 91)</f>
        <v/>
      </c>
      <c r="AG185" s="152" t="str" cm="1">
        <f t="array" ref="AG185">Common_InputFunctions.Utility_DisplayArrayInTable(Fertiliser_SourceData.Fertiliser_Products_Data4(),FertiliserProducts[[#Headers],[Company]], 91)</f>
        <v/>
      </c>
      <c r="AH185" s="152" t="str" cm="1">
        <f t="array" ref="AH185">Common_InputFunctions.Utility_DisplayArrayInTable(Fertiliser_SourceData.Fertiliser_Products_Data4(),FertiliserProducts[[#Headers],[Company]], 91)</f>
        <v/>
      </c>
    </row>
    <row r="186" spans="1:37" ht="20.100000000000001" customHeight="1" x14ac:dyDescent="0.2">
      <c r="D186" s="152" t="str" cm="1">
        <f t="array" ref="D186">Common_InputFunctions.Utility_DisplayArrayInTable(Fertiliser_SourceData.Fertiliser_Products_Data4(),FertiliserProducts[[#Headers],[Company]], 91)</f>
        <v>Pacific Fertiliser / Incitec Pivot Fertilisers</v>
      </c>
      <c r="E186" s="152" t="str" cm="1">
        <f t="array" ref="E186">Common_InputFunctions.Utility_DisplayArrayInTable(Fertiliser_SourceData.Fertiliser_Products_Data4(),FertiliserProducts[[#Headers],[Company]], 91)</f>
        <v>Cal-Gran 50/50</v>
      </c>
      <c r="F186" s="152" t="str" cm="1">
        <f t="array" ref="F186">Common_InputFunctions.Utility_DisplayArrayInTable(Fertiliser_SourceData.Fertiliser_Products_Data4(),FertiliserProducts[[#Headers],[Company]], 91)</f>
        <v>kg</v>
      </c>
      <c r="G186" s="152" cm="1">
        <f t="array" ref="G186">Common_InputFunctions.Utility_DisplayArrayInTable(Fertiliser_SourceData.Fertiliser_Products_Data4(),FertiliserProducts[[#Headers],[Company]], 91)</f>
        <v>1</v>
      </c>
      <c r="H186" s="152" t="str" cm="1">
        <f t="array" ref="H186">Common_InputFunctions.Utility_DisplayArrayInTable(Fertiliser_SourceData.Fertiliser_Products_Data4(),FertiliserProducts[[#Headers],[Company]], 91)</f>
        <v/>
      </c>
      <c r="I186" s="152" t="str" cm="1">
        <f t="array" ref="I186">Common_InputFunctions.Utility_DisplayArrayInTable(Fertiliser_SourceData.Fertiliser_Products_Data4(),FertiliserProducts[[#Headers],[Company]], 91)</f>
        <v/>
      </c>
      <c r="J186" s="152" t="str" cm="1">
        <f t="array" ref="J186">Common_InputFunctions.Utility_DisplayArrayInTable(Fertiliser_SourceData.Fertiliser_Products_Data4(),FertiliserProducts[[#Headers],[Company]], 91)</f>
        <v/>
      </c>
      <c r="K186" s="152" cm="1">
        <f t="array" ref="K186">Common_InputFunctions.Utility_DisplayArrayInTable(Fertiliser_SourceData.Fertiliser_Products_Data4(),FertiliserProducts[[#Headers],[Company]], 91)</f>
        <v>17.899999999999999</v>
      </c>
      <c r="L186" s="152" t="str" cm="1">
        <f t="array" ref="L186">Common_InputFunctions.Utility_DisplayArrayInTable(Fertiliser_SourceData.Fertiliser_Products_Data4(),FertiliserProducts[[#Headers],[Company]], 91)</f>
        <v/>
      </c>
      <c r="M186" s="152" cm="1">
        <f t="array" ref="M186">Common_InputFunctions.Utility_DisplayArrayInTable(Fertiliser_SourceData.Fertiliser_Products_Data4(),FertiliserProducts[[#Headers],[Company]], 91)</f>
        <v>15</v>
      </c>
      <c r="N186" s="152" cm="1">
        <f t="array" ref="N186">Common_InputFunctions.Utility_DisplayArrayInTable(Fertiliser_SourceData.Fertiliser_Products_Data4(),FertiliserProducts[[#Headers],[Company]], 91)</f>
        <v>3.6</v>
      </c>
      <c r="O186" s="152" t="str" cm="1">
        <f t="array" ref="O186">Common_InputFunctions.Utility_DisplayArrayInTable(Fertiliser_SourceData.Fertiliser_Products_Data4(),FertiliserProducts[[#Headers],[Company]], 91)</f>
        <v>Nitrogen - Nitrate</v>
      </c>
      <c r="P186" s="152" cm="1">
        <f t="array" ref="P186">Common_InputFunctions.Utility_DisplayArrayInTable(Fertiliser_SourceData.Fertiliser_Products_Data4(),FertiliserProducts[[#Headers],[Company]], 91)</f>
        <v>5.5E-2</v>
      </c>
      <c r="Q186" s="152" t="str" cm="1">
        <f t="array" ref="Q186">Common_InputFunctions.Utility_DisplayArrayInTable(Fertiliser_SourceData.Fertiliser_Products_Data4(),FertiliserProducts[[#Headers],[Company]], 91)</f>
        <v>Nitrogen - Ammoniacal</v>
      </c>
      <c r="R186" s="152" cm="1">
        <f t="array" ref="R186">Common_InputFunctions.Utility_DisplayArrayInTable(Fertiliser_SourceData.Fertiliser_Products_Data4(),FertiliserProducts[[#Headers],[Company]], 91)</f>
        <v>0.124</v>
      </c>
      <c r="S186" s="152" t="str" cm="1">
        <f t="array" ref="S186">Common_InputFunctions.Utility_DisplayArrayInTable(Fertiliser_SourceData.Fertiliser_Products_Data4(),FertiliserProducts[[#Headers],[Company]], 91)</f>
        <v>Potassium - Generic</v>
      </c>
      <c r="T186" s="152" cm="1">
        <f t="array" ref="T186">Common_InputFunctions.Utility_DisplayArrayInTable(Fertiliser_SourceData.Fertiliser_Products_Data4(),FertiliserProducts[[#Headers],[Company]], 91)</f>
        <v>0.15</v>
      </c>
      <c r="U186" s="152" t="str" cm="1">
        <f t="array" ref="U186">Common_InputFunctions.Utility_DisplayArrayInTable(Fertiliser_SourceData.Fertiliser_Products_Data4(),FertiliserProducts[[#Headers],[Company]], 91)</f>
        <v>Sulfur - Generic</v>
      </c>
      <c r="V186" s="152" cm="1">
        <f t="array" ref="V186">Common_InputFunctions.Utility_DisplayArrayInTable(Fertiliser_SourceData.Fertiliser_Products_Data4(),FertiliserProducts[[#Headers],[Company]], 91)</f>
        <v>3.5999999999999997E-2</v>
      </c>
      <c r="W186" s="152" t="str" cm="1">
        <f t="array" ref="W186">Common_InputFunctions.Utility_DisplayArrayInTable(Fertiliser_SourceData.Fertiliser_Products_Data4(),FertiliserProducts[[#Headers],[Company]], 91)</f>
        <v>Calcium</v>
      </c>
      <c r="X186" s="152" cm="1">
        <f t="array" ref="X186">Common_InputFunctions.Utility_DisplayArrayInTable(Fertiliser_SourceData.Fertiliser_Products_Data4(),FertiliserProducts[[#Headers],[Company]], 91)</f>
        <v>4.3999999999999997E-2</v>
      </c>
      <c r="Y186" s="152" t="str" cm="1">
        <f t="array" ref="Y186">Common_InputFunctions.Utility_DisplayArrayInTable(Fertiliser_SourceData.Fertiliser_Products_Data4(),FertiliserProducts[[#Headers],[Company]], 91)</f>
        <v/>
      </c>
      <c r="Z186" s="152" t="str" cm="1">
        <f t="array" ref="Z186">Common_InputFunctions.Utility_DisplayArrayInTable(Fertiliser_SourceData.Fertiliser_Products_Data4(),FertiliserProducts[[#Headers],[Company]], 91)</f>
        <v/>
      </c>
      <c r="AA186" s="152" t="str" cm="1">
        <f t="array" ref="AA186">Common_InputFunctions.Utility_DisplayArrayInTable(Fertiliser_SourceData.Fertiliser_Products_Data4(),FertiliserProducts[[#Headers],[Company]], 91)</f>
        <v/>
      </c>
      <c r="AB186" s="152" t="str" cm="1">
        <f t="array" ref="AB186">Common_InputFunctions.Utility_DisplayArrayInTable(Fertiliser_SourceData.Fertiliser_Products_Data4(),FertiliserProducts[[#Headers],[Company]], 91)</f>
        <v/>
      </c>
      <c r="AC186" s="152" t="str" cm="1">
        <f t="array" ref="AC186">Common_InputFunctions.Utility_DisplayArrayInTable(Fertiliser_SourceData.Fertiliser_Products_Data4(),FertiliserProducts[[#Headers],[Company]], 91)</f>
        <v/>
      </c>
      <c r="AD186" s="152" t="str" cm="1">
        <f t="array" ref="AD186">Common_InputFunctions.Utility_DisplayArrayInTable(Fertiliser_SourceData.Fertiliser_Products_Data4(),FertiliserProducts[[#Headers],[Company]], 91)</f>
        <v/>
      </c>
      <c r="AE186" s="152" t="str" cm="1">
        <f t="array" ref="AE186">Common_InputFunctions.Utility_DisplayArrayInTable(Fertiliser_SourceData.Fertiliser_Products_Data4(),FertiliserProducts[[#Headers],[Company]], 91)</f>
        <v/>
      </c>
      <c r="AF186" s="152" t="str" cm="1">
        <f t="array" ref="AF186">Common_InputFunctions.Utility_DisplayArrayInTable(Fertiliser_SourceData.Fertiliser_Products_Data4(),FertiliserProducts[[#Headers],[Company]], 91)</f>
        <v/>
      </c>
      <c r="AG186" s="152" t="str" cm="1">
        <f t="array" ref="AG186">Common_InputFunctions.Utility_DisplayArrayInTable(Fertiliser_SourceData.Fertiliser_Products_Data4(),FertiliserProducts[[#Headers],[Company]], 91)</f>
        <v/>
      </c>
      <c r="AH186" s="152" t="str" cm="1">
        <f t="array" ref="AH186">Common_InputFunctions.Utility_DisplayArrayInTable(Fertiliser_SourceData.Fertiliser_Products_Data4(),FertiliserProducts[[#Headers],[Company]], 91)</f>
        <v/>
      </c>
    </row>
    <row r="187" spans="1:37" ht="20.100000000000001" customHeight="1" x14ac:dyDescent="0.2">
      <c r="A187" s="131" t="str">
        <f>HYPERLINK("#A1", "▲ Back to top")</f>
        <v>▲ Back to top</v>
      </c>
      <c r="D187" s="152" t="str" cm="1">
        <f t="array" ref="D187">Common_InputFunctions.Utility_DisplayArrayInTable(Fertiliser_SourceData.Fertiliser_Products_Data4(),FertiliserProducts[[#Headers],[Company]], 91)</f>
        <v>Pacific Fertiliser / Incitec Pivot Fertilisers</v>
      </c>
      <c r="E187" s="152" t="str" cm="1">
        <f t="array" ref="E187">Common_InputFunctions.Utility_DisplayArrayInTable(Fertiliser_SourceData.Fertiliser_Products_Data4(),FertiliserProducts[[#Headers],[Company]], 91)</f>
        <v>Cal-Gran 50/50 (S)</v>
      </c>
      <c r="F187" s="152" t="str" cm="1">
        <f t="array" ref="F187">Common_InputFunctions.Utility_DisplayArrayInTable(Fertiliser_SourceData.Fertiliser_Products_Data4(),FertiliserProducts[[#Headers],[Company]], 91)</f>
        <v>kg</v>
      </c>
      <c r="G187" s="152" cm="1">
        <f t="array" ref="G187">Common_InputFunctions.Utility_DisplayArrayInTable(Fertiliser_SourceData.Fertiliser_Products_Data4(),FertiliserProducts[[#Headers],[Company]], 91)</f>
        <v>1</v>
      </c>
      <c r="H187" s="152" t="str" cm="1">
        <f t="array" ref="H187">Common_InputFunctions.Utility_DisplayArrayInTable(Fertiliser_SourceData.Fertiliser_Products_Data4(),FertiliserProducts[[#Headers],[Company]], 91)</f>
        <v/>
      </c>
      <c r="I187" s="152" t="str" cm="1">
        <f t="array" ref="I187">Common_InputFunctions.Utility_DisplayArrayInTable(Fertiliser_SourceData.Fertiliser_Products_Data4(),FertiliserProducts[[#Headers],[Company]], 91)</f>
        <v/>
      </c>
      <c r="J187" s="152" t="str" cm="1">
        <f t="array" ref="J187">Common_InputFunctions.Utility_DisplayArrayInTable(Fertiliser_SourceData.Fertiliser_Products_Data4(),FertiliserProducts[[#Headers],[Company]], 91)</f>
        <v/>
      </c>
      <c r="K187" s="152" cm="1">
        <f t="array" ref="K187">Common_InputFunctions.Utility_DisplayArrayInTable(Fertiliser_SourceData.Fertiliser_Products_Data4(),FertiliserProducts[[#Headers],[Company]], 91)</f>
        <v>16.899999999999999</v>
      </c>
      <c r="L187" s="152" t="str" cm="1">
        <f t="array" ref="L187">Common_InputFunctions.Utility_DisplayArrayInTable(Fertiliser_SourceData.Fertiliser_Products_Data4(),FertiliserProducts[[#Headers],[Company]], 91)</f>
        <v/>
      </c>
      <c r="M187" s="152" cm="1">
        <f t="array" ref="M187">Common_InputFunctions.Utility_DisplayArrayInTable(Fertiliser_SourceData.Fertiliser_Products_Data4(),FertiliserProducts[[#Headers],[Company]], 91)</f>
        <v>14.4</v>
      </c>
      <c r="N187" s="152" cm="1">
        <f t="array" ref="N187">Common_InputFunctions.Utility_DisplayArrayInTable(Fertiliser_SourceData.Fertiliser_Products_Data4(),FertiliserProducts[[#Headers],[Company]], 91)</f>
        <v>8.6999999999999993</v>
      </c>
      <c r="O187" s="152" t="str" cm="1">
        <f t="array" ref="O187">Common_InputFunctions.Utility_DisplayArrayInTable(Fertiliser_SourceData.Fertiliser_Products_Data4(),FertiliserProducts[[#Headers],[Company]], 91)</f>
        <v>Nitrogen - Nitrate</v>
      </c>
      <c r="P187" s="152" cm="1">
        <f t="array" ref="P187">Common_InputFunctions.Utility_DisplayArrayInTable(Fertiliser_SourceData.Fertiliser_Products_Data4(),FertiliserProducts[[#Headers],[Company]], 91)</f>
        <v>5.1999999999999998E-2</v>
      </c>
      <c r="Q187" s="152" t="str" cm="1">
        <f t="array" ref="Q187">Common_InputFunctions.Utility_DisplayArrayInTable(Fertiliser_SourceData.Fertiliser_Products_Data4(),FertiliserProducts[[#Headers],[Company]], 91)</f>
        <v>Nitrogen - Ammoniacal</v>
      </c>
      <c r="R187" s="152" cm="1">
        <f t="array" ref="R187">Common_InputFunctions.Utility_DisplayArrayInTable(Fertiliser_SourceData.Fertiliser_Products_Data4(),FertiliserProducts[[#Headers],[Company]], 91)</f>
        <v>0.11700000000000001</v>
      </c>
      <c r="S187" s="152" t="str" cm="1">
        <f t="array" ref="S187">Common_InputFunctions.Utility_DisplayArrayInTable(Fertiliser_SourceData.Fertiliser_Products_Data4(),FertiliserProducts[[#Headers],[Company]], 91)</f>
        <v>Potassium - Generic</v>
      </c>
      <c r="T187" s="152" cm="1">
        <f t="array" ref="T187">Common_InputFunctions.Utility_DisplayArrayInTable(Fertiliser_SourceData.Fertiliser_Products_Data4(),FertiliserProducts[[#Headers],[Company]], 91)</f>
        <v>0.14399999999999999</v>
      </c>
      <c r="U187" s="152" t="str" cm="1">
        <f t="array" ref="U187">Common_InputFunctions.Utility_DisplayArrayInTable(Fertiliser_SourceData.Fertiliser_Products_Data4(),FertiliserProducts[[#Headers],[Company]], 91)</f>
        <v>Sulfur - Generic</v>
      </c>
      <c r="V187" s="152" cm="1">
        <f t="array" ref="V187">Common_InputFunctions.Utility_DisplayArrayInTable(Fertiliser_SourceData.Fertiliser_Products_Data4(),FertiliserProducts[[#Headers],[Company]], 91)</f>
        <v>8.6999999999999994E-2</v>
      </c>
      <c r="W187" s="152" t="str" cm="1">
        <f t="array" ref="W187">Common_InputFunctions.Utility_DisplayArrayInTable(Fertiliser_SourceData.Fertiliser_Products_Data4(),FertiliserProducts[[#Headers],[Company]], 91)</f>
        <v>Calcium</v>
      </c>
      <c r="X187" s="152" cm="1">
        <f t="array" ref="X187">Common_InputFunctions.Utility_DisplayArrayInTable(Fertiliser_SourceData.Fertiliser_Products_Data4(),FertiliserProducts[[#Headers],[Company]], 91)</f>
        <v>4.3999999999999997E-2</v>
      </c>
      <c r="Y187" s="152" t="str" cm="1">
        <f t="array" ref="Y187">Common_InputFunctions.Utility_DisplayArrayInTable(Fertiliser_SourceData.Fertiliser_Products_Data4(),FertiliserProducts[[#Headers],[Company]], 91)</f>
        <v/>
      </c>
      <c r="Z187" s="152" t="str" cm="1">
        <f t="array" ref="Z187">Common_InputFunctions.Utility_DisplayArrayInTable(Fertiliser_SourceData.Fertiliser_Products_Data4(),FertiliserProducts[[#Headers],[Company]], 91)</f>
        <v/>
      </c>
      <c r="AA187" s="152" t="str" cm="1">
        <f t="array" ref="AA187">Common_InputFunctions.Utility_DisplayArrayInTable(Fertiliser_SourceData.Fertiliser_Products_Data4(),FertiliserProducts[[#Headers],[Company]], 91)</f>
        <v/>
      </c>
      <c r="AB187" s="152" t="str" cm="1">
        <f t="array" ref="AB187">Common_InputFunctions.Utility_DisplayArrayInTable(Fertiliser_SourceData.Fertiliser_Products_Data4(),FertiliserProducts[[#Headers],[Company]], 91)</f>
        <v/>
      </c>
      <c r="AC187" s="152" t="str" cm="1">
        <f t="array" ref="AC187">Common_InputFunctions.Utility_DisplayArrayInTable(Fertiliser_SourceData.Fertiliser_Products_Data4(),FertiliserProducts[[#Headers],[Company]], 91)</f>
        <v/>
      </c>
      <c r="AD187" s="152" t="str" cm="1">
        <f t="array" ref="AD187">Common_InputFunctions.Utility_DisplayArrayInTable(Fertiliser_SourceData.Fertiliser_Products_Data4(),FertiliserProducts[[#Headers],[Company]], 91)</f>
        <v/>
      </c>
      <c r="AE187" s="152" t="str" cm="1">
        <f t="array" ref="AE187">Common_InputFunctions.Utility_DisplayArrayInTable(Fertiliser_SourceData.Fertiliser_Products_Data4(),FertiliserProducts[[#Headers],[Company]], 91)</f>
        <v/>
      </c>
      <c r="AF187" s="152" t="str" cm="1">
        <f t="array" ref="AF187">Common_InputFunctions.Utility_DisplayArrayInTable(Fertiliser_SourceData.Fertiliser_Products_Data4(),FertiliserProducts[[#Headers],[Company]], 91)</f>
        <v/>
      </c>
      <c r="AG187" s="152" t="str" cm="1">
        <f t="array" ref="AG187">Common_InputFunctions.Utility_DisplayArrayInTable(Fertiliser_SourceData.Fertiliser_Products_Data4(),FertiliserProducts[[#Headers],[Company]], 91)</f>
        <v/>
      </c>
      <c r="AH187" s="152" t="str" cm="1">
        <f t="array" ref="AH187">Common_InputFunctions.Utility_DisplayArrayInTable(Fertiliser_SourceData.Fertiliser_Products_Data4(),FertiliserProducts[[#Headers],[Company]], 91)</f>
        <v/>
      </c>
    </row>
    <row r="188" spans="1:37" ht="20.100000000000001" customHeight="1" x14ac:dyDescent="0.2">
      <c r="D188" s="152" t="str" cm="1">
        <f t="array" ref="D188">Common_InputFunctions.Utility_DisplayArrayInTable(Fertiliser_SourceData.Fertiliser_Products_Data4(),FertiliserProducts[[#Headers],[Company]], 91)</f>
        <v>Pacific Fertiliser / Incitec Pivot Fertilisers</v>
      </c>
      <c r="E188" s="152" t="str" cm="1">
        <f t="array" ref="E188">Common_InputFunctions.Utility_DisplayArrayInTable(Fertiliser_SourceData.Fertiliser_Products_Data4(),FertiliserProducts[[#Headers],[Company]], 91)</f>
        <v>Cal-Gran 130</v>
      </c>
      <c r="F188" s="152" t="str" cm="1">
        <f t="array" ref="F188">Common_InputFunctions.Utility_DisplayArrayInTable(Fertiliser_SourceData.Fertiliser_Products_Data4(),FertiliserProducts[[#Headers],[Company]], 91)</f>
        <v>kg</v>
      </c>
      <c r="G188" s="152" cm="1">
        <f t="array" ref="G188">Common_InputFunctions.Utility_DisplayArrayInTable(Fertiliser_SourceData.Fertiliser_Products_Data4(),FertiliserProducts[[#Headers],[Company]], 91)</f>
        <v>1</v>
      </c>
      <c r="H188" s="152" t="str" cm="1">
        <f t="array" ref="H188">Common_InputFunctions.Utility_DisplayArrayInTable(Fertiliser_SourceData.Fertiliser_Products_Data4(),FertiliserProducts[[#Headers],[Company]], 91)</f>
        <v/>
      </c>
      <c r="I188" s="152" t="str" cm="1">
        <f t="array" ref="I188">Common_InputFunctions.Utility_DisplayArrayInTable(Fertiliser_SourceData.Fertiliser_Products_Data4(),FertiliserProducts[[#Headers],[Company]], 91)</f>
        <v/>
      </c>
      <c r="J188" s="152" t="str" cm="1">
        <f t="array" ref="J188">Common_InputFunctions.Utility_DisplayArrayInTable(Fertiliser_SourceData.Fertiliser_Products_Data4(),FertiliserProducts[[#Headers],[Company]], 91)</f>
        <v/>
      </c>
      <c r="K188" s="152" cm="1">
        <f t="array" ref="K188">Common_InputFunctions.Utility_DisplayArrayInTable(Fertiliser_SourceData.Fertiliser_Products_Data4(),FertiliserProducts[[#Headers],[Company]], 91)</f>
        <v>18.8</v>
      </c>
      <c r="L188" s="152" cm="1">
        <f t="array" ref="L188">Common_InputFunctions.Utility_DisplayArrayInTable(Fertiliser_SourceData.Fertiliser_Products_Data4(),FertiliserProducts[[#Headers],[Company]], 91)</f>
        <v>1</v>
      </c>
      <c r="M188" s="152" cm="1">
        <f t="array" ref="M188">Common_InputFunctions.Utility_DisplayArrayInTable(Fertiliser_SourceData.Fertiliser_Products_Data4(),FertiliserProducts[[#Headers],[Company]], 91)</f>
        <v>12.5</v>
      </c>
      <c r="N188" s="152" cm="1">
        <f t="array" ref="N188">Common_InputFunctions.Utility_DisplayArrayInTable(Fertiliser_SourceData.Fertiliser_Products_Data4(),FertiliserProducts[[#Headers],[Company]], 91)</f>
        <v>3.7</v>
      </c>
      <c r="O188" s="152" t="str" cm="1">
        <f t="array" ref="O188">Common_InputFunctions.Utility_DisplayArrayInTable(Fertiliser_SourceData.Fertiliser_Products_Data4(),FertiliserProducts[[#Headers],[Company]], 91)</f>
        <v>Nitrogen - Nitrate</v>
      </c>
      <c r="P188" s="152" cm="1">
        <f t="array" ref="P188">Common_InputFunctions.Utility_DisplayArrayInTable(Fertiliser_SourceData.Fertiliser_Products_Data4(),FertiliserProducts[[#Headers],[Company]], 91)</f>
        <v>5.8000000000000003E-2</v>
      </c>
      <c r="Q188" s="152" t="str" cm="1">
        <f t="array" ref="Q188">Common_InputFunctions.Utility_DisplayArrayInTable(Fertiliser_SourceData.Fertiliser_Products_Data4(),FertiliserProducts[[#Headers],[Company]], 91)</f>
        <v>Nitrogen - Ammoniacal</v>
      </c>
      <c r="R188" s="152" cm="1">
        <f t="array" ref="R188">Common_InputFunctions.Utility_DisplayArrayInTable(Fertiliser_SourceData.Fertiliser_Products_Data4(),FertiliserProducts[[#Headers],[Company]], 91)</f>
        <v>0.13</v>
      </c>
      <c r="S188" s="152" t="str" cm="1">
        <f t="array" ref="S188">Common_InputFunctions.Utility_DisplayArrayInTable(Fertiliser_SourceData.Fertiliser_Products_Data4(),FertiliserProducts[[#Headers],[Company]], 91)</f>
        <v>Phosphorus - Generic</v>
      </c>
      <c r="T188" s="152" cm="1">
        <f t="array" ref="T188">Common_InputFunctions.Utility_DisplayArrayInTable(Fertiliser_SourceData.Fertiliser_Products_Data4(),FertiliserProducts[[#Headers],[Company]], 91)</f>
        <v>0.01</v>
      </c>
      <c r="U188" s="152" t="str" cm="1">
        <f t="array" ref="U188">Common_InputFunctions.Utility_DisplayArrayInTable(Fertiliser_SourceData.Fertiliser_Products_Data4(),FertiliserProducts[[#Headers],[Company]], 91)</f>
        <v>Potassium - Generic</v>
      </c>
      <c r="V188" s="152" cm="1">
        <f t="array" ref="V188">Common_InputFunctions.Utility_DisplayArrayInTable(Fertiliser_SourceData.Fertiliser_Products_Data4(),FertiliserProducts[[#Headers],[Company]], 91)</f>
        <v>0.125</v>
      </c>
      <c r="W188" s="152" t="str" cm="1">
        <f t="array" ref="W188">Common_InputFunctions.Utility_DisplayArrayInTable(Fertiliser_SourceData.Fertiliser_Products_Data4(),FertiliserProducts[[#Headers],[Company]], 91)</f>
        <v>Sulfur - Generic</v>
      </c>
      <c r="X188" s="152" cm="1">
        <f t="array" ref="X188">Common_InputFunctions.Utility_DisplayArrayInTable(Fertiliser_SourceData.Fertiliser_Products_Data4(),FertiliserProducts[[#Headers],[Company]], 91)</f>
        <v>3.6999999999999998E-2</v>
      </c>
      <c r="Y188" s="152" t="str" cm="1">
        <f t="array" ref="Y188">Common_InputFunctions.Utility_DisplayArrayInTable(Fertiliser_SourceData.Fertiliser_Products_Data4(),FertiliserProducts[[#Headers],[Company]], 91)</f>
        <v>Calcium</v>
      </c>
      <c r="Z188" s="152" cm="1">
        <f t="array" ref="Z188">Common_InputFunctions.Utility_DisplayArrayInTable(Fertiliser_SourceData.Fertiliser_Products_Data4(),FertiliserProducts[[#Headers],[Company]], 91)</f>
        <v>4.3999999999999997E-2</v>
      </c>
      <c r="AA188" s="152" t="str" cm="1">
        <f t="array" ref="AA188">Common_InputFunctions.Utility_DisplayArrayInTable(Fertiliser_SourceData.Fertiliser_Products_Data4(),FertiliserProducts[[#Headers],[Company]], 91)</f>
        <v/>
      </c>
      <c r="AB188" s="152" t="str" cm="1">
        <f t="array" ref="AB188">Common_InputFunctions.Utility_DisplayArrayInTable(Fertiliser_SourceData.Fertiliser_Products_Data4(),FertiliserProducts[[#Headers],[Company]], 91)</f>
        <v/>
      </c>
      <c r="AC188" s="152" t="str" cm="1">
        <f t="array" ref="AC188">Common_InputFunctions.Utility_DisplayArrayInTable(Fertiliser_SourceData.Fertiliser_Products_Data4(),FertiliserProducts[[#Headers],[Company]], 91)</f>
        <v/>
      </c>
      <c r="AD188" s="152" t="str" cm="1">
        <f t="array" ref="AD188">Common_InputFunctions.Utility_DisplayArrayInTable(Fertiliser_SourceData.Fertiliser_Products_Data4(),FertiliserProducts[[#Headers],[Company]], 91)</f>
        <v/>
      </c>
      <c r="AE188" s="152" t="str" cm="1">
        <f t="array" ref="AE188">Common_InputFunctions.Utility_DisplayArrayInTable(Fertiliser_SourceData.Fertiliser_Products_Data4(),FertiliserProducts[[#Headers],[Company]], 91)</f>
        <v/>
      </c>
      <c r="AF188" s="152" t="str" cm="1">
        <f t="array" ref="AF188">Common_InputFunctions.Utility_DisplayArrayInTable(Fertiliser_SourceData.Fertiliser_Products_Data4(),FertiliserProducts[[#Headers],[Company]], 91)</f>
        <v/>
      </c>
      <c r="AG188" s="152" t="str" cm="1">
        <f t="array" ref="AG188">Common_InputFunctions.Utility_DisplayArrayInTable(Fertiliser_SourceData.Fertiliser_Products_Data4(),FertiliserProducts[[#Headers],[Company]], 91)</f>
        <v/>
      </c>
      <c r="AH188" s="152" t="str" cm="1">
        <f t="array" ref="AH188">Common_InputFunctions.Utility_DisplayArrayInTable(Fertiliser_SourceData.Fertiliser_Products_Data4(),FertiliserProducts[[#Headers],[Company]], 91)</f>
        <v/>
      </c>
    </row>
    <row r="189" spans="1:37" ht="20.100000000000001" customHeight="1" x14ac:dyDescent="0.2">
      <c r="D189" s="152" t="str" cm="1">
        <f t="array" ref="D189">Common_InputFunctions.Utility_DisplayArrayInTable(Fertiliser_SourceData.Fertiliser_Products_Data4(),FertiliserProducts[[#Headers],[Company]], 91)</f>
        <v>Pacific Fertiliser / Incitec Pivot Fertilisers</v>
      </c>
      <c r="E189" s="152" t="str" cm="1">
        <f t="array" ref="E189">Common_InputFunctions.Utility_DisplayArrayInTable(Fertiliser_SourceData.Fertiliser_Products_Data4(),FertiliserProducts[[#Headers],[Company]], 91)</f>
        <v>Cal-Gran 150</v>
      </c>
      <c r="F189" s="152" t="str" cm="1">
        <f t="array" ref="F189">Common_InputFunctions.Utility_DisplayArrayInTable(Fertiliser_SourceData.Fertiliser_Products_Data4(),FertiliserProducts[[#Headers],[Company]], 91)</f>
        <v>kg</v>
      </c>
      <c r="G189" s="152" cm="1">
        <f t="array" ref="G189">Common_InputFunctions.Utility_DisplayArrayInTable(Fertiliser_SourceData.Fertiliser_Products_Data4(),FertiliserProducts[[#Headers],[Company]], 91)</f>
        <v>1</v>
      </c>
      <c r="H189" s="152" t="str" cm="1">
        <f t="array" ref="H189">Common_InputFunctions.Utility_DisplayArrayInTable(Fertiliser_SourceData.Fertiliser_Products_Data4(),FertiliserProducts[[#Headers],[Company]], 91)</f>
        <v/>
      </c>
      <c r="I189" s="152" t="str" cm="1">
        <f t="array" ref="I189">Common_InputFunctions.Utility_DisplayArrayInTable(Fertiliser_SourceData.Fertiliser_Products_Data4(),FertiliserProducts[[#Headers],[Company]], 91)</f>
        <v/>
      </c>
      <c r="J189" s="152" t="str" cm="1">
        <f t="array" ref="J189">Common_InputFunctions.Utility_DisplayArrayInTable(Fertiliser_SourceData.Fertiliser_Products_Data4(),FertiliserProducts[[#Headers],[Company]], 91)</f>
        <v/>
      </c>
      <c r="K189" s="152" cm="1">
        <f t="array" ref="K189">Common_InputFunctions.Utility_DisplayArrayInTable(Fertiliser_SourceData.Fertiliser_Products_Data4(),FertiliserProducts[[#Headers],[Company]], 91)</f>
        <v>18.600000000000001</v>
      </c>
      <c r="L189" s="152" cm="1">
        <f t="array" ref="L189">Common_InputFunctions.Utility_DisplayArrayInTable(Fertiliser_SourceData.Fertiliser_Products_Data4(),FertiliserProducts[[#Headers],[Company]], 91)</f>
        <v>3</v>
      </c>
      <c r="M189" s="152" cm="1">
        <f t="array" ref="M189">Common_InputFunctions.Utility_DisplayArrayInTable(Fertiliser_SourceData.Fertiliser_Products_Data4(),FertiliserProducts[[#Headers],[Company]], 91)</f>
        <v>12.5</v>
      </c>
      <c r="N189" s="152" cm="1">
        <f t="array" ref="N189">Common_InputFunctions.Utility_DisplayArrayInTable(Fertiliser_SourceData.Fertiliser_Products_Data4(),FertiliserProducts[[#Headers],[Company]], 91)</f>
        <v>1.4</v>
      </c>
      <c r="O189" s="152" t="str" cm="1">
        <f t="array" ref="O189">Common_InputFunctions.Utility_DisplayArrayInTable(Fertiliser_SourceData.Fertiliser_Products_Data4(),FertiliserProducts[[#Headers],[Company]], 91)</f>
        <v>Nitrogen - Nitrate</v>
      </c>
      <c r="P189" s="152" cm="1">
        <f t="array" ref="P189">Common_InputFunctions.Utility_DisplayArrayInTable(Fertiliser_SourceData.Fertiliser_Products_Data4(),FertiliserProducts[[#Headers],[Company]], 91)</f>
        <v>5.8000000000000003E-2</v>
      </c>
      <c r="Q189" s="152" t="str" cm="1">
        <f t="array" ref="Q189">Common_InputFunctions.Utility_DisplayArrayInTable(Fertiliser_SourceData.Fertiliser_Products_Data4(),FertiliserProducts[[#Headers],[Company]], 91)</f>
        <v>Nitrogen - Ammoniacal</v>
      </c>
      <c r="R189" s="152" cm="1">
        <f t="array" ref="R189">Common_InputFunctions.Utility_DisplayArrayInTable(Fertiliser_SourceData.Fertiliser_Products_Data4(),FertiliserProducts[[#Headers],[Company]], 91)</f>
        <v>0.128</v>
      </c>
      <c r="S189" s="152" t="str" cm="1">
        <f t="array" ref="S189">Common_InputFunctions.Utility_DisplayArrayInTable(Fertiliser_SourceData.Fertiliser_Products_Data4(),FertiliserProducts[[#Headers],[Company]], 91)</f>
        <v>Phosphorus - Generic</v>
      </c>
      <c r="T189" s="152" cm="1">
        <f t="array" ref="T189">Common_InputFunctions.Utility_DisplayArrayInTable(Fertiliser_SourceData.Fertiliser_Products_Data4(),FertiliserProducts[[#Headers],[Company]], 91)</f>
        <v>0.03</v>
      </c>
      <c r="U189" s="152" t="str" cm="1">
        <f t="array" ref="U189">Common_InputFunctions.Utility_DisplayArrayInTable(Fertiliser_SourceData.Fertiliser_Products_Data4(),FertiliserProducts[[#Headers],[Company]], 91)</f>
        <v>Potassium - Generic</v>
      </c>
      <c r="V189" s="152" cm="1">
        <f t="array" ref="V189">Common_InputFunctions.Utility_DisplayArrayInTable(Fertiliser_SourceData.Fertiliser_Products_Data4(),FertiliserProducts[[#Headers],[Company]], 91)</f>
        <v>0.125</v>
      </c>
      <c r="W189" s="152" t="str" cm="1">
        <f t="array" ref="W189">Common_InputFunctions.Utility_DisplayArrayInTable(Fertiliser_SourceData.Fertiliser_Products_Data4(),FertiliserProducts[[#Headers],[Company]], 91)</f>
        <v>Sulfur - Generic</v>
      </c>
      <c r="X189" s="152" cm="1">
        <f t="array" ref="X189">Common_InputFunctions.Utility_DisplayArrayInTable(Fertiliser_SourceData.Fertiliser_Products_Data4(),FertiliserProducts[[#Headers],[Company]], 91)</f>
        <v>1.4E-2</v>
      </c>
      <c r="Y189" s="152" t="str" cm="1">
        <f t="array" ref="Y189">Common_InputFunctions.Utility_DisplayArrayInTable(Fertiliser_SourceData.Fertiliser_Products_Data4(),FertiliserProducts[[#Headers],[Company]], 91)</f>
        <v>Calcium</v>
      </c>
      <c r="Z189" s="152" cm="1">
        <f t="array" ref="Z189">Common_InputFunctions.Utility_DisplayArrayInTable(Fertiliser_SourceData.Fertiliser_Products_Data4(),FertiliserProducts[[#Headers],[Company]], 91)</f>
        <v>4.3999999999999997E-2</v>
      </c>
      <c r="AA189" s="152" t="str" cm="1">
        <f t="array" ref="AA189">Common_InputFunctions.Utility_DisplayArrayInTable(Fertiliser_SourceData.Fertiliser_Products_Data4(),FertiliserProducts[[#Headers],[Company]], 91)</f>
        <v/>
      </c>
      <c r="AB189" s="152" t="str" cm="1">
        <f t="array" ref="AB189">Common_InputFunctions.Utility_DisplayArrayInTable(Fertiliser_SourceData.Fertiliser_Products_Data4(),FertiliserProducts[[#Headers],[Company]], 91)</f>
        <v/>
      </c>
      <c r="AC189" s="152" t="str" cm="1">
        <f t="array" ref="AC189">Common_InputFunctions.Utility_DisplayArrayInTable(Fertiliser_SourceData.Fertiliser_Products_Data4(),FertiliserProducts[[#Headers],[Company]], 91)</f>
        <v/>
      </c>
      <c r="AD189" s="152" t="str" cm="1">
        <f t="array" ref="AD189">Common_InputFunctions.Utility_DisplayArrayInTable(Fertiliser_SourceData.Fertiliser_Products_Data4(),FertiliserProducts[[#Headers],[Company]], 91)</f>
        <v/>
      </c>
      <c r="AE189" s="152" t="str" cm="1">
        <f t="array" ref="AE189">Common_InputFunctions.Utility_DisplayArrayInTable(Fertiliser_SourceData.Fertiliser_Products_Data4(),FertiliserProducts[[#Headers],[Company]], 91)</f>
        <v/>
      </c>
      <c r="AF189" s="152" t="str" cm="1">
        <f t="array" ref="AF189">Common_InputFunctions.Utility_DisplayArrayInTable(Fertiliser_SourceData.Fertiliser_Products_Data4(),FertiliserProducts[[#Headers],[Company]], 91)</f>
        <v/>
      </c>
      <c r="AG189" s="152" t="str" cm="1">
        <f t="array" ref="AG189">Common_InputFunctions.Utility_DisplayArrayInTable(Fertiliser_SourceData.Fertiliser_Products_Data4(),FertiliserProducts[[#Headers],[Company]], 91)</f>
        <v/>
      </c>
      <c r="AH189" s="152" t="str" cm="1">
        <f t="array" ref="AH189">Common_InputFunctions.Utility_DisplayArrayInTable(Fertiliser_SourceData.Fertiliser_Products_Data4(),FertiliserProducts[[#Headers],[Company]], 91)</f>
        <v/>
      </c>
    </row>
    <row r="190" spans="1:37" ht="20.100000000000001" customHeight="1" x14ac:dyDescent="0.2">
      <c r="D190" s="152" t="str" cm="1">
        <f t="array" ref="D190">Common_InputFunctions.Utility_DisplayArrayInTable(Fertiliser_SourceData.Fertiliser_Products_Data4(),FertiliserProducts[[#Headers],[Company]], 91)</f>
        <v>Pacific Fertiliser / Incitec Pivot Fertilisers</v>
      </c>
      <c r="E190" s="152" t="str" cm="1">
        <f t="array" ref="E190">Common_InputFunctions.Utility_DisplayArrayInTable(Fertiliser_SourceData.Fertiliser_Products_Data4(),FertiliserProducts[[#Headers],[Company]], 91)</f>
        <v>Cal-Gran Extra K</v>
      </c>
      <c r="F190" s="152" t="str" cm="1">
        <f t="array" ref="F190">Common_InputFunctions.Utility_DisplayArrayInTable(Fertiliser_SourceData.Fertiliser_Products_Data4(),FertiliserProducts[[#Headers],[Company]], 91)</f>
        <v>kg</v>
      </c>
      <c r="G190" s="152" cm="1">
        <f t="array" ref="G190">Common_InputFunctions.Utility_DisplayArrayInTable(Fertiliser_SourceData.Fertiliser_Products_Data4(),FertiliserProducts[[#Headers],[Company]], 91)</f>
        <v>1</v>
      </c>
      <c r="H190" s="152" t="str" cm="1">
        <f t="array" ref="H190">Common_InputFunctions.Utility_DisplayArrayInTable(Fertiliser_SourceData.Fertiliser_Products_Data4(),FertiliserProducts[[#Headers],[Company]], 91)</f>
        <v/>
      </c>
      <c r="I190" s="152" t="str" cm="1">
        <f t="array" ref="I190">Common_InputFunctions.Utility_DisplayArrayInTable(Fertiliser_SourceData.Fertiliser_Products_Data4(),FertiliserProducts[[#Headers],[Company]], 91)</f>
        <v/>
      </c>
      <c r="J190" s="152" t="str" cm="1">
        <f t="array" ref="J190">Common_InputFunctions.Utility_DisplayArrayInTable(Fertiliser_SourceData.Fertiliser_Products_Data4(),FertiliserProducts[[#Headers],[Company]], 91)</f>
        <v/>
      </c>
      <c r="K190" s="152" cm="1">
        <f t="array" ref="K190">Common_InputFunctions.Utility_DisplayArrayInTable(Fertiliser_SourceData.Fertiliser_Products_Data4(),FertiliserProducts[[#Headers],[Company]], 91)</f>
        <v>15.8</v>
      </c>
      <c r="L190" s="152" t="str" cm="1">
        <f t="array" ref="L190">Common_InputFunctions.Utility_DisplayArrayInTable(Fertiliser_SourceData.Fertiliser_Products_Data4(),FertiliserProducts[[#Headers],[Company]], 91)</f>
        <v/>
      </c>
      <c r="M190" s="152" cm="1">
        <f t="array" ref="M190">Common_InputFunctions.Utility_DisplayArrayInTable(Fertiliser_SourceData.Fertiliser_Products_Data4(),FertiliserProducts[[#Headers],[Company]], 91)</f>
        <v>19</v>
      </c>
      <c r="N190" s="152" cm="1">
        <f t="array" ref="N190">Common_InputFunctions.Utility_DisplayArrayInTable(Fertiliser_SourceData.Fertiliser_Products_Data4(),FertiliserProducts[[#Headers],[Company]], 91)</f>
        <v>3.2</v>
      </c>
      <c r="O190" s="152" t="str" cm="1">
        <f t="array" ref="O190">Common_InputFunctions.Utility_DisplayArrayInTable(Fertiliser_SourceData.Fertiliser_Products_Data4(),FertiliserProducts[[#Headers],[Company]], 91)</f>
        <v>Nitrogen - Nitrate</v>
      </c>
      <c r="P190" s="152" cm="1">
        <f t="array" ref="P190">Common_InputFunctions.Utility_DisplayArrayInTable(Fertiliser_SourceData.Fertiliser_Products_Data4(),FertiliserProducts[[#Headers],[Company]], 91)</f>
        <v>4.9000000000000002E-2</v>
      </c>
      <c r="Q190" s="152" t="str" cm="1">
        <f t="array" ref="Q190">Common_InputFunctions.Utility_DisplayArrayInTable(Fertiliser_SourceData.Fertiliser_Products_Data4(),FertiliserProducts[[#Headers],[Company]], 91)</f>
        <v>Nitrogen - Ammoniacal</v>
      </c>
      <c r="R190" s="152" cm="1">
        <f t="array" ref="R190">Common_InputFunctions.Utility_DisplayArrayInTable(Fertiliser_SourceData.Fertiliser_Products_Data4(),FertiliserProducts[[#Headers],[Company]], 91)</f>
        <v>0.109</v>
      </c>
      <c r="S190" s="152" t="str" cm="1">
        <f t="array" ref="S190">Common_InputFunctions.Utility_DisplayArrayInTable(Fertiliser_SourceData.Fertiliser_Products_Data4(),FertiliserProducts[[#Headers],[Company]], 91)</f>
        <v>Potassium - Generic</v>
      </c>
      <c r="T190" s="152" cm="1">
        <f t="array" ref="T190">Common_InputFunctions.Utility_DisplayArrayInTable(Fertiliser_SourceData.Fertiliser_Products_Data4(),FertiliserProducts[[#Headers],[Company]], 91)</f>
        <v>0.19</v>
      </c>
      <c r="U190" s="152" t="str" cm="1">
        <f t="array" ref="U190">Common_InputFunctions.Utility_DisplayArrayInTable(Fertiliser_SourceData.Fertiliser_Products_Data4(),FertiliserProducts[[#Headers],[Company]], 91)</f>
        <v>Sulfur - Generic</v>
      </c>
      <c r="V190" s="152" cm="1">
        <f t="array" ref="V190">Common_InputFunctions.Utility_DisplayArrayInTable(Fertiliser_SourceData.Fertiliser_Products_Data4(),FertiliserProducts[[#Headers],[Company]], 91)</f>
        <v>3.2000000000000001E-2</v>
      </c>
      <c r="W190" s="152" t="str" cm="1">
        <f t="array" ref="W190">Common_InputFunctions.Utility_DisplayArrayInTable(Fertiliser_SourceData.Fertiliser_Products_Data4(),FertiliserProducts[[#Headers],[Company]], 91)</f>
        <v>Calcium</v>
      </c>
      <c r="X190" s="152" cm="1">
        <f t="array" ref="X190">Common_InputFunctions.Utility_DisplayArrayInTable(Fertiliser_SourceData.Fertiliser_Products_Data4(),FertiliserProducts[[#Headers],[Company]], 91)</f>
        <v>3.9E-2</v>
      </c>
      <c r="Y190" s="152" t="str" cm="1">
        <f t="array" ref="Y190">Common_InputFunctions.Utility_DisplayArrayInTable(Fertiliser_SourceData.Fertiliser_Products_Data4(),FertiliserProducts[[#Headers],[Company]], 91)</f>
        <v/>
      </c>
      <c r="Z190" s="152" t="str" cm="1">
        <f t="array" ref="Z190">Common_InputFunctions.Utility_DisplayArrayInTable(Fertiliser_SourceData.Fertiliser_Products_Data4(),FertiliserProducts[[#Headers],[Company]], 91)</f>
        <v/>
      </c>
      <c r="AA190" s="152" t="str" cm="1">
        <f t="array" ref="AA190">Common_InputFunctions.Utility_DisplayArrayInTable(Fertiliser_SourceData.Fertiliser_Products_Data4(),FertiliserProducts[[#Headers],[Company]], 91)</f>
        <v/>
      </c>
      <c r="AB190" s="152" t="str" cm="1">
        <f t="array" ref="AB190">Common_InputFunctions.Utility_DisplayArrayInTable(Fertiliser_SourceData.Fertiliser_Products_Data4(),FertiliserProducts[[#Headers],[Company]], 91)</f>
        <v/>
      </c>
      <c r="AC190" s="152" t="str" cm="1">
        <f t="array" ref="AC190">Common_InputFunctions.Utility_DisplayArrayInTable(Fertiliser_SourceData.Fertiliser_Products_Data4(),FertiliserProducts[[#Headers],[Company]], 91)</f>
        <v/>
      </c>
      <c r="AD190" s="152" t="str" cm="1">
        <f t="array" ref="AD190">Common_InputFunctions.Utility_DisplayArrayInTable(Fertiliser_SourceData.Fertiliser_Products_Data4(),FertiliserProducts[[#Headers],[Company]], 91)</f>
        <v/>
      </c>
      <c r="AE190" s="152" t="str" cm="1">
        <f t="array" ref="AE190">Common_InputFunctions.Utility_DisplayArrayInTable(Fertiliser_SourceData.Fertiliser_Products_Data4(),FertiliserProducts[[#Headers],[Company]], 91)</f>
        <v/>
      </c>
      <c r="AF190" s="152" t="str" cm="1">
        <f t="array" ref="AF190">Common_InputFunctions.Utility_DisplayArrayInTable(Fertiliser_SourceData.Fertiliser_Products_Data4(),FertiliserProducts[[#Headers],[Company]], 91)</f>
        <v/>
      </c>
      <c r="AG190" s="152" t="str" cm="1">
        <f t="array" ref="AG190">Common_InputFunctions.Utility_DisplayArrayInTable(Fertiliser_SourceData.Fertiliser_Products_Data4(),FertiliserProducts[[#Headers],[Company]], 91)</f>
        <v/>
      </c>
      <c r="AH190" s="152" t="str" cm="1">
        <f t="array" ref="AH190">Common_InputFunctions.Utility_DisplayArrayInTable(Fertiliser_SourceData.Fertiliser_Products_Data4(),FertiliserProducts[[#Headers],[Company]], 91)</f>
        <v/>
      </c>
    </row>
    <row r="191" spans="1:37" ht="20.100000000000001" customHeight="1" x14ac:dyDescent="0.2">
      <c r="D191" s="152" t="str" cm="1">
        <f t="array" ref="D191">Common_InputFunctions.Utility_DisplayArrayInTable(Fertiliser_SourceData.Fertiliser_Products_Data4(),FertiliserProducts[[#Headers],[Company]], 91)</f>
        <v>Incitec Pivot Fertilisers</v>
      </c>
      <c r="E191" s="152" t="str" cm="1">
        <f t="array" ref="E191">Common_InputFunctions.Utility_DisplayArrayInTable(Fertiliser_SourceData.Fertiliser_Products_Data4(),FertiliserProducts[[#Headers],[Company]], 91)</f>
        <v>Dairy Pro</v>
      </c>
      <c r="F191" s="152" t="str" cm="1">
        <f t="array" ref="F191">Common_InputFunctions.Utility_DisplayArrayInTable(Fertiliser_SourceData.Fertiliser_Products_Data4(),FertiliserProducts[[#Headers],[Company]], 91)</f>
        <v>kg</v>
      </c>
      <c r="G191" s="152" cm="1">
        <f t="array" ref="G191">Common_InputFunctions.Utility_DisplayArrayInTable(Fertiliser_SourceData.Fertiliser_Products_Data4(),FertiliserProducts[[#Headers],[Company]], 91)</f>
        <v>1</v>
      </c>
      <c r="H191" s="152" t="str" cm="1">
        <f t="array" ref="H191">Common_InputFunctions.Utility_DisplayArrayInTable(Fertiliser_SourceData.Fertiliser_Products_Data4(),FertiliserProducts[[#Headers],[Company]], 91)</f>
        <v/>
      </c>
      <c r="I191" s="152" t="str" cm="1">
        <f t="array" ref="I191">Common_InputFunctions.Utility_DisplayArrayInTable(Fertiliser_SourceData.Fertiliser_Products_Data4(),FertiliserProducts[[#Headers],[Company]], 91)</f>
        <v/>
      </c>
      <c r="J191" s="152" t="str" cm="1">
        <f t="array" ref="J191">Common_InputFunctions.Utility_DisplayArrayInTable(Fertiliser_SourceData.Fertiliser_Products_Data4(),FertiliserProducts[[#Headers],[Company]], 91)</f>
        <v/>
      </c>
      <c r="K191" s="152" cm="1">
        <f t="array" ref="K191">Common_InputFunctions.Utility_DisplayArrayInTable(Fertiliser_SourceData.Fertiliser_Products_Data4(),FertiliserProducts[[#Headers],[Company]], 91)</f>
        <v>25.9</v>
      </c>
      <c r="L191" s="152" cm="1">
        <f t="array" ref="L191">Common_InputFunctions.Utility_DisplayArrayInTable(Fertiliser_SourceData.Fertiliser_Products_Data4(),FertiliserProducts[[#Headers],[Company]], 91)</f>
        <v>3.9</v>
      </c>
      <c r="M191" s="152" cm="1">
        <f t="array" ref="M191">Common_InputFunctions.Utility_DisplayArrayInTable(Fertiliser_SourceData.Fertiliser_Products_Data4(),FertiliserProducts[[#Headers],[Company]], 91)</f>
        <v>15.9</v>
      </c>
      <c r="N191" s="152" cm="1">
        <f t="array" ref="N191">Common_InputFunctions.Utility_DisplayArrayInTable(Fertiliser_SourceData.Fertiliser_Products_Data4(),FertiliserProducts[[#Headers],[Company]], 91)</f>
        <v>0.3</v>
      </c>
      <c r="O191" s="152" t="str" cm="1">
        <f t="array" ref="O191">Common_InputFunctions.Utility_DisplayArrayInTable(Fertiliser_SourceData.Fertiliser_Products_Data4(),FertiliserProducts[[#Headers],[Company]], 91)</f>
        <v>Nitrogen - Generic</v>
      </c>
      <c r="P191" s="152" cm="1">
        <f t="array" ref="P191">Common_InputFunctions.Utility_DisplayArrayInTable(Fertiliser_SourceData.Fertiliser_Products_Data4(),FertiliserProducts[[#Headers],[Company]], 91)</f>
        <v>0.25900000000000001</v>
      </c>
      <c r="Q191" s="152" t="str" cm="1">
        <f t="array" ref="Q191">Common_InputFunctions.Utility_DisplayArrayInTable(Fertiliser_SourceData.Fertiliser_Products_Data4(),FertiliserProducts[[#Headers],[Company]], 91)</f>
        <v>Phosphorus - Generic</v>
      </c>
      <c r="R191" s="152" cm="1">
        <f t="array" ref="R191">Common_InputFunctions.Utility_DisplayArrayInTable(Fertiliser_SourceData.Fertiliser_Products_Data4(),FertiliserProducts[[#Headers],[Company]], 91)</f>
        <v>3.9E-2</v>
      </c>
      <c r="S191" s="152" t="str" cm="1">
        <f t="array" ref="S191">Common_InputFunctions.Utility_DisplayArrayInTable(Fertiliser_SourceData.Fertiliser_Products_Data4(),FertiliserProducts[[#Headers],[Company]], 91)</f>
        <v>Potassium - Generic</v>
      </c>
      <c r="T191" s="152" cm="1">
        <f t="array" ref="T191">Common_InputFunctions.Utility_DisplayArrayInTable(Fertiliser_SourceData.Fertiliser_Products_Data4(),FertiliserProducts[[#Headers],[Company]], 91)</f>
        <v>0.159</v>
      </c>
      <c r="U191" s="152" t="str" cm="1">
        <f t="array" ref="U191">Common_InputFunctions.Utility_DisplayArrayInTable(Fertiliser_SourceData.Fertiliser_Products_Data4(),FertiliserProducts[[#Headers],[Company]], 91)</f>
        <v>Sulfur - Generic</v>
      </c>
      <c r="V191" s="152" cm="1">
        <f t="array" ref="V191">Common_InputFunctions.Utility_DisplayArrayInTable(Fertiliser_SourceData.Fertiliser_Products_Data4(),FertiliserProducts[[#Headers],[Company]], 91)</f>
        <v>3.0000000000000001E-3</v>
      </c>
      <c r="W191" s="152" t="str" cm="1">
        <f t="array" ref="W191">Common_InputFunctions.Utility_DisplayArrayInTable(Fertiliser_SourceData.Fertiliser_Products_Data4(),FertiliserProducts[[#Headers],[Company]], 91)</f>
        <v/>
      </c>
      <c r="X191" s="152" t="str" cm="1">
        <f t="array" ref="X191">Common_InputFunctions.Utility_DisplayArrayInTable(Fertiliser_SourceData.Fertiliser_Products_Data4(),FertiliserProducts[[#Headers],[Company]], 91)</f>
        <v/>
      </c>
      <c r="Y191" s="152" t="str" cm="1">
        <f t="array" ref="Y191">Common_InputFunctions.Utility_DisplayArrayInTable(Fertiliser_SourceData.Fertiliser_Products_Data4(),FertiliserProducts[[#Headers],[Company]], 91)</f>
        <v/>
      </c>
      <c r="Z191" s="152" t="str" cm="1">
        <f t="array" ref="Z191">Common_InputFunctions.Utility_DisplayArrayInTable(Fertiliser_SourceData.Fertiliser_Products_Data4(),FertiliserProducts[[#Headers],[Company]], 91)</f>
        <v/>
      </c>
      <c r="AA191" s="152" t="str" cm="1">
        <f t="array" ref="AA191">Common_InputFunctions.Utility_DisplayArrayInTable(Fertiliser_SourceData.Fertiliser_Products_Data4(),FertiliserProducts[[#Headers],[Company]], 91)</f>
        <v/>
      </c>
      <c r="AB191" s="152" t="str" cm="1">
        <f t="array" ref="AB191">Common_InputFunctions.Utility_DisplayArrayInTable(Fertiliser_SourceData.Fertiliser_Products_Data4(),FertiliserProducts[[#Headers],[Company]], 91)</f>
        <v/>
      </c>
      <c r="AC191" s="152" t="str" cm="1">
        <f t="array" ref="AC191">Common_InputFunctions.Utility_DisplayArrayInTable(Fertiliser_SourceData.Fertiliser_Products_Data4(),FertiliserProducts[[#Headers],[Company]], 91)</f>
        <v/>
      </c>
      <c r="AD191" s="152" t="str" cm="1">
        <f t="array" ref="AD191">Common_InputFunctions.Utility_DisplayArrayInTable(Fertiliser_SourceData.Fertiliser_Products_Data4(),FertiliserProducts[[#Headers],[Company]], 91)</f>
        <v/>
      </c>
      <c r="AE191" s="152" t="str" cm="1">
        <f t="array" ref="AE191">Common_InputFunctions.Utility_DisplayArrayInTable(Fertiliser_SourceData.Fertiliser_Products_Data4(),FertiliserProducts[[#Headers],[Company]], 91)</f>
        <v/>
      </c>
      <c r="AF191" s="152" t="str" cm="1">
        <f t="array" ref="AF191">Common_InputFunctions.Utility_DisplayArrayInTable(Fertiliser_SourceData.Fertiliser_Products_Data4(),FertiliserProducts[[#Headers],[Company]], 91)</f>
        <v/>
      </c>
      <c r="AG191" s="152" t="str" cm="1">
        <f t="array" ref="AG191">Common_InputFunctions.Utility_DisplayArrayInTable(Fertiliser_SourceData.Fertiliser_Products_Data4(),FertiliserProducts[[#Headers],[Company]], 91)</f>
        <v/>
      </c>
      <c r="AH191" s="152" t="str" cm="1">
        <f t="array" ref="AH191">Common_InputFunctions.Utility_DisplayArrayInTable(Fertiliser_SourceData.Fertiliser_Products_Data4(),FertiliserProducts[[#Headers],[Company]], 91)</f>
        <v/>
      </c>
    </row>
    <row r="192" spans="1:37" ht="20.100000000000001" customHeight="1" x14ac:dyDescent="0.2">
      <c r="D192" s="152" t="str" cm="1">
        <f t="array" ref="D192">Common_InputFunctions.Utility_DisplayArrayInTable(Fertiliser_SourceData.Fertiliser_Products_Data4(),FertiliserProducts[[#Headers],[Company]], 91)</f>
        <v>Yara Australia</v>
      </c>
      <c r="E192" s="152" t="str" cm="1">
        <f t="array" ref="E192">Common_InputFunctions.Utility_DisplayArrayInTable(Fertiliser_SourceData.Fertiliser_Products_Data4(),FertiliserProducts[[#Headers],[Company]], 91)</f>
        <v>YaraMila ACTYVA S</v>
      </c>
      <c r="F192" s="152" t="str" cm="1">
        <f t="array" ref="F192">Common_InputFunctions.Utility_DisplayArrayInTable(Fertiliser_SourceData.Fertiliser_Products_Data4(),FertiliserProducts[[#Headers],[Company]], 91)</f>
        <v>kg</v>
      </c>
      <c r="G192" s="152" cm="1">
        <f t="array" ref="G192">Common_InputFunctions.Utility_DisplayArrayInTable(Fertiliser_SourceData.Fertiliser_Products_Data4(),FertiliserProducts[[#Headers],[Company]], 91)</f>
        <v>1</v>
      </c>
      <c r="H192" s="152" t="str" cm="1">
        <f t="array" ref="H192">Common_InputFunctions.Utility_DisplayArrayInTable(Fertiliser_SourceData.Fertiliser_Products_Data4(),FertiliserProducts[[#Headers],[Company]], 91)</f>
        <v/>
      </c>
      <c r="I192" s="152" t="str" cm="1">
        <f t="array" ref="I192">Common_InputFunctions.Utility_DisplayArrayInTable(Fertiliser_SourceData.Fertiliser_Products_Data4(),FertiliserProducts[[#Headers],[Company]], 91)</f>
        <v/>
      </c>
      <c r="J192" s="152" t="str" cm="1">
        <f t="array" ref="J192">Common_InputFunctions.Utility_DisplayArrayInTable(Fertiliser_SourceData.Fertiliser_Products_Data4(),FertiliserProducts[[#Headers],[Company]], 91)</f>
        <v/>
      </c>
      <c r="K192" s="152" cm="1">
        <f t="array" ref="K192">Common_InputFunctions.Utility_DisplayArrayInTable(Fertiliser_SourceData.Fertiliser_Products_Data4(),FertiliserProducts[[#Headers],[Company]], 91)</f>
        <v>15.6</v>
      </c>
      <c r="L192" s="152" cm="1">
        <f t="array" ref="L192">Common_InputFunctions.Utility_DisplayArrayInTable(Fertiliser_SourceData.Fertiliser_Products_Data4(),FertiliserProducts[[#Headers],[Company]], 91)</f>
        <v>6.37</v>
      </c>
      <c r="M192" s="152" cm="1">
        <f t="array" ref="M192">Common_InputFunctions.Utility_DisplayArrayInTable(Fertiliser_SourceData.Fertiliser_Products_Data4(),FertiliserProducts[[#Headers],[Company]], 91)</f>
        <v>12.45</v>
      </c>
      <c r="N192" s="152" cm="1">
        <f t="array" ref="N192">Common_InputFunctions.Utility_DisplayArrayInTable(Fertiliser_SourceData.Fertiliser_Products_Data4(),FertiliserProducts[[#Headers],[Company]], 91)</f>
        <v>2.6</v>
      </c>
      <c r="O192" s="152" t="str" cm="1">
        <f t="array" ref="O192">Common_InputFunctions.Utility_DisplayArrayInTable(Fertiliser_SourceData.Fertiliser_Products_Data4(),FertiliserProducts[[#Headers],[Company]], 91)</f>
        <v>Nitrogen - Nitrate</v>
      </c>
      <c r="P192" s="152" cm="1">
        <f t="array" ref="P192">Common_InputFunctions.Utility_DisplayArrayInTable(Fertiliser_SourceData.Fertiliser_Products_Data4(),FertiliserProducts[[#Headers],[Company]], 91)</f>
        <v>5.8000000000000003E-2</v>
      </c>
      <c r="Q192" s="152" t="str" cm="1">
        <f t="array" ref="Q192">Common_InputFunctions.Utility_DisplayArrayInTable(Fertiliser_SourceData.Fertiliser_Products_Data4(),FertiliserProducts[[#Headers],[Company]], 91)</f>
        <v>Nitrogen - Ammoniacal</v>
      </c>
      <c r="R192" s="152" cm="1">
        <f t="array" ref="R192">Common_InputFunctions.Utility_DisplayArrayInTable(Fertiliser_SourceData.Fertiliser_Products_Data4(),FertiliserProducts[[#Headers],[Company]], 91)</f>
        <v>9.8000000000000004E-2</v>
      </c>
      <c r="S192" s="152" t="str" cm="1">
        <f t="array" ref="S192">Common_InputFunctions.Utility_DisplayArrayInTable(Fertiliser_SourceData.Fertiliser_Products_Data4(),FertiliserProducts[[#Headers],[Company]], 91)</f>
        <v>Phosphorus - Generic</v>
      </c>
      <c r="T192" s="152" cm="1">
        <f t="array" ref="T192">Common_InputFunctions.Utility_DisplayArrayInTable(Fertiliser_SourceData.Fertiliser_Products_Data4(),FertiliserProducts[[#Headers],[Company]], 91)</f>
        <v>6.3714000000000007E-2</v>
      </c>
      <c r="U192" s="152" t="str" cm="1">
        <f t="array" ref="U192">Common_InputFunctions.Utility_DisplayArrayInTable(Fertiliser_SourceData.Fertiliser_Products_Data4(),FertiliserProducts[[#Headers],[Company]], 91)</f>
        <v>Potassium - Generic</v>
      </c>
      <c r="V192" s="152" cm="1">
        <f t="array" ref="V192">Common_InputFunctions.Utility_DisplayArrayInTable(Fertiliser_SourceData.Fertiliser_Products_Data4(),FertiliserProducts[[#Headers],[Company]], 91)</f>
        <v>0.124515</v>
      </c>
      <c r="W192" s="152" t="str" cm="1">
        <f t="array" ref="W192">Common_InputFunctions.Utility_DisplayArrayInTable(Fertiliser_SourceData.Fertiliser_Products_Data4(),FertiliserProducts[[#Headers],[Company]], 91)</f>
        <v>Sulfur - Generic</v>
      </c>
      <c r="X192" s="152" cm="1">
        <f t="array" ref="X192">Common_InputFunctions.Utility_DisplayArrayInTable(Fertiliser_SourceData.Fertiliser_Products_Data4(),FertiliserProducts[[#Headers],[Company]], 91)</f>
        <v>2.5999999999999999E-2</v>
      </c>
      <c r="Y192" s="152" t="str" cm="1">
        <f t="array" ref="Y192">Common_InputFunctions.Utility_DisplayArrayInTable(Fertiliser_SourceData.Fertiliser_Products_Data4(),FertiliserProducts[[#Headers],[Company]], 91)</f>
        <v/>
      </c>
      <c r="Z192" s="152" t="str" cm="1">
        <f t="array" ref="Z192">Common_InputFunctions.Utility_DisplayArrayInTable(Fertiliser_SourceData.Fertiliser_Products_Data4(),FertiliserProducts[[#Headers],[Company]], 91)</f>
        <v/>
      </c>
      <c r="AA192" s="152" t="str" cm="1">
        <f t="array" ref="AA192">Common_InputFunctions.Utility_DisplayArrayInTable(Fertiliser_SourceData.Fertiliser_Products_Data4(),FertiliserProducts[[#Headers],[Company]], 91)</f>
        <v/>
      </c>
      <c r="AB192" s="152" t="str" cm="1">
        <f t="array" ref="AB192">Common_InputFunctions.Utility_DisplayArrayInTable(Fertiliser_SourceData.Fertiliser_Products_Data4(),FertiliserProducts[[#Headers],[Company]], 91)</f>
        <v/>
      </c>
      <c r="AC192" s="152" t="str" cm="1">
        <f t="array" ref="AC192">Common_InputFunctions.Utility_DisplayArrayInTable(Fertiliser_SourceData.Fertiliser_Products_Data4(),FertiliserProducts[[#Headers],[Company]], 91)</f>
        <v/>
      </c>
      <c r="AD192" s="152" t="str" cm="1">
        <f t="array" ref="AD192">Common_InputFunctions.Utility_DisplayArrayInTable(Fertiliser_SourceData.Fertiliser_Products_Data4(),FertiliserProducts[[#Headers],[Company]], 91)</f>
        <v/>
      </c>
      <c r="AE192" s="152" t="str" cm="1">
        <f t="array" ref="AE192">Common_InputFunctions.Utility_DisplayArrayInTable(Fertiliser_SourceData.Fertiliser_Products_Data4(),FertiliserProducts[[#Headers],[Company]], 91)</f>
        <v/>
      </c>
      <c r="AF192" s="152" t="str" cm="1">
        <f t="array" ref="AF192">Common_InputFunctions.Utility_DisplayArrayInTable(Fertiliser_SourceData.Fertiliser_Products_Data4(),FertiliserProducts[[#Headers],[Company]], 91)</f>
        <v/>
      </c>
      <c r="AG192" s="152" t="str" cm="1">
        <f t="array" ref="AG192">Common_InputFunctions.Utility_DisplayArrayInTable(Fertiliser_SourceData.Fertiliser_Products_Data4(),FertiliserProducts[[#Headers],[Company]], 91)</f>
        <v/>
      </c>
      <c r="AH192" s="152" t="str" cm="1">
        <f t="array" ref="AH192">Common_InputFunctions.Utility_DisplayArrayInTable(Fertiliser_SourceData.Fertiliser_Products_Data4(),FertiliserProducts[[#Headers],[Company]], 91)</f>
        <v/>
      </c>
    </row>
    <row r="193" spans="4:34" ht="20.100000000000001" customHeight="1" x14ac:dyDescent="0.2">
      <c r="D193" s="152" t="str" cm="1">
        <f t="array" ref="D193">Common_InputFunctions.Utility_DisplayArrayInTable(Fertiliser_SourceData.Fertiliser_Products_Data4(),FertiliserProducts[[#Headers],[Company]], 91)</f>
        <v>CSBP</v>
      </c>
      <c r="E193" s="152" t="str" cm="1">
        <f t="array" ref="E193">Common_InputFunctions.Utility_DisplayArrayInTable(Fertiliser_SourceData.Fertiliser_Products_Data4(),FertiliserProducts[[#Headers],[Company]], 91)</f>
        <v>Agflow Extra</v>
      </c>
      <c r="F193" s="152" t="str" cm="1">
        <f t="array" ref="F193">Common_InputFunctions.Utility_DisplayArrayInTable(Fertiliser_SourceData.Fertiliser_Products_Data4(),FertiliserProducts[[#Headers],[Company]], 91)</f>
        <v>kg</v>
      </c>
      <c r="G193" s="152" cm="1">
        <f t="array" ref="G193">Common_InputFunctions.Utility_DisplayArrayInTable(Fertiliser_SourceData.Fertiliser_Products_Data4(),FertiliserProducts[[#Headers],[Company]], 91)</f>
        <v>1</v>
      </c>
      <c r="H193" s="152" t="str" cm="1">
        <f t="array" ref="H193">Common_InputFunctions.Utility_DisplayArrayInTable(Fertiliser_SourceData.Fertiliser_Products_Data4(),FertiliserProducts[[#Headers],[Company]], 91)</f>
        <v/>
      </c>
      <c r="I193" s="152" t="str" cm="1">
        <f t="array" ref="I193">Common_InputFunctions.Utility_DisplayArrayInTable(Fertiliser_SourceData.Fertiliser_Products_Data4(),FertiliserProducts[[#Headers],[Company]], 91)</f>
        <v/>
      </c>
      <c r="J193" s="152" t="str" cm="1">
        <f t="array" ref="J193">Common_InputFunctions.Utility_DisplayArrayInTable(Fertiliser_SourceData.Fertiliser_Products_Data4(),FertiliserProducts[[#Headers],[Company]], 91)</f>
        <v/>
      </c>
      <c r="K193" s="152" cm="1">
        <f t="array" ref="K193">Common_InputFunctions.Utility_DisplayArrayInTable(Fertiliser_SourceData.Fertiliser_Products_Data4(),FertiliserProducts[[#Headers],[Company]], 91)</f>
        <v>11.15</v>
      </c>
      <c r="L193" s="152" cm="1">
        <f t="array" ref="L193">Common_InputFunctions.Utility_DisplayArrayInTable(Fertiliser_SourceData.Fertiliser_Products_Data4(),FertiliserProducts[[#Headers],[Company]], 91)</f>
        <v>17.52</v>
      </c>
      <c r="M193" s="152" t="str" cm="1">
        <f t="array" ref="M193">Common_InputFunctions.Utility_DisplayArrayInTable(Fertiliser_SourceData.Fertiliser_Products_Data4(),FertiliserProducts[[#Headers],[Company]], 91)</f>
        <v/>
      </c>
      <c r="N193" s="152" cm="1">
        <f t="array" ref="N193">Common_InputFunctions.Utility_DisplayArrayInTable(Fertiliser_SourceData.Fertiliser_Products_Data4(),FertiliserProducts[[#Headers],[Company]], 91)</f>
        <v>3.6</v>
      </c>
      <c r="O193" s="152" t="str" cm="1">
        <f t="array" ref="O193">Common_InputFunctions.Utility_DisplayArrayInTable(Fertiliser_SourceData.Fertiliser_Products_Data4(),FertiliserProducts[[#Headers],[Company]], 91)</f>
        <v>Monoammonium phosphate (MAP)</v>
      </c>
      <c r="P193" s="152" cm="1">
        <f t="array" ref="P193">Common_InputFunctions.Utility_DisplayArrayInTable(Fertiliser_SourceData.Fertiliser_Products_Data4(),FertiliserProducts[[#Headers],[Company]], 91)</f>
        <v>0.8</v>
      </c>
      <c r="Q193" s="152" t="str" cm="1">
        <f t="array" ref="Q193">Common_InputFunctions.Utility_DisplayArrayInTable(Fertiliser_SourceData.Fertiliser_Products_Data4(),FertiliserProducts[[#Headers],[Company]], 91)</f>
        <v>Sulphate of ammonia (SOA)</v>
      </c>
      <c r="R193" s="152" cm="1">
        <f t="array" ref="R193">Common_InputFunctions.Utility_DisplayArrayInTable(Fertiliser_SourceData.Fertiliser_Products_Data4(),FertiliserProducts[[#Headers],[Company]], 91)</f>
        <v>0.15</v>
      </c>
      <c r="S193" s="152" t="str" cm="1">
        <f t="array" ref="S193">Common_InputFunctions.Utility_DisplayArrayInTable(Fertiliser_SourceData.Fertiliser_Products_Data4(),FertiliserProducts[[#Headers],[Company]], 91)</f>
        <v>Copper</v>
      </c>
      <c r="T193" s="152" t="str" cm="1">
        <f t="array" ref="T193">Common_InputFunctions.Utility_DisplayArrayInTable(Fertiliser_SourceData.Fertiliser_Products_Data4(),FertiliserProducts[[#Headers],[Company]], 91)</f>
        <v>No data</v>
      </c>
      <c r="U193" s="152" t="str" cm="1">
        <f t="array" ref="U193">Common_InputFunctions.Utility_DisplayArrayInTable(Fertiliser_SourceData.Fertiliser_Products_Data4(),FertiliserProducts[[#Headers],[Company]], 91)</f>
        <v>Molybdenum</v>
      </c>
      <c r="V193" s="152" t="str" cm="1">
        <f t="array" ref="V193">Common_InputFunctions.Utility_DisplayArrayInTable(Fertiliser_SourceData.Fertiliser_Products_Data4(),FertiliserProducts[[#Headers],[Company]], 91)</f>
        <v>No data</v>
      </c>
      <c r="W193" s="152" t="str" cm="1">
        <f t="array" ref="W193">Common_InputFunctions.Utility_DisplayArrayInTable(Fertiliser_SourceData.Fertiliser_Products_Data4(),FertiliserProducts[[#Headers],[Company]], 91)</f>
        <v>Zinc</v>
      </c>
      <c r="X193" s="152" t="str" cm="1">
        <f t="array" ref="X193">Common_InputFunctions.Utility_DisplayArrayInTable(Fertiliser_SourceData.Fertiliser_Products_Data4(),FertiliserProducts[[#Headers],[Company]], 91)</f>
        <v>No data</v>
      </c>
      <c r="Y193" s="152" t="str" cm="1">
        <f t="array" ref="Y193">Common_InputFunctions.Utility_DisplayArrayInTable(Fertiliser_SourceData.Fertiliser_Products_Data4(),FertiliserProducts[[#Headers],[Company]], 91)</f>
        <v/>
      </c>
      <c r="Z193" s="152" t="str" cm="1">
        <f t="array" ref="Z193">Common_InputFunctions.Utility_DisplayArrayInTable(Fertiliser_SourceData.Fertiliser_Products_Data4(),FertiliserProducts[[#Headers],[Company]], 91)</f>
        <v/>
      </c>
      <c r="AA193" s="152" t="str" cm="1">
        <f t="array" ref="AA193">Common_InputFunctions.Utility_DisplayArrayInTable(Fertiliser_SourceData.Fertiliser_Products_Data4(),FertiliserProducts[[#Headers],[Company]], 91)</f>
        <v/>
      </c>
      <c r="AB193" s="152" t="str" cm="1">
        <f t="array" ref="AB193">Common_InputFunctions.Utility_DisplayArrayInTable(Fertiliser_SourceData.Fertiliser_Products_Data4(),FertiliserProducts[[#Headers],[Company]], 91)</f>
        <v/>
      </c>
      <c r="AC193" s="152" t="str" cm="1">
        <f t="array" ref="AC193">Common_InputFunctions.Utility_DisplayArrayInTable(Fertiliser_SourceData.Fertiliser_Products_Data4(),FertiliserProducts[[#Headers],[Company]], 91)</f>
        <v/>
      </c>
      <c r="AD193" s="152" t="str" cm="1">
        <f t="array" ref="AD193">Common_InputFunctions.Utility_DisplayArrayInTable(Fertiliser_SourceData.Fertiliser_Products_Data4(),FertiliserProducts[[#Headers],[Company]], 91)</f>
        <v/>
      </c>
      <c r="AE193" s="152" t="str" cm="1">
        <f t="array" ref="AE193">Common_InputFunctions.Utility_DisplayArrayInTable(Fertiliser_SourceData.Fertiliser_Products_Data4(),FertiliserProducts[[#Headers],[Company]], 91)</f>
        <v/>
      </c>
      <c r="AF193" s="152" t="str" cm="1">
        <f t="array" ref="AF193">Common_InputFunctions.Utility_DisplayArrayInTable(Fertiliser_SourceData.Fertiliser_Products_Data4(),FertiliserProducts[[#Headers],[Company]], 91)</f>
        <v/>
      </c>
      <c r="AG193" s="152" t="str" cm="1">
        <f t="array" ref="AG193">Common_InputFunctions.Utility_DisplayArrayInTable(Fertiliser_SourceData.Fertiliser_Products_Data4(),FertiliserProducts[[#Headers],[Company]], 91)</f>
        <v/>
      </c>
      <c r="AH193" s="152" t="str" cm="1">
        <f t="array" ref="AH193">Common_InputFunctions.Utility_DisplayArrayInTable(Fertiliser_SourceData.Fertiliser_Products_Data4(),FertiliserProducts[[#Headers],[Company]], 91)</f>
        <v/>
      </c>
    </row>
    <row r="194" spans="4:34" ht="20.100000000000001" customHeight="1" x14ac:dyDescent="0.2">
      <c r="D194" s="152" t="str" cm="1">
        <f t="array" ref="D194">Common_InputFunctions.Utility_DisplayArrayInTable(Fertiliser_SourceData.Fertiliser_Products_Data4(),FertiliserProducts[[#Headers],[Company]], 91)</f>
        <v>CSBP</v>
      </c>
      <c r="E194" s="152" t="str" cm="1">
        <f t="array" ref="E194">Common_InputFunctions.Utility_DisplayArrayInTable(Fertiliser_SourceData.Fertiliser_Products_Data4(),FertiliserProducts[[#Headers],[Company]], 91)</f>
        <v>Super &amp; Potash 3:1</v>
      </c>
      <c r="F194" s="152" t="str" cm="1">
        <f t="array" ref="F194">Common_InputFunctions.Utility_DisplayArrayInTable(Fertiliser_SourceData.Fertiliser_Products_Data4(),FertiliserProducts[[#Headers],[Company]], 91)</f>
        <v>kg</v>
      </c>
      <c r="G194" s="152" cm="1">
        <f t="array" ref="G194">Common_InputFunctions.Utility_DisplayArrayInTable(Fertiliser_SourceData.Fertiliser_Products_Data4(),FertiliserProducts[[#Headers],[Company]], 91)</f>
        <v>1</v>
      </c>
      <c r="H194" s="152" t="str" cm="1">
        <f t="array" ref="H194">Common_InputFunctions.Utility_DisplayArrayInTable(Fertiliser_SourceData.Fertiliser_Products_Data4(),FertiliserProducts[[#Headers],[Company]], 91)</f>
        <v/>
      </c>
      <c r="I194" s="152" t="str" cm="1">
        <f t="array" ref="I194">Common_InputFunctions.Utility_DisplayArrayInTable(Fertiliser_SourceData.Fertiliser_Products_Data4(),FertiliserProducts[[#Headers],[Company]], 91)</f>
        <v/>
      </c>
      <c r="J194" s="152" t="str" cm="1">
        <f t="array" ref="J194">Common_InputFunctions.Utility_DisplayArrayInTable(Fertiliser_SourceData.Fertiliser_Products_Data4(),FertiliserProducts[[#Headers],[Company]], 91)</f>
        <v/>
      </c>
      <c r="K194" s="152" t="str" cm="1">
        <f t="array" ref="K194">Common_InputFunctions.Utility_DisplayArrayInTable(Fertiliser_SourceData.Fertiliser_Products_Data4(),FertiliserProducts[[#Headers],[Company]], 91)</f>
        <v/>
      </c>
      <c r="L194" s="152" cm="1">
        <f t="array" ref="L194">Common_InputFunctions.Utility_DisplayArrayInTable(Fertiliser_SourceData.Fertiliser_Products_Data4(),FertiliserProducts[[#Headers],[Company]], 91)</f>
        <v>5.5</v>
      </c>
      <c r="M194" s="152" cm="1">
        <f t="array" ref="M194">Common_InputFunctions.Utility_DisplayArrayInTable(Fertiliser_SourceData.Fertiliser_Products_Data4(),FertiliserProducts[[#Headers],[Company]], 91)</f>
        <v>15</v>
      </c>
      <c r="N194" s="152" cm="1">
        <f t="array" ref="N194">Common_InputFunctions.Utility_DisplayArrayInTable(Fertiliser_SourceData.Fertiliser_Products_Data4(),FertiliserProducts[[#Headers],[Company]], 91)</f>
        <v>6.88</v>
      </c>
      <c r="O194" s="152" t="str" cm="1">
        <f t="array" ref="O194">Common_InputFunctions.Utility_DisplayArrayInTable(Fertiliser_SourceData.Fertiliser_Products_Data4(),FertiliserProducts[[#Headers],[Company]], 91)</f>
        <v>Single superphosphate (SSP)</v>
      </c>
      <c r="P194" s="152" cm="1">
        <f t="array" ref="P194">Common_InputFunctions.Utility_DisplayArrayInTable(Fertiliser_SourceData.Fertiliser_Products_Data4(),FertiliserProducts[[#Headers],[Company]], 91)</f>
        <v>0.625</v>
      </c>
      <c r="Q194" s="152" t="str" cm="1">
        <f t="array" ref="Q194">Common_InputFunctions.Utility_DisplayArrayInTable(Fertiliser_SourceData.Fertiliser_Products_Data4(),FertiliserProducts[[#Headers],[Company]], 91)</f>
        <v>Muriate of potash (MOP)</v>
      </c>
      <c r="R194" s="152" cm="1">
        <f t="array" ref="R194">Common_InputFunctions.Utility_DisplayArrayInTable(Fertiliser_SourceData.Fertiliser_Products_Data4(),FertiliserProducts[[#Headers],[Company]], 91)</f>
        <v>0.3</v>
      </c>
      <c r="S194" s="152" t="str" cm="1">
        <f t="array" ref="S194">Common_InputFunctions.Utility_DisplayArrayInTable(Fertiliser_SourceData.Fertiliser_Products_Data4(),FertiliserProducts[[#Headers],[Company]], 91)</f>
        <v/>
      </c>
      <c r="T194" s="152" t="str" cm="1">
        <f t="array" ref="T194">Common_InputFunctions.Utility_DisplayArrayInTable(Fertiliser_SourceData.Fertiliser_Products_Data4(),FertiliserProducts[[#Headers],[Company]], 91)</f>
        <v/>
      </c>
      <c r="U194" s="152" t="str" cm="1">
        <f t="array" ref="U194">Common_InputFunctions.Utility_DisplayArrayInTable(Fertiliser_SourceData.Fertiliser_Products_Data4(),FertiliserProducts[[#Headers],[Company]], 91)</f>
        <v/>
      </c>
      <c r="V194" s="152" t="str" cm="1">
        <f t="array" ref="V194">Common_InputFunctions.Utility_DisplayArrayInTable(Fertiliser_SourceData.Fertiliser_Products_Data4(),FertiliserProducts[[#Headers],[Company]], 91)</f>
        <v/>
      </c>
      <c r="W194" s="152" t="str" cm="1">
        <f t="array" ref="W194">Common_InputFunctions.Utility_DisplayArrayInTable(Fertiliser_SourceData.Fertiliser_Products_Data4(),FertiliserProducts[[#Headers],[Company]], 91)</f>
        <v/>
      </c>
      <c r="X194" s="152" t="str" cm="1">
        <f t="array" ref="X194">Common_InputFunctions.Utility_DisplayArrayInTable(Fertiliser_SourceData.Fertiliser_Products_Data4(),FertiliserProducts[[#Headers],[Company]], 91)</f>
        <v/>
      </c>
      <c r="Y194" s="152" t="str" cm="1">
        <f t="array" ref="Y194">Common_InputFunctions.Utility_DisplayArrayInTable(Fertiliser_SourceData.Fertiliser_Products_Data4(),FertiliserProducts[[#Headers],[Company]], 91)</f>
        <v/>
      </c>
      <c r="Z194" s="152" t="str" cm="1">
        <f t="array" ref="Z194">Common_InputFunctions.Utility_DisplayArrayInTable(Fertiliser_SourceData.Fertiliser_Products_Data4(),FertiliserProducts[[#Headers],[Company]], 91)</f>
        <v/>
      </c>
      <c r="AA194" s="152" t="str" cm="1">
        <f t="array" ref="AA194">Common_InputFunctions.Utility_DisplayArrayInTable(Fertiliser_SourceData.Fertiliser_Products_Data4(),FertiliserProducts[[#Headers],[Company]], 91)</f>
        <v/>
      </c>
      <c r="AB194" s="152" t="str" cm="1">
        <f t="array" ref="AB194">Common_InputFunctions.Utility_DisplayArrayInTable(Fertiliser_SourceData.Fertiliser_Products_Data4(),FertiliserProducts[[#Headers],[Company]], 91)</f>
        <v/>
      </c>
      <c r="AC194" s="152" t="str" cm="1">
        <f t="array" ref="AC194">Common_InputFunctions.Utility_DisplayArrayInTable(Fertiliser_SourceData.Fertiliser_Products_Data4(),FertiliserProducts[[#Headers],[Company]], 91)</f>
        <v/>
      </c>
      <c r="AD194" s="152" t="str" cm="1">
        <f t="array" ref="AD194">Common_InputFunctions.Utility_DisplayArrayInTable(Fertiliser_SourceData.Fertiliser_Products_Data4(),FertiliserProducts[[#Headers],[Company]], 91)</f>
        <v/>
      </c>
      <c r="AE194" s="152" t="str" cm="1">
        <f t="array" ref="AE194">Common_InputFunctions.Utility_DisplayArrayInTable(Fertiliser_SourceData.Fertiliser_Products_Data4(),FertiliserProducts[[#Headers],[Company]], 91)</f>
        <v/>
      </c>
      <c r="AF194" s="152" t="str" cm="1">
        <f t="array" ref="AF194">Common_InputFunctions.Utility_DisplayArrayInTable(Fertiliser_SourceData.Fertiliser_Products_Data4(),FertiliserProducts[[#Headers],[Company]], 91)</f>
        <v/>
      </c>
      <c r="AG194" s="152" t="str" cm="1">
        <f t="array" ref="AG194">Common_InputFunctions.Utility_DisplayArrayInTable(Fertiliser_SourceData.Fertiliser_Products_Data4(),FertiliserProducts[[#Headers],[Company]], 91)</f>
        <v/>
      </c>
      <c r="AH194" s="152" t="str" cm="1">
        <f t="array" ref="AH194">Common_InputFunctions.Utility_DisplayArrayInTable(Fertiliser_SourceData.Fertiliser_Products_Data4(),FertiliserProducts[[#Headers],[Company]], 91)</f>
        <v/>
      </c>
    </row>
    <row r="195" spans="4:34" ht="20.100000000000001" customHeight="1" x14ac:dyDescent="0.2">
      <c r="D195" s="152" t="str" cm="1">
        <f t="array" ref="D195">Common_InputFunctions.Utility_DisplayArrayInTable(Fertiliser_SourceData.Fertiliser_Products_Data4(),FertiliserProducts[[#Headers],[Company]], 91)</f>
        <v>Yara</v>
      </c>
      <c r="E195" s="152" t="str" cm="1">
        <f t="array" ref="E195">Common_InputFunctions.Utility_DisplayArrayInTable(Fertiliser_SourceData.Fertiliser_Products_Data4(),FertiliserProducts[[#Headers],[Company]], 91)</f>
        <v>YaraBela CAN-27</v>
      </c>
      <c r="F195" s="152" t="str" cm="1">
        <f t="array" ref="F195">Common_InputFunctions.Utility_DisplayArrayInTable(Fertiliser_SourceData.Fertiliser_Products_Data4(),FertiliserProducts[[#Headers],[Company]], 91)</f>
        <v>kg</v>
      </c>
      <c r="G195" s="152" cm="1">
        <f t="array" ref="G195">Common_InputFunctions.Utility_DisplayArrayInTable(Fertiliser_SourceData.Fertiliser_Products_Data4(),FertiliserProducts[[#Headers],[Company]], 91)</f>
        <v>1</v>
      </c>
      <c r="H195" s="152" t="str" cm="1">
        <f t="array" ref="H195">Common_InputFunctions.Utility_DisplayArrayInTable(Fertiliser_SourceData.Fertiliser_Products_Data4(),FertiliserProducts[[#Headers],[Company]], 91)</f>
        <v/>
      </c>
      <c r="I195" s="152" t="str" cm="1">
        <f t="array" ref="I195">Common_InputFunctions.Utility_DisplayArrayInTable(Fertiliser_SourceData.Fertiliser_Products_Data4(),FertiliserProducts[[#Headers],[Company]], 91)</f>
        <v/>
      </c>
      <c r="J195" s="152" t="str" cm="1">
        <f t="array" ref="J195">Common_InputFunctions.Utility_DisplayArrayInTable(Fertiliser_SourceData.Fertiliser_Products_Data4(),FertiliserProducts[[#Headers],[Company]], 91)</f>
        <v/>
      </c>
      <c r="K195" s="152" cm="1">
        <f t="array" ref="K195">Common_InputFunctions.Utility_DisplayArrayInTable(Fertiliser_SourceData.Fertiliser_Products_Data4(),FertiliserProducts[[#Headers],[Company]], 91)</f>
        <v>27</v>
      </c>
      <c r="L195" s="152" t="str" cm="1">
        <f t="array" ref="L195">Common_InputFunctions.Utility_DisplayArrayInTable(Fertiliser_SourceData.Fertiliser_Products_Data4(),FertiliserProducts[[#Headers],[Company]], 91)</f>
        <v/>
      </c>
      <c r="M195" s="152" t="str" cm="1">
        <f t="array" ref="M195">Common_InputFunctions.Utility_DisplayArrayInTable(Fertiliser_SourceData.Fertiliser_Products_Data4(),FertiliserProducts[[#Headers],[Company]], 91)</f>
        <v/>
      </c>
      <c r="N195" s="152" t="str" cm="1">
        <f t="array" ref="N195">Common_InputFunctions.Utility_DisplayArrayInTable(Fertiliser_SourceData.Fertiliser_Products_Data4(),FertiliserProducts[[#Headers],[Company]], 91)</f>
        <v/>
      </c>
      <c r="O195" s="152" t="str" cm="1">
        <f t="array" ref="O195">Common_InputFunctions.Utility_DisplayArrayInTable(Fertiliser_SourceData.Fertiliser_Products_Data4(),FertiliserProducts[[#Headers],[Company]], 91)</f>
        <v>Calcium ammonium nitrate (CAN)</v>
      </c>
      <c r="P195" s="152" cm="1">
        <f t="array" ref="P195">Common_InputFunctions.Utility_DisplayArrayInTable(Fertiliser_SourceData.Fertiliser_Products_Data4(),FertiliserProducts[[#Headers],[Company]], 91)</f>
        <v>1</v>
      </c>
      <c r="Q195" s="152" t="str" cm="1">
        <f t="array" ref="Q195">Common_InputFunctions.Utility_DisplayArrayInTable(Fertiliser_SourceData.Fertiliser_Products_Data4(),FertiliserProducts[[#Headers],[Company]], 91)</f>
        <v/>
      </c>
      <c r="R195" s="152" t="str" cm="1">
        <f t="array" ref="R195">Common_InputFunctions.Utility_DisplayArrayInTable(Fertiliser_SourceData.Fertiliser_Products_Data4(),FertiliserProducts[[#Headers],[Company]], 91)</f>
        <v/>
      </c>
      <c r="S195" s="152" t="str" cm="1">
        <f t="array" ref="S195">Common_InputFunctions.Utility_DisplayArrayInTable(Fertiliser_SourceData.Fertiliser_Products_Data4(),FertiliserProducts[[#Headers],[Company]], 91)</f>
        <v/>
      </c>
      <c r="T195" s="152" t="str" cm="1">
        <f t="array" ref="T195">Common_InputFunctions.Utility_DisplayArrayInTable(Fertiliser_SourceData.Fertiliser_Products_Data4(),FertiliserProducts[[#Headers],[Company]], 91)</f>
        <v/>
      </c>
      <c r="U195" s="152" t="str" cm="1">
        <f t="array" ref="U195">Common_InputFunctions.Utility_DisplayArrayInTable(Fertiliser_SourceData.Fertiliser_Products_Data4(),FertiliserProducts[[#Headers],[Company]], 91)</f>
        <v/>
      </c>
      <c r="V195" s="152" t="str" cm="1">
        <f t="array" ref="V195">Common_InputFunctions.Utility_DisplayArrayInTable(Fertiliser_SourceData.Fertiliser_Products_Data4(),FertiliserProducts[[#Headers],[Company]], 91)</f>
        <v/>
      </c>
      <c r="W195" s="152" t="str" cm="1">
        <f t="array" ref="W195">Common_InputFunctions.Utility_DisplayArrayInTable(Fertiliser_SourceData.Fertiliser_Products_Data4(),FertiliserProducts[[#Headers],[Company]], 91)</f>
        <v/>
      </c>
      <c r="X195" s="152" t="str" cm="1">
        <f t="array" ref="X195">Common_InputFunctions.Utility_DisplayArrayInTable(Fertiliser_SourceData.Fertiliser_Products_Data4(),FertiliserProducts[[#Headers],[Company]], 91)</f>
        <v/>
      </c>
      <c r="Y195" s="152" t="str" cm="1">
        <f t="array" ref="Y195">Common_InputFunctions.Utility_DisplayArrayInTable(Fertiliser_SourceData.Fertiliser_Products_Data4(),FertiliserProducts[[#Headers],[Company]], 91)</f>
        <v/>
      </c>
      <c r="Z195" s="152" t="str" cm="1">
        <f t="array" ref="Z195">Common_InputFunctions.Utility_DisplayArrayInTable(Fertiliser_SourceData.Fertiliser_Products_Data4(),FertiliserProducts[[#Headers],[Company]], 91)</f>
        <v/>
      </c>
      <c r="AA195" s="152" t="str" cm="1">
        <f t="array" ref="AA195">Common_InputFunctions.Utility_DisplayArrayInTable(Fertiliser_SourceData.Fertiliser_Products_Data4(),FertiliserProducts[[#Headers],[Company]], 91)</f>
        <v/>
      </c>
      <c r="AB195" s="152" t="str" cm="1">
        <f t="array" ref="AB195">Common_InputFunctions.Utility_DisplayArrayInTable(Fertiliser_SourceData.Fertiliser_Products_Data4(),FertiliserProducts[[#Headers],[Company]], 91)</f>
        <v/>
      </c>
      <c r="AC195" s="152" t="str" cm="1">
        <f t="array" ref="AC195">Common_InputFunctions.Utility_DisplayArrayInTable(Fertiliser_SourceData.Fertiliser_Products_Data4(),FertiliserProducts[[#Headers],[Company]], 91)</f>
        <v/>
      </c>
      <c r="AD195" s="152" t="str" cm="1">
        <f t="array" ref="AD195">Common_InputFunctions.Utility_DisplayArrayInTable(Fertiliser_SourceData.Fertiliser_Products_Data4(),FertiliserProducts[[#Headers],[Company]], 91)</f>
        <v/>
      </c>
      <c r="AE195" s="152" t="str" cm="1">
        <f t="array" ref="AE195">Common_InputFunctions.Utility_DisplayArrayInTable(Fertiliser_SourceData.Fertiliser_Products_Data4(),FertiliserProducts[[#Headers],[Company]], 91)</f>
        <v/>
      </c>
      <c r="AF195" s="152" t="str" cm="1">
        <f t="array" ref="AF195">Common_InputFunctions.Utility_DisplayArrayInTable(Fertiliser_SourceData.Fertiliser_Products_Data4(),FertiliserProducts[[#Headers],[Company]], 91)</f>
        <v/>
      </c>
      <c r="AG195" s="152" t="str" cm="1">
        <f t="array" ref="AG195">Common_InputFunctions.Utility_DisplayArrayInTable(Fertiliser_SourceData.Fertiliser_Products_Data4(),FertiliserProducts[[#Headers],[Company]], 91)</f>
        <v/>
      </c>
      <c r="AH195" s="152" t="str" cm="1">
        <f t="array" ref="AH195">Common_InputFunctions.Utility_DisplayArrayInTable(Fertiliser_SourceData.Fertiliser_Products_Data4(),FertiliserProducts[[#Headers],[Company]], 91)</f>
        <v/>
      </c>
    </row>
    <row r="196" spans="4:34" ht="20.100000000000001" customHeight="1" x14ac:dyDescent="0.2">
      <c r="D196" s="152" t="str" cm="1">
        <f t="array" ref="D196">Common_InputFunctions.Utility_DisplayArrayInTable(Fertiliser_SourceData.Fertiliser_Products_Data4(),FertiliserProducts[[#Headers],[Company]], 91)</f>
        <v>Incitec Pivot Fertilisers</v>
      </c>
      <c r="E196" s="152" t="str" cm="1">
        <f t="array" ref="E196">Common_InputFunctions.Utility_DisplayArrayInTable(Fertiliser_SourceData.Fertiliser_Products_Data4(),FertiliserProducts[[#Headers],[Company]], 91)</f>
        <v>Cal-Gran Aftergraze</v>
      </c>
      <c r="F196" s="152" t="str" cm="1">
        <f t="array" ref="F196">Common_InputFunctions.Utility_DisplayArrayInTable(Fertiliser_SourceData.Fertiliser_Products_Data4(),FertiliserProducts[[#Headers],[Company]], 91)</f>
        <v>kg</v>
      </c>
      <c r="G196" s="152" cm="1">
        <f t="array" ref="G196">Common_InputFunctions.Utility_DisplayArrayInTable(Fertiliser_SourceData.Fertiliser_Products_Data4(),FertiliserProducts[[#Headers],[Company]], 91)</f>
        <v>1</v>
      </c>
      <c r="H196" s="152" t="str" cm="1">
        <f t="array" ref="H196">Common_InputFunctions.Utility_DisplayArrayInTable(Fertiliser_SourceData.Fertiliser_Products_Data4(),FertiliserProducts[[#Headers],[Company]], 91)</f>
        <v/>
      </c>
      <c r="I196" s="152" t="str" cm="1">
        <f t="array" ref="I196">Common_InputFunctions.Utility_DisplayArrayInTable(Fertiliser_SourceData.Fertiliser_Products_Data4(),FertiliserProducts[[#Headers],[Company]], 91)</f>
        <v/>
      </c>
      <c r="J196" s="152" t="str" cm="1">
        <f t="array" ref="J196">Common_InputFunctions.Utility_DisplayArrayInTable(Fertiliser_SourceData.Fertiliser_Products_Data4(),FertiliserProducts[[#Headers],[Company]], 91)</f>
        <v/>
      </c>
      <c r="K196" s="152" cm="1">
        <f t="array" ref="K196">Common_InputFunctions.Utility_DisplayArrayInTable(Fertiliser_SourceData.Fertiliser_Products_Data4(),FertiliserProducts[[#Headers],[Company]], 91)</f>
        <v>20.6</v>
      </c>
      <c r="L196" s="152" cm="1">
        <f t="array" ref="L196">Common_InputFunctions.Utility_DisplayArrayInTable(Fertiliser_SourceData.Fertiliser_Products_Data4(),FertiliserProducts[[#Headers],[Company]], 91)</f>
        <v>3</v>
      </c>
      <c r="M196" s="152" cm="1">
        <f t="array" ref="M196">Common_InputFunctions.Utility_DisplayArrayInTable(Fertiliser_SourceData.Fertiliser_Products_Data4(),FertiliserProducts[[#Headers],[Company]], 91)</f>
        <v>7.5</v>
      </c>
      <c r="N196" s="152" cm="1">
        <f t="array" ref="N196">Common_InputFunctions.Utility_DisplayArrayInTable(Fertiliser_SourceData.Fertiliser_Products_Data4(),FertiliserProducts[[#Headers],[Company]], 91)</f>
        <v>3.8</v>
      </c>
      <c r="O196" s="152" t="str" cm="1">
        <f t="array" ref="O196">Common_InputFunctions.Utility_DisplayArrayInTable(Fertiliser_SourceData.Fertiliser_Products_Data4(),FertiliserProducts[[#Headers],[Company]], 91)</f>
        <v>Nitrogen - Nitrate</v>
      </c>
      <c r="P196" s="152" cm="1">
        <f t="array" ref="P196">Common_InputFunctions.Utility_DisplayArrayInTable(Fertiliser_SourceData.Fertiliser_Products_Data4(),FertiliserProducts[[#Headers],[Company]], 91)</f>
        <v>6.4000000000000001E-2</v>
      </c>
      <c r="Q196" s="152" t="str" cm="1">
        <f t="array" ref="Q196">Common_InputFunctions.Utility_DisplayArrayInTable(Fertiliser_SourceData.Fertiliser_Products_Data4(),FertiliserProducts[[#Headers],[Company]], 91)</f>
        <v>Nitrogen - Ammoniacal</v>
      </c>
      <c r="R196" s="152" cm="1">
        <f t="array" ref="R196">Common_InputFunctions.Utility_DisplayArrayInTable(Fertiliser_SourceData.Fertiliser_Products_Data4(),FertiliserProducts[[#Headers],[Company]], 91)</f>
        <v>0.14199999999999999</v>
      </c>
      <c r="S196" s="152" t="str" cm="1">
        <f t="array" ref="S196">Common_InputFunctions.Utility_DisplayArrayInTable(Fertiliser_SourceData.Fertiliser_Products_Data4(),FertiliserProducts[[#Headers],[Company]], 91)</f>
        <v>Phosphorus - Generic</v>
      </c>
      <c r="T196" s="152" cm="1">
        <f t="array" ref="T196">Common_InputFunctions.Utility_DisplayArrayInTable(Fertiliser_SourceData.Fertiliser_Products_Data4(),FertiliserProducts[[#Headers],[Company]], 91)</f>
        <v>0.03</v>
      </c>
      <c r="U196" s="152" t="str" cm="1">
        <f t="array" ref="U196">Common_InputFunctions.Utility_DisplayArrayInTable(Fertiliser_SourceData.Fertiliser_Products_Data4(),FertiliserProducts[[#Headers],[Company]], 91)</f>
        <v>Potassium - Generic</v>
      </c>
      <c r="V196" s="152" cm="1">
        <f t="array" ref="V196">Common_InputFunctions.Utility_DisplayArrayInTable(Fertiliser_SourceData.Fertiliser_Products_Data4(),FertiliserProducts[[#Headers],[Company]], 91)</f>
        <v>7.4999999999999997E-2</v>
      </c>
      <c r="W196" s="152" t="str" cm="1">
        <f t="array" ref="W196">Common_InputFunctions.Utility_DisplayArrayInTable(Fertiliser_SourceData.Fertiliser_Products_Data4(),FertiliserProducts[[#Headers],[Company]], 91)</f>
        <v>Sulfur - Generic</v>
      </c>
      <c r="X196" s="152" cm="1">
        <f t="array" ref="X196">Common_InputFunctions.Utility_DisplayArrayInTable(Fertiliser_SourceData.Fertiliser_Products_Data4(),FertiliserProducts[[#Headers],[Company]], 91)</f>
        <v>3.7999999999999999E-2</v>
      </c>
      <c r="Y196" s="152" t="str" cm="1">
        <f t="array" ref="Y196">Common_InputFunctions.Utility_DisplayArrayInTable(Fertiliser_SourceData.Fertiliser_Products_Data4(),FertiliserProducts[[#Headers],[Company]], 91)</f>
        <v>Calcium</v>
      </c>
      <c r="Z196" s="152" cm="1">
        <f t="array" ref="Z196">Common_InputFunctions.Utility_DisplayArrayInTable(Fertiliser_SourceData.Fertiliser_Products_Data4(),FertiliserProducts[[#Headers],[Company]], 91)</f>
        <v>4.3999999999999997E-2</v>
      </c>
      <c r="AA196" s="152" t="str" cm="1">
        <f t="array" ref="AA196">Common_InputFunctions.Utility_DisplayArrayInTable(Fertiliser_SourceData.Fertiliser_Products_Data4(),FertiliserProducts[[#Headers],[Company]], 91)</f>
        <v/>
      </c>
      <c r="AB196" s="152" t="str" cm="1">
        <f t="array" ref="AB196">Common_InputFunctions.Utility_DisplayArrayInTable(Fertiliser_SourceData.Fertiliser_Products_Data4(),FertiliserProducts[[#Headers],[Company]], 91)</f>
        <v/>
      </c>
      <c r="AC196" s="152" t="str" cm="1">
        <f t="array" ref="AC196">Common_InputFunctions.Utility_DisplayArrayInTable(Fertiliser_SourceData.Fertiliser_Products_Data4(),FertiliserProducts[[#Headers],[Company]], 91)</f>
        <v/>
      </c>
      <c r="AD196" s="152" t="str" cm="1">
        <f t="array" ref="AD196">Common_InputFunctions.Utility_DisplayArrayInTable(Fertiliser_SourceData.Fertiliser_Products_Data4(),FertiliserProducts[[#Headers],[Company]], 91)</f>
        <v/>
      </c>
      <c r="AE196" s="152" t="str" cm="1">
        <f t="array" ref="AE196">Common_InputFunctions.Utility_DisplayArrayInTable(Fertiliser_SourceData.Fertiliser_Products_Data4(),FertiliserProducts[[#Headers],[Company]], 91)</f>
        <v/>
      </c>
      <c r="AF196" s="152" t="str" cm="1">
        <f t="array" ref="AF196">Common_InputFunctions.Utility_DisplayArrayInTable(Fertiliser_SourceData.Fertiliser_Products_Data4(),FertiliserProducts[[#Headers],[Company]], 91)</f>
        <v/>
      </c>
      <c r="AG196" s="152" t="str" cm="1">
        <f t="array" ref="AG196">Common_InputFunctions.Utility_DisplayArrayInTable(Fertiliser_SourceData.Fertiliser_Products_Data4(),FertiliserProducts[[#Headers],[Company]], 91)</f>
        <v/>
      </c>
      <c r="AH196" s="152" t="str" cm="1">
        <f t="array" ref="AH196">Common_InputFunctions.Utility_DisplayArrayInTable(Fertiliser_SourceData.Fertiliser_Products_Data4(),FertiliserProducts[[#Headers],[Company]], 91)</f>
        <v/>
      </c>
    </row>
    <row r="197" spans="4:34" ht="20.100000000000001" customHeight="1" x14ac:dyDescent="0.2">
      <c r="D197" s="152" t="str" cm="1">
        <f t="array" ref="D197">Common_InputFunctions.Utility_DisplayArrayInTable(Fertiliser_SourceData.Fertiliser_Products_Data4(),FertiliserProducts[[#Headers],[Company]], 91)</f>
        <v>Incitec Pivot Fertilisers</v>
      </c>
      <c r="E197" s="152" t="str" cm="1">
        <f t="array" ref="E197">Common_InputFunctions.Utility_DisplayArrayInTable(Fertiliser_SourceData.Fertiliser_Products_Data4(),FertiliserProducts[[#Headers],[Company]], 91)</f>
        <v>Cal-Gran Prodress</v>
      </c>
      <c r="F197" s="152" t="str" cm="1">
        <f t="array" ref="F197">Common_InputFunctions.Utility_DisplayArrayInTable(Fertiliser_SourceData.Fertiliser_Products_Data4(),FertiliserProducts[[#Headers],[Company]], 91)</f>
        <v>kg</v>
      </c>
      <c r="G197" s="152" cm="1">
        <f t="array" ref="G197">Common_InputFunctions.Utility_DisplayArrayInTable(Fertiliser_SourceData.Fertiliser_Products_Data4(),FertiliserProducts[[#Headers],[Company]], 91)</f>
        <v>1</v>
      </c>
      <c r="H197" s="152" t="str" cm="1">
        <f t="array" ref="H197">Common_InputFunctions.Utility_DisplayArrayInTable(Fertiliser_SourceData.Fertiliser_Products_Data4(),FertiliserProducts[[#Headers],[Company]], 91)</f>
        <v/>
      </c>
      <c r="I197" s="152" t="str" cm="1">
        <f t="array" ref="I197">Common_InputFunctions.Utility_DisplayArrayInTable(Fertiliser_SourceData.Fertiliser_Products_Data4(),FertiliserProducts[[#Headers],[Company]], 91)</f>
        <v/>
      </c>
      <c r="J197" s="152" t="str" cm="1">
        <f t="array" ref="J197">Common_InputFunctions.Utility_DisplayArrayInTable(Fertiliser_SourceData.Fertiliser_Products_Data4(),FertiliserProducts[[#Headers],[Company]], 91)</f>
        <v/>
      </c>
      <c r="K197" s="152" cm="1">
        <f t="array" ref="K197">Common_InputFunctions.Utility_DisplayArrayInTable(Fertiliser_SourceData.Fertiliser_Products_Data4(),FertiliserProducts[[#Headers],[Company]], 91)</f>
        <v>17.8</v>
      </c>
      <c r="L197" s="152" cm="1">
        <f t="array" ref="L197">Common_InputFunctions.Utility_DisplayArrayInTable(Fertiliser_SourceData.Fertiliser_Products_Data4(),FertiliserProducts[[#Headers],[Company]], 91)</f>
        <v>1</v>
      </c>
      <c r="M197" s="152" cm="1">
        <f t="array" ref="M197">Common_InputFunctions.Utility_DisplayArrayInTable(Fertiliser_SourceData.Fertiliser_Products_Data4(),FertiliserProducts[[#Headers],[Company]], 91)</f>
        <v>15</v>
      </c>
      <c r="N197" s="152" cm="1">
        <f t="array" ref="N197">Common_InputFunctions.Utility_DisplayArrayInTable(Fertiliser_SourceData.Fertiliser_Products_Data4(),FertiliserProducts[[#Headers],[Company]], 91)</f>
        <v>2.5</v>
      </c>
      <c r="O197" s="152" t="str" cm="1">
        <f t="array" ref="O197">Common_InputFunctions.Utility_DisplayArrayInTable(Fertiliser_SourceData.Fertiliser_Products_Data4(),FertiliserProducts[[#Headers],[Company]], 91)</f>
        <v>Nitrogen - Nitrate</v>
      </c>
      <c r="P197" s="152" cm="1">
        <f t="array" ref="P197">Common_InputFunctions.Utility_DisplayArrayInTable(Fertiliser_SourceData.Fertiliser_Products_Data4(),FertiliserProducts[[#Headers],[Company]], 91)</f>
        <v>5.5E-2</v>
      </c>
      <c r="Q197" s="152" t="str" cm="1">
        <f t="array" ref="Q197">Common_InputFunctions.Utility_DisplayArrayInTable(Fertiliser_SourceData.Fertiliser_Products_Data4(),FertiliserProducts[[#Headers],[Company]], 91)</f>
        <v>Nitrogen - Ammoniacal</v>
      </c>
      <c r="R197" s="152" cm="1">
        <f t="array" ref="R197">Common_InputFunctions.Utility_DisplayArrayInTable(Fertiliser_SourceData.Fertiliser_Products_Data4(),FertiliserProducts[[#Headers],[Company]], 91)</f>
        <v>0.123</v>
      </c>
      <c r="S197" s="152" t="str" cm="1">
        <f t="array" ref="S197">Common_InputFunctions.Utility_DisplayArrayInTable(Fertiliser_SourceData.Fertiliser_Products_Data4(),FertiliserProducts[[#Headers],[Company]], 91)</f>
        <v>Phosphorus - Generic</v>
      </c>
      <c r="T197" s="152" cm="1">
        <f t="array" ref="T197">Common_InputFunctions.Utility_DisplayArrayInTable(Fertiliser_SourceData.Fertiliser_Products_Data4(),FertiliserProducts[[#Headers],[Company]], 91)</f>
        <v>0.01</v>
      </c>
      <c r="U197" s="152" t="str" cm="1">
        <f t="array" ref="U197">Common_InputFunctions.Utility_DisplayArrayInTable(Fertiliser_SourceData.Fertiliser_Products_Data4(),FertiliserProducts[[#Headers],[Company]], 91)</f>
        <v>Potassium - Generic</v>
      </c>
      <c r="V197" s="152" cm="1">
        <f t="array" ref="V197">Common_InputFunctions.Utility_DisplayArrayInTable(Fertiliser_SourceData.Fertiliser_Products_Data4(),FertiliserProducts[[#Headers],[Company]], 91)</f>
        <v>0.15</v>
      </c>
      <c r="W197" s="152" t="str" cm="1">
        <f t="array" ref="W197">Common_InputFunctions.Utility_DisplayArrayInTable(Fertiliser_SourceData.Fertiliser_Products_Data4(),FertiliserProducts[[#Headers],[Company]], 91)</f>
        <v>Sulfur - Generic</v>
      </c>
      <c r="X197" s="152" cm="1">
        <f t="array" ref="X197">Common_InputFunctions.Utility_DisplayArrayInTable(Fertiliser_SourceData.Fertiliser_Products_Data4(),FertiliserProducts[[#Headers],[Company]], 91)</f>
        <v>2.5000000000000001E-2</v>
      </c>
      <c r="Y197" s="152" t="str" cm="1">
        <f t="array" ref="Y197">Common_InputFunctions.Utility_DisplayArrayInTable(Fertiliser_SourceData.Fertiliser_Products_Data4(),FertiliserProducts[[#Headers],[Company]], 91)</f>
        <v>Calcium</v>
      </c>
      <c r="Z197" s="152" cm="1">
        <f t="array" ref="Z197">Common_InputFunctions.Utility_DisplayArrayInTable(Fertiliser_SourceData.Fertiliser_Products_Data4(),FertiliserProducts[[#Headers],[Company]], 91)</f>
        <v>4.3999999999999997E-2</v>
      </c>
      <c r="AA197" s="152" t="str" cm="1">
        <f t="array" ref="AA197">Common_InputFunctions.Utility_DisplayArrayInTable(Fertiliser_SourceData.Fertiliser_Products_Data4(),FertiliserProducts[[#Headers],[Company]], 91)</f>
        <v/>
      </c>
      <c r="AB197" s="152" t="str" cm="1">
        <f t="array" ref="AB197">Common_InputFunctions.Utility_DisplayArrayInTable(Fertiliser_SourceData.Fertiliser_Products_Data4(),FertiliserProducts[[#Headers],[Company]], 91)</f>
        <v/>
      </c>
      <c r="AC197" s="152" t="str" cm="1">
        <f t="array" ref="AC197">Common_InputFunctions.Utility_DisplayArrayInTable(Fertiliser_SourceData.Fertiliser_Products_Data4(),FertiliserProducts[[#Headers],[Company]], 91)</f>
        <v/>
      </c>
      <c r="AD197" s="152" t="str" cm="1">
        <f t="array" ref="AD197">Common_InputFunctions.Utility_DisplayArrayInTable(Fertiliser_SourceData.Fertiliser_Products_Data4(),FertiliserProducts[[#Headers],[Company]], 91)</f>
        <v/>
      </c>
      <c r="AE197" s="152" t="str" cm="1">
        <f t="array" ref="AE197">Common_InputFunctions.Utility_DisplayArrayInTable(Fertiliser_SourceData.Fertiliser_Products_Data4(),FertiliserProducts[[#Headers],[Company]], 91)</f>
        <v/>
      </c>
      <c r="AF197" s="152" t="str" cm="1">
        <f t="array" ref="AF197">Common_InputFunctions.Utility_DisplayArrayInTable(Fertiliser_SourceData.Fertiliser_Products_Data4(),FertiliserProducts[[#Headers],[Company]], 91)</f>
        <v/>
      </c>
      <c r="AG197" s="152" t="str" cm="1">
        <f t="array" ref="AG197">Common_InputFunctions.Utility_DisplayArrayInTable(Fertiliser_SourceData.Fertiliser_Products_Data4(),FertiliserProducts[[#Headers],[Company]], 91)</f>
        <v/>
      </c>
      <c r="AH197" s="152" t="str" cm="1">
        <f t="array" ref="AH197">Common_InputFunctions.Utility_DisplayArrayInTable(Fertiliser_SourceData.Fertiliser_Products_Data4(),FertiliserProducts[[#Headers],[Company]], 91)</f>
        <v/>
      </c>
    </row>
    <row r="198" spans="4:34" ht="20.100000000000001" customHeight="1" x14ac:dyDescent="0.2">
      <c r="D198" s="152" t="str" cm="1">
        <f t="array" ref="D198">Common_InputFunctions.Utility_DisplayArrayInTable(Fertiliser_SourceData.Fertiliser_Products_Data4(),FertiliserProducts[[#Headers],[Company]], 91)</f>
        <v>Wengfu Australia</v>
      </c>
      <c r="E198" s="152" t="str" cm="1">
        <f t="array" ref="E198">Common_InputFunctions.Utility_DisplayArrayInTable(Fertiliser_SourceData.Fertiliser_Products_Data4(),FertiliserProducts[[#Headers],[Company]], 91)</f>
        <v>Wengfu PrimeZinc 10</v>
      </c>
      <c r="F198" s="152" t="str" cm="1">
        <f t="array" ref="F198">Common_InputFunctions.Utility_DisplayArrayInTable(Fertiliser_SourceData.Fertiliser_Products_Data4(),FertiliserProducts[[#Headers],[Company]], 91)</f>
        <v>kg</v>
      </c>
      <c r="G198" s="152" cm="1">
        <f t="array" ref="G198">Common_InputFunctions.Utility_DisplayArrayInTable(Fertiliser_SourceData.Fertiliser_Products_Data4(),FertiliserProducts[[#Headers],[Company]], 91)</f>
        <v>1</v>
      </c>
      <c r="H198" s="152" t="str" cm="1">
        <f t="array" ref="H198">Common_InputFunctions.Utility_DisplayArrayInTable(Fertiliser_SourceData.Fertiliser_Products_Data4(),FertiliserProducts[[#Headers],[Company]], 91)</f>
        <v/>
      </c>
      <c r="I198" s="152" t="str" cm="1">
        <f t="array" ref="I198">Common_InputFunctions.Utility_DisplayArrayInTable(Fertiliser_SourceData.Fertiliser_Products_Data4(),FertiliserProducts[[#Headers],[Company]], 91)</f>
        <v/>
      </c>
      <c r="J198" s="152" t="str" cm="1">
        <f t="array" ref="J198">Common_InputFunctions.Utility_DisplayArrayInTable(Fertiliser_SourceData.Fertiliser_Products_Data4(),FertiliserProducts[[#Headers],[Company]], 91)</f>
        <v/>
      </c>
      <c r="K198" s="152" cm="1">
        <f t="array" ref="K198">Common_InputFunctions.Utility_DisplayArrayInTable(Fertiliser_SourceData.Fertiliser_Products_Data4(),FertiliserProducts[[#Headers],[Company]], 91)</f>
        <v>10</v>
      </c>
      <c r="L198" s="152" cm="1">
        <f t="array" ref="L198">Common_InputFunctions.Utility_DisplayArrayInTable(Fertiliser_SourceData.Fertiliser_Products_Data4(),FertiliserProducts[[#Headers],[Company]], 91)</f>
        <v>22</v>
      </c>
      <c r="M198" s="152" t="str" cm="1">
        <f t="array" ref="M198">Common_InputFunctions.Utility_DisplayArrayInTable(Fertiliser_SourceData.Fertiliser_Products_Data4(),FertiliserProducts[[#Headers],[Company]], 91)</f>
        <v/>
      </c>
      <c r="N198" s="152" cm="1">
        <f t="array" ref="N198">Common_InputFunctions.Utility_DisplayArrayInTable(Fertiliser_SourceData.Fertiliser_Products_Data4(),FertiliserProducts[[#Headers],[Company]], 91)</f>
        <v>1.5</v>
      </c>
      <c r="O198" s="152" t="str" cm="1">
        <f t="array" ref="O198">Common_InputFunctions.Utility_DisplayArrayInTable(Fertiliser_SourceData.Fertiliser_Products_Data4(),FertiliserProducts[[#Headers],[Company]], 91)</f>
        <v>Nitrogen - Generic</v>
      </c>
      <c r="P198" s="152" cm="1">
        <f t="array" ref="P198">Common_InputFunctions.Utility_DisplayArrayInTable(Fertiliser_SourceData.Fertiliser_Products_Data4(),FertiliserProducts[[#Headers],[Company]], 91)</f>
        <v>0.1</v>
      </c>
      <c r="Q198" s="152" t="str" cm="1">
        <f t="array" ref="Q198">Common_InputFunctions.Utility_DisplayArrayInTable(Fertiliser_SourceData.Fertiliser_Products_Data4(),FertiliserProducts[[#Headers],[Company]], 91)</f>
        <v>Phosphorus - Generic</v>
      </c>
      <c r="R198" s="152" cm="1">
        <f t="array" ref="R198">Common_InputFunctions.Utility_DisplayArrayInTable(Fertiliser_SourceData.Fertiliser_Products_Data4(),FertiliserProducts[[#Headers],[Company]], 91)</f>
        <v>0.22</v>
      </c>
      <c r="S198" s="152" t="str" cm="1">
        <f t="array" ref="S198">Common_InputFunctions.Utility_DisplayArrayInTable(Fertiliser_SourceData.Fertiliser_Products_Data4(),FertiliserProducts[[#Headers],[Company]], 91)</f>
        <v>Sulfur - Generic</v>
      </c>
      <c r="T198" s="152" cm="1">
        <f t="array" ref="T198">Common_InputFunctions.Utility_DisplayArrayInTable(Fertiliser_SourceData.Fertiliser_Products_Data4(),FertiliserProducts[[#Headers],[Company]], 91)</f>
        <v>1.4999999999999999E-2</v>
      </c>
      <c r="U198" s="152" t="str" cm="1">
        <f t="array" ref="U198">Common_InputFunctions.Utility_DisplayArrayInTable(Fertiliser_SourceData.Fertiliser_Products_Data4(),FertiliserProducts[[#Headers],[Company]], 91)</f>
        <v>Zinc</v>
      </c>
      <c r="V198" s="152" cm="1">
        <f t="array" ref="V198">Common_InputFunctions.Utility_DisplayArrayInTable(Fertiliser_SourceData.Fertiliser_Products_Data4(),FertiliserProducts[[#Headers],[Company]], 91)</f>
        <v>0.01</v>
      </c>
      <c r="W198" s="152" t="str" cm="1">
        <f t="array" ref="W198">Common_InputFunctions.Utility_DisplayArrayInTable(Fertiliser_SourceData.Fertiliser_Products_Data4(),FertiliserProducts[[#Headers],[Company]], 91)</f>
        <v/>
      </c>
      <c r="X198" s="152" t="str" cm="1">
        <f t="array" ref="X198">Common_InputFunctions.Utility_DisplayArrayInTable(Fertiliser_SourceData.Fertiliser_Products_Data4(),FertiliserProducts[[#Headers],[Company]], 91)</f>
        <v/>
      </c>
      <c r="Y198" s="152" t="str" cm="1">
        <f t="array" ref="Y198">Common_InputFunctions.Utility_DisplayArrayInTable(Fertiliser_SourceData.Fertiliser_Products_Data4(),FertiliserProducts[[#Headers],[Company]], 91)</f>
        <v/>
      </c>
      <c r="Z198" s="152" t="str" cm="1">
        <f t="array" ref="Z198">Common_InputFunctions.Utility_DisplayArrayInTable(Fertiliser_SourceData.Fertiliser_Products_Data4(),FertiliserProducts[[#Headers],[Company]], 91)</f>
        <v/>
      </c>
      <c r="AA198" s="152" t="str" cm="1">
        <f t="array" ref="AA198">Common_InputFunctions.Utility_DisplayArrayInTable(Fertiliser_SourceData.Fertiliser_Products_Data4(),FertiliserProducts[[#Headers],[Company]], 91)</f>
        <v/>
      </c>
      <c r="AB198" s="152" t="str" cm="1">
        <f t="array" ref="AB198">Common_InputFunctions.Utility_DisplayArrayInTable(Fertiliser_SourceData.Fertiliser_Products_Data4(),FertiliserProducts[[#Headers],[Company]], 91)</f>
        <v/>
      </c>
      <c r="AC198" s="152" t="str" cm="1">
        <f t="array" ref="AC198">Common_InputFunctions.Utility_DisplayArrayInTable(Fertiliser_SourceData.Fertiliser_Products_Data4(),FertiliserProducts[[#Headers],[Company]], 91)</f>
        <v/>
      </c>
      <c r="AD198" s="152" t="str" cm="1">
        <f t="array" ref="AD198">Common_InputFunctions.Utility_DisplayArrayInTable(Fertiliser_SourceData.Fertiliser_Products_Data4(),FertiliserProducts[[#Headers],[Company]], 91)</f>
        <v/>
      </c>
      <c r="AE198" s="152" t="str" cm="1">
        <f t="array" ref="AE198">Common_InputFunctions.Utility_DisplayArrayInTable(Fertiliser_SourceData.Fertiliser_Products_Data4(),FertiliserProducts[[#Headers],[Company]], 91)</f>
        <v/>
      </c>
      <c r="AF198" s="152" t="str" cm="1">
        <f t="array" ref="AF198">Common_InputFunctions.Utility_DisplayArrayInTable(Fertiliser_SourceData.Fertiliser_Products_Data4(),FertiliserProducts[[#Headers],[Company]], 91)</f>
        <v/>
      </c>
      <c r="AG198" s="152" t="str" cm="1">
        <f t="array" ref="AG198">Common_InputFunctions.Utility_DisplayArrayInTable(Fertiliser_SourceData.Fertiliser_Products_Data4(),FertiliserProducts[[#Headers],[Company]], 91)</f>
        <v/>
      </c>
      <c r="AH198" s="152" t="str" cm="1">
        <f t="array" ref="AH198">Common_InputFunctions.Utility_DisplayArrayInTable(Fertiliser_SourceData.Fertiliser_Products_Data4(),FertiliserProducts[[#Headers],[Company]], 91)</f>
        <v/>
      </c>
    </row>
    <row r="199" spans="4:34" ht="20.100000000000001" customHeight="1" x14ac:dyDescent="0.2">
      <c r="D199" s="152" t="str" cm="1">
        <f t="array" ref="D199">Common_InputFunctions.Utility_DisplayArrayInTable(Fertiliser_SourceData.Fertiliser_Products_Data4(),FertiliserProducts[[#Headers],[Company]], 91)</f>
        <v>Wengfu Australia</v>
      </c>
      <c r="E199" s="152" t="str" cm="1">
        <f t="array" ref="E199">Common_InputFunctions.Utility_DisplayArrayInTable(Fertiliser_SourceData.Fertiliser_Products_Data4(),FertiliserProducts[[#Headers],[Company]], 91)</f>
        <v>Wengfu Pasture King</v>
      </c>
      <c r="F199" s="152" t="str" cm="1">
        <f t="array" ref="F199">Common_InputFunctions.Utility_DisplayArrayInTable(Fertiliser_SourceData.Fertiliser_Products_Data4(),FertiliserProducts[[#Headers],[Company]], 91)</f>
        <v>kg</v>
      </c>
      <c r="G199" s="152" cm="1">
        <f t="array" ref="G199">Common_InputFunctions.Utility_DisplayArrayInTable(Fertiliser_SourceData.Fertiliser_Products_Data4(),FertiliserProducts[[#Headers],[Company]], 91)</f>
        <v>1</v>
      </c>
      <c r="H199" s="152" t="str" cm="1">
        <f t="array" ref="H199">Common_InputFunctions.Utility_DisplayArrayInTable(Fertiliser_SourceData.Fertiliser_Products_Data4(),FertiliserProducts[[#Headers],[Company]], 91)</f>
        <v/>
      </c>
      <c r="I199" s="152" t="str" cm="1">
        <f t="array" ref="I199">Common_InputFunctions.Utility_DisplayArrayInTable(Fertiliser_SourceData.Fertiliser_Products_Data4(),FertiliserProducts[[#Headers],[Company]], 91)</f>
        <v/>
      </c>
      <c r="J199" s="152" t="str" cm="1">
        <f t="array" ref="J199">Common_InputFunctions.Utility_DisplayArrayInTable(Fertiliser_SourceData.Fertiliser_Products_Data4(),FertiliserProducts[[#Headers],[Company]], 91)</f>
        <v/>
      </c>
      <c r="K199" s="152" t="str" cm="1">
        <f t="array" ref="K199">Common_InputFunctions.Utility_DisplayArrayInTable(Fertiliser_SourceData.Fertiliser_Products_Data4(),FertiliserProducts[[#Headers],[Company]], 91)</f>
        <v/>
      </c>
      <c r="L199" s="152" cm="1">
        <f t="array" ref="L199">Common_InputFunctions.Utility_DisplayArrayInTable(Fertiliser_SourceData.Fertiliser_Products_Data4(),FertiliserProducts[[#Headers],[Company]], 91)</f>
        <v>15.7</v>
      </c>
      <c r="M199" s="152" t="str" cm="1">
        <f t="array" ref="M199">Common_InputFunctions.Utility_DisplayArrayInTable(Fertiliser_SourceData.Fertiliser_Products_Data4(),FertiliserProducts[[#Headers],[Company]], 91)</f>
        <v/>
      </c>
      <c r="N199" s="152" cm="1">
        <f t="array" ref="N199">Common_InputFunctions.Utility_DisplayArrayInTable(Fertiliser_SourceData.Fertiliser_Products_Data4(),FertiliserProducts[[#Headers],[Company]], 91)</f>
        <v>4.5999999999999996</v>
      </c>
      <c r="O199" s="152" t="str" cm="1">
        <f t="array" ref="O199">Common_InputFunctions.Utility_DisplayArrayInTable(Fertiliser_SourceData.Fertiliser_Products_Data4(),FertiliserProducts[[#Headers],[Company]], 91)</f>
        <v>Phosphorus - Generic</v>
      </c>
      <c r="P199" s="152" cm="1">
        <f t="array" ref="P199">Common_InputFunctions.Utility_DisplayArrayInTable(Fertiliser_SourceData.Fertiliser_Products_Data4(),FertiliserProducts[[#Headers],[Company]], 91)</f>
        <v>0.157</v>
      </c>
      <c r="Q199" s="152" t="str" cm="1">
        <f t="array" ref="Q199">Common_InputFunctions.Utility_DisplayArrayInTable(Fertiliser_SourceData.Fertiliser_Products_Data4(),FertiliserProducts[[#Headers],[Company]], 91)</f>
        <v>Sulfur - Generic</v>
      </c>
      <c r="R199" s="152" cm="1">
        <f t="array" ref="R199">Common_InputFunctions.Utility_DisplayArrayInTable(Fertiliser_SourceData.Fertiliser_Products_Data4(),FertiliserProducts[[#Headers],[Company]], 91)</f>
        <v>4.5999999999999999E-2</v>
      </c>
      <c r="S199" s="152" t="str" cm="1">
        <f t="array" ref="S199">Common_InputFunctions.Utility_DisplayArrayInTable(Fertiliser_SourceData.Fertiliser_Products_Data4(),FertiliserProducts[[#Headers],[Company]], 91)</f>
        <v>Calcium</v>
      </c>
      <c r="T199" s="152" cm="1">
        <f t="array" ref="T199">Common_InputFunctions.Utility_DisplayArrayInTable(Fertiliser_SourceData.Fertiliser_Products_Data4(),FertiliserProducts[[#Headers],[Company]], 91)</f>
        <v>0.14000000000000001</v>
      </c>
      <c r="U199" s="152" t="str" cm="1">
        <f t="array" ref="U199">Common_InputFunctions.Utility_DisplayArrayInTable(Fertiliser_SourceData.Fertiliser_Products_Data4(),FertiliserProducts[[#Headers],[Company]], 91)</f>
        <v/>
      </c>
      <c r="V199" s="152" t="str" cm="1">
        <f t="array" ref="V199">Common_InputFunctions.Utility_DisplayArrayInTable(Fertiliser_SourceData.Fertiliser_Products_Data4(),FertiliserProducts[[#Headers],[Company]], 91)</f>
        <v/>
      </c>
      <c r="W199" s="152" t="str" cm="1">
        <f t="array" ref="W199">Common_InputFunctions.Utility_DisplayArrayInTable(Fertiliser_SourceData.Fertiliser_Products_Data4(),FertiliserProducts[[#Headers],[Company]], 91)</f>
        <v/>
      </c>
      <c r="X199" s="152" t="str" cm="1">
        <f t="array" ref="X199">Common_InputFunctions.Utility_DisplayArrayInTable(Fertiliser_SourceData.Fertiliser_Products_Data4(),FertiliserProducts[[#Headers],[Company]], 91)</f>
        <v/>
      </c>
      <c r="Y199" s="152" t="str" cm="1">
        <f t="array" ref="Y199">Common_InputFunctions.Utility_DisplayArrayInTable(Fertiliser_SourceData.Fertiliser_Products_Data4(),FertiliserProducts[[#Headers],[Company]], 91)</f>
        <v/>
      </c>
      <c r="Z199" s="152" t="str" cm="1">
        <f t="array" ref="Z199">Common_InputFunctions.Utility_DisplayArrayInTable(Fertiliser_SourceData.Fertiliser_Products_Data4(),FertiliserProducts[[#Headers],[Company]], 91)</f>
        <v/>
      </c>
      <c r="AA199" s="152" t="str" cm="1">
        <f t="array" ref="AA199">Common_InputFunctions.Utility_DisplayArrayInTable(Fertiliser_SourceData.Fertiliser_Products_Data4(),FertiliserProducts[[#Headers],[Company]], 91)</f>
        <v/>
      </c>
      <c r="AB199" s="152" t="str" cm="1">
        <f t="array" ref="AB199">Common_InputFunctions.Utility_DisplayArrayInTable(Fertiliser_SourceData.Fertiliser_Products_Data4(),FertiliserProducts[[#Headers],[Company]], 91)</f>
        <v/>
      </c>
      <c r="AC199" s="152" t="str" cm="1">
        <f t="array" ref="AC199">Common_InputFunctions.Utility_DisplayArrayInTable(Fertiliser_SourceData.Fertiliser_Products_Data4(),FertiliserProducts[[#Headers],[Company]], 91)</f>
        <v/>
      </c>
      <c r="AD199" s="152" t="str" cm="1">
        <f t="array" ref="AD199">Common_InputFunctions.Utility_DisplayArrayInTable(Fertiliser_SourceData.Fertiliser_Products_Data4(),FertiliserProducts[[#Headers],[Company]], 91)</f>
        <v/>
      </c>
      <c r="AE199" s="152" t="str" cm="1">
        <f t="array" ref="AE199">Common_InputFunctions.Utility_DisplayArrayInTable(Fertiliser_SourceData.Fertiliser_Products_Data4(),FertiliserProducts[[#Headers],[Company]], 91)</f>
        <v/>
      </c>
      <c r="AF199" s="152" t="str" cm="1">
        <f t="array" ref="AF199">Common_InputFunctions.Utility_DisplayArrayInTable(Fertiliser_SourceData.Fertiliser_Products_Data4(),FertiliserProducts[[#Headers],[Company]], 91)</f>
        <v/>
      </c>
      <c r="AG199" s="152" t="str" cm="1">
        <f t="array" ref="AG199">Common_InputFunctions.Utility_DisplayArrayInTable(Fertiliser_SourceData.Fertiliser_Products_Data4(),FertiliserProducts[[#Headers],[Company]], 91)</f>
        <v/>
      </c>
      <c r="AH199" s="152" t="str" cm="1">
        <f t="array" ref="AH199">Common_InputFunctions.Utility_DisplayArrayInTable(Fertiliser_SourceData.Fertiliser_Products_Data4(),FertiliserProducts[[#Headers],[Company]], 91)</f>
        <v/>
      </c>
    </row>
    <row r="200" spans="4:34" ht="20.100000000000001" customHeight="1" x14ac:dyDescent="0.2">
      <c r="D200" s="152" t="str" cm="1">
        <f t="array" ref="D200">Common_InputFunctions.Utility_DisplayArrayInTable(Fertiliser_SourceData.Fertiliser_Products_Data4(),FertiliserProducts[[#Headers],[Company]], 91)</f>
        <v>Wengfu Australia</v>
      </c>
      <c r="E200" s="152" t="str" cm="1">
        <f t="array" ref="E200">Common_InputFunctions.Utility_DisplayArrayInTable(Fertiliser_SourceData.Fertiliser_Products_Data4(),FertiliserProducts[[#Headers],[Company]], 91)</f>
        <v>Wengfu SuStain</v>
      </c>
      <c r="F200" s="152" t="str" cm="1">
        <f t="array" ref="F200">Common_InputFunctions.Utility_DisplayArrayInTable(Fertiliser_SourceData.Fertiliser_Products_Data4(),FertiliserProducts[[#Headers],[Company]], 91)</f>
        <v>kg</v>
      </c>
      <c r="G200" s="152" cm="1">
        <f t="array" ref="G200">Common_InputFunctions.Utility_DisplayArrayInTable(Fertiliser_SourceData.Fertiliser_Products_Data4(),FertiliserProducts[[#Headers],[Company]], 91)</f>
        <v>1</v>
      </c>
      <c r="H200" s="152" t="str" cm="1">
        <f t="array" ref="H200">Common_InputFunctions.Utility_DisplayArrayInTable(Fertiliser_SourceData.Fertiliser_Products_Data4(),FertiliserProducts[[#Headers],[Company]], 91)</f>
        <v/>
      </c>
      <c r="I200" s="152" t="str" cm="1">
        <f t="array" ref="I200">Common_InputFunctions.Utility_DisplayArrayInTable(Fertiliser_SourceData.Fertiliser_Products_Data4(),FertiliserProducts[[#Headers],[Company]], 91)</f>
        <v/>
      </c>
      <c r="J200" s="152" t="str" cm="1">
        <f t="array" ref="J200">Common_InputFunctions.Utility_DisplayArrayInTable(Fertiliser_SourceData.Fertiliser_Products_Data4(),FertiliserProducts[[#Headers],[Company]], 91)</f>
        <v/>
      </c>
      <c r="K200" s="152" t="str" cm="1">
        <f t="array" ref="K200">Common_InputFunctions.Utility_DisplayArrayInTable(Fertiliser_SourceData.Fertiliser_Products_Data4(),FertiliserProducts[[#Headers],[Company]], 91)</f>
        <v/>
      </c>
      <c r="L200" s="152" t="str" cm="1">
        <f t="array" ref="L200">Common_InputFunctions.Utility_DisplayArrayInTable(Fertiliser_SourceData.Fertiliser_Products_Data4(),FertiliserProducts[[#Headers],[Company]], 91)</f>
        <v/>
      </c>
      <c r="M200" s="152" t="str" cm="1">
        <f t="array" ref="M200">Common_InputFunctions.Utility_DisplayArrayInTable(Fertiliser_SourceData.Fertiliser_Products_Data4(),FertiliserProducts[[#Headers],[Company]], 91)</f>
        <v/>
      </c>
      <c r="N200" s="152" cm="1">
        <f t="array" ref="N200">Common_InputFunctions.Utility_DisplayArrayInTable(Fertiliser_SourceData.Fertiliser_Products_Data4(),FertiliserProducts[[#Headers],[Company]], 91)</f>
        <v>90</v>
      </c>
      <c r="O200" s="152" t="str" cm="1">
        <f t="array" ref="O200">Common_InputFunctions.Utility_DisplayArrayInTable(Fertiliser_SourceData.Fertiliser_Products_Data4(),FertiliserProducts[[#Headers],[Company]], 91)</f>
        <v>Sulfur - Generic</v>
      </c>
      <c r="P200" s="152" cm="1">
        <f t="array" ref="P200">Common_InputFunctions.Utility_DisplayArrayInTable(Fertiliser_SourceData.Fertiliser_Products_Data4(),FertiliserProducts[[#Headers],[Company]], 91)</f>
        <v>0.9</v>
      </c>
      <c r="Q200" s="152" t="str" cm="1">
        <f t="array" ref="Q200">Common_InputFunctions.Utility_DisplayArrayInTable(Fertiliser_SourceData.Fertiliser_Products_Data4(),FertiliserProducts[[#Headers],[Company]], 91)</f>
        <v/>
      </c>
      <c r="R200" s="152" t="str" cm="1">
        <f t="array" ref="R200">Common_InputFunctions.Utility_DisplayArrayInTable(Fertiliser_SourceData.Fertiliser_Products_Data4(),FertiliserProducts[[#Headers],[Company]], 91)</f>
        <v/>
      </c>
      <c r="S200" s="152" t="str" cm="1">
        <f t="array" ref="S200">Common_InputFunctions.Utility_DisplayArrayInTable(Fertiliser_SourceData.Fertiliser_Products_Data4(),FertiliserProducts[[#Headers],[Company]], 91)</f>
        <v/>
      </c>
      <c r="T200" s="152" t="str" cm="1">
        <f t="array" ref="T200">Common_InputFunctions.Utility_DisplayArrayInTable(Fertiliser_SourceData.Fertiliser_Products_Data4(),FertiliserProducts[[#Headers],[Company]], 91)</f>
        <v/>
      </c>
      <c r="U200" s="152" t="str" cm="1">
        <f t="array" ref="U200">Common_InputFunctions.Utility_DisplayArrayInTable(Fertiliser_SourceData.Fertiliser_Products_Data4(),FertiliserProducts[[#Headers],[Company]], 91)</f>
        <v/>
      </c>
      <c r="V200" s="152" t="str" cm="1">
        <f t="array" ref="V200">Common_InputFunctions.Utility_DisplayArrayInTable(Fertiliser_SourceData.Fertiliser_Products_Data4(),FertiliserProducts[[#Headers],[Company]], 91)</f>
        <v/>
      </c>
      <c r="W200" s="152" t="str" cm="1">
        <f t="array" ref="W200">Common_InputFunctions.Utility_DisplayArrayInTable(Fertiliser_SourceData.Fertiliser_Products_Data4(),FertiliserProducts[[#Headers],[Company]], 91)</f>
        <v/>
      </c>
      <c r="X200" s="152" t="str" cm="1">
        <f t="array" ref="X200">Common_InputFunctions.Utility_DisplayArrayInTable(Fertiliser_SourceData.Fertiliser_Products_Data4(),FertiliserProducts[[#Headers],[Company]], 91)</f>
        <v/>
      </c>
      <c r="Y200" s="152" t="str" cm="1">
        <f t="array" ref="Y200">Common_InputFunctions.Utility_DisplayArrayInTable(Fertiliser_SourceData.Fertiliser_Products_Data4(),FertiliserProducts[[#Headers],[Company]], 91)</f>
        <v/>
      </c>
      <c r="Z200" s="152" t="str" cm="1">
        <f t="array" ref="Z200">Common_InputFunctions.Utility_DisplayArrayInTable(Fertiliser_SourceData.Fertiliser_Products_Data4(),FertiliserProducts[[#Headers],[Company]], 91)</f>
        <v/>
      </c>
      <c r="AA200" s="152" t="str" cm="1">
        <f t="array" ref="AA200">Common_InputFunctions.Utility_DisplayArrayInTable(Fertiliser_SourceData.Fertiliser_Products_Data4(),FertiliserProducts[[#Headers],[Company]], 91)</f>
        <v/>
      </c>
      <c r="AB200" s="152" t="str" cm="1">
        <f t="array" ref="AB200">Common_InputFunctions.Utility_DisplayArrayInTable(Fertiliser_SourceData.Fertiliser_Products_Data4(),FertiliserProducts[[#Headers],[Company]], 91)</f>
        <v/>
      </c>
      <c r="AC200" s="152" t="str" cm="1">
        <f t="array" ref="AC200">Common_InputFunctions.Utility_DisplayArrayInTable(Fertiliser_SourceData.Fertiliser_Products_Data4(),FertiliserProducts[[#Headers],[Company]], 91)</f>
        <v/>
      </c>
      <c r="AD200" s="152" t="str" cm="1">
        <f t="array" ref="AD200">Common_InputFunctions.Utility_DisplayArrayInTable(Fertiliser_SourceData.Fertiliser_Products_Data4(),FertiliserProducts[[#Headers],[Company]], 91)</f>
        <v/>
      </c>
      <c r="AE200" s="152" t="str" cm="1">
        <f t="array" ref="AE200">Common_InputFunctions.Utility_DisplayArrayInTable(Fertiliser_SourceData.Fertiliser_Products_Data4(),FertiliserProducts[[#Headers],[Company]], 91)</f>
        <v/>
      </c>
      <c r="AF200" s="152" t="str" cm="1">
        <f t="array" ref="AF200">Common_InputFunctions.Utility_DisplayArrayInTable(Fertiliser_SourceData.Fertiliser_Products_Data4(),FertiliserProducts[[#Headers],[Company]], 91)</f>
        <v/>
      </c>
      <c r="AG200" s="152" t="str" cm="1">
        <f t="array" ref="AG200">Common_InputFunctions.Utility_DisplayArrayInTable(Fertiliser_SourceData.Fertiliser_Products_Data4(),FertiliserProducts[[#Headers],[Company]], 91)</f>
        <v/>
      </c>
      <c r="AH200" s="152" t="str" cm="1">
        <f t="array" ref="AH200">Common_InputFunctions.Utility_DisplayArrayInTable(Fertiliser_SourceData.Fertiliser_Products_Data4(),FertiliserProducts[[#Headers],[Company]], 91)</f>
        <v/>
      </c>
    </row>
    <row r="201" spans="4:34" ht="20.100000000000001" customHeight="1" x14ac:dyDescent="0.2">
      <c r="D201" s="152" t="str" cm="1">
        <f t="array" ref="D201">Common_InputFunctions.Utility_DisplayArrayInTable(Fertiliser_SourceData.Fertiliser_Products_Data4(),FertiliserProducts[[#Headers],[Company]], 91)</f>
        <v>Wengfu Australia</v>
      </c>
      <c r="E201" s="152" t="str" cm="1">
        <f t="array" ref="E201">Common_InputFunctions.Utility_DisplayArrayInTable(Fertiliser_SourceData.Fertiliser_Products_Data4(),FertiliserProducts[[#Headers],[Company]], 91)</f>
        <v>Wengfu Slam</v>
      </c>
      <c r="F201" s="152" t="str" cm="1">
        <f t="array" ref="F201">Common_InputFunctions.Utility_DisplayArrayInTable(Fertiliser_SourceData.Fertiliser_Products_Data4(),FertiliserProducts[[#Headers],[Company]], 91)</f>
        <v>kg</v>
      </c>
      <c r="G201" s="152" cm="1">
        <f t="array" ref="G201">Common_InputFunctions.Utility_DisplayArrayInTable(Fertiliser_SourceData.Fertiliser_Products_Data4(),FertiliserProducts[[#Headers],[Company]], 91)</f>
        <v>1</v>
      </c>
      <c r="H201" s="152" t="str" cm="1">
        <f t="array" ref="H201">Common_InputFunctions.Utility_DisplayArrayInTable(Fertiliser_SourceData.Fertiliser_Products_Data4(),FertiliserProducts[[#Headers],[Company]], 91)</f>
        <v/>
      </c>
      <c r="I201" s="152" t="str" cm="1">
        <f t="array" ref="I201">Common_InputFunctions.Utility_DisplayArrayInTable(Fertiliser_SourceData.Fertiliser_Products_Data4(),FertiliserProducts[[#Headers],[Company]], 91)</f>
        <v/>
      </c>
      <c r="J201" s="152" t="str" cm="1">
        <f t="array" ref="J201">Common_InputFunctions.Utility_DisplayArrayInTable(Fertiliser_SourceData.Fertiliser_Products_Data4(),FertiliserProducts[[#Headers],[Company]], 91)</f>
        <v/>
      </c>
      <c r="K201" s="152" cm="1">
        <f t="array" ref="K201">Common_InputFunctions.Utility_DisplayArrayInTable(Fertiliser_SourceData.Fertiliser_Products_Data4(),FertiliserProducts[[#Headers],[Company]], 91)</f>
        <v>19.5</v>
      </c>
      <c r="L201" s="152" cm="1">
        <f t="array" ref="L201">Common_InputFunctions.Utility_DisplayArrayInTable(Fertiliser_SourceData.Fertiliser_Products_Data4(),FertiliserProducts[[#Headers],[Company]], 91)</f>
        <v>0.7</v>
      </c>
      <c r="M201" s="152" t="str" cm="1">
        <f t="array" ref="M201">Common_InputFunctions.Utility_DisplayArrayInTable(Fertiliser_SourceData.Fertiliser_Products_Data4(),FertiliserProducts[[#Headers],[Company]], 91)</f>
        <v/>
      </c>
      <c r="N201" s="152" cm="1">
        <f t="array" ref="N201">Common_InputFunctions.Utility_DisplayArrayInTable(Fertiliser_SourceData.Fertiliser_Products_Data4(),FertiliserProducts[[#Headers],[Company]], 91)</f>
        <v>23</v>
      </c>
      <c r="O201" s="152" t="str" cm="1">
        <f t="array" ref="O201">Common_InputFunctions.Utility_DisplayArrayInTable(Fertiliser_SourceData.Fertiliser_Products_Data4(),FertiliserProducts[[#Headers],[Company]], 91)</f>
        <v>Nitrogen - Generic</v>
      </c>
      <c r="P201" s="152" cm="1">
        <f t="array" ref="P201">Common_InputFunctions.Utility_DisplayArrayInTable(Fertiliser_SourceData.Fertiliser_Products_Data4(),FertiliserProducts[[#Headers],[Company]], 91)</f>
        <v>0.19500000000000001</v>
      </c>
      <c r="Q201" s="152" t="str" cm="1">
        <f t="array" ref="Q201">Common_InputFunctions.Utility_DisplayArrayInTable(Fertiliser_SourceData.Fertiliser_Products_Data4(),FertiliserProducts[[#Headers],[Company]], 91)</f>
        <v>Phosphorus - Generic</v>
      </c>
      <c r="R201" s="152" cm="1">
        <f t="array" ref="R201">Common_InputFunctions.Utility_DisplayArrayInTable(Fertiliser_SourceData.Fertiliser_Products_Data4(),FertiliserProducts[[#Headers],[Company]], 91)</f>
        <v>7.0000000000000001E-3</v>
      </c>
      <c r="S201" s="152" t="str" cm="1">
        <f t="array" ref="S201">Common_InputFunctions.Utility_DisplayArrayInTable(Fertiliser_SourceData.Fertiliser_Products_Data4(),FertiliserProducts[[#Headers],[Company]], 91)</f>
        <v>Sulfur - Generic</v>
      </c>
      <c r="T201" s="152" cm="1">
        <f t="array" ref="T201">Common_InputFunctions.Utility_DisplayArrayInTable(Fertiliser_SourceData.Fertiliser_Products_Data4(),FertiliserProducts[[#Headers],[Company]], 91)</f>
        <v>0.23</v>
      </c>
      <c r="U201" s="152" t="str" cm="1">
        <f t="array" ref="U201">Common_InputFunctions.Utility_DisplayArrayInTable(Fertiliser_SourceData.Fertiliser_Products_Data4(),FertiliserProducts[[#Headers],[Company]], 91)</f>
        <v/>
      </c>
      <c r="V201" s="152" t="str" cm="1">
        <f t="array" ref="V201">Common_InputFunctions.Utility_DisplayArrayInTable(Fertiliser_SourceData.Fertiliser_Products_Data4(),FertiliserProducts[[#Headers],[Company]], 91)</f>
        <v/>
      </c>
      <c r="W201" s="152" t="str" cm="1">
        <f t="array" ref="W201">Common_InputFunctions.Utility_DisplayArrayInTable(Fertiliser_SourceData.Fertiliser_Products_Data4(),FertiliserProducts[[#Headers],[Company]], 91)</f>
        <v/>
      </c>
      <c r="X201" s="152" t="str" cm="1">
        <f t="array" ref="X201">Common_InputFunctions.Utility_DisplayArrayInTable(Fertiliser_SourceData.Fertiliser_Products_Data4(),FertiliserProducts[[#Headers],[Company]], 91)</f>
        <v/>
      </c>
      <c r="Y201" s="152" t="str" cm="1">
        <f t="array" ref="Y201">Common_InputFunctions.Utility_DisplayArrayInTable(Fertiliser_SourceData.Fertiliser_Products_Data4(),FertiliserProducts[[#Headers],[Company]], 91)</f>
        <v/>
      </c>
      <c r="Z201" s="152" t="str" cm="1">
        <f t="array" ref="Z201">Common_InputFunctions.Utility_DisplayArrayInTable(Fertiliser_SourceData.Fertiliser_Products_Data4(),FertiliserProducts[[#Headers],[Company]], 91)</f>
        <v/>
      </c>
      <c r="AA201" s="152" t="str" cm="1">
        <f t="array" ref="AA201">Common_InputFunctions.Utility_DisplayArrayInTable(Fertiliser_SourceData.Fertiliser_Products_Data4(),FertiliserProducts[[#Headers],[Company]], 91)</f>
        <v/>
      </c>
      <c r="AB201" s="152" t="str" cm="1">
        <f t="array" ref="AB201">Common_InputFunctions.Utility_DisplayArrayInTable(Fertiliser_SourceData.Fertiliser_Products_Data4(),FertiliserProducts[[#Headers],[Company]], 91)</f>
        <v/>
      </c>
      <c r="AC201" s="152" t="str" cm="1">
        <f t="array" ref="AC201">Common_InputFunctions.Utility_DisplayArrayInTable(Fertiliser_SourceData.Fertiliser_Products_Data4(),FertiliserProducts[[#Headers],[Company]], 91)</f>
        <v/>
      </c>
      <c r="AD201" s="152" t="str" cm="1">
        <f t="array" ref="AD201">Common_InputFunctions.Utility_DisplayArrayInTable(Fertiliser_SourceData.Fertiliser_Products_Data4(),FertiliserProducts[[#Headers],[Company]], 91)</f>
        <v/>
      </c>
      <c r="AE201" s="152" t="str" cm="1">
        <f t="array" ref="AE201">Common_InputFunctions.Utility_DisplayArrayInTable(Fertiliser_SourceData.Fertiliser_Products_Data4(),FertiliserProducts[[#Headers],[Company]], 91)</f>
        <v/>
      </c>
      <c r="AF201" s="152" t="str" cm="1">
        <f t="array" ref="AF201">Common_InputFunctions.Utility_DisplayArrayInTable(Fertiliser_SourceData.Fertiliser_Products_Data4(),FertiliserProducts[[#Headers],[Company]], 91)</f>
        <v/>
      </c>
      <c r="AG201" s="152" t="str" cm="1">
        <f t="array" ref="AG201">Common_InputFunctions.Utility_DisplayArrayInTable(Fertiliser_SourceData.Fertiliser_Products_Data4(),FertiliserProducts[[#Headers],[Company]], 91)</f>
        <v/>
      </c>
      <c r="AH201" s="152" t="str" cm="1">
        <f t="array" ref="AH201">Common_InputFunctions.Utility_DisplayArrayInTable(Fertiliser_SourceData.Fertiliser_Products_Data4(),FertiliserProducts[[#Headers],[Company]], 91)</f>
        <v/>
      </c>
    </row>
    <row r="202" spans="4:34" ht="20.100000000000001" customHeight="1" x14ac:dyDescent="0.2">
      <c r="D202" s="152" t="str" cm="1">
        <f t="array" ref="D202">Common_InputFunctions.Utility_DisplayArrayInTable(Fertiliser_SourceData.Fertiliser_Products_Data4(),FertiliserProducts[[#Headers],[Company]], 91)</f>
        <v>Wengfu Australia</v>
      </c>
      <c r="E202" s="152" t="str" cm="1">
        <f t="array" ref="E202">Common_InputFunctions.Utility_DisplayArrayInTable(Fertiliser_SourceData.Fertiliser_Products_Data4(),FertiliserProducts[[#Headers],[Company]], 91)</f>
        <v>Wengfu Prime MSZ</v>
      </c>
      <c r="F202" s="152" t="str" cm="1">
        <f t="array" ref="F202">Common_InputFunctions.Utility_DisplayArrayInTable(Fertiliser_SourceData.Fertiliser_Products_Data4(),FertiliserProducts[[#Headers],[Company]], 91)</f>
        <v>kg</v>
      </c>
      <c r="G202" s="152" cm="1">
        <f t="array" ref="G202">Common_InputFunctions.Utility_DisplayArrayInTable(Fertiliser_SourceData.Fertiliser_Products_Data4(),FertiliserProducts[[#Headers],[Company]], 91)</f>
        <v>1</v>
      </c>
      <c r="H202" s="152" t="str" cm="1">
        <f t="array" ref="H202">Common_InputFunctions.Utility_DisplayArrayInTable(Fertiliser_SourceData.Fertiliser_Products_Data4(),FertiliserProducts[[#Headers],[Company]], 91)</f>
        <v/>
      </c>
      <c r="I202" s="152" t="str" cm="1">
        <f t="array" ref="I202">Common_InputFunctions.Utility_DisplayArrayInTable(Fertiliser_SourceData.Fertiliser_Products_Data4(),FertiliserProducts[[#Headers],[Company]], 91)</f>
        <v/>
      </c>
      <c r="J202" s="152" t="str" cm="1">
        <f t="array" ref="J202">Common_InputFunctions.Utility_DisplayArrayInTable(Fertiliser_SourceData.Fertiliser_Products_Data4(),FertiliserProducts[[#Headers],[Company]], 91)</f>
        <v/>
      </c>
      <c r="K202" s="152" cm="1">
        <f t="array" ref="K202">Common_InputFunctions.Utility_DisplayArrayInTable(Fertiliser_SourceData.Fertiliser_Products_Data4(),FertiliserProducts[[#Headers],[Company]], 91)</f>
        <v>10</v>
      </c>
      <c r="L202" s="152" cm="1">
        <f t="array" ref="L202">Common_InputFunctions.Utility_DisplayArrayInTable(Fertiliser_SourceData.Fertiliser_Products_Data4(),FertiliserProducts[[#Headers],[Company]], 91)</f>
        <v>18</v>
      </c>
      <c r="M202" s="152" t="str" cm="1">
        <f t="array" ref="M202">Common_InputFunctions.Utility_DisplayArrayInTable(Fertiliser_SourceData.Fertiliser_Products_Data4(),FertiliserProducts[[#Headers],[Company]], 91)</f>
        <v/>
      </c>
      <c r="N202" s="152" cm="1">
        <f t="array" ref="N202">Common_InputFunctions.Utility_DisplayArrayInTable(Fertiliser_SourceData.Fertiliser_Products_Data4(),FertiliserProducts[[#Headers],[Company]], 91)</f>
        <v>8</v>
      </c>
      <c r="O202" s="152" t="str" cm="1">
        <f t="array" ref="O202">Common_InputFunctions.Utility_DisplayArrayInTable(Fertiliser_SourceData.Fertiliser_Products_Data4(),FertiliserProducts[[#Headers],[Company]], 91)</f>
        <v>Nitrogen - Generic</v>
      </c>
      <c r="P202" s="152" cm="1">
        <f t="array" ref="P202">Common_InputFunctions.Utility_DisplayArrayInTable(Fertiliser_SourceData.Fertiliser_Products_Data4(),FertiliserProducts[[#Headers],[Company]], 91)</f>
        <v>0.1</v>
      </c>
      <c r="Q202" s="152" t="str" cm="1">
        <f t="array" ref="Q202">Common_InputFunctions.Utility_DisplayArrayInTable(Fertiliser_SourceData.Fertiliser_Products_Data4(),FertiliserProducts[[#Headers],[Company]], 91)</f>
        <v>Phosphorus - Generic</v>
      </c>
      <c r="R202" s="152" cm="1">
        <f t="array" ref="R202">Common_InputFunctions.Utility_DisplayArrayInTable(Fertiliser_SourceData.Fertiliser_Products_Data4(),FertiliserProducts[[#Headers],[Company]], 91)</f>
        <v>0.18</v>
      </c>
      <c r="S202" s="152" t="str" cm="1">
        <f t="array" ref="S202">Common_InputFunctions.Utility_DisplayArrayInTable(Fertiliser_SourceData.Fertiliser_Products_Data4(),FertiliserProducts[[#Headers],[Company]], 91)</f>
        <v>Sulfur - Generic</v>
      </c>
      <c r="T202" s="152" cm="1">
        <f t="array" ref="T202">Common_InputFunctions.Utility_DisplayArrayInTable(Fertiliser_SourceData.Fertiliser_Products_Data4(),FertiliserProducts[[#Headers],[Company]], 91)</f>
        <v>0.08</v>
      </c>
      <c r="U202" s="152" t="str" cm="1">
        <f t="array" ref="U202">Common_InputFunctions.Utility_DisplayArrayInTable(Fertiliser_SourceData.Fertiliser_Products_Data4(),FertiliserProducts[[#Headers],[Company]], 91)</f>
        <v>Zinc</v>
      </c>
      <c r="V202" s="152" cm="1">
        <f t="array" ref="V202">Common_InputFunctions.Utility_DisplayArrayInTable(Fertiliser_SourceData.Fertiliser_Products_Data4(),FertiliserProducts[[#Headers],[Company]], 91)</f>
        <v>5.0000000000000001E-3</v>
      </c>
      <c r="W202" s="152" t="str" cm="1">
        <f t="array" ref="W202">Common_InputFunctions.Utility_DisplayArrayInTable(Fertiliser_SourceData.Fertiliser_Products_Data4(),FertiliserProducts[[#Headers],[Company]], 91)</f>
        <v/>
      </c>
      <c r="X202" s="152" t="str" cm="1">
        <f t="array" ref="X202">Common_InputFunctions.Utility_DisplayArrayInTable(Fertiliser_SourceData.Fertiliser_Products_Data4(),FertiliserProducts[[#Headers],[Company]], 91)</f>
        <v/>
      </c>
      <c r="Y202" s="152" t="str" cm="1">
        <f t="array" ref="Y202">Common_InputFunctions.Utility_DisplayArrayInTable(Fertiliser_SourceData.Fertiliser_Products_Data4(),FertiliserProducts[[#Headers],[Company]], 91)</f>
        <v/>
      </c>
      <c r="Z202" s="152" t="str" cm="1">
        <f t="array" ref="Z202">Common_InputFunctions.Utility_DisplayArrayInTable(Fertiliser_SourceData.Fertiliser_Products_Data4(),FertiliserProducts[[#Headers],[Company]], 91)</f>
        <v/>
      </c>
      <c r="AA202" s="152" t="str" cm="1">
        <f t="array" ref="AA202">Common_InputFunctions.Utility_DisplayArrayInTable(Fertiliser_SourceData.Fertiliser_Products_Data4(),FertiliserProducts[[#Headers],[Company]], 91)</f>
        <v/>
      </c>
      <c r="AB202" s="152" t="str" cm="1">
        <f t="array" ref="AB202">Common_InputFunctions.Utility_DisplayArrayInTable(Fertiliser_SourceData.Fertiliser_Products_Data4(),FertiliserProducts[[#Headers],[Company]], 91)</f>
        <v/>
      </c>
      <c r="AC202" s="152" t="str" cm="1">
        <f t="array" ref="AC202">Common_InputFunctions.Utility_DisplayArrayInTable(Fertiliser_SourceData.Fertiliser_Products_Data4(),FertiliserProducts[[#Headers],[Company]], 91)</f>
        <v/>
      </c>
      <c r="AD202" s="152" t="str" cm="1">
        <f t="array" ref="AD202">Common_InputFunctions.Utility_DisplayArrayInTable(Fertiliser_SourceData.Fertiliser_Products_Data4(),FertiliserProducts[[#Headers],[Company]], 91)</f>
        <v/>
      </c>
      <c r="AE202" s="152" t="str" cm="1">
        <f t="array" ref="AE202">Common_InputFunctions.Utility_DisplayArrayInTable(Fertiliser_SourceData.Fertiliser_Products_Data4(),FertiliserProducts[[#Headers],[Company]], 91)</f>
        <v/>
      </c>
      <c r="AF202" s="152" t="str" cm="1">
        <f t="array" ref="AF202">Common_InputFunctions.Utility_DisplayArrayInTable(Fertiliser_SourceData.Fertiliser_Products_Data4(),FertiliserProducts[[#Headers],[Company]], 91)</f>
        <v/>
      </c>
      <c r="AG202" s="152" t="str" cm="1">
        <f t="array" ref="AG202">Common_InputFunctions.Utility_DisplayArrayInTable(Fertiliser_SourceData.Fertiliser_Products_Data4(),FertiliserProducts[[#Headers],[Company]], 91)</f>
        <v/>
      </c>
      <c r="AH202" s="152" t="str" cm="1">
        <f t="array" ref="AH202">Common_InputFunctions.Utility_DisplayArrayInTable(Fertiliser_SourceData.Fertiliser_Products_Data4(),FertiliserProducts[[#Headers],[Company]], 91)</f>
        <v/>
      </c>
    </row>
    <row r="203" spans="4:34" ht="20.100000000000001" customHeight="1" x14ac:dyDescent="0.2">
      <c r="D203" s="152" t="str" cm="1">
        <f t="array" ref="D203">Common_InputFunctions.Utility_DisplayArrayInTable(Fertiliser_SourceData.Fertiliser_Products_Data4(),FertiliserProducts[[#Headers],[Company]], 91)</f>
        <v>Wengfu Australia</v>
      </c>
      <c r="E203" s="152" t="str" cm="1">
        <f t="array" ref="E203">Common_InputFunctions.Utility_DisplayArrayInTable(Fertiliser_SourceData.Fertiliser_Products_Data4(),FertiliserProducts[[#Headers],[Company]], 91)</f>
        <v>Wengfu 9-20-0-10 MAP SuStain</v>
      </c>
      <c r="F203" s="152" t="str" cm="1">
        <f t="array" ref="F203">Common_InputFunctions.Utility_DisplayArrayInTable(Fertiliser_SourceData.Fertiliser_Products_Data4(),FertiliserProducts[[#Headers],[Company]], 91)</f>
        <v>kg</v>
      </c>
      <c r="G203" s="152" cm="1">
        <f t="array" ref="G203">Common_InputFunctions.Utility_DisplayArrayInTable(Fertiliser_SourceData.Fertiliser_Products_Data4(),FertiliserProducts[[#Headers],[Company]], 91)</f>
        <v>1</v>
      </c>
      <c r="H203" s="152" t="str" cm="1">
        <f t="array" ref="H203">Common_InputFunctions.Utility_DisplayArrayInTable(Fertiliser_SourceData.Fertiliser_Products_Data4(),FertiliserProducts[[#Headers],[Company]], 91)</f>
        <v/>
      </c>
      <c r="I203" s="152" t="str" cm="1">
        <f t="array" ref="I203">Common_InputFunctions.Utility_DisplayArrayInTable(Fertiliser_SourceData.Fertiliser_Products_Data4(),FertiliserProducts[[#Headers],[Company]], 91)</f>
        <v/>
      </c>
      <c r="J203" s="152" t="str" cm="1">
        <f t="array" ref="J203">Common_InputFunctions.Utility_DisplayArrayInTable(Fertiliser_SourceData.Fertiliser_Products_Data4(),FertiliserProducts[[#Headers],[Company]], 91)</f>
        <v/>
      </c>
      <c r="K203" s="152" cm="1">
        <f t="array" ref="K203">Common_InputFunctions.Utility_DisplayArrayInTable(Fertiliser_SourceData.Fertiliser_Products_Data4(),FertiliserProducts[[#Headers],[Company]], 91)</f>
        <v>9</v>
      </c>
      <c r="L203" s="152" cm="1">
        <f t="array" ref="L203">Common_InputFunctions.Utility_DisplayArrayInTable(Fertiliser_SourceData.Fertiliser_Products_Data4(),FertiliserProducts[[#Headers],[Company]], 91)</f>
        <v>19.8</v>
      </c>
      <c r="M203" s="152" cm="1">
        <f t="array" ref="M203">Common_InputFunctions.Utility_DisplayArrayInTable(Fertiliser_SourceData.Fertiliser_Products_Data4(),FertiliserProducts[[#Headers],[Company]], 91)</f>
        <v>0</v>
      </c>
      <c r="N203" s="152" cm="1">
        <f t="array" ref="N203">Common_InputFunctions.Utility_DisplayArrayInTable(Fertiliser_SourceData.Fertiliser_Products_Data4(),FertiliserProducts[[#Headers],[Company]], 91)</f>
        <v>10.4</v>
      </c>
      <c r="O203" s="152" t="str" cm="1">
        <f t="array" ref="O203">Common_InputFunctions.Utility_DisplayArrayInTable(Fertiliser_SourceData.Fertiliser_Products_Data4(),FertiliserProducts[[#Headers],[Company]], 91)</f>
        <v>Nitrogen - Generic</v>
      </c>
      <c r="P203" s="152" cm="1">
        <f t="array" ref="P203">Common_InputFunctions.Utility_DisplayArrayInTable(Fertiliser_SourceData.Fertiliser_Products_Data4(),FertiliserProducts[[#Headers],[Company]], 91)</f>
        <v>0.09</v>
      </c>
      <c r="Q203" s="152" t="str" cm="1">
        <f t="array" ref="Q203">Common_InputFunctions.Utility_DisplayArrayInTable(Fertiliser_SourceData.Fertiliser_Products_Data4(),FertiliserProducts[[#Headers],[Company]], 91)</f>
        <v>Phosphorus - Generic</v>
      </c>
      <c r="R203" s="152" cm="1">
        <f t="array" ref="R203">Common_InputFunctions.Utility_DisplayArrayInTable(Fertiliser_SourceData.Fertiliser_Products_Data4(),FertiliserProducts[[#Headers],[Company]], 91)</f>
        <v>0.19800000000000001</v>
      </c>
      <c r="S203" s="152" t="str" cm="1">
        <f t="array" ref="S203">Common_InputFunctions.Utility_DisplayArrayInTable(Fertiliser_SourceData.Fertiliser_Products_Data4(),FertiliserProducts[[#Headers],[Company]], 91)</f>
        <v>Sulfur - Generic</v>
      </c>
      <c r="T203" s="152" cm="1">
        <f t="array" ref="T203">Common_InputFunctions.Utility_DisplayArrayInTable(Fertiliser_SourceData.Fertiliser_Products_Data4(),FertiliserProducts[[#Headers],[Company]], 91)</f>
        <v>0.104</v>
      </c>
      <c r="U203" s="152" t="str" cm="1">
        <f t="array" ref="U203">Common_InputFunctions.Utility_DisplayArrayInTable(Fertiliser_SourceData.Fertiliser_Products_Data4(),FertiliserProducts[[#Headers],[Company]], 91)</f>
        <v/>
      </c>
      <c r="V203" s="152" t="str" cm="1">
        <f t="array" ref="V203">Common_InputFunctions.Utility_DisplayArrayInTable(Fertiliser_SourceData.Fertiliser_Products_Data4(),FertiliserProducts[[#Headers],[Company]], 91)</f>
        <v/>
      </c>
      <c r="W203" s="152" t="str" cm="1">
        <f t="array" ref="W203">Common_InputFunctions.Utility_DisplayArrayInTable(Fertiliser_SourceData.Fertiliser_Products_Data4(),FertiliserProducts[[#Headers],[Company]], 91)</f>
        <v/>
      </c>
      <c r="X203" s="152" t="str" cm="1">
        <f t="array" ref="X203">Common_InputFunctions.Utility_DisplayArrayInTable(Fertiliser_SourceData.Fertiliser_Products_Data4(),FertiliserProducts[[#Headers],[Company]], 91)</f>
        <v/>
      </c>
      <c r="Y203" s="152" t="str" cm="1">
        <f t="array" ref="Y203">Common_InputFunctions.Utility_DisplayArrayInTable(Fertiliser_SourceData.Fertiliser_Products_Data4(),FertiliserProducts[[#Headers],[Company]], 91)</f>
        <v/>
      </c>
      <c r="Z203" s="152" t="str" cm="1">
        <f t="array" ref="Z203">Common_InputFunctions.Utility_DisplayArrayInTable(Fertiliser_SourceData.Fertiliser_Products_Data4(),FertiliserProducts[[#Headers],[Company]], 91)</f>
        <v/>
      </c>
      <c r="AA203" s="152" t="str" cm="1">
        <f t="array" ref="AA203">Common_InputFunctions.Utility_DisplayArrayInTable(Fertiliser_SourceData.Fertiliser_Products_Data4(),FertiliserProducts[[#Headers],[Company]], 91)</f>
        <v/>
      </c>
      <c r="AB203" s="152" t="str" cm="1">
        <f t="array" ref="AB203">Common_InputFunctions.Utility_DisplayArrayInTable(Fertiliser_SourceData.Fertiliser_Products_Data4(),FertiliserProducts[[#Headers],[Company]], 91)</f>
        <v/>
      </c>
      <c r="AC203" s="152" t="str" cm="1">
        <f t="array" ref="AC203">Common_InputFunctions.Utility_DisplayArrayInTable(Fertiliser_SourceData.Fertiliser_Products_Data4(),FertiliserProducts[[#Headers],[Company]], 91)</f>
        <v/>
      </c>
      <c r="AD203" s="152" t="str" cm="1">
        <f t="array" ref="AD203">Common_InputFunctions.Utility_DisplayArrayInTable(Fertiliser_SourceData.Fertiliser_Products_Data4(),FertiliserProducts[[#Headers],[Company]], 91)</f>
        <v/>
      </c>
      <c r="AE203" s="152" t="str" cm="1">
        <f t="array" ref="AE203">Common_InputFunctions.Utility_DisplayArrayInTable(Fertiliser_SourceData.Fertiliser_Products_Data4(),FertiliserProducts[[#Headers],[Company]], 91)</f>
        <v/>
      </c>
      <c r="AF203" s="152" t="str" cm="1">
        <f t="array" ref="AF203">Common_InputFunctions.Utility_DisplayArrayInTable(Fertiliser_SourceData.Fertiliser_Products_Data4(),FertiliserProducts[[#Headers],[Company]], 91)</f>
        <v/>
      </c>
      <c r="AG203" s="152" t="str" cm="1">
        <f t="array" ref="AG203">Common_InputFunctions.Utility_DisplayArrayInTable(Fertiliser_SourceData.Fertiliser_Products_Data4(),FertiliserProducts[[#Headers],[Company]], 91)</f>
        <v/>
      </c>
      <c r="AH203" s="152" t="str" cm="1">
        <f t="array" ref="AH203">Common_InputFunctions.Utility_DisplayArrayInTable(Fertiliser_SourceData.Fertiliser_Products_Data4(),FertiliserProducts[[#Headers],[Company]], 91)</f>
        <v/>
      </c>
    </row>
    <row r="204" spans="4:34" ht="20.100000000000001" customHeight="1" x14ac:dyDescent="0.2">
      <c r="D204" s="152" t="str" cm="1">
        <f t="array" ref="D204">Common_InputFunctions.Utility_DisplayArrayInTable(Fertiliser_SourceData.Fertiliser_Products_Data4(),FertiliserProducts[[#Headers],[Company]], 91)</f>
        <v>Wengfu Australia</v>
      </c>
      <c r="E204" s="152" t="str" cm="1">
        <f t="array" ref="E204">Common_InputFunctions.Utility_DisplayArrayInTable(Fertiliser_SourceData.Fertiliser_Products_Data4(),FertiliserProducts[[#Headers],[Company]], 91)</f>
        <v>Wengfu 15-17-0-15 DAP SuStain</v>
      </c>
      <c r="F204" s="152" t="str" cm="1">
        <f t="array" ref="F204">Common_InputFunctions.Utility_DisplayArrayInTable(Fertiliser_SourceData.Fertiliser_Products_Data4(),FertiliserProducts[[#Headers],[Company]], 91)</f>
        <v>kg</v>
      </c>
      <c r="G204" s="152" cm="1">
        <f t="array" ref="G204">Common_InputFunctions.Utility_DisplayArrayInTable(Fertiliser_SourceData.Fertiliser_Products_Data4(),FertiliserProducts[[#Headers],[Company]], 91)</f>
        <v>1</v>
      </c>
      <c r="H204" s="152" t="str" cm="1">
        <f t="array" ref="H204">Common_InputFunctions.Utility_DisplayArrayInTable(Fertiliser_SourceData.Fertiliser_Products_Data4(),FertiliserProducts[[#Headers],[Company]], 91)</f>
        <v/>
      </c>
      <c r="I204" s="152" t="str" cm="1">
        <f t="array" ref="I204">Common_InputFunctions.Utility_DisplayArrayInTable(Fertiliser_SourceData.Fertiliser_Products_Data4(),FertiliserProducts[[#Headers],[Company]], 91)</f>
        <v/>
      </c>
      <c r="J204" s="152" t="str" cm="1">
        <f t="array" ref="J204">Common_InputFunctions.Utility_DisplayArrayInTable(Fertiliser_SourceData.Fertiliser_Products_Data4(),FertiliserProducts[[#Headers],[Company]], 91)</f>
        <v/>
      </c>
      <c r="K204" s="152" cm="1">
        <f t="array" ref="K204">Common_InputFunctions.Utility_DisplayArrayInTable(Fertiliser_SourceData.Fertiliser_Products_Data4(),FertiliserProducts[[#Headers],[Company]], 91)</f>
        <v>15.2</v>
      </c>
      <c r="L204" s="152" cm="1">
        <f t="array" ref="L204">Common_InputFunctions.Utility_DisplayArrayInTable(Fertiliser_SourceData.Fertiliser_Products_Data4(),FertiliserProducts[[#Headers],[Company]], 91)</f>
        <v>16.899999999999999</v>
      </c>
      <c r="M204" s="152" cm="1">
        <f t="array" ref="M204">Common_InputFunctions.Utility_DisplayArrayInTable(Fertiliser_SourceData.Fertiliser_Products_Data4(),FertiliserProducts[[#Headers],[Company]], 91)</f>
        <v>0</v>
      </c>
      <c r="N204" s="152" cm="1">
        <f t="array" ref="N204">Common_InputFunctions.Utility_DisplayArrayInTable(Fertiliser_SourceData.Fertiliser_Products_Data4(),FertiliserProducts[[#Headers],[Company]], 91)</f>
        <v>15.2</v>
      </c>
      <c r="O204" s="152" t="str" cm="1">
        <f t="array" ref="O204">Common_InputFunctions.Utility_DisplayArrayInTable(Fertiliser_SourceData.Fertiliser_Products_Data4(),FertiliserProducts[[#Headers],[Company]], 91)</f>
        <v>Nitrogen - Generic</v>
      </c>
      <c r="P204" s="152" cm="1">
        <f t="array" ref="P204">Common_InputFunctions.Utility_DisplayArrayInTable(Fertiliser_SourceData.Fertiliser_Products_Data4(),FertiliserProducts[[#Headers],[Company]], 91)</f>
        <v>0.152</v>
      </c>
      <c r="Q204" s="152" t="str" cm="1">
        <f t="array" ref="Q204">Common_InputFunctions.Utility_DisplayArrayInTable(Fertiliser_SourceData.Fertiliser_Products_Data4(),FertiliserProducts[[#Headers],[Company]], 91)</f>
        <v>Phosphorus - Generic</v>
      </c>
      <c r="R204" s="152" cm="1">
        <f t="array" ref="R204">Common_InputFunctions.Utility_DisplayArrayInTable(Fertiliser_SourceData.Fertiliser_Products_Data4(),FertiliserProducts[[#Headers],[Company]], 91)</f>
        <v>0.16900000000000001</v>
      </c>
      <c r="S204" s="152" t="str" cm="1">
        <f t="array" ref="S204">Common_InputFunctions.Utility_DisplayArrayInTable(Fertiliser_SourceData.Fertiliser_Products_Data4(),FertiliserProducts[[#Headers],[Company]], 91)</f>
        <v>Sulfur - Generic</v>
      </c>
      <c r="T204" s="152" cm="1">
        <f t="array" ref="T204">Common_InputFunctions.Utility_DisplayArrayInTable(Fertiliser_SourceData.Fertiliser_Products_Data4(),FertiliserProducts[[#Headers],[Company]], 91)</f>
        <v>0.152</v>
      </c>
      <c r="U204" s="152" t="str" cm="1">
        <f t="array" ref="U204">Common_InputFunctions.Utility_DisplayArrayInTable(Fertiliser_SourceData.Fertiliser_Products_Data4(),FertiliserProducts[[#Headers],[Company]], 91)</f>
        <v/>
      </c>
      <c r="V204" s="152" t="str" cm="1">
        <f t="array" ref="V204">Common_InputFunctions.Utility_DisplayArrayInTable(Fertiliser_SourceData.Fertiliser_Products_Data4(),FertiliserProducts[[#Headers],[Company]], 91)</f>
        <v/>
      </c>
      <c r="W204" s="152" t="str" cm="1">
        <f t="array" ref="W204">Common_InputFunctions.Utility_DisplayArrayInTable(Fertiliser_SourceData.Fertiliser_Products_Data4(),FertiliserProducts[[#Headers],[Company]], 91)</f>
        <v/>
      </c>
      <c r="X204" s="152" t="str" cm="1">
        <f t="array" ref="X204">Common_InputFunctions.Utility_DisplayArrayInTable(Fertiliser_SourceData.Fertiliser_Products_Data4(),FertiliserProducts[[#Headers],[Company]], 91)</f>
        <v/>
      </c>
      <c r="Y204" s="152" t="str" cm="1">
        <f t="array" ref="Y204">Common_InputFunctions.Utility_DisplayArrayInTable(Fertiliser_SourceData.Fertiliser_Products_Data4(),FertiliserProducts[[#Headers],[Company]], 91)</f>
        <v/>
      </c>
      <c r="Z204" s="152" t="str" cm="1">
        <f t="array" ref="Z204">Common_InputFunctions.Utility_DisplayArrayInTable(Fertiliser_SourceData.Fertiliser_Products_Data4(),FertiliserProducts[[#Headers],[Company]], 91)</f>
        <v/>
      </c>
      <c r="AA204" s="152" t="str" cm="1">
        <f t="array" ref="AA204">Common_InputFunctions.Utility_DisplayArrayInTable(Fertiliser_SourceData.Fertiliser_Products_Data4(),FertiliserProducts[[#Headers],[Company]], 91)</f>
        <v/>
      </c>
      <c r="AB204" s="152" t="str" cm="1">
        <f t="array" ref="AB204">Common_InputFunctions.Utility_DisplayArrayInTable(Fertiliser_SourceData.Fertiliser_Products_Data4(),FertiliserProducts[[#Headers],[Company]], 91)</f>
        <v/>
      </c>
      <c r="AC204" s="152" t="str" cm="1">
        <f t="array" ref="AC204">Common_InputFunctions.Utility_DisplayArrayInTable(Fertiliser_SourceData.Fertiliser_Products_Data4(),FertiliserProducts[[#Headers],[Company]], 91)</f>
        <v/>
      </c>
      <c r="AD204" s="152" t="str" cm="1">
        <f t="array" ref="AD204">Common_InputFunctions.Utility_DisplayArrayInTable(Fertiliser_SourceData.Fertiliser_Products_Data4(),FertiliserProducts[[#Headers],[Company]], 91)</f>
        <v/>
      </c>
      <c r="AE204" s="152" t="str" cm="1">
        <f t="array" ref="AE204">Common_InputFunctions.Utility_DisplayArrayInTable(Fertiliser_SourceData.Fertiliser_Products_Data4(),FertiliserProducts[[#Headers],[Company]], 91)</f>
        <v/>
      </c>
      <c r="AF204" s="152" t="str" cm="1">
        <f t="array" ref="AF204">Common_InputFunctions.Utility_DisplayArrayInTable(Fertiliser_SourceData.Fertiliser_Products_Data4(),FertiliserProducts[[#Headers],[Company]], 91)</f>
        <v/>
      </c>
      <c r="AG204" s="152" t="str" cm="1">
        <f t="array" ref="AG204">Common_InputFunctions.Utility_DisplayArrayInTable(Fertiliser_SourceData.Fertiliser_Products_Data4(),FertiliserProducts[[#Headers],[Company]], 91)</f>
        <v/>
      </c>
      <c r="AH204" s="152" t="str" cm="1">
        <f t="array" ref="AH204">Common_InputFunctions.Utility_DisplayArrayInTable(Fertiliser_SourceData.Fertiliser_Products_Data4(),FertiliserProducts[[#Headers],[Company]], 91)</f>
        <v/>
      </c>
    </row>
    <row r="205" spans="4:34" ht="20.100000000000001" customHeight="1" x14ac:dyDescent="0.2">
      <c r="D205" s="152" t="str" cm="1">
        <f t="array" ref="D205">Common_InputFunctions.Utility_DisplayArrayInTable(Fertiliser_SourceData.Fertiliser_Products_Data4(),FertiliserProducts[[#Headers],[Company]], 91)</f>
        <v>Wengfu Australia</v>
      </c>
      <c r="E205" s="152" t="str" cm="1">
        <f t="array" ref="E205">Common_InputFunctions.Utility_DisplayArrayInTable(Fertiliser_SourceData.Fertiliser_Products_Data4(),FertiliserProducts[[#Headers],[Company]], 91)</f>
        <v>Wengfu 16-18-0-10 DAP SuStain</v>
      </c>
      <c r="F205" s="152" t="str" cm="1">
        <f t="array" ref="F205">Common_InputFunctions.Utility_DisplayArrayInTable(Fertiliser_SourceData.Fertiliser_Products_Data4(),FertiliserProducts[[#Headers],[Company]], 91)</f>
        <v>kg</v>
      </c>
      <c r="G205" s="152" cm="1">
        <f t="array" ref="G205">Common_InputFunctions.Utility_DisplayArrayInTable(Fertiliser_SourceData.Fertiliser_Products_Data4(),FertiliserProducts[[#Headers],[Company]], 91)</f>
        <v>1</v>
      </c>
      <c r="H205" s="152" t="str" cm="1">
        <f t="array" ref="H205">Common_InputFunctions.Utility_DisplayArrayInTable(Fertiliser_SourceData.Fertiliser_Products_Data4(),FertiliserProducts[[#Headers],[Company]], 91)</f>
        <v/>
      </c>
      <c r="I205" s="152" t="str" cm="1">
        <f t="array" ref="I205">Common_InputFunctions.Utility_DisplayArrayInTable(Fertiliser_SourceData.Fertiliser_Products_Data4(),FertiliserProducts[[#Headers],[Company]], 91)</f>
        <v/>
      </c>
      <c r="J205" s="152" t="str" cm="1">
        <f t="array" ref="J205">Common_InputFunctions.Utility_DisplayArrayInTable(Fertiliser_SourceData.Fertiliser_Products_Data4(),FertiliserProducts[[#Headers],[Company]], 91)</f>
        <v/>
      </c>
      <c r="K205" s="152" cm="1">
        <f t="array" ref="K205">Common_InputFunctions.Utility_DisplayArrayInTable(Fertiliser_SourceData.Fertiliser_Products_Data4(),FertiliserProducts[[#Headers],[Company]], 91)</f>
        <v>16.2</v>
      </c>
      <c r="L205" s="152" cm="1">
        <f t="array" ref="L205">Common_InputFunctions.Utility_DisplayArrayInTable(Fertiliser_SourceData.Fertiliser_Products_Data4(),FertiliserProducts[[#Headers],[Company]], 91)</f>
        <v>18</v>
      </c>
      <c r="M205" s="152" cm="1">
        <f t="array" ref="M205">Common_InputFunctions.Utility_DisplayArrayInTable(Fertiliser_SourceData.Fertiliser_Products_Data4(),FertiliserProducts[[#Headers],[Company]], 91)</f>
        <v>0</v>
      </c>
      <c r="N205" s="152" cm="1">
        <f t="array" ref="N205">Common_InputFunctions.Utility_DisplayArrayInTable(Fertiliser_SourceData.Fertiliser_Products_Data4(),FertiliserProducts[[#Headers],[Company]], 91)</f>
        <v>10.4</v>
      </c>
      <c r="O205" s="152" t="str" cm="1">
        <f t="array" ref="O205">Common_InputFunctions.Utility_DisplayArrayInTable(Fertiliser_SourceData.Fertiliser_Products_Data4(),FertiliserProducts[[#Headers],[Company]], 91)</f>
        <v>Nitrogen - Generic</v>
      </c>
      <c r="P205" s="152" cm="1">
        <f t="array" ref="P205">Common_InputFunctions.Utility_DisplayArrayInTable(Fertiliser_SourceData.Fertiliser_Products_Data4(),FertiliserProducts[[#Headers],[Company]], 91)</f>
        <v>0.16200000000000001</v>
      </c>
      <c r="Q205" s="152" t="str" cm="1">
        <f t="array" ref="Q205">Common_InputFunctions.Utility_DisplayArrayInTable(Fertiliser_SourceData.Fertiliser_Products_Data4(),FertiliserProducts[[#Headers],[Company]], 91)</f>
        <v>Phosphorus - Generic</v>
      </c>
      <c r="R205" s="152" cm="1">
        <f t="array" ref="R205">Common_InputFunctions.Utility_DisplayArrayInTable(Fertiliser_SourceData.Fertiliser_Products_Data4(),FertiliserProducts[[#Headers],[Company]], 91)</f>
        <v>0.18</v>
      </c>
      <c r="S205" s="152" t="str" cm="1">
        <f t="array" ref="S205">Common_InputFunctions.Utility_DisplayArrayInTable(Fertiliser_SourceData.Fertiliser_Products_Data4(),FertiliserProducts[[#Headers],[Company]], 91)</f>
        <v>Sulfur - Generic</v>
      </c>
      <c r="T205" s="152" cm="1">
        <f t="array" ref="T205">Common_InputFunctions.Utility_DisplayArrayInTable(Fertiliser_SourceData.Fertiliser_Products_Data4(),FertiliserProducts[[#Headers],[Company]], 91)</f>
        <v>0.104</v>
      </c>
      <c r="U205" s="152" t="str" cm="1">
        <f t="array" ref="U205">Common_InputFunctions.Utility_DisplayArrayInTable(Fertiliser_SourceData.Fertiliser_Products_Data4(),FertiliserProducts[[#Headers],[Company]], 91)</f>
        <v/>
      </c>
      <c r="V205" s="152" t="str" cm="1">
        <f t="array" ref="V205">Common_InputFunctions.Utility_DisplayArrayInTable(Fertiliser_SourceData.Fertiliser_Products_Data4(),FertiliserProducts[[#Headers],[Company]], 91)</f>
        <v/>
      </c>
      <c r="W205" s="152" t="str" cm="1">
        <f t="array" ref="W205">Common_InputFunctions.Utility_DisplayArrayInTable(Fertiliser_SourceData.Fertiliser_Products_Data4(),FertiliserProducts[[#Headers],[Company]], 91)</f>
        <v/>
      </c>
      <c r="X205" s="152" t="str" cm="1">
        <f t="array" ref="X205">Common_InputFunctions.Utility_DisplayArrayInTable(Fertiliser_SourceData.Fertiliser_Products_Data4(),FertiliserProducts[[#Headers],[Company]], 91)</f>
        <v/>
      </c>
      <c r="Y205" s="152" t="str" cm="1">
        <f t="array" ref="Y205">Common_InputFunctions.Utility_DisplayArrayInTable(Fertiliser_SourceData.Fertiliser_Products_Data4(),FertiliserProducts[[#Headers],[Company]], 91)</f>
        <v/>
      </c>
      <c r="Z205" s="152" t="str" cm="1">
        <f t="array" ref="Z205">Common_InputFunctions.Utility_DisplayArrayInTable(Fertiliser_SourceData.Fertiliser_Products_Data4(),FertiliserProducts[[#Headers],[Company]], 91)</f>
        <v/>
      </c>
      <c r="AA205" s="152" t="str" cm="1">
        <f t="array" ref="AA205">Common_InputFunctions.Utility_DisplayArrayInTable(Fertiliser_SourceData.Fertiliser_Products_Data4(),FertiliserProducts[[#Headers],[Company]], 91)</f>
        <v/>
      </c>
      <c r="AB205" s="152" t="str" cm="1">
        <f t="array" ref="AB205">Common_InputFunctions.Utility_DisplayArrayInTable(Fertiliser_SourceData.Fertiliser_Products_Data4(),FertiliserProducts[[#Headers],[Company]], 91)</f>
        <v/>
      </c>
      <c r="AC205" s="152" t="str" cm="1">
        <f t="array" ref="AC205">Common_InputFunctions.Utility_DisplayArrayInTable(Fertiliser_SourceData.Fertiliser_Products_Data4(),FertiliserProducts[[#Headers],[Company]], 91)</f>
        <v/>
      </c>
      <c r="AD205" s="152" t="str" cm="1">
        <f t="array" ref="AD205">Common_InputFunctions.Utility_DisplayArrayInTable(Fertiliser_SourceData.Fertiliser_Products_Data4(),FertiliserProducts[[#Headers],[Company]], 91)</f>
        <v/>
      </c>
      <c r="AE205" s="152" t="str" cm="1">
        <f t="array" ref="AE205">Common_InputFunctions.Utility_DisplayArrayInTable(Fertiliser_SourceData.Fertiliser_Products_Data4(),FertiliserProducts[[#Headers],[Company]], 91)</f>
        <v/>
      </c>
      <c r="AF205" s="152" t="str" cm="1">
        <f t="array" ref="AF205">Common_InputFunctions.Utility_DisplayArrayInTable(Fertiliser_SourceData.Fertiliser_Products_Data4(),FertiliserProducts[[#Headers],[Company]], 91)</f>
        <v/>
      </c>
      <c r="AG205" s="152" t="str" cm="1">
        <f t="array" ref="AG205">Common_InputFunctions.Utility_DisplayArrayInTable(Fertiliser_SourceData.Fertiliser_Products_Data4(),FertiliserProducts[[#Headers],[Company]], 91)</f>
        <v/>
      </c>
      <c r="AH205" s="152" t="str" cm="1">
        <f t="array" ref="AH205">Common_InputFunctions.Utility_DisplayArrayInTable(Fertiliser_SourceData.Fertiliser_Products_Data4(),FertiliserProducts[[#Headers],[Company]], 91)</f>
        <v/>
      </c>
    </row>
    <row r="206" spans="4:34" ht="20.100000000000001" customHeight="1" x14ac:dyDescent="0.2">
      <c r="D206" s="152" t="str" cm="1">
        <f t="array" ref="D206">Common_InputFunctions.Utility_DisplayArrayInTable(Fertiliser_SourceData.Fertiliser_Products_Data4(),FertiliserProducts[[#Headers],[Company]], 91)</f>
        <v>Wengfu Australia</v>
      </c>
      <c r="E206" s="152" t="str" cm="1">
        <f t="array" ref="E206">Common_InputFunctions.Utility_DisplayArrayInTable(Fertiliser_SourceData.Fertiliser_Products_Data4(),FertiliserProducts[[#Headers],[Company]], 91)</f>
        <v>Wengfu 5-15-0-6 Fast Start Legume</v>
      </c>
      <c r="F206" s="152" t="str" cm="1">
        <f t="array" ref="F206">Common_InputFunctions.Utility_DisplayArrayInTable(Fertiliser_SourceData.Fertiliser_Products_Data4(),FertiliserProducts[[#Headers],[Company]], 91)</f>
        <v>kg</v>
      </c>
      <c r="G206" s="152" cm="1">
        <f t="array" ref="G206">Common_InputFunctions.Utility_DisplayArrayInTable(Fertiliser_SourceData.Fertiliser_Products_Data4(),FertiliserProducts[[#Headers],[Company]], 91)</f>
        <v>1</v>
      </c>
      <c r="H206" s="152" t="str" cm="1">
        <f t="array" ref="H206">Common_InputFunctions.Utility_DisplayArrayInTable(Fertiliser_SourceData.Fertiliser_Products_Data4(),FertiliserProducts[[#Headers],[Company]], 91)</f>
        <v/>
      </c>
      <c r="I206" s="152" t="str" cm="1">
        <f t="array" ref="I206">Common_InputFunctions.Utility_DisplayArrayInTable(Fertiliser_SourceData.Fertiliser_Products_Data4(),FertiliserProducts[[#Headers],[Company]], 91)</f>
        <v/>
      </c>
      <c r="J206" s="152" t="str" cm="1">
        <f t="array" ref="J206">Common_InputFunctions.Utility_DisplayArrayInTable(Fertiliser_SourceData.Fertiliser_Products_Data4(),FertiliserProducts[[#Headers],[Company]], 91)</f>
        <v/>
      </c>
      <c r="K206" s="152" cm="1">
        <f t="array" ref="K206">Common_InputFunctions.Utility_DisplayArrayInTable(Fertiliser_SourceData.Fertiliser_Products_Data4(),FertiliserProducts[[#Headers],[Company]], 91)</f>
        <v>5</v>
      </c>
      <c r="L206" s="152" cm="1">
        <f t="array" ref="L206">Common_InputFunctions.Utility_DisplayArrayInTable(Fertiliser_SourceData.Fertiliser_Products_Data4(),FertiliserProducts[[#Headers],[Company]], 91)</f>
        <v>15.4</v>
      </c>
      <c r="M206" s="152" cm="1">
        <f t="array" ref="M206">Common_InputFunctions.Utility_DisplayArrayInTable(Fertiliser_SourceData.Fertiliser_Products_Data4(),FertiliserProducts[[#Headers],[Company]], 91)</f>
        <v>0</v>
      </c>
      <c r="N206" s="152" cm="1">
        <f t="array" ref="N206">Common_InputFunctions.Utility_DisplayArrayInTable(Fertiliser_SourceData.Fertiliser_Products_Data4(),FertiliserProducts[[#Headers],[Company]], 91)</f>
        <v>6.3</v>
      </c>
      <c r="O206" s="152" t="str" cm="1">
        <f t="array" ref="O206">Common_InputFunctions.Utility_DisplayArrayInTable(Fertiliser_SourceData.Fertiliser_Products_Data4(),FertiliserProducts[[#Headers],[Company]], 91)</f>
        <v>Nitrogen - Generic</v>
      </c>
      <c r="P206" s="152" cm="1">
        <f t="array" ref="P206">Common_InputFunctions.Utility_DisplayArrayInTable(Fertiliser_SourceData.Fertiliser_Products_Data4(),FertiliserProducts[[#Headers],[Company]], 91)</f>
        <v>0.05</v>
      </c>
      <c r="Q206" s="152" t="str" cm="1">
        <f t="array" ref="Q206">Common_InputFunctions.Utility_DisplayArrayInTable(Fertiliser_SourceData.Fertiliser_Products_Data4(),FertiliserProducts[[#Headers],[Company]], 91)</f>
        <v>Phosphorus - Generic</v>
      </c>
      <c r="R206" s="152" cm="1">
        <f t="array" ref="R206">Common_InputFunctions.Utility_DisplayArrayInTable(Fertiliser_SourceData.Fertiliser_Products_Data4(),FertiliserProducts[[#Headers],[Company]], 91)</f>
        <v>0.154</v>
      </c>
      <c r="S206" s="152" t="str" cm="1">
        <f t="array" ref="S206">Common_InputFunctions.Utility_DisplayArrayInTable(Fertiliser_SourceData.Fertiliser_Products_Data4(),FertiliserProducts[[#Headers],[Company]], 91)</f>
        <v>Sulfur - Generic</v>
      </c>
      <c r="T206" s="152" cm="1">
        <f t="array" ref="T206">Common_InputFunctions.Utility_DisplayArrayInTable(Fertiliser_SourceData.Fertiliser_Products_Data4(),FertiliserProducts[[#Headers],[Company]], 91)</f>
        <v>6.3E-2</v>
      </c>
      <c r="U206" s="152" t="str" cm="1">
        <f t="array" ref="U206">Common_InputFunctions.Utility_DisplayArrayInTable(Fertiliser_SourceData.Fertiliser_Products_Data4(),FertiliserProducts[[#Headers],[Company]], 91)</f>
        <v/>
      </c>
      <c r="V206" s="152" t="str" cm="1">
        <f t="array" ref="V206">Common_InputFunctions.Utility_DisplayArrayInTable(Fertiliser_SourceData.Fertiliser_Products_Data4(),FertiliserProducts[[#Headers],[Company]], 91)</f>
        <v/>
      </c>
      <c r="W206" s="152" t="str" cm="1">
        <f t="array" ref="W206">Common_InputFunctions.Utility_DisplayArrayInTable(Fertiliser_SourceData.Fertiliser_Products_Data4(),FertiliserProducts[[#Headers],[Company]], 91)</f>
        <v/>
      </c>
      <c r="X206" s="152" t="str" cm="1">
        <f t="array" ref="X206">Common_InputFunctions.Utility_DisplayArrayInTable(Fertiliser_SourceData.Fertiliser_Products_Data4(),FertiliserProducts[[#Headers],[Company]], 91)</f>
        <v/>
      </c>
      <c r="Y206" s="152" t="str" cm="1">
        <f t="array" ref="Y206">Common_InputFunctions.Utility_DisplayArrayInTable(Fertiliser_SourceData.Fertiliser_Products_Data4(),FertiliserProducts[[#Headers],[Company]], 91)</f>
        <v/>
      </c>
      <c r="Z206" s="152" t="str" cm="1">
        <f t="array" ref="Z206">Common_InputFunctions.Utility_DisplayArrayInTable(Fertiliser_SourceData.Fertiliser_Products_Data4(),FertiliserProducts[[#Headers],[Company]], 91)</f>
        <v/>
      </c>
      <c r="AA206" s="152" t="str" cm="1">
        <f t="array" ref="AA206">Common_InputFunctions.Utility_DisplayArrayInTable(Fertiliser_SourceData.Fertiliser_Products_Data4(),FertiliserProducts[[#Headers],[Company]], 91)</f>
        <v/>
      </c>
      <c r="AB206" s="152" t="str" cm="1">
        <f t="array" ref="AB206">Common_InputFunctions.Utility_DisplayArrayInTable(Fertiliser_SourceData.Fertiliser_Products_Data4(),FertiliserProducts[[#Headers],[Company]], 91)</f>
        <v/>
      </c>
      <c r="AC206" s="152" t="str" cm="1">
        <f t="array" ref="AC206">Common_InputFunctions.Utility_DisplayArrayInTable(Fertiliser_SourceData.Fertiliser_Products_Data4(),FertiliserProducts[[#Headers],[Company]], 91)</f>
        <v/>
      </c>
      <c r="AD206" s="152" t="str" cm="1">
        <f t="array" ref="AD206">Common_InputFunctions.Utility_DisplayArrayInTable(Fertiliser_SourceData.Fertiliser_Products_Data4(),FertiliserProducts[[#Headers],[Company]], 91)</f>
        <v/>
      </c>
      <c r="AE206" s="152" t="str" cm="1">
        <f t="array" ref="AE206">Common_InputFunctions.Utility_DisplayArrayInTable(Fertiliser_SourceData.Fertiliser_Products_Data4(),FertiliserProducts[[#Headers],[Company]], 91)</f>
        <v/>
      </c>
      <c r="AF206" s="152" t="str" cm="1">
        <f t="array" ref="AF206">Common_InputFunctions.Utility_DisplayArrayInTable(Fertiliser_SourceData.Fertiliser_Products_Data4(),FertiliserProducts[[#Headers],[Company]], 91)</f>
        <v/>
      </c>
      <c r="AG206" s="152" t="str" cm="1">
        <f t="array" ref="AG206">Common_InputFunctions.Utility_DisplayArrayInTable(Fertiliser_SourceData.Fertiliser_Products_Data4(),FertiliserProducts[[#Headers],[Company]], 91)</f>
        <v/>
      </c>
      <c r="AH206" s="152" t="str" cm="1">
        <f t="array" ref="AH206">Common_InputFunctions.Utility_DisplayArrayInTable(Fertiliser_SourceData.Fertiliser_Products_Data4(),FertiliserProducts[[#Headers],[Company]], 91)</f>
        <v/>
      </c>
    </row>
    <row r="207" spans="4:34" ht="20.100000000000001" customHeight="1" x14ac:dyDescent="0.2">
      <c r="D207" s="152" t="str" cm="1">
        <f t="array" ref="D207">Common_InputFunctions.Utility_DisplayArrayInTable(Fertiliser_SourceData.Fertiliser_Products_Data4(),FertiliserProducts[[#Headers],[Company]], 91)</f>
        <v>Wengfu Australia</v>
      </c>
      <c r="E207" s="152" t="str" cm="1">
        <f t="array" ref="E207">Common_InputFunctions.Utility_DisplayArrayInTable(Fertiliser_SourceData.Fertiliser_Products_Data4(),FertiliserProducts[[#Headers],[Company]], 91)</f>
        <v>Wengfu 9-20-0-10 PrimeZinc</v>
      </c>
      <c r="F207" s="152" t="str" cm="1">
        <f t="array" ref="F207">Common_InputFunctions.Utility_DisplayArrayInTable(Fertiliser_SourceData.Fertiliser_Products_Data4(),FertiliserProducts[[#Headers],[Company]], 91)</f>
        <v>kg</v>
      </c>
      <c r="G207" s="152" cm="1">
        <f t="array" ref="G207">Common_InputFunctions.Utility_DisplayArrayInTable(Fertiliser_SourceData.Fertiliser_Products_Data4(),FertiliserProducts[[#Headers],[Company]], 91)</f>
        <v>1</v>
      </c>
      <c r="H207" s="152" t="str" cm="1">
        <f t="array" ref="H207">Common_InputFunctions.Utility_DisplayArrayInTable(Fertiliser_SourceData.Fertiliser_Products_Data4(),FertiliserProducts[[#Headers],[Company]], 91)</f>
        <v/>
      </c>
      <c r="I207" s="152" t="str" cm="1">
        <f t="array" ref="I207">Common_InputFunctions.Utility_DisplayArrayInTable(Fertiliser_SourceData.Fertiliser_Products_Data4(),FertiliserProducts[[#Headers],[Company]], 91)</f>
        <v/>
      </c>
      <c r="J207" s="152" t="str" cm="1">
        <f t="array" ref="J207">Common_InputFunctions.Utility_DisplayArrayInTable(Fertiliser_SourceData.Fertiliser_Products_Data4(),FertiliserProducts[[#Headers],[Company]], 91)</f>
        <v/>
      </c>
      <c r="K207" s="152" cm="1">
        <f t="array" ref="K207">Common_InputFunctions.Utility_DisplayArrayInTable(Fertiliser_SourceData.Fertiliser_Products_Data4(),FertiliserProducts[[#Headers],[Company]], 91)</f>
        <v>9</v>
      </c>
      <c r="L207" s="152" cm="1">
        <f t="array" ref="L207">Common_InputFunctions.Utility_DisplayArrayInTable(Fertiliser_SourceData.Fertiliser_Products_Data4(),FertiliserProducts[[#Headers],[Company]], 91)</f>
        <v>19.8</v>
      </c>
      <c r="M207" s="152" cm="1">
        <f t="array" ref="M207">Common_InputFunctions.Utility_DisplayArrayInTable(Fertiliser_SourceData.Fertiliser_Products_Data4(),FertiliserProducts[[#Headers],[Company]], 91)</f>
        <v>0</v>
      </c>
      <c r="N207" s="152" cm="1">
        <f t="array" ref="N207">Common_InputFunctions.Utility_DisplayArrayInTable(Fertiliser_SourceData.Fertiliser_Products_Data4(),FertiliserProducts[[#Headers],[Company]], 91)</f>
        <v>10.4</v>
      </c>
      <c r="O207" s="152" t="str" cm="1">
        <f t="array" ref="O207">Common_InputFunctions.Utility_DisplayArrayInTable(Fertiliser_SourceData.Fertiliser_Products_Data4(),FertiliserProducts[[#Headers],[Company]], 91)</f>
        <v>Nitrogen - Generic</v>
      </c>
      <c r="P207" s="152" cm="1">
        <f t="array" ref="P207">Common_InputFunctions.Utility_DisplayArrayInTable(Fertiliser_SourceData.Fertiliser_Products_Data4(),FertiliserProducts[[#Headers],[Company]], 91)</f>
        <v>0.09</v>
      </c>
      <c r="Q207" s="152" t="str" cm="1">
        <f t="array" ref="Q207">Common_InputFunctions.Utility_DisplayArrayInTable(Fertiliser_SourceData.Fertiliser_Products_Data4(),FertiliserProducts[[#Headers],[Company]], 91)</f>
        <v>Phosphorus - Generic</v>
      </c>
      <c r="R207" s="152" cm="1">
        <f t="array" ref="R207">Common_InputFunctions.Utility_DisplayArrayInTable(Fertiliser_SourceData.Fertiliser_Products_Data4(),FertiliserProducts[[#Headers],[Company]], 91)</f>
        <v>0.19800000000000001</v>
      </c>
      <c r="S207" s="152" t="str" cm="1">
        <f t="array" ref="S207">Common_InputFunctions.Utility_DisplayArrayInTable(Fertiliser_SourceData.Fertiliser_Products_Data4(),FertiliserProducts[[#Headers],[Company]], 91)</f>
        <v>Sulfur - Generic</v>
      </c>
      <c r="T207" s="152" cm="1">
        <f t="array" ref="T207">Common_InputFunctions.Utility_DisplayArrayInTable(Fertiliser_SourceData.Fertiliser_Products_Data4(),FertiliserProducts[[#Headers],[Company]], 91)</f>
        <v>0.104</v>
      </c>
      <c r="U207" s="152" t="str" cm="1">
        <f t="array" ref="U207">Common_InputFunctions.Utility_DisplayArrayInTable(Fertiliser_SourceData.Fertiliser_Products_Data4(),FertiliserProducts[[#Headers],[Company]], 91)</f>
        <v>Zinc</v>
      </c>
      <c r="V207" s="152" cm="1">
        <f t="array" ref="V207">Common_InputFunctions.Utility_DisplayArrayInTable(Fertiliser_SourceData.Fertiliser_Products_Data4(),FertiliserProducts[[#Headers],[Company]], 91)</f>
        <v>8.9999999999999993E-3</v>
      </c>
      <c r="W207" s="152" t="str" cm="1">
        <f t="array" ref="W207">Common_InputFunctions.Utility_DisplayArrayInTable(Fertiliser_SourceData.Fertiliser_Products_Data4(),FertiliserProducts[[#Headers],[Company]], 91)</f>
        <v/>
      </c>
      <c r="X207" s="152" t="str" cm="1">
        <f t="array" ref="X207">Common_InputFunctions.Utility_DisplayArrayInTable(Fertiliser_SourceData.Fertiliser_Products_Data4(),FertiliserProducts[[#Headers],[Company]], 91)</f>
        <v/>
      </c>
      <c r="Y207" s="152" t="str" cm="1">
        <f t="array" ref="Y207">Common_InputFunctions.Utility_DisplayArrayInTable(Fertiliser_SourceData.Fertiliser_Products_Data4(),FertiliserProducts[[#Headers],[Company]], 91)</f>
        <v/>
      </c>
      <c r="Z207" s="152" t="str" cm="1">
        <f t="array" ref="Z207">Common_InputFunctions.Utility_DisplayArrayInTable(Fertiliser_SourceData.Fertiliser_Products_Data4(),FertiliserProducts[[#Headers],[Company]], 91)</f>
        <v/>
      </c>
      <c r="AA207" s="152" t="str" cm="1">
        <f t="array" ref="AA207">Common_InputFunctions.Utility_DisplayArrayInTable(Fertiliser_SourceData.Fertiliser_Products_Data4(),FertiliserProducts[[#Headers],[Company]], 91)</f>
        <v/>
      </c>
      <c r="AB207" s="152" t="str" cm="1">
        <f t="array" ref="AB207">Common_InputFunctions.Utility_DisplayArrayInTable(Fertiliser_SourceData.Fertiliser_Products_Data4(),FertiliserProducts[[#Headers],[Company]], 91)</f>
        <v/>
      </c>
      <c r="AC207" s="152" t="str" cm="1">
        <f t="array" ref="AC207">Common_InputFunctions.Utility_DisplayArrayInTable(Fertiliser_SourceData.Fertiliser_Products_Data4(),FertiliserProducts[[#Headers],[Company]], 91)</f>
        <v/>
      </c>
      <c r="AD207" s="152" t="str" cm="1">
        <f t="array" ref="AD207">Common_InputFunctions.Utility_DisplayArrayInTable(Fertiliser_SourceData.Fertiliser_Products_Data4(),FertiliserProducts[[#Headers],[Company]], 91)</f>
        <v/>
      </c>
      <c r="AE207" s="152" t="str" cm="1">
        <f t="array" ref="AE207">Common_InputFunctions.Utility_DisplayArrayInTable(Fertiliser_SourceData.Fertiliser_Products_Data4(),FertiliserProducts[[#Headers],[Company]], 91)</f>
        <v/>
      </c>
      <c r="AF207" s="152" t="str" cm="1">
        <f t="array" ref="AF207">Common_InputFunctions.Utility_DisplayArrayInTable(Fertiliser_SourceData.Fertiliser_Products_Data4(),FertiliserProducts[[#Headers],[Company]], 91)</f>
        <v/>
      </c>
      <c r="AG207" s="152" t="str" cm="1">
        <f t="array" ref="AG207">Common_InputFunctions.Utility_DisplayArrayInTable(Fertiliser_SourceData.Fertiliser_Products_Data4(),FertiliserProducts[[#Headers],[Company]], 91)</f>
        <v/>
      </c>
      <c r="AH207" s="152" t="str" cm="1">
        <f t="array" ref="AH207">Common_InputFunctions.Utility_DisplayArrayInTable(Fertiliser_SourceData.Fertiliser_Products_Data4(),FertiliserProducts[[#Headers],[Company]], 91)</f>
        <v/>
      </c>
    </row>
    <row r="208" spans="4:34" ht="20.100000000000001" customHeight="1" x14ac:dyDescent="0.2">
      <c r="D208" s="152" t="str" cm="1">
        <f t="array" ref="D208">Common_InputFunctions.Utility_DisplayArrayInTable(Fertiliser_SourceData.Fertiliser_Products_Data4(),FertiliserProducts[[#Headers],[Company]], 91)</f>
        <v>Wengfu Australia</v>
      </c>
      <c r="E208" s="152" t="str" cm="1">
        <f t="array" ref="E208">Common_InputFunctions.Utility_DisplayArrayInTable(Fertiliser_SourceData.Fertiliser_Products_Data4(),FertiliserProducts[[#Headers],[Company]], 91)</f>
        <v>Wengfu 12-18-0-6 PrimeZinc</v>
      </c>
      <c r="F208" s="152" t="str" cm="1">
        <f t="array" ref="F208">Common_InputFunctions.Utility_DisplayArrayInTable(Fertiliser_SourceData.Fertiliser_Products_Data4(),FertiliserProducts[[#Headers],[Company]], 91)</f>
        <v>kg</v>
      </c>
      <c r="G208" s="152" cm="1">
        <f t="array" ref="G208">Common_InputFunctions.Utility_DisplayArrayInTable(Fertiliser_SourceData.Fertiliser_Products_Data4(),FertiliserProducts[[#Headers],[Company]], 91)</f>
        <v>1</v>
      </c>
      <c r="H208" s="152" t="str" cm="1">
        <f t="array" ref="H208">Common_InputFunctions.Utility_DisplayArrayInTable(Fertiliser_SourceData.Fertiliser_Products_Data4(),FertiliserProducts[[#Headers],[Company]], 91)</f>
        <v/>
      </c>
      <c r="I208" s="152" t="str" cm="1">
        <f t="array" ref="I208">Common_InputFunctions.Utility_DisplayArrayInTable(Fertiliser_SourceData.Fertiliser_Products_Data4(),FertiliserProducts[[#Headers],[Company]], 91)</f>
        <v/>
      </c>
      <c r="J208" s="152" t="str" cm="1">
        <f t="array" ref="J208">Common_InputFunctions.Utility_DisplayArrayInTable(Fertiliser_SourceData.Fertiliser_Products_Data4(),FertiliserProducts[[#Headers],[Company]], 91)</f>
        <v/>
      </c>
      <c r="K208" s="152" cm="1">
        <f t="array" ref="K208">Common_InputFunctions.Utility_DisplayArrayInTable(Fertiliser_SourceData.Fertiliser_Products_Data4(),FertiliserProducts[[#Headers],[Company]], 91)</f>
        <v>11.9</v>
      </c>
      <c r="L208" s="152" cm="1">
        <f t="array" ref="L208">Common_InputFunctions.Utility_DisplayArrayInTable(Fertiliser_SourceData.Fertiliser_Products_Data4(),FertiliserProducts[[#Headers],[Company]], 91)</f>
        <v>17.600000000000001</v>
      </c>
      <c r="M208" s="152" cm="1">
        <f t="array" ref="M208">Common_InputFunctions.Utility_DisplayArrayInTable(Fertiliser_SourceData.Fertiliser_Products_Data4(),FertiliserProducts[[#Headers],[Company]], 91)</f>
        <v>0</v>
      </c>
      <c r="N208" s="152" cm="1">
        <f t="array" ref="N208">Common_InputFunctions.Utility_DisplayArrayInTable(Fertiliser_SourceData.Fertiliser_Products_Data4(),FertiliserProducts[[#Headers],[Company]], 91)</f>
        <v>5.9</v>
      </c>
      <c r="O208" s="152" t="str" cm="1">
        <f t="array" ref="O208">Common_InputFunctions.Utility_DisplayArrayInTable(Fertiliser_SourceData.Fertiliser_Products_Data4(),FertiliserProducts[[#Headers],[Company]], 91)</f>
        <v>Nitrogen - Generic</v>
      </c>
      <c r="P208" s="152" cm="1">
        <f t="array" ref="P208">Common_InputFunctions.Utility_DisplayArrayInTable(Fertiliser_SourceData.Fertiliser_Products_Data4(),FertiliserProducts[[#Headers],[Company]], 91)</f>
        <v>0.11899999999999999</v>
      </c>
      <c r="Q208" s="152" t="str" cm="1">
        <f t="array" ref="Q208">Common_InputFunctions.Utility_DisplayArrayInTable(Fertiliser_SourceData.Fertiliser_Products_Data4(),FertiliserProducts[[#Headers],[Company]], 91)</f>
        <v>Phosphorus - Generic</v>
      </c>
      <c r="R208" s="152" cm="1">
        <f t="array" ref="R208">Common_InputFunctions.Utility_DisplayArrayInTable(Fertiliser_SourceData.Fertiliser_Products_Data4(),FertiliserProducts[[#Headers],[Company]], 91)</f>
        <v>0.17599999999999999</v>
      </c>
      <c r="S208" s="152" t="str" cm="1">
        <f t="array" ref="S208">Common_InputFunctions.Utility_DisplayArrayInTable(Fertiliser_SourceData.Fertiliser_Products_Data4(),FertiliserProducts[[#Headers],[Company]], 91)</f>
        <v>Sulfur - Generic</v>
      </c>
      <c r="T208" s="152" cm="1">
        <f t="array" ref="T208">Common_InputFunctions.Utility_DisplayArrayInTable(Fertiliser_SourceData.Fertiliser_Products_Data4(),FertiliserProducts[[#Headers],[Company]], 91)</f>
        <v>5.8999999999999997E-2</v>
      </c>
      <c r="U208" s="152" t="str" cm="1">
        <f t="array" ref="U208">Common_InputFunctions.Utility_DisplayArrayInTable(Fertiliser_SourceData.Fertiliser_Products_Data4(),FertiliserProducts[[#Headers],[Company]], 91)</f>
        <v>Zinc</v>
      </c>
      <c r="V208" s="152" cm="1">
        <f t="array" ref="V208">Common_InputFunctions.Utility_DisplayArrayInTable(Fertiliser_SourceData.Fertiliser_Products_Data4(),FertiliserProducts[[#Headers],[Company]], 91)</f>
        <v>8.0000000000000002E-3</v>
      </c>
      <c r="W208" s="152" t="str" cm="1">
        <f t="array" ref="W208">Common_InputFunctions.Utility_DisplayArrayInTable(Fertiliser_SourceData.Fertiliser_Products_Data4(),FertiliserProducts[[#Headers],[Company]], 91)</f>
        <v/>
      </c>
      <c r="X208" s="152" t="str" cm="1">
        <f t="array" ref="X208">Common_InputFunctions.Utility_DisplayArrayInTable(Fertiliser_SourceData.Fertiliser_Products_Data4(),FertiliserProducts[[#Headers],[Company]], 91)</f>
        <v/>
      </c>
      <c r="Y208" s="152" t="str" cm="1">
        <f t="array" ref="Y208">Common_InputFunctions.Utility_DisplayArrayInTable(Fertiliser_SourceData.Fertiliser_Products_Data4(),FertiliserProducts[[#Headers],[Company]], 91)</f>
        <v/>
      </c>
      <c r="Z208" s="152" t="str" cm="1">
        <f t="array" ref="Z208">Common_InputFunctions.Utility_DisplayArrayInTable(Fertiliser_SourceData.Fertiliser_Products_Data4(),FertiliserProducts[[#Headers],[Company]], 91)</f>
        <v/>
      </c>
      <c r="AA208" s="152" t="str" cm="1">
        <f t="array" ref="AA208">Common_InputFunctions.Utility_DisplayArrayInTable(Fertiliser_SourceData.Fertiliser_Products_Data4(),FertiliserProducts[[#Headers],[Company]], 91)</f>
        <v/>
      </c>
      <c r="AB208" s="152" t="str" cm="1">
        <f t="array" ref="AB208">Common_InputFunctions.Utility_DisplayArrayInTable(Fertiliser_SourceData.Fertiliser_Products_Data4(),FertiliserProducts[[#Headers],[Company]], 91)</f>
        <v/>
      </c>
      <c r="AC208" s="152" t="str" cm="1">
        <f t="array" ref="AC208">Common_InputFunctions.Utility_DisplayArrayInTable(Fertiliser_SourceData.Fertiliser_Products_Data4(),FertiliserProducts[[#Headers],[Company]], 91)</f>
        <v/>
      </c>
      <c r="AD208" s="152" t="str" cm="1">
        <f t="array" ref="AD208">Common_InputFunctions.Utility_DisplayArrayInTable(Fertiliser_SourceData.Fertiliser_Products_Data4(),FertiliserProducts[[#Headers],[Company]], 91)</f>
        <v/>
      </c>
      <c r="AE208" s="152" t="str" cm="1">
        <f t="array" ref="AE208">Common_InputFunctions.Utility_DisplayArrayInTable(Fertiliser_SourceData.Fertiliser_Products_Data4(),FertiliserProducts[[#Headers],[Company]], 91)</f>
        <v/>
      </c>
      <c r="AF208" s="152" t="str" cm="1">
        <f t="array" ref="AF208">Common_InputFunctions.Utility_DisplayArrayInTable(Fertiliser_SourceData.Fertiliser_Products_Data4(),FertiliserProducts[[#Headers],[Company]], 91)</f>
        <v/>
      </c>
      <c r="AG208" s="152" t="str" cm="1">
        <f t="array" ref="AG208">Common_InputFunctions.Utility_DisplayArrayInTable(Fertiliser_SourceData.Fertiliser_Products_Data4(),FertiliserProducts[[#Headers],[Company]], 91)</f>
        <v/>
      </c>
      <c r="AH208" s="152" t="str" cm="1">
        <f t="array" ref="AH208">Common_InputFunctions.Utility_DisplayArrayInTable(Fertiliser_SourceData.Fertiliser_Products_Data4(),FertiliserProducts[[#Headers],[Company]], 91)</f>
        <v/>
      </c>
    </row>
    <row r="209" spans="1:34" ht="20.100000000000001" customHeight="1" x14ac:dyDescent="0.2">
      <c r="D209" s="152" t="str" cm="1">
        <f t="array" ref="D209">Common_InputFunctions.Utility_DisplayArrayInTable(Fertiliser_SourceData.Fertiliser_Products_Data4(),FertiliserProducts[[#Headers],[Company]], 91)</f>
        <v>Wengfu Australia</v>
      </c>
      <c r="E209" s="152" t="str" cm="1">
        <f t="array" ref="E209">Common_InputFunctions.Utility_DisplayArrayInTable(Fertiliser_SourceData.Fertiliser_Products_Data4(),FertiliserProducts[[#Headers],[Company]], 91)</f>
        <v>Wengfu 14-13-0-11 PrimeZinc</v>
      </c>
      <c r="F209" s="152" t="str" cm="1">
        <f t="array" ref="F209">Common_InputFunctions.Utility_DisplayArrayInTable(Fertiliser_SourceData.Fertiliser_Products_Data4(),FertiliserProducts[[#Headers],[Company]], 91)</f>
        <v>kg</v>
      </c>
      <c r="G209" s="152" cm="1">
        <f t="array" ref="G209">Common_InputFunctions.Utility_DisplayArrayInTable(Fertiliser_SourceData.Fertiliser_Products_Data4(),FertiliserProducts[[#Headers],[Company]], 91)</f>
        <v>1</v>
      </c>
      <c r="H209" s="152" t="str" cm="1">
        <f t="array" ref="H209">Common_InputFunctions.Utility_DisplayArrayInTable(Fertiliser_SourceData.Fertiliser_Products_Data4(),FertiliserProducts[[#Headers],[Company]], 91)</f>
        <v/>
      </c>
      <c r="I209" s="152" t="str" cm="1">
        <f t="array" ref="I209">Common_InputFunctions.Utility_DisplayArrayInTable(Fertiliser_SourceData.Fertiliser_Products_Data4(),FertiliserProducts[[#Headers],[Company]], 91)</f>
        <v/>
      </c>
      <c r="J209" s="152" t="str" cm="1">
        <f t="array" ref="J209">Common_InputFunctions.Utility_DisplayArrayInTable(Fertiliser_SourceData.Fertiliser_Products_Data4(),FertiliserProducts[[#Headers],[Company]], 91)</f>
        <v/>
      </c>
      <c r="K209" s="152" cm="1">
        <f t="array" ref="K209">Common_InputFunctions.Utility_DisplayArrayInTable(Fertiliser_SourceData.Fertiliser_Products_Data4(),FertiliserProducts[[#Headers],[Company]], 91)</f>
        <v>14.1</v>
      </c>
      <c r="L209" s="152" cm="1">
        <f t="array" ref="L209">Common_InputFunctions.Utility_DisplayArrayInTable(Fertiliser_SourceData.Fertiliser_Products_Data4(),FertiliserProducts[[#Headers],[Company]], 91)</f>
        <v>12.8</v>
      </c>
      <c r="M209" s="152" cm="1">
        <f t="array" ref="M209">Common_InputFunctions.Utility_DisplayArrayInTable(Fertiliser_SourceData.Fertiliser_Products_Data4(),FertiliserProducts[[#Headers],[Company]], 91)</f>
        <v>0</v>
      </c>
      <c r="N209" s="152" cm="1">
        <f t="array" ref="N209">Common_InputFunctions.Utility_DisplayArrayInTable(Fertiliser_SourceData.Fertiliser_Products_Data4(),FertiliserProducts[[#Headers],[Company]], 91)</f>
        <v>10.7</v>
      </c>
      <c r="O209" s="152" t="str" cm="1">
        <f t="array" ref="O209">Common_InputFunctions.Utility_DisplayArrayInTable(Fertiliser_SourceData.Fertiliser_Products_Data4(),FertiliserProducts[[#Headers],[Company]], 91)</f>
        <v>Nitrogen - Generic</v>
      </c>
      <c r="P209" s="152" cm="1">
        <f t="array" ref="P209">Common_InputFunctions.Utility_DisplayArrayInTable(Fertiliser_SourceData.Fertiliser_Products_Data4(),FertiliserProducts[[#Headers],[Company]], 91)</f>
        <v>0.14099999999999999</v>
      </c>
      <c r="Q209" s="152" t="str" cm="1">
        <f t="array" ref="Q209">Common_InputFunctions.Utility_DisplayArrayInTable(Fertiliser_SourceData.Fertiliser_Products_Data4(),FertiliserProducts[[#Headers],[Company]], 91)</f>
        <v>Phosphorus - Generic</v>
      </c>
      <c r="R209" s="152" cm="1">
        <f t="array" ref="R209">Common_InputFunctions.Utility_DisplayArrayInTable(Fertiliser_SourceData.Fertiliser_Products_Data4(),FertiliserProducts[[#Headers],[Company]], 91)</f>
        <v>0.128</v>
      </c>
      <c r="S209" s="152" t="str" cm="1">
        <f t="array" ref="S209">Common_InputFunctions.Utility_DisplayArrayInTable(Fertiliser_SourceData.Fertiliser_Products_Data4(),FertiliserProducts[[#Headers],[Company]], 91)</f>
        <v>Sulfur - Generic</v>
      </c>
      <c r="T209" s="152" cm="1">
        <f t="array" ref="T209">Common_InputFunctions.Utility_DisplayArrayInTable(Fertiliser_SourceData.Fertiliser_Products_Data4(),FertiliserProducts[[#Headers],[Company]], 91)</f>
        <v>0.107</v>
      </c>
      <c r="U209" s="152" t="str" cm="1">
        <f t="array" ref="U209">Common_InputFunctions.Utility_DisplayArrayInTable(Fertiliser_SourceData.Fertiliser_Products_Data4(),FertiliserProducts[[#Headers],[Company]], 91)</f>
        <v>Zinc</v>
      </c>
      <c r="V209" s="152" cm="1">
        <f t="array" ref="V209">Common_InputFunctions.Utility_DisplayArrayInTable(Fertiliser_SourceData.Fertiliser_Products_Data4(),FertiliserProducts[[#Headers],[Company]], 91)</f>
        <v>6.0000000000000001E-3</v>
      </c>
      <c r="W209" s="152" t="str" cm="1">
        <f t="array" ref="W209">Common_InputFunctions.Utility_DisplayArrayInTable(Fertiliser_SourceData.Fertiliser_Products_Data4(),FertiliserProducts[[#Headers],[Company]], 91)</f>
        <v/>
      </c>
      <c r="X209" s="152" t="str" cm="1">
        <f t="array" ref="X209">Common_InputFunctions.Utility_DisplayArrayInTable(Fertiliser_SourceData.Fertiliser_Products_Data4(),FertiliserProducts[[#Headers],[Company]], 91)</f>
        <v/>
      </c>
      <c r="Y209" s="152" t="str" cm="1">
        <f t="array" ref="Y209">Common_InputFunctions.Utility_DisplayArrayInTable(Fertiliser_SourceData.Fertiliser_Products_Data4(),FertiliserProducts[[#Headers],[Company]], 91)</f>
        <v/>
      </c>
      <c r="Z209" s="152" t="str" cm="1">
        <f t="array" ref="Z209">Common_InputFunctions.Utility_DisplayArrayInTable(Fertiliser_SourceData.Fertiliser_Products_Data4(),FertiliserProducts[[#Headers],[Company]], 91)</f>
        <v/>
      </c>
      <c r="AA209" s="152" t="str" cm="1">
        <f t="array" ref="AA209">Common_InputFunctions.Utility_DisplayArrayInTable(Fertiliser_SourceData.Fertiliser_Products_Data4(),FertiliserProducts[[#Headers],[Company]], 91)</f>
        <v/>
      </c>
      <c r="AB209" s="152" t="str" cm="1">
        <f t="array" ref="AB209">Common_InputFunctions.Utility_DisplayArrayInTable(Fertiliser_SourceData.Fertiliser_Products_Data4(),FertiliserProducts[[#Headers],[Company]], 91)</f>
        <v/>
      </c>
      <c r="AC209" s="152" t="str" cm="1">
        <f t="array" ref="AC209">Common_InputFunctions.Utility_DisplayArrayInTable(Fertiliser_SourceData.Fertiliser_Products_Data4(),FertiliserProducts[[#Headers],[Company]], 91)</f>
        <v/>
      </c>
      <c r="AD209" s="152" t="str" cm="1">
        <f t="array" ref="AD209">Common_InputFunctions.Utility_DisplayArrayInTable(Fertiliser_SourceData.Fertiliser_Products_Data4(),FertiliserProducts[[#Headers],[Company]], 91)</f>
        <v/>
      </c>
      <c r="AE209" s="152" t="str" cm="1">
        <f t="array" ref="AE209">Common_InputFunctions.Utility_DisplayArrayInTable(Fertiliser_SourceData.Fertiliser_Products_Data4(),FertiliserProducts[[#Headers],[Company]], 91)</f>
        <v/>
      </c>
      <c r="AF209" s="152" t="str" cm="1">
        <f t="array" ref="AF209">Common_InputFunctions.Utility_DisplayArrayInTable(Fertiliser_SourceData.Fertiliser_Products_Data4(),FertiliserProducts[[#Headers],[Company]], 91)</f>
        <v/>
      </c>
      <c r="AG209" s="152" t="str" cm="1">
        <f t="array" ref="AG209">Common_InputFunctions.Utility_DisplayArrayInTable(Fertiliser_SourceData.Fertiliser_Products_Data4(),FertiliserProducts[[#Headers],[Company]], 91)</f>
        <v/>
      </c>
      <c r="AH209" s="152" t="str" cm="1">
        <f t="array" ref="AH209">Common_InputFunctions.Utility_DisplayArrayInTable(Fertiliser_SourceData.Fertiliser_Products_Data4(),FertiliserProducts[[#Headers],[Company]], 91)</f>
        <v/>
      </c>
    </row>
    <row r="210" spans="1:34" ht="20.100000000000001" customHeight="1" x14ac:dyDescent="0.2">
      <c r="D210" s="152" t="str" cm="1">
        <f t="array" ref="D210">Common_InputFunctions.Utility_DisplayArrayInTable(Fertiliser_SourceData.Fertiliser_Products_Data5(),FertiliserProducts[[#Headers],[Company]], 121)</f>
        <v>Wengfu Australia</v>
      </c>
      <c r="E210" s="152" t="str" cm="1">
        <f t="array" ref="E210">Common_InputFunctions.Utility_DisplayArrayInTable(Fertiliser_SourceData.Fertiliser_Products_Data5(),FertiliserProducts[[#Headers],[Company]], 121)</f>
        <v>Wengfu 19-13-0-7 PrimeZinc</v>
      </c>
      <c r="F210" s="152" t="str" cm="1">
        <f t="array" ref="F210">Common_InputFunctions.Utility_DisplayArrayInTable(Fertiliser_SourceData.Fertiliser_Products_Data5(),FertiliserProducts[[#Headers],[Company]], 121)</f>
        <v>kg</v>
      </c>
      <c r="G210" s="152" cm="1">
        <f t="array" ref="G210">Common_InputFunctions.Utility_DisplayArrayInTable(Fertiliser_SourceData.Fertiliser_Products_Data5(),FertiliserProducts[[#Headers],[Company]], 121)</f>
        <v>1</v>
      </c>
      <c r="H210" s="152" t="str" cm="1">
        <f t="array" ref="H210">Common_InputFunctions.Utility_DisplayArrayInTable(Fertiliser_SourceData.Fertiliser_Products_Data5(),FertiliserProducts[[#Headers],[Company]], 121)</f>
        <v/>
      </c>
      <c r="I210" s="152" t="str" cm="1">
        <f t="array" ref="I210">Common_InputFunctions.Utility_DisplayArrayInTable(Fertiliser_SourceData.Fertiliser_Products_Data5(),FertiliserProducts[[#Headers],[Company]], 121)</f>
        <v/>
      </c>
      <c r="J210" s="152" t="str" cm="1">
        <f t="array" ref="J210">Common_InputFunctions.Utility_DisplayArrayInTable(Fertiliser_SourceData.Fertiliser_Products_Data5(),FertiliserProducts[[#Headers],[Company]], 121)</f>
        <v/>
      </c>
      <c r="K210" s="152" cm="1">
        <f t="array" ref="K210">Common_InputFunctions.Utility_DisplayArrayInTable(Fertiliser_SourceData.Fertiliser_Products_Data5(),FertiliserProducts[[#Headers],[Company]], 121)</f>
        <v>18.600000000000001</v>
      </c>
      <c r="L210" s="152" cm="1">
        <f t="array" ref="L210">Common_InputFunctions.Utility_DisplayArrayInTable(Fertiliser_SourceData.Fertiliser_Products_Data5(),FertiliserProducts[[#Headers],[Company]], 121)</f>
        <v>12.7</v>
      </c>
      <c r="M210" s="152" cm="1">
        <f t="array" ref="M210">Common_InputFunctions.Utility_DisplayArrayInTable(Fertiliser_SourceData.Fertiliser_Products_Data5(),FertiliserProducts[[#Headers],[Company]], 121)</f>
        <v>0</v>
      </c>
      <c r="N210" s="152" cm="1">
        <f t="array" ref="N210">Common_InputFunctions.Utility_DisplayArrayInTable(Fertiliser_SourceData.Fertiliser_Products_Data5(),FertiliserProducts[[#Headers],[Company]], 121)</f>
        <v>6.8</v>
      </c>
      <c r="O210" s="152" t="str" cm="1">
        <f t="array" ref="O210">Common_InputFunctions.Utility_DisplayArrayInTable(Fertiliser_SourceData.Fertiliser_Products_Data5(),FertiliserProducts[[#Headers],[Company]], 121)</f>
        <v>Nitrogen - Generic</v>
      </c>
      <c r="P210" s="152" cm="1">
        <f t="array" ref="P210">Common_InputFunctions.Utility_DisplayArrayInTable(Fertiliser_SourceData.Fertiliser_Products_Data5(),FertiliserProducts[[#Headers],[Company]], 121)</f>
        <v>0.186</v>
      </c>
      <c r="Q210" s="152" t="str" cm="1">
        <f t="array" ref="Q210">Common_InputFunctions.Utility_DisplayArrayInTable(Fertiliser_SourceData.Fertiliser_Products_Data5(),FertiliserProducts[[#Headers],[Company]], 121)</f>
        <v>Phosphorus - Generic</v>
      </c>
      <c r="R210" s="152" cm="1">
        <f t="array" ref="R210">Common_InputFunctions.Utility_DisplayArrayInTable(Fertiliser_SourceData.Fertiliser_Products_Data5(),FertiliserProducts[[#Headers],[Company]], 121)</f>
        <v>0.127</v>
      </c>
      <c r="S210" s="152" t="str" cm="1">
        <f t="array" ref="S210">Common_InputFunctions.Utility_DisplayArrayInTable(Fertiliser_SourceData.Fertiliser_Products_Data5(),FertiliserProducts[[#Headers],[Company]], 121)</f>
        <v>Sulfur - Generic</v>
      </c>
      <c r="T210" s="152" cm="1">
        <f t="array" ref="T210">Common_InputFunctions.Utility_DisplayArrayInTable(Fertiliser_SourceData.Fertiliser_Products_Data5(),FertiliserProducts[[#Headers],[Company]], 121)</f>
        <v>6.8000000000000005E-2</v>
      </c>
      <c r="U210" s="152" t="str" cm="1">
        <f t="array" ref="U210">Common_InputFunctions.Utility_DisplayArrayInTable(Fertiliser_SourceData.Fertiliser_Products_Data5(),FertiliserProducts[[#Headers],[Company]], 121)</f>
        <v>Zinc</v>
      </c>
      <c r="V210" s="152" cm="1">
        <f t="array" ref="V210">Common_InputFunctions.Utility_DisplayArrayInTable(Fertiliser_SourceData.Fertiliser_Products_Data5(),FertiliserProducts[[#Headers],[Company]], 121)</f>
        <v>6.0000000000000001E-3</v>
      </c>
      <c r="W210" s="152" t="str" cm="1">
        <f t="array" ref="W210">Common_InputFunctions.Utility_DisplayArrayInTable(Fertiliser_SourceData.Fertiliser_Products_Data5(),FertiliserProducts[[#Headers],[Company]], 121)</f>
        <v/>
      </c>
      <c r="X210" s="152" t="str" cm="1">
        <f t="array" ref="X210">Common_InputFunctions.Utility_DisplayArrayInTable(Fertiliser_SourceData.Fertiliser_Products_Data5(),FertiliserProducts[[#Headers],[Company]], 121)</f>
        <v/>
      </c>
      <c r="Y210" s="152" t="str" cm="1">
        <f t="array" ref="Y210">Common_InputFunctions.Utility_DisplayArrayInTable(Fertiliser_SourceData.Fertiliser_Products_Data5(),FertiliserProducts[[#Headers],[Company]], 121)</f>
        <v/>
      </c>
      <c r="Z210" s="152" t="str" cm="1">
        <f t="array" ref="Z210">Common_InputFunctions.Utility_DisplayArrayInTable(Fertiliser_SourceData.Fertiliser_Products_Data5(),FertiliserProducts[[#Headers],[Company]], 121)</f>
        <v/>
      </c>
      <c r="AA210" s="152" t="str" cm="1">
        <f t="array" ref="AA210">Common_InputFunctions.Utility_DisplayArrayInTable(Fertiliser_SourceData.Fertiliser_Products_Data5(),FertiliserProducts[[#Headers],[Company]], 121)</f>
        <v/>
      </c>
      <c r="AB210" s="152" t="str" cm="1">
        <f t="array" ref="AB210">Common_InputFunctions.Utility_DisplayArrayInTable(Fertiliser_SourceData.Fertiliser_Products_Data5(),FertiliserProducts[[#Headers],[Company]], 121)</f>
        <v/>
      </c>
      <c r="AC210" s="152" t="str" cm="1">
        <f t="array" ref="AC210">Common_InputFunctions.Utility_DisplayArrayInTable(Fertiliser_SourceData.Fertiliser_Products_Data5(),FertiliserProducts[[#Headers],[Company]], 121)</f>
        <v/>
      </c>
      <c r="AD210" s="152" t="str" cm="1">
        <f t="array" ref="AD210">Common_InputFunctions.Utility_DisplayArrayInTable(Fertiliser_SourceData.Fertiliser_Products_Data5(),FertiliserProducts[[#Headers],[Company]], 121)</f>
        <v/>
      </c>
      <c r="AE210" s="152" t="str" cm="1">
        <f t="array" ref="AE210">Common_InputFunctions.Utility_DisplayArrayInTable(Fertiliser_SourceData.Fertiliser_Products_Data5(),FertiliserProducts[[#Headers],[Company]], 121)</f>
        <v/>
      </c>
      <c r="AF210" s="152" t="str" cm="1">
        <f t="array" ref="AF210">Common_InputFunctions.Utility_DisplayArrayInTable(Fertiliser_SourceData.Fertiliser_Products_Data5(),FertiliserProducts[[#Headers],[Company]], 121)</f>
        <v/>
      </c>
      <c r="AG210" s="152" t="str" cm="1">
        <f t="array" ref="AG210">Common_InputFunctions.Utility_DisplayArrayInTable(Fertiliser_SourceData.Fertiliser_Products_Data5(),FertiliserProducts[[#Headers],[Company]], 121)</f>
        <v/>
      </c>
      <c r="AH210" s="152" t="str" cm="1">
        <f t="array" ref="AH210">Common_InputFunctions.Utility_DisplayArrayInTable(Fertiliser_SourceData.Fertiliser_Products_Data5(),FertiliserProducts[[#Headers],[Company]], 121)</f>
        <v/>
      </c>
    </row>
    <row r="211" spans="1:34" ht="20.100000000000001" customHeight="1" x14ac:dyDescent="0.2">
      <c r="D211" s="152" t="str" cm="1">
        <f t="array" ref="D211">Common_InputFunctions.Utility_DisplayArrayInTable(Fertiliser_SourceData.Fertiliser_Products_Data5(),FertiliserProducts[[#Headers],[Company]], 121)</f>
        <v>Wengfu Australia</v>
      </c>
      <c r="E211" s="152" t="str" cm="1">
        <f t="array" ref="E211">Common_InputFunctions.Utility_DisplayArrayInTable(Fertiliser_SourceData.Fertiliser_Products_Data5(),FertiliserProducts[[#Headers],[Company]], 121)</f>
        <v>Wengfu Booster K</v>
      </c>
      <c r="F211" s="152" t="str" cm="1">
        <f t="array" ref="F211">Common_InputFunctions.Utility_DisplayArrayInTable(Fertiliser_SourceData.Fertiliser_Products_Data5(),FertiliserProducts[[#Headers],[Company]], 121)</f>
        <v>kg</v>
      </c>
      <c r="G211" s="152" cm="1">
        <f t="array" ref="G211">Common_InputFunctions.Utility_DisplayArrayInTable(Fertiliser_SourceData.Fertiliser_Products_Data5(),FertiliserProducts[[#Headers],[Company]], 121)</f>
        <v>1</v>
      </c>
      <c r="H211" s="152" t="str" cm="1">
        <f t="array" ref="H211">Common_InputFunctions.Utility_DisplayArrayInTable(Fertiliser_SourceData.Fertiliser_Products_Data5(),FertiliserProducts[[#Headers],[Company]], 121)</f>
        <v/>
      </c>
      <c r="I211" s="152" t="str" cm="1">
        <f t="array" ref="I211">Common_InputFunctions.Utility_DisplayArrayInTable(Fertiliser_SourceData.Fertiliser_Products_Data5(),FertiliserProducts[[#Headers],[Company]], 121)</f>
        <v/>
      </c>
      <c r="J211" s="152" t="str" cm="1">
        <f t="array" ref="J211">Common_InputFunctions.Utility_DisplayArrayInTable(Fertiliser_SourceData.Fertiliser_Products_Data5(),FertiliserProducts[[#Headers],[Company]], 121)</f>
        <v/>
      </c>
      <c r="K211" s="152" cm="1">
        <f t="array" ref="K211">Common_InputFunctions.Utility_DisplayArrayInTable(Fertiliser_SourceData.Fertiliser_Products_Data5(),FertiliserProducts[[#Headers],[Company]], 121)</f>
        <v>32</v>
      </c>
      <c r="L211" s="152" cm="1">
        <f t="array" ref="L211">Common_InputFunctions.Utility_DisplayArrayInTable(Fertiliser_SourceData.Fertiliser_Products_Data5(),FertiliserProducts[[#Headers],[Company]], 121)</f>
        <v>0</v>
      </c>
      <c r="M211" s="152" cm="1">
        <f t="array" ref="M211">Common_InputFunctions.Utility_DisplayArrayInTable(Fertiliser_SourceData.Fertiliser_Products_Data5(),FertiliserProducts[[#Headers],[Company]], 121)</f>
        <v>11</v>
      </c>
      <c r="N211" s="152" cm="1">
        <f t="array" ref="N211">Common_InputFunctions.Utility_DisplayArrayInTable(Fertiliser_SourceData.Fertiliser_Products_Data5(),FertiliserProducts[[#Headers],[Company]], 121)</f>
        <v>3</v>
      </c>
      <c r="O211" s="152" t="str" cm="1">
        <f t="array" ref="O211">Common_InputFunctions.Utility_DisplayArrayInTable(Fertiliser_SourceData.Fertiliser_Products_Data5(),FertiliserProducts[[#Headers],[Company]], 121)</f>
        <v>Nitrogen - Generic</v>
      </c>
      <c r="P211" s="152" cm="1">
        <f t="array" ref="P211">Common_InputFunctions.Utility_DisplayArrayInTable(Fertiliser_SourceData.Fertiliser_Products_Data5(),FertiliserProducts[[#Headers],[Company]], 121)</f>
        <v>0.32</v>
      </c>
      <c r="Q211" s="152" t="str" cm="1">
        <f t="array" ref="Q211">Common_InputFunctions.Utility_DisplayArrayInTable(Fertiliser_SourceData.Fertiliser_Products_Data5(),FertiliserProducts[[#Headers],[Company]], 121)</f>
        <v>Potassium - Generic</v>
      </c>
      <c r="R211" s="152" cm="1">
        <f t="array" ref="R211">Common_InputFunctions.Utility_DisplayArrayInTable(Fertiliser_SourceData.Fertiliser_Products_Data5(),FertiliserProducts[[#Headers],[Company]], 121)</f>
        <v>0.11</v>
      </c>
      <c r="S211" s="152" t="str" cm="1">
        <f t="array" ref="S211">Common_InputFunctions.Utility_DisplayArrayInTable(Fertiliser_SourceData.Fertiliser_Products_Data5(),FertiliserProducts[[#Headers],[Company]], 121)</f>
        <v>Sulfur - Generic</v>
      </c>
      <c r="T211" s="152" cm="1">
        <f t="array" ref="T211">Common_InputFunctions.Utility_DisplayArrayInTable(Fertiliser_SourceData.Fertiliser_Products_Data5(),FertiliserProducts[[#Headers],[Company]], 121)</f>
        <v>0.03</v>
      </c>
      <c r="U211" s="152" t="str" cm="1">
        <f t="array" ref="U211">Common_InputFunctions.Utility_DisplayArrayInTable(Fertiliser_SourceData.Fertiliser_Products_Data5(),FertiliserProducts[[#Headers],[Company]], 121)</f>
        <v/>
      </c>
      <c r="V211" s="152" t="str" cm="1">
        <f t="array" ref="V211">Common_InputFunctions.Utility_DisplayArrayInTable(Fertiliser_SourceData.Fertiliser_Products_Data5(),FertiliserProducts[[#Headers],[Company]], 121)</f>
        <v/>
      </c>
      <c r="W211" s="152" t="str" cm="1">
        <f t="array" ref="W211">Common_InputFunctions.Utility_DisplayArrayInTable(Fertiliser_SourceData.Fertiliser_Products_Data5(),FertiliserProducts[[#Headers],[Company]], 121)</f>
        <v/>
      </c>
      <c r="X211" s="152" t="str" cm="1">
        <f t="array" ref="X211">Common_InputFunctions.Utility_DisplayArrayInTable(Fertiliser_SourceData.Fertiliser_Products_Data5(),FertiliserProducts[[#Headers],[Company]], 121)</f>
        <v/>
      </c>
      <c r="Y211" s="152" t="str" cm="1">
        <f t="array" ref="Y211">Common_InputFunctions.Utility_DisplayArrayInTable(Fertiliser_SourceData.Fertiliser_Products_Data5(),FertiliserProducts[[#Headers],[Company]], 121)</f>
        <v/>
      </c>
      <c r="Z211" s="152" t="str" cm="1">
        <f t="array" ref="Z211">Common_InputFunctions.Utility_DisplayArrayInTable(Fertiliser_SourceData.Fertiliser_Products_Data5(),FertiliserProducts[[#Headers],[Company]], 121)</f>
        <v/>
      </c>
      <c r="AA211" s="152" t="str" cm="1">
        <f t="array" ref="AA211">Common_InputFunctions.Utility_DisplayArrayInTable(Fertiliser_SourceData.Fertiliser_Products_Data5(),FertiliserProducts[[#Headers],[Company]], 121)</f>
        <v/>
      </c>
      <c r="AB211" s="152" t="str" cm="1">
        <f t="array" ref="AB211">Common_InputFunctions.Utility_DisplayArrayInTable(Fertiliser_SourceData.Fertiliser_Products_Data5(),FertiliserProducts[[#Headers],[Company]], 121)</f>
        <v/>
      </c>
      <c r="AC211" s="152" t="str" cm="1">
        <f t="array" ref="AC211">Common_InputFunctions.Utility_DisplayArrayInTable(Fertiliser_SourceData.Fertiliser_Products_Data5(),FertiliserProducts[[#Headers],[Company]], 121)</f>
        <v/>
      </c>
      <c r="AD211" s="152" t="str" cm="1">
        <f t="array" ref="AD211">Common_InputFunctions.Utility_DisplayArrayInTable(Fertiliser_SourceData.Fertiliser_Products_Data5(),FertiliserProducts[[#Headers],[Company]], 121)</f>
        <v/>
      </c>
      <c r="AE211" s="152" t="str" cm="1">
        <f t="array" ref="AE211">Common_InputFunctions.Utility_DisplayArrayInTable(Fertiliser_SourceData.Fertiliser_Products_Data5(),FertiliserProducts[[#Headers],[Company]], 121)</f>
        <v/>
      </c>
      <c r="AF211" s="152" t="str" cm="1">
        <f t="array" ref="AF211">Common_InputFunctions.Utility_DisplayArrayInTable(Fertiliser_SourceData.Fertiliser_Products_Data5(),FertiliserProducts[[#Headers],[Company]], 121)</f>
        <v/>
      </c>
      <c r="AG211" s="152" t="str" cm="1">
        <f t="array" ref="AG211">Common_InputFunctions.Utility_DisplayArrayInTable(Fertiliser_SourceData.Fertiliser_Products_Data5(),FertiliserProducts[[#Headers],[Company]], 121)</f>
        <v/>
      </c>
      <c r="AH211" s="152" t="str" cm="1">
        <f t="array" ref="AH211">Common_InputFunctions.Utility_DisplayArrayInTable(Fertiliser_SourceData.Fertiliser_Products_Data5(),FertiliserProducts[[#Headers],[Company]], 121)</f>
        <v/>
      </c>
    </row>
    <row r="212" spans="1:34" ht="20.100000000000001" customHeight="1" x14ac:dyDescent="0.2">
      <c r="D212" s="152" t="str" cm="1">
        <f t="array" ref="D212">Common_InputFunctions.Utility_DisplayArrayInTable(Fertiliser_SourceData.Fertiliser_Products_Data5(),FertiliserProducts[[#Headers],[Company]], 121)</f>
        <v>Wengfu Australia</v>
      </c>
      <c r="E212" s="152" t="str" cm="1">
        <f t="array" ref="E212">Common_InputFunctions.Utility_DisplayArrayInTable(Fertiliser_SourceData.Fertiliser_Products_Data5(),FertiliserProducts[[#Headers],[Company]], 121)</f>
        <v>Wengfu Booster Rich 1</v>
      </c>
      <c r="F212" s="152" t="str" cm="1">
        <f t="array" ref="F212">Common_InputFunctions.Utility_DisplayArrayInTable(Fertiliser_SourceData.Fertiliser_Products_Data5(),FertiliserProducts[[#Headers],[Company]], 121)</f>
        <v>kg</v>
      </c>
      <c r="G212" s="152" cm="1">
        <f t="array" ref="G212">Common_InputFunctions.Utility_DisplayArrayInTable(Fertiliser_SourceData.Fertiliser_Products_Data5(),FertiliserProducts[[#Headers],[Company]], 121)</f>
        <v>1</v>
      </c>
      <c r="H212" s="152" t="str" cm="1">
        <f t="array" ref="H212">Common_InputFunctions.Utility_DisplayArrayInTable(Fertiliser_SourceData.Fertiliser_Products_Data5(),FertiliserProducts[[#Headers],[Company]], 121)</f>
        <v/>
      </c>
      <c r="I212" s="152" t="str" cm="1">
        <f t="array" ref="I212">Common_InputFunctions.Utility_DisplayArrayInTable(Fertiliser_SourceData.Fertiliser_Products_Data5(),FertiliserProducts[[#Headers],[Company]], 121)</f>
        <v/>
      </c>
      <c r="J212" s="152" t="str" cm="1">
        <f t="array" ref="J212">Common_InputFunctions.Utility_DisplayArrayInTable(Fertiliser_SourceData.Fertiliser_Products_Data5(),FertiliserProducts[[#Headers],[Company]], 121)</f>
        <v/>
      </c>
      <c r="K212" s="152" cm="1">
        <f t="array" ref="K212">Common_InputFunctions.Utility_DisplayArrayInTable(Fertiliser_SourceData.Fertiliser_Products_Data5(),FertiliserProducts[[#Headers],[Company]], 121)</f>
        <v>31</v>
      </c>
      <c r="L212" s="152" cm="1">
        <f t="array" ref="L212">Common_InputFunctions.Utility_DisplayArrayInTable(Fertiliser_SourceData.Fertiliser_Products_Data5(),FertiliserProducts[[#Headers],[Company]], 121)</f>
        <v>6</v>
      </c>
      <c r="M212" s="152" cm="1">
        <f t="array" ref="M212">Common_InputFunctions.Utility_DisplayArrayInTable(Fertiliser_SourceData.Fertiliser_Products_Data5(),FertiliserProducts[[#Headers],[Company]], 121)</f>
        <v>0</v>
      </c>
      <c r="N212" s="152" cm="1">
        <f t="array" ref="N212">Common_InputFunctions.Utility_DisplayArrayInTable(Fertiliser_SourceData.Fertiliser_Products_Data5(),FertiliserProducts[[#Headers],[Company]], 121)</f>
        <v>6</v>
      </c>
      <c r="O212" s="152" t="str" cm="1">
        <f t="array" ref="O212">Common_InputFunctions.Utility_DisplayArrayInTable(Fertiliser_SourceData.Fertiliser_Products_Data5(),FertiliserProducts[[#Headers],[Company]], 121)</f>
        <v>Nitrogen - Generic</v>
      </c>
      <c r="P212" s="152" cm="1">
        <f t="array" ref="P212">Common_InputFunctions.Utility_DisplayArrayInTable(Fertiliser_SourceData.Fertiliser_Products_Data5(),FertiliserProducts[[#Headers],[Company]], 121)</f>
        <v>0.31</v>
      </c>
      <c r="Q212" s="152" t="str" cm="1">
        <f t="array" ref="Q212">Common_InputFunctions.Utility_DisplayArrayInTable(Fertiliser_SourceData.Fertiliser_Products_Data5(),FertiliserProducts[[#Headers],[Company]], 121)</f>
        <v>Phosphorus - Generic</v>
      </c>
      <c r="R212" s="152" cm="1">
        <f t="array" ref="R212">Common_InputFunctions.Utility_DisplayArrayInTable(Fertiliser_SourceData.Fertiliser_Products_Data5(),FertiliserProducts[[#Headers],[Company]], 121)</f>
        <v>0.06</v>
      </c>
      <c r="S212" s="152" t="str" cm="1">
        <f t="array" ref="S212">Common_InputFunctions.Utility_DisplayArrayInTable(Fertiliser_SourceData.Fertiliser_Products_Data5(),FertiliserProducts[[#Headers],[Company]], 121)</f>
        <v>Sulfur - Generic</v>
      </c>
      <c r="T212" s="152" cm="1">
        <f t="array" ref="T212">Common_InputFunctions.Utility_DisplayArrayInTable(Fertiliser_SourceData.Fertiliser_Products_Data5(),FertiliserProducts[[#Headers],[Company]], 121)</f>
        <v>0.06</v>
      </c>
      <c r="U212" s="152" t="str" cm="1">
        <f t="array" ref="U212">Common_InputFunctions.Utility_DisplayArrayInTable(Fertiliser_SourceData.Fertiliser_Products_Data5(),FertiliserProducts[[#Headers],[Company]], 121)</f>
        <v/>
      </c>
      <c r="V212" s="152" t="str" cm="1">
        <f t="array" ref="V212">Common_InputFunctions.Utility_DisplayArrayInTable(Fertiliser_SourceData.Fertiliser_Products_Data5(),FertiliserProducts[[#Headers],[Company]], 121)</f>
        <v/>
      </c>
      <c r="W212" s="152" t="str" cm="1">
        <f t="array" ref="W212">Common_InputFunctions.Utility_DisplayArrayInTable(Fertiliser_SourceData.Fertiliser_Products_Data5(),FertiliserProducts[[#Headers],[Company]], 121)</f>
        <v/>
      </c>
      <c r="X212" s="152" t="str" cm="1">
        <f t="array" ref="X212">Common_InputFunctions.Utility_DisplayArrayInTable(Fertiliser_SourceData.Fertiliser_Products_Data5(),FertiliserProducts[[#Headers],[Company]], 121)</f>
        <v/>
      </c>
      <c r="Y212" s="152" t="str" cm="1">
        <f t="array" ref="Y212">Common_InputFunctions.Utility_DisplayArrayInTable(Fertiliser_SourceData.Fertiliser_Products_Data5(),FertiliserProducts[[#Headers],[Company]], 121)</f>
        <v/>
      </c>
      <c r="Z212" s="152" t="str" cm="1">
        <f t="array" ref="Z212">Common_InputFunctions.Utility_DisplayArrayInTable(Fertiliser_SourceData.Fertiliser_Products_Data5(),FertiliserProducts[[#Headers],[Company]], 121)</f>
        <v/>
      </c>
      <c r="AA212" s="152" t="str" cm="1">
        <f t="array" ref="AA212">Common_InputFunctions.Utility_DisplayArrayInTable(Fertiliser_SourceData.Fertiliser_Products_Data5(),FertiliserProducts[[#Headers],[Company]], 121)</f>
        <v/>
      </c>
      <c r="AB212" s="152" t="str" cm="1">
        <f t="array" ref="AB212">Common_InputFunctions.Utility_DisplayArrayInTable(Fertiliser_SourceData.Fertiliser_Products_Data5(),FertiliserProducts[[#Headers],[Company]], 121)</f>
        <v/>
      </c>
      <c r="AC212" s="152" t="str" cm="1">
        <f t="array" ref="AC212">Common_InputFunctions.Utility_DisplayArrayInTable(Fertiliser_SourceData.Fertiliser_Products_Data5(),FertiliserProducts[[#Headers],[Company]], 121)</f>
        <v/>
      </c>
      <c r="AD212" s="152" t="str" cm="1">
        <f t="array" ref="AD212">Common_InputFunctions.Utility_DisplayArrayInTable(Fertiliser_SourceData.Fertiliser_Products_Data5(),FertiliserProducts[[#Headers],[Company]], 121)</f>
        <v/>
      </c>
      <c r="AE212" s="152" t="str" cm="1">
        <f t="array" ref="AE212">Common_InputFunctions.Utility_DisplayArrayInTable(Fertiliser_SourceData.Fertiliser_Products_Data5(),FertiliserProducts[[#Headers],[Company]], 121)</f>
        <v/>
      </c>
      <c r="AF212" s="152" t="str" cm="1">
        <f t="array" ref="AF212">Common_InputFunctions.Utility_DisplayArrayInTable(Fertiliser_SourceData.Fertiliser_Products_Data5(),FertiliserProducts[[#Headers],[Company]], 121)</f>
        <v/>
      </c>
      <c r="AG212" s="152" t="str" cm="1">
        <f t="array" ref="AG212">Common_InputFunctions.Utility_DisplayArrayInTable(Fertiliser_SourceData.Fertiliser_Products_Data5(),FertiliserProducts[[#Headers],[Company]], 121)</f>
        <v/>
      </c>
      <c r="AH212" s="152" t="str" cm="1">
        <f t="array" ref="AH212">Common_InputFunctions.Utility_DisplayArrayInTable(Fertiliser_SourceData.Fertiliser_Products_Data5(),FertiliserProducts[[#Headers],[Company]], 121)</f>
        <v/>
      </c>
    </row>
    <row r="213" spans="1:34" ht="20.100000000000001" customHeight="1" x14ac:dyDescent="0.2">
      <c r="D213" s="152" t="str" cm="1">
        <f t="array" ref="D213">Common_InputFunctions.Utility_DisplayArrayInTable(Fertiliser_SourceData.Fertiliser_Products_Data5(),FertiliserProducts[[#Headers],[Company]], 121)</f>
        <v>Wengfu Australia</v>
      </c>
      <c r="E213" s="152" t="str" cm="1">
        <f t="array" ref="E213">Common_InputFunctions.Utility_DisplayArrayInTable(Fertiliser_SourceData.Fertiliser_Products_Data5(),FertiliserProducts[[#Headers],[Company]], 121)</f>
        <v>Wengfu Booster Grass DAP</v>
      </c>
      <c r="F213" s="152" t="str" cm="1">
        <f t="array" ref="F213">Common_InputFunctions.Utility_DisplayArrayInTable(Fertiliser_SourceData.Fertiliser_Products_Data5(),FertiliserProducts[[#Headers],[Company]], 121)</f>
        <v>kg</v>
      </c>
      <c r="G213" s="152" cm="1">
        <f t="array" ref="G213">Common_InputFunctions.Utility_DisplayArrayInTable(Fertiliser_SourceData.Fertiliser_Products_Data5(),FertiliserProducts[[#Headers],[Company]], 121)</f>
        <v>1</v>
      </c>
      <c r="H213" s="152" t="str" cm="1">
        <f t="array" ref="H213">Common_InputFunctions.Utility_DisplayArrayInTable(Fertiliser_SourceData.Fertiliser_Products_Data5(),FertiliserProducts[[#Headers],[Company]], 121)</f>
        <v/>
      </c>
      <c r="I213" s="152" t="str" cm="1">
        <f t="array" ref="I213">Common_InputFunctions.Utility_DisplayArrayInTable(Fertiliser_SourceData.Fertiliser_Products_Data5(),FertiliserProducts[[#Headers],[Company]], 121)</f>
        <v/>
      </c>
      <c r="J213" s="152" t="str" cm="1">
        <f t="array" ref="J213">Common_InputFunctions.Utility_DisplayArrayInTable(Fertiliser_SourceData.Fertiliser_Products_Data5(),FertiliserProducts[[#Headers],[Company]], 121)</f>
        <v/>
      </c>
      <c r="K213" s="152" cm="1">
        <f t="array" ref="K213">Common_InputFunctions.Utility_DisplayArrayInTable(Fertiliser_SourceData.Fertiliser_Products_Data5(),FertiliserProducts[[#Headers],[Company]], 121)</f>
        <v>21</v>
      </c>
      <c r="L213" s="152" cm="1">
        <f t="array" ref="L213">Common_InputFunctions.Utility_DisplayArrayInTable(Fertiliser_SourceData.Fertiliser_Products_Data5(),FertiliserProducts[[#Headers],[Company]], 121)</f>
        <v>4</v>
      </c>
      <c r="M213" s="152" cm="1">
        <f t="array" ref="M213">Common_InputFunctions.Utility_DisplayArrayInTable(Fertiliser_SourceData.Fertiliser_Products_Data5(),FertiliserProducts[[#Headers],[Company]], 121)</f>
        <v>8</v>
      </c>
      <c r="N213" s="152" cm="1">
        <f t="array" ref="N213">Common_InputFunctions.Utility_DisplayArrayInTable(Fertiliser_SourceData.Fertiliser_Products_Data5(),FertiliserProducts[[#Headers],[Company]], 121)</f>
        <v>7</v>
      </c>
      <c r="O213" s="152" t="str" cm="1">
        <f t="array" ref="O213">Common_InputFunctions.Utility_DisplayArrayInTable(Fertiliser_SourceData.Fertiliser_Products_Data5(),FertiliserProducts[[#Headers],[Company]], 121)</f>
        <v>Nitrogen - Generic</v>
      </c>
      <c r="P213" s="152" cm="1">
        <f t="array" ref="P213">Common_InputFunctions.Utility_DisplayArrayInTable(Fertiliser_SourceData.Fertiliser_Products_Data5(),FertiliserProducts[[#Headers],[Company]], 121)</f>
        <v>0.21</v>
      </c>
      <c r="Q213" s="152" t="str" cm="1">
        <f t="array" ref="Q213">Common_InputFunctions.Utility_DisplayArrayInTable(Fertiliser_SourceData.Fertiliser_Products_Data5(),FertiliserProducts[[#Headers],[Company]], 121)</f>
        <v>Phosphorus - Generic</v>
      </c>
      <c r="R213" s="152" cm="1">
        <f t="array" ref="R213">Common_InputFunctions.Utility_DisplayArrayInTable(Fertiliser_SourceData.Fertiliser_Products_Data5(),FertiliserProducts[[#Headers],[Company]], 121)</f>
        <v>0.04</v>
      </c>
      <c r="S213" s="152" t="str" cm="1">
        <f t="array" ref="S213">Common_InputFunctions.Utility_DisplayArrayInTable(Fertiliser_SourceData.Fertiliser_Products_Data5(),FertiliserProducts[[#Headers],[Company]], 121)</f>
        <v>Potassium - Generic</v>
      </c>
      <c r="T213" s="152" cm="1">
        <f t="array" ref="T213">Common_InputFunctions.Utility_DisplayArrayInTable(Fertiliser_SourceData.Fertiliser_Products_Data5(),FertiliserProducts[[#Headers],[Company]], 121)</f>
        <v>0.08</v>
      </c>
      <c r="U213" s="152" t="str" cm="1">
        <f t="array" ref="U213">Common_InputFunctions.Utility_DisplayArrayInTable(Fertiliser_SourceData.Fertiliser_Products_Data5(),FertiliserProducts[[#Headers],[Company]], 121)</f>
        <v>Sulfur - Generic</v>
      </c>
      <c r="V213" s="152" cm="1">
        <f t="array" ref="V213">Common_InputFunctions.Utility_DisplayArrayInTable(Fertiliser_SourceData.Fertiliser_Products_Data5(),FertiliserProducts[[#Headers],[Company]], 121)</f>
        <v>7.0000000000000007E-2</v>
      </c>
      <c r="W213" s="152" t="str" cm="1">
        <f t="array" ref="W213">Common_InputFunctions.Utility_DisplayArrayInTable(Fertiliser_SourceData.Fertiliser_Products_Data5(),FertiliserProducts[[#Headers],[Company]], 121)</f>
        <v/>
      </c>
      <c r="X213" s="152" t="str" cm="1">
        <f t="array" ref="X213">Common_InputFunctions.Utility_DisplayArrayInTable(Fertiliser_SourceData.Fertiliser_Products_Data5(),FertiliserProducts[[#Headers],[Company]], 121)</f>
        <v/>
      </c>
      <c r="Y213" s="152" t="str" cm="1">
        <f t="array" ref="Y213">Common_InputFunctions.Utility_DisplayArrayInTable(Fertiliser_SourceData.Fertiliser_Products_Data5(),FertiliserProducts[[#Headers],[Company]], 121)</f>
        <v/>
      </c>
      <c r="Z213" s="152" t="str" cm="1">
        <f t="array" ref="Z213">Common_InputFunctions.Utility_DisplayArrayInTable(Fertiliser_SourceData.Fertiliser_Products_Data5(),FertiliserProducts[[#Headers],[Company]], 121)</f>
        <v/>
      </c>
      <c r="AA213" s="152" t="str" cm="1">
        <f t="array" ref="AA213">Common_InputFunctions.Utility_DisplayArrayInTable(Fertiliser_SourceData.Fertiliser_Products_Data5(),FertiliserProducts[[#Headers],[Company]], 121)</f>
        <v/>
      </c>
      <c r="AB213" s="152" t="str" cm="1">
        <f t="array" ref="AB213">Common_InputFunctions.Utility_DisplayArrayInTable(Fertiliser_SourceData.Fertiliser_Products_Data5(),FertiliserProducts[[#Headers],[Company]], 121)</f>
        <v/>
      </c>
      <c r="AC213" s="152" t="str" cm="1">
        <f t="array" ref="AC213">Common_InputFunctions.Utility_DisplayArrayInTable(Fertiliser_SourceData.Fertiliser_Products_Data5(),FertiliserProducts[[#Headers],[Company]], 121)</f>
        <v/>
      </c>
      <c r="AD213" s="152" t="str" cm="1">
        <f t="array" ref="AD213">Common_InputFunctions.Utility_DisplayArrayInTable(Fertiliser_SourceData.Fertiliser_Products_Data5(),FertiliserProducts[[#Headers],[Company]], 121)</f>
        <v/>
      </c>
      <c r="AE213" s="152" t="str" cm="1">
        <f t="array" ref="AE213">Common_InputFunctions.Utility_DisplayArrayInTable(Fertiliser_SourceData.Fertiliser_Products_Data5(),FertiliserProducts[[#Headers],[Company]], 121)</f>
        <v/>
      </c>
      <c r="AF213" s="152" t="str" cm="1">
        <f t="array" ref="AF213">Common_InputFunctions.Utility_DisplayArrayInTable(Fertiliser_SourceData.Fertiliser_Products_Data5(),FertiliserProducts[[#Headers],[Company]], 121)</f>
        <v/>
      </c>
      <c r="AG213" s="152" t="str" cm="1">
        <f t="array" ref="AG213">Common_InputFunctions.Utility_DisplayArrayInTable(Fertiliser_SourceData.Fertiliser_Products_Data5(),FertiliserProducts[[#Headers],[Company]], 121)</f>
        <v/>
      </c>
      <c r="AH213" s="152" t="str" cm="1">
        <f t="array" ref="AH213">Common_InputFunctions.Utility_DisplayArrayInTable(Fertiliser_SourceData.Fertiliser_Products_Data5(),FertiliserProducts[[#Headers],[Company]], 121)</f>
        <v/>
      </c>
    </row>
    <row r="214" spans="1:34" ht="20.100000000000001" customHeight="1" x14ac:dyDescent="0.2">
      <c r="D214" s="152" t="str" cm="1">
        <f t="array" ref="D214">Common_InputFunctions.Utility_DisplayArrayInTable(Fertiliser_SourceData.Fertiliser_Products_Data5(),FertiliserProducts[[#Headers],[Company]], 121)</f>
        <v>Wengfu Australia</v>
      </c>
      <c r="E214" s="152" t="str" cm="1">
        <f t="array" ref="E214">Common_InputFunctions.Utility_DisplayArrayInTable(Fertiliser_SourceData.Fertiliser_Products_Data5(),FertiliserProducts[[#Headers],[Company]], 121)</f>
        <v>Wengfu Aftergraze</v>
      </c>
      <c r="F214" s="152" t="str" cm="1">
        <f t="array" ref="F214">Common_InputFunctions.Utility_DisplayArrayInTable(Fertiliser_SourceData.Fertiliser_Products_Data5(),FertiliserProducts[[#Headers],[Company]], 121)</f>
        <v>kg</v>
      </c>
      <c r="G214" s="152" cm="1">
        <f t="array" ref="G214">Common_InputFunctions.Utility_DisplayArrayInTable(Fertiliser_SourceData.Fertiliser_Products_Data5(),FertiliserProducts[[#Headers],[Company]], 121)</f>
        <v>1</v>
      </c>
      <c r="H214" s="152" t="str" cm="1">
        <f t="array" ref="H214">Common_InputFunctions.Utility_DisplayArrayInTable(Fertiliser_SourceData.Fertiliser_Products_Data5(),FertiliserProducts[[#Headers],[Company]], 121)</f>
        <v/>
      </c>
      <c r="I214" s="152" t="str" cm="1">
        <f t="array" ref="I214">Common_InputFunctions.Utility_DisplayArrayInTable(Fertiliser_SourceData.Fertiliser_Products_Data5(),FertiliserProducts[[#Headers],[Company]], 121)</f>
        <v/>
      </c>
      <c r="J214" s="152" t="str" cm="1">
        <f t="array" ref="J214">Common_InputFunctions.Utility_DisplayArrayInTable(Fertiliser_SourceData.Fertiliser_Products_Data5(),FertiliserProducts[[#Headers],[Company]], 121)</f>
        <v/>
      </c>
      <c r="K214" s="152" cm="1">
        <f t="array" ref="K214">Common_InputFunctions.Utility_DisplayArrayInTable(Fertiliser_SourceData.Fertiliser_Products_Data5(),FertiliserProducts[[#Headers],[Company]], 121)</f>
        <v>23</v>
      </c>
      <c r="L214" s="152" cm="1">
        <f t="array" ref="L214">Common_InputFunctions.Utility_DisplayArrayInTable(Fertiliser_SourceData.Fertiliser_Products_Data5(),FertiliserProducts[[#Headers],[Company]], 121)</f>
        <v>0</v>
      </c>
      <c r="M214" s="152" cm="1">
        <f t="array" ref="M214">Common_InputFunctions.Utility_DisplayArrayInTable(Fertiliser_SourceData.Fertiliser_Products_Data5(),FertiliserProducts[[#Headers],[Company]], 121)</f>
        <v>25</v>
      </c>
      <c r="N214" s="152" cm="1">
        <f t="array" ref="N214">Common_InputFunctions.Utility_DisplayArrayInTable(Fertiliser_SourceData.Fertiliser_Products_Data5(),FertiliserProducts[[#Headers],[Company]], 121)</f>
        <v>0</v>
      </c>
      <c r="O214" s="152" t="str" cm="1">
        <f t="array" ref="O214">Common_InputFunctions.Utility_DisplayArrayInTable(Fertiliser_SourceData.Fertiliser_Products_Data5(),FertiliserProducts[[#Headers],[Company]], 121)</f>
        <v>Nitrogen - Generic</v>
      </c>
      <c r="P214" s="152" cm="1">
        <f t="array" ref="P214">Common_InputFunctions.Utility_DisplayArrayInTable(Fertiliser_SourceData.Fertiliser_Products_Data5(),FertiliserProducts[[#Headers],[Company]], 121)</f>
        <v>0.23</v>
      </c>
      <c r="Q214" s="152" t="str" cm="1">
        <f t="array" ref="Q214">Common_InputFunctions.Utility_DisplayArrayInTable(Fertiliser_SourceData.Fertiliser_Products_Data5(),FertiliserProducts[[#Headers],[Company]], 121)</f>
        <v>Potassium - Generic</v>
      </c>
      <c r="R214" s="152" cm="1">
        <f t="array" ref="R214">Common_InputFunctions.Utility_DisplayArrayInTable(Fertiliser_SourceData.Fertiliser_Products_Data5(),FertiliserProducts[[#Headers],[Company]], 121)</f>
        <v>0.25</v>
      </c>
      <c r="S214" s="152" t="str" cm="1">
        <f t="array" ref="S214">Common_InputFunctions.Utility_DisplayArrayInTable(Fertiliser_SourceData.Fertiliser_Products_Data5(),FertiliserProducts[[#Headers],[Company]], 121)</f>
        <v/>
      </c>
      <c r="T214" s="152" t="str" cm="1">
        <f t="array" ref="T214">Common_InputFunctions.Utility_DisplayArrayInTable(Fertiliser_SourceData.Fertiliser_Products_Data5(),FertiliserProducts[[#Headers],[Company]], 121)</f>
        <v/>
      </c>
      <c r="U214" s="152" t="str" cm="1">
        <f t="array" ref="U214">Common_InputFunctions.Utility_DisplayArrayInTable(Fertiliser_SourceData.Fertiliser_Products_Data5(),FertiliserProducts[[#Headers],[Company]], 121)</f>
        <v/>
      </c>
      <c r="V214" s="152" t="str" cm="1">
        <f t="array" ref="V214">Common_InputFunctions.Utility_DisplayArrayInTable(Fertiliser_SourceData.Fertiliser_Products_Data5(),FertiliserProducts[[#Headers],[Company]], 121)</f>
        <v/>
      </c>
      <c r="W214" s="152" t="str" cm="1">
        <f t="array" ref="W214">Common_InputFunctions.Utility_DisplayArrayInTable(Fertiliser_SourceData.Fertiliser_Products_Data5(),FertiliserProducts[[#Headers],[Company]], 121)</f>
        <v/>
      </c>
      <c r="X214" s="152" t="str" cm="1">
        <f t="array" ref="X214">Common_InputFunctions.Utility_DisplayArrayInTable(Fertiliser_SourceData.Fertiliser_Products_Data5(),FertiliserProducts[[#Headers],[Company]], 121)</f>
        <v/>
      </c>
      <c r="Y214" s="152" t="str" cm="1">
        <f t="array" ref="Y214">Common_InputFunctions.Utility_DisplayArrayInTable(Fertiliser_SourceData.Fertiliser_Products_Data5(),FertiliserProducts[[#Headers],[Company]], 121)</f>
        <v/>
      </c>
      <c r="Z214" s="152" t="str" cm="1">
        <f t="array" ref="Z214">Common_InputFunctions.Utility_DisplayArrayInTable(Fertiliser_SourceData.Fertiliser_Products_Data5(),FertiliserProducts[[#Headers],[Company]], 121)</f>
        <v/>
      </c>
      <c r="AA214" s="152" t="str" cm="1">
        <f t="array" ref="AA214">Common_InputFunctions.Utility_DisplayArrayInTable(Fertiliser_SourceData.Fertiliser_Products_Data5(),FertiliserProducts[[#Headers],[Company]], 121)</f>
        <v/>
      </c>
      <c r="AB214" s="152" t="str" cm="1">
        <f t="array" ref="AB214">Common_InputFunctions.Utility_DisplayArrayInTable(Fertiliser_SourceData.Fertiliser_Products_Data5(),FertiliserProducts[[#Headers],[Company]], 121)</f>
        <v/>
      </c>
      <c r="AC214" s="152" t="str" cm="1">
        <f t="array" ref="AC214">Common_InputFunctions.Utility_DisplayArrayInTable(Fertiliser_SourceData.Fertiliser_Products_Data5(),FertiliserProducts[[#Headers],[Company]], 121)</f>
        <v/>
      </c>
      <c r="AD214" s="152" t="str" cm="1">
        <f t="array" ref="AD214">Common_InputFunctions.Utility_DisplayArrayInTable(Fertiliser_SourceData.Fertiliser_Products_Data5(),FertiliserProducts[[#Headers],[Company]], 121)</f>
        <v/>
      </c>
      <c r="AE214" s="152" t="str" cm="1">
        <f t="array" ref="AE214">Common_InputFunctions.Utility_DisplayArrayInTable(Fertiliser_SourceData.Fertiliser_Products_Data5(),FertiliserProducts[[#Headers],[Company]], 121)</f>
        <v/>
      </c>
      <c r="AF214" s="152" t="str" cm="1">
        <f t="array" ref="AF214">Common_InputFunctions.Utility_DisplayArrayInTable(Fertiliser_SourceData.Fertiliser_Products_Data5(),FertiliserProducts[[#Headers],[Company]], 121)</f>
        <v/>
      </c>
      <c r="AG214" s="152" t="str" cm="1">
        <f t="array" ref="AG214">Common_InputFunctions.Utility_DisplayArrayInTable(Fertiliser_SourceData.Fertiliser_Products_Data5(),FertiliserProducts[[#Headers],[Company]], 121)</f>
        <v/>
      </c>
      <c r="AH214" s="152" t="str" cm="1">
        <f t="array" ref="AH214">Common_InputFunctions.Utility_DisplayArrayInTable(Fertiliser_SourceData.Fertiliser_Products_Data5(),FertiliserProducts[[#Headers],[Company]], 121)</f>
        <v/>
      </c>
    </row>
    <row r="215" spans="1:34" ht="20.100000000000001" customHeight="1" x14ac:dyDescent="0.2">
      <c r="D215" s="152" t="str" cm="1">
        <f t="array" ref="D215">Common_InputFunctions.Utility_DisplayArrayInTable(Fertiliser_SourceData.Fertiliser_Products_Data5(),FertiliserProducts[[#Headers],[Company]], 121)</f>
        <v>Wengfu Australia</v>
      </c>
      <c r="E215" s="152" t="str" cm="1">
        <f t="array" ref="E215">Common_InputFunctions.Utility_DisplayArrayInTable(Fertiliser_SourceData.Fertiliser_Products_Data5(),FertiliserProducts[[#Headers],[Company]], 121)</f>
        <v>Wengfu Sidedress</v>
      </c>
      <c r="F215" s="152" t="str" cm="1">
        <f t="array" ref="F215">Common_InputFunctions.Utility_DisplayArrayInTable(Fertiliser_SourceData.Fertiliser_Products_Data5(),FertiliserProducts[[#Headers],[Company]], 121)</f>
        <v>kg</v>
      </c>
      <c r="G215" s="152" cm="1">
        <f t="array" ref="G215">Common_InputFunctions.Utility_DisplayArrayInTable(Fertiliser_SourceData.Fertiliser_Products_Data5(),FertiliserProducts[[#Headers],[Company]], 121)</f>
        <v>1</v>
      </c>
      <c r="H215" s="152" t="str" cm="1">
        <f t="array" ref="H215">Common_InputFunctions.Utility_DisplayArrayInTable(Fertiliser_SourceData.Fertiliser_Products_Data5(),FertiliserProducts[[#Headers],[Company]], 121)</f>
        <v/>
      </c>
      <c r="I215" s="152" t="str" cm="1">
        <f t="array" ref="I215">Common_InputFunctions.Utility_DisplayArrayInTable(Fertiliser_SourceData.Fertiliser_Products_Data5(),FertiliserProducts[[#Headers],[Company]], 121)</f>
        <v/>
      </c>
      <c r="J215" s="152" t="str" cm="1">
        <f t="array" ref="J215">Common_InputFunctions.Utility_DisplayArrayInTable(Fertiliser_SourceData.Fertiliser_Products_Data5(),FertiliserProducts[[#Headers],[Company]], 121)</f>
        <v/>
      </c>
      <c r="K215" s="152" cm="1">
        <f t="array" ref="K215">Common_InputFunctions.Utility_DisplayArrayInTable(Fertiliser_SourceData.Fertiliser_Products_Data5(),FertiliserProducts[[#Headers],[Company]], 121)</f>
        <v>25</v>
      </c>
      <c r="L215" s="152" cm="1">
        <f t="array" ref="L215">Common_InputFunctions.Utility_DisplayArrayInTable(Fertiliser_SourceData.Fertiliser_Products_Data5(),FertiliserProducts[[#Headers],[Company]], 121)</f>
        <v>4</v>
      </c>
      <c r="M215" s="152" cm="1">
        <f t="array" ref="M215">Common_InputFunctions.Utility_DisplayArrayInTable(Fertiliser_SourceData.Fertiliser_Products_Data5(),FertiliserProducts[[#Headers],[Company]], 121)</f>
        <v>13</v>
      </c>
      <c r="N215" s="152" cm="1">
        <f t="array" ref="N215">Common_InputFunctions.Utility_DisplayArrayInTable(Fertiliser_SourceData.Fertiliser_Products_Data5(),FertiliserProducts[[#Headers],[Company]], 121)</f>
        <v>4</v>
      </c>
      <c r="O215" s="152" t="str" cm="1">
        <f t="array" ref="O215">Common_InputFunctions.Utility_DisplayArrayInTable(Fertiliser_SourceData.Fertiliser_Products_Data5(),FertiliserProducts[[#Headers],[Company]], 121)</f>
        <v>Nitrogen - Generic</v>
      </c>
      <c r="P215" s="152" cm="1">
        <f t="array" ref="P215">Common_InputFunctions.Utility_DisplayArrayInTable(Fertiliser_SourceData.Fertiliser_Products_Data5(),FertiliserProducts[[#Headers],[Company]], 121)</f>
        <v>0.25</v>
      </c>
      <c r="Q215" s="152" t="str" cm="1">
        <f t="array" ref="Q215">Common_InputFunctions.Utility_DisplayArrayInTable(Fertiliser_SourceData.Fertiliser_Products_Data5(),FertiliserProducts[[#Headers],[Company]], 121)</f>
        <v>Phosphorus - Generic</v>
      </c>
      <c r="R215" s="152" cm="1">
        <f t="array" ref="R215">Common_InputFunctions.Utility_DisplayArrayInTable(Fertiliser_SourceData.Fertiliser_Products_Data5(),FertiliserProducts[[#Headers],[Company]], 121)</f>
        <v>0.04</v>
      </c>
      <c r="S215" s="152" t="str" cm="1">
        <f t="array" ref="S215">Common_InputFunctions.Utility_DisplayArrayInTable(Fertiliser_SourceData.Fertiliser_Products_Data5(),FertiliserProducts[[#Headers],[Company]], 121)</f>
        <v>Potassium - Generic</v>
      </c>
      <c r="T215" s="152" cm="1">
        <f t="array" ref="T215">Common_InputFunctions.Utility_DisplayArrayInTable(Fertiliser_SourceData.Fertiliser_Products_Data5(),FertiliserProducts[[#Headers],[Company]], 121)</f>
        <v>0.13</v>
      </c>
      <c r="U215" s="152" t="str" cm="1">
        <f t="array" ref="U215">Common_InputFunctions.Utility_DisplayArrayInTable(Fertiliser_SourceData.Fertiliser_Products_Data5(),FertiliserProducts[[#Headers],[Company]], 121)</f>
        <v>Sulfur - Generic</v>
      </c>
      <c r="V215" s="152" cm="1">
        <f t="array" ref="V215">Common_InputFunctions.Utility_DisplayArrayInTable(Fertiliser_SourceData.Fertiliser_Products_Data5(),FertiliserProducts[[#Headers],[Company]], 121)</f>
        <v>0.04</v>
      </c>
      <c r="W215" s="152" t="str" cm="1">
        <f t="array" ref="W215">Common_InputFunctions.Utility_DisplayArrayInTable(Fertiliser_SourceData.Fertiliser_Products_Data5(),FertiliserProducts[[#Headers],[Company]], 121)</f>
        <v/>
      </c>
      <c r="X215" s="152" t="str" cm="1">
        <f t="array" ref="X215">Common_InputFunctions.Utility_DisplayArrayInTable(Fertiliser_SourceData.Fertiliser_Products_Data5(),FertiliserProducts[[#Headers],[Company]], 121)</f>
        <v/>
      </c>
      <c r="Y215" s="152" t="str" cm="1">
        <f t="array" ref="Y215">Common_InputFunctions.Utility_DisplayArrayInTable(Fertiliser_SourceData.Fertiliser_Products_Data5(),FertiliserProducts[[#Headers],[Company]], 121)</f>
        <v/>
      </c>
      <c r="Z215" s="152" t="str" cm="1">
        <f t="array" ref="Z215">Common_InputFunctions.Utility_DisplayArrayInTable(Fertiliser_SourceData.Fertiliser_Products_Data5(),FertiliserProducts[[#Headers],[Company]], 121)</f>
        <v/>
      </c>
      <c r="AA215" s="152" t="str" cm="1">
        <f t="array" ref="AA215">Common_InputFunctions.Utility_DisplayArrayInTable(Fertiliser_SourceData.Fertiliser_Products_Data5(),FertiliserProducts[[#Headers],[Company]], 121)</f>
        <v/>
      </c>
      <c r="AB215" s="152" t="str" cm="1">
        <f t="array" ref="AB215">Common_InputFunctions.Utility_DisplayArrayInTable(Fertiliser_SourceData.Fertiliser_Products_Data5(),FertiliserProducts[[#Headers],[Company]], 121)</f>
        <v/>
      </c>
      <c r="AC215" s="152" t="str" cm="1">
        <f t="array" ref="AC215">Common_InputFunctions.Utility_DisplayArrayInTable(Fertiliser_SourceData.Fertiliser_Products_Data5(),FertiliserProducts[[#Headers],[Company]], 121)</f>
        <v/>
      </c>
      <c r="AD215" s="152" t="str" cm="1">
        <f t="array" ref="AD215">Common_InputFunctions.Utility_DisplayArrayInTable(Fertiliser_SourceData.Fertiliser_Products_Data5(),FertiliserProducts[[#Headers],[Company]], 121)</f>
        <v/>
      </c>
      <c r="AE215" s="152" t="str" cm="1">
        <f t="array" ref="AE215">Common_InputFunctions.Utility_DisplayArrayInTable(Fertiliser_SourceData.Fertiliser_Products_Data5(),FertiliserProducts[[#Headers],[Company]], 121)</f>
        <v/>
      </c>
      <c r="AF215" s="152" t="str" cm="1">
        <f t="array" ref="AF215">Common_InputFunctions.Utility_DisplayArrayInTable(Fertiliser_SourceData.Fertiliser_Products_Data5(),FertiliserProducts[[#Headers],[Company]], 121)</f>
        <v/>
      </c>
      <c r="AG215" s="152" t="str" cm="1">
        <f t="array" ref="AG215">Common_InputFunctions.Utility_DisplayArrayInTable(Fertiliser_SourceData.Fertiliser_Products_Data5(),FertiliserProducts[[#Headers],[Company]], 121)</f>
        <v/>
      </c>
      <c r="AH215" s="152" t="str" cm="1">
        <f t="array" ref="AH215">Common_InputFunctions.Utility_DisplayArrayInTable(Fertiliser_SourceData.Fertiliser_Products_Data5(),FertiliserProducts[[#Headers],[Company]], 121)</f>
        <v/>
      </c>
    </row>
    <row r="216" spans="1:34" ht="20.100000000000001" customHeight="1" x14ac:dyDescent="0.2">
      <c r="D216" s="152" t="str" cm="1">
        <f t="array" ref="D216">Common_InputFunctions.Utility_DisplayArrayInTable(Fertiliser_SourceData.Fertiliser_Products_Data5(),FertiliserProducts[[#Headers],[Company]], 121)</f>
        <v>Wengfu Australia</v>
      </c>
      <c r="E216" s="152" t="str" cm="1">
        <f t="array" ref="E216">Common_InputFunctions.Utility_DisplayArrayInTable(Fertiliser_SourceData.Fertiliser_Products_Data5(),FertiliserProducts[[#Headers],[Company]], 121)</f>
        <v>Wengfu Pasture Booster</v>
      </c>
      <c r="F216" s="152" t="str" cm="1">
        <f t="array" ref="F216">Common_InputFunctions.Utility_DisplayArrayInTable(Fertiliser_SourceData.Fertiliser_Products_Data5(),FertiliserProducts[[#Headers],[Company]], 121)</f>
        <v>kg</v>
      </c>
      <c r="G216" s="152" cm="1">
        <f t="array" ref="G216">Common_InputFunctions.Utility_DisplayArrayInTable(Fertiliser_SourceData.Fertiliser_Products_Data5(),FertiliserProducts[[#Headers],[Company]], 121)</f>
        <v>1</v>
      </c>
      <c r="H216" s="152" t="str" cm="1">
        <f t="array" ref="H216">Common_InputFunctions.Utility_DisplayArrayInTable(Fertiliser_SourceData.Fertiliser_Products_Data5(),FertiliserProducts[[#Headers],[Company]], 121)</f>
        <v/>
      </c>
      <c r="I216" s="152" t="str" cm="1">
        <f t="array" ref="I216">Common_InputFunctions.Utility_DisplayArrayInTable(Fertiliser_SourceData.Fertiliser_Products_Data5(),FertiliserProducts[[#Headers],[Company]], 121)</f>
        <v/>
      </c>
      <c r="J216" s="152" t="str" cm="1">
        <f t="array" ref="J216">Common_InputFunctions.Utility_DisplayArrayInTable(Fertiliser_SourceData.Fertiliser_Products_Data5(),FertiliserProducts[[#Headers],[Company]], 121)</f>
        <v/>
      </c>
      <c r="K216" s="152" cm="1">
        <f t="array" ref="K216">Common_InputFunctions.Utility_DisplayArrayInTable(Fertiliser_SourceData.Fertiliser_Products_Data5(),FertiliserProducts[[#Headers],[Company]], 121)</f>
        <v>13</v>
      </c>
      <c r="L216" s="152" cm="1">
        <f t="array" ref="L216">Common_InputFunctions.Utility_DisplayArrayInTable(Fertiliser_SourceData.Fertiliser_Products_Data5(),FertiliserProducts[[#Headers],[Company]], 121)</f>
        <v>5</v>
      </c>
      <c r="M216" s="152" cm="1">
        <f t="array" ref="M216">Common_InputFunctions.Utility_DisplayArrayInTable(Fertiliser_SourceData.Fertiliser_Products_Data5(),FertiliserProducts[[#Headers],[Company]], 121)</f>
        <v>24</v>
      </c>
      <c r="N216" s="152" cm="1">
        <f t="array" ref="N216">Common_InputFunctions.Utility_DisplayArrayInTable(Fertiliser_SourceData.Fertiliser_Products_Data5(),FertiliserProducts[[#Headers],[Company]], 121)</f>
        <v>5</v>
      </c>
      <c r="O216" s="152" t="str" cm="1">
        <f t="array" ref="O216">Common_InputFunctions.Utility_DisplayArrayInTable(Fertiliser_SourceData.Fertiliser_Products_Data5(),FertiliserProducts[[#Headers],[Company]], 121)</f>
        <v>Nitrogen - Generic</v>
      </c>
      <c r="P216" s="152" cm="1">
        <f t="array" ref="P216">Common_InputFunctions.Utility_DisplayArrayInTable(Fertiliser_SourceData.Fertiliser_Products_Data5(),FertiliserProducts[[#Headers],[Company]], 121)</f>
        <v>0.13</v>
      </c>
      <c r="Q216" s="152" t="str" cm="1">
        <f t="array" ref="Q216">Common_InputFunctions.Utility_DisplayArrayInTable(Fertiliser_SourceData.Fertiliser_Products_Data5(),FertiliserProducts[[#Headers],[Company]], 121)</f>
        <v>Phosphorus - Generic</v>
      </c>
      <c r="R216" s="152" cm="1">
        <f t="array" ref="R216">Common_InputFunctions.Utility_DisplayArrayInTable(Fertiliser_SourceData.Fertiliser_Products_Data5(),FertiliserProducts[[#Headers],[Company]], 121)</f>
        <v>0.05</v>
      </c>
      <c r="S216" s="152" t="str" cm="1">
        <f t="array" ref="S216">Common_InputFunctions.Utility_DisplayArrayInTable(Fertiliser_SourceData.Fertiliser_Products_Data5(),FertiliserProducts[[#Headers],[Company]], 121)</f>
        <v>Potassium - Generic</v>
      </c>
      <c r="T216" s="152" cm="1">
        <f t="array" ref="T216">Common_InputFunctions.Utility_DisplayArrayInTable(Fertiliser_SourceData.Fertiliser_Products_Data5(),FertiliserProducts[[#Headers],[Company]], 121)</f>
        <v>0.24</v>
      </c>
      <c r="U216" s="152" t="str" cm="1">
        <f t="array" ref="U216">Common_InputFunctions.Utility_DisplayArrayInTable(Fertiliser_SourceData.Fertiliser_Products_Data5(),FertiliserProducts[[#Headers],[Company]], 121)</f>
        <v>Sulfur - Generic</v>
      </c>
      <c r="V216" s="152" cm="1">
        <f t="array" ref="V216">Common_InputFunctions.Utility_DisplayArrayInTable(Fertiliser_SourceData.Fertiliser_Products_Data5(),FertiliserProducts[[#Headers],[Company]], 121)</f>
        <v>0.05</v>
      </c>
      <c r="W216" s="152" t="str" cm="1">
        <f t="array" ref="W216">Common_InputFunctions.Utility_DisplayArrayInTable(Fertiliser_SourceData.Fertiliser_Products_Data5(),FertiliserProducts[[#Headers],[Company]], 121)</f>
        <v/>
      </c>
      <c r="X216" s="152" t="str" cm="1">
        <f t="array" ref="X216">Common_InputFunctions.Utility_DisplayArrayInTable(Fertiliser_SourceData.Fertiliser_Products_Data5(),FertiliserProducts[[#Headers],[Company]], 121)</f>
        <v/>
      </c>
      <c r="Y216" s="152" t="str" cm="1">
        <f t="array" ref="Y216">Common_InputFunctions.Utility_DisplayArrayInTable(Fertiliser_SourceData.Fertiliser_Products_Data5(),FertiliserProducts[[#Headers],[Company]], 121)</f>
        <v/>
      </c>
      <c r="Z216" s="152" t="str" cm="1">
        <f t="array" ref="Z216">Common_InputFunctions.Utility_DisplayArrayInTable(Fertiliser_SourceData.Fertiliser_Products_Data5(),FertiliserProducts[[#Headers],[Company]], 121)</f>
        <v/>
      </c>
      <c r="AA216" s="152" t="str" cm="1">
        <f t="array" ref="AA216">Common_InputFunctions.Utility_DisplayArrayInTable(Fertiliser_SourceData.Fertiliser_Products_Data5(),FertiliserProducts[[#Headers],[Company]], 121)</f>
        <v/>
      </c>
      <c r="AB216" s="152" t="str" cm="1">
        <f t="array" ref="AB216">Common_InputFunctions.Utility_DisplayArrayInTable(Fertiliser_SourceData.Fertiliser_Products_Data5(),FertiliserProducts[[#Headers],[Company]], 121)</f>
        <v/>
      </c>
      <c r="AC216" s="152" t="str" cm="1">
        <f t="array" ref="AC216">Common_InputFunctions.Utility_DisplayArrayInTable(Fertiliser_SourceData.Fertiliser_Products_Data5(),FertiliserProducts[[#Headers],[Company]], 121)</f>
        <v/>
      </c>
      <c r="AD216" s="152" t="str" cm="1">
        <f t="array" ref="AD216">Common_InputFunctions.Utility_DisplayArrayInTable(Fertiliser_SourceData.Fertiliser_Products_Data5(),FertiliserProducts[[#Headers],[Company]], 121)</f>
        <v/>
      </c>
      <c r="AE216" s="152" t="str" cm="1">
        <f t="array" ref="AE216">Common_InputFunctions.Utility_DisplayArrayInTable(Fertiliser_SourceData.Fertiliser_Products_Data5(),FertiliserProducts[[#Headers],[Company]], 121)</f>
        <v/>
      </c>
      <c r="AF216" s="152" t="str" cm="1">
        <f t="array" ref="AF216">Common_InputFunctions.Utility_DisplayArrayInTable(Fertiliser_SourceData.Fertiliser_Products_Data5(),FertiliserProducts[[#Headers],[Company]], 121)</f>
        <v/>
      </c>
      <c r="AG216" s="152" t="str" cm="1">
        <f t="array" ref="AG216">Common_InputFunctions.Utility_DisplayArrayInTable(Fertiliser_SourceData.Fertiliser_Products_Data5(),FertiliserProducts[[#Headers],[Company]], 121)</f>
        <v/>
      </c>
      <c r="AH216" s="152" t="str" cm="1">
        <f t="array" ref="AH216">Common_InputFunctions.Utility_DisplayArrayInTable(Fertiliser_SourceData.Fertiliser_Products_Data5(),FertiliserProducts[[#Headers],[Company]], 121)</f>
        <v/>
      </c>
    </row>
    <row r="217" spans="1:34" ht="20.100000000000001" customHeight="1" x14ac:dyDescent="0.2">
      <c r="A217" s="131" t="str">
        <f>HYPERLINK("#A1", "▲ Back to top")</f>
        <v>▲ Back to top</v>
      </c>
      <c r="D217" s="152" t="str" cm="1">
        <f t="array" ref="D217">Common_InputFunctions.Utility_DisplayArrayInTable(Fertiliser_SourceData.Fertiliser_Products_Data5(),FertiliserProducts[[#Headers],[Company]], 121)</f>
        <v>Wengfu Australia</v>
      </c>
      <c r="E217" s="152" t="str" cm="1">
        <f t="array" ref="E217">Common_InputFunctions.Utility_DisplayArrayInTable(Fertiliser_SourceData.Fertiliser_Products_Data5(),FertiliserProducts[[#Headers],[Company]], 121)</f>
        <v>Wengfu DAP Hay Booster</v>
      </c>
      <c r="F217" s="152" t="str" cm="1">
        <f t="array" ref="F217">Common_InputFunctions.Utility_DisplayArrayInTable(Fertiliser_SourceData.Fertiliser_Products_Data5(),FertiliserProducts[[#Headers],[Company]], 121)</f>
        <v>kg</v>
      </c>
      <c r="G217" s="152" cm="1">
        <f t="array" ref="G217">Common_InputFunctions.Utility_DisplayArrayInTable(Fertiliser_SourceData.Fertiliser_Products_Data5(),FertiliserProducts[[#Headers],[Company]], 121)</f>
        <v>1</v>
      </c>
      <c r="H217" s="152" t="str" cm="1">
        <f t="array" ref="H217">Common_InputFunctions.Utility_DisplayArrayInTable(Fertiliser_SourceData.Fertiliser_Products_Data5(),FertiliserProducts[[#Headers],[Company]], 121)</f>
        <v/>
      </c>
      <c r="I217" s="152" t="str" cm="1">
        <f t="array" ref="I217">Common_InputFunctions.Utility_DisplayArrayInTable(Fertiliser_SourceData.Fertiliser_Products_Data5(),FertiliserProducts[[#Headers],[Company]], 121)</f>
        <v/>
      </c>
      <c r="J217" s="152" t="str" cm="1">
        <f t="array" ref="J217">Common_InputFunctions.Utility_DisplayArrayInTable(Fertiliser_SourceData.Fertiliser_Products_Data5(),FertiliserProducts[[#Headers],[Company]], 121)</f>
        <v/>
      </c>
      <c r="K217" s="152" cm="1">
        <f t="array" ref="K217">Common_InputFunctions.Utility_DisplayArrayInTable(Fertiliser_SourceData.Fertiliser_Products_Data5(),FertiliserProducts[[#Headers],[Company]], 121)</f>
        <v>11</v>
      </c>
      <c r="L217" s="152" cm="1">
        <f t="array" ref="L217">Common_InputFunctions.Utility_DisplayArrayInTable(Fertiliser_SourceData.Fertiliser_Products_Data5(),FertiliserProducts[[#Headers],[Company]], 121)</f>
        <v>5</v>
      </c>
      <c r="M217" s="152" cm="1">
        <f t="array" ref="M217">Common_InputFunctions.Utility_DisplayArrayInTable(Fertiliser_SourceData.Fertiliser_Products_Data5(),FertiliserProducts[[#Headers],[Company]], 121)</f>
        <v>24</v>
      </c>
      <c r="N217" s="152" cm="1">
        <f t="array" ref="N217">Common_InputFunctions.Utility_DisplayArrayInTable(Fertiliser_SourceData.Fertiliser_Products_Data5(),FertiliserProducts[[#Headers],[Company]], 121)</f>
        <v>4</v>
      </c>
      <c r="O217" s="152" t="str" cm="1">
        <f t="array" ref="O217">Common_InputFunctions.Utility_DisplayArrayInTable(Fertiliser_SourceData.Fertiliser_Products_Data5(),FertiliserProducts[[#Headers],[Company]], 121)</f>
        <v>Nitrogen - Generic</v>
      </c>
      <c r="P217" s="152" cm="1">
        <f t="array" ref="P217">Common_InputFunctions.Utility_DisplayArrayInTable(Fertiliser_SourceData.Fertiliser_Products_Data5(),FertiliserProducts[[#Headers],[Company]], 121)</f>
        <v>0.11</v>
      </c>
      <c r="Q217" s="152" t="str" cm="1">
        <f t="array" ref="Q217">Common_InputFunctions.Utility_DisplayArrayInTable(Fertiliser_SourceData.Fertiliser_Products_Data5(),FertiliserProducts[[#Headers],[Company]], 121)</f>
        <v>Phosphorus - Generic</v>
      </c>
      <c r="R217" s="152" cm="1">
        <f t="array" ref="R217">Common_InputFunctions.Utility_DisplayArrayInTable(Fertiliser_SourceData.Fertiliser_Products_Data5(),FertiliserProducts[[#Headers],[Company]], 121)</f>
        <v>0.05</v>
      </c>
      <c r="S217" s="152" t="str" cm="1">
        <f t="array" ref="S217">Common_InputFunctions.Utility_DisplayArrayInTable(Fertiliser_SourceData.Fertiliser_Products_Data5(),FertiliserProducts[[#Headers],[Company]], 121)</f>
        <v>Potassium - Generic</v>
      </c>
      <c r="T217" s="152" cm="1">
        <f t="array" ref="T217">Common_InputFunctions.Utility_DisplayArrayInTable(Fertiliser_SourceData.Fertiliser_Products_Data5(),FertiliserProducts[[#Headers],[Company]], 121)</f>
        <v>0.24</v>
      </c>
      <c r="U217" s="152" t="str" cm="1">
        <f t="array" ref="U217">Common_InputFunctions.Utility_DisplayArrayInTable(Fertiliser_SourceData.Fertiliser_Products_Data5(),FertiliserProducts[[#Headers],[Company]], 121)</f>
        <v>Sulfur - Generic</v>
      </c>
      <c r="V217" s="152" cm="1">
        <f t="array" ref="V217">Common_InputFunctions.Utility_DisplayArrayInTable(Fertiliser_SourceData.Fertiliser_Products_Data5(),FertiliserProducts[[#Headers],[Company]], 121)</f>
        <v>0.04</v>
      </c>
      <c r="W217" s="152" t="str" cm="1">
        <f t="array" ref="W217">Common_InputFunctions.Utility_DisplayArrayInTable(Fertiliser_SourceData.Fertiliser_Products_Data5(),FertiliserProducts[[#Headers],[Company]], 121)</f>
        <v/>
      </c>
      <c r="X217" s="152" t="str" cm="1">
        <f t="array" ref="X217">Common_InputFunctions.Utility_DisplayArrayInTable(Fertiliser_SourceData.Fertiliser_Products_Data5(),FertiliserProducts[[#Headers],[Company]], 121)</f>
        <v/>
      </c>
      <c r="Y217" s="152" t="str" cm="1">
        <f t="array" ref="Y217">Common_InputFunctions.Utility_DisplayArrayInTable(Fertiliser_SourceData.Fertiliser_Products_Data5(),FertiliserProducts[[#Headers],[Company]], 121)</f>
        <v/>
      </c>
      <c r="Z217" s="152" t="str" cm="1">
        <f t="array" ref="Z217">Common_InputFunctions.Utility_DisplayArrayInTable(Fertiliser_SourceData.Fertiliser_Products_Data5(),FertiliserProducts[[#Headers],[Company]], 121)</f>
        <v/>
      </c>
      <c r="AA217" s="152" t="str" cm="1">
        <f t="array" ref="AA217">Common_InputFunctions.Utility_DisplayArrayInTable(Fertiliser_SourceData.Fertiliser_Products_Data5(),FertiliserProducts[[#Headers],[Company]], 121)</f>
        <v/>
      </c>
      <c r="AB217" s="152" t="str" cm="1">
        <f t="array" ref="AB217">Common_InputFunctions.Utility_DisplayArrayInTable(Fertiliser_SourceData.Fertiliser_Products_Data5(),FertiliserProducts[[#Headers],[Company]], 121)</f>
        <v/>
      </c>
      <c r="AC217" s="152" t="str" cm="1">
        <f t="array" ref="AC217">Common_InputFunctions.Utility_DisplayArrayInTable(Fertiliser_SourceData.Fertiliser_Products_Data5(),FertiliserProducts[[#Headers],[Company]], 121)</f>
        <v/>
      </c>
      <c r="AD217" s="152" t="str" cm="1">
        <f t="array" ref="AD217">Common_InputFunctions.Utility_DisplayArrayInTable(Fertiliser_SourceData.Fertiliser_Products_Data5(),FertiliserProducts[[#Headers],[Company]], 121)</f>
        <v/>
      </c>
      <c r="AE217" s="152" t="str" cm="1">
        <f t="array" ref="AE217">Common_InputFunctions.Utility_DisplayArrayInTable(Fertiliser_SourceData.Fertiliser_Products_Data5(),FertiliserProducts[[#Headers],[Company]], 121)</f>
        <v/>
      </c>
      <c r="AF217" s="152" t="str" cm="1">
        <f t="array" ref="AF217">Common_InputFunctions.Utility_DisplayArrayInTable(Fertiliser_SourceData.Fertiliser_Products_Data5(),FertiliserProducts[[#Headers],[Company]], 121)</f>
        <v/>
      </c>
      <c r="AG217" s="152" t="str" cm="1">
        <f t="array" ref="AG217">Common_InputFunctions.Utility_DisplayArrayInTable(Fertiliser_SourceData.Fertiliser_Products_Data5(),FertiliserProducts[[#Headers],[Company]], 121)</f>
        <v/>
      </c>
      <c r="AH217" s="152" t="str" cm="1">
        <f t="array" ref="AH217">Common_InputFunctions.Utility_DisplayArrayInTable(Fertiliser_SourceData.Fertiliser_Products_Data5(),FertiliserProducts[[#Headers],[Company]], 121)</f>
        <v/>
      </c>
    </row>
    <row r="218" spans="1:34" ht="20.100000000000001" customHeight="1" x14ac:dyDescent="0.2">
      <c r="D218" s="152" t="str" cm="1">
        <f t="array" ref="D218">Common_InputFunctions.Utility_DisplayArrayInTable(Fertiliser_SourceData.Fertiliser_Products_Data5(),FertiliserProducts[[#Headers],[Company]], 121)</f>
        <v>Wengfu Australia</v>
      </c>
      <c r="E218" s="152" t="str" cm="1">
        <f t="array" ref="E218">Common_InputFunctions.Utility_DisplayArrayInTable(Fertiliser_SourceData.Fertiliser_Products_Data5(),FertiliserProducts[[#Headers],[Company]], 121)</f>
        <v>Wengfu MAP Hay Booster</v>
      </c>
      <c r="F218" s="152" t="str" cm="1">
        <f t="array" ref="F218">Common_InputFunctions.Utility_DisplayArrayInTable(Fertiliser_SourceData.Fertiliser_Products_Data5(),FertiliserProducts[[#Headers],[Company]], 121)</f>
        <v>kg</v>
      </c>
      <c r="G218" s="152" cm="1">
        <f t="array" ref="G218">Common_InputFunctions.Utility_DisplayArrayInTable(Fertiliser_SourceData.Fertiliser_Products_Data5(),FertiliserProducts[[#Headers],[Company]], 121)</f>
        <v>1</v>
      </c>
      <c r="H218" s="152" t="str" cm="1">
        <f t="array" ref="H218">Common_InputFunctions.Utility_DisplayArrayInTable(Fertiliser_SourceData.Fertiliser_Products_Data5(),FertiliserProducts[[#Headers],[Company]], 121)</f>
        <v/>
      </c>
      <c r="I218" s="152" t="str" cm="1">
        <f t="array" ref="I218">Common_InputFunctions.Utility_DisplayArrayInTable(Fertiliser_SourceData.Fertiliser_Products_Data5(),FertiliserProducts[[#Headers],[Company]], 121)</f>
        <v/>
      </c>
      <c r="J218" s="152" t="str" cm="1">
        <f t="array" ref="J218">Common_InputFunctions.Utility_DisplayArrayInTable(Fertiliser_SourceData.Fertiliser_Products_Data5(),FertiliserProducts[[#Headers],[Company]], 121)</f>
        <v/>
      </c>
      <c r="K218" s="152" cm="1">
        <f t="array" ref="K218">Common_InputFunctions.Utility_DisplayArrayInTable(Fertiliser_SourceData.Fertiliser_Products_Data5(),FertiliserProducts[[#Headers],[Company]], 121)</f>
        <v>11</v>
      </c>
      <c r="L218" s="152" cm="1">
        <f t="array" ref="L218">Common_InputFunctions.Utility_DisplayArrayInTable(Fertiliser_SourceData.Fertiliser_Products_Data5(),FertiliserProducts[[#Headers],[Company]], 121)</f>
        <v>8</v>
      </c>
      <c r="M218" s="152" cm="1">
        <f t="array" ref="M218">Common_InputFunctions.Utility_DisplayArrayInTable(Fertiliser_SourceData.Fertiliser_Products_Data5(),FertiliserProducts[[#Headers],[Company]], 121)</f>
        <v>20</v>
      </c>
      <c r="N218" s="152" cm="1">
        <f t="array" ref="N218">Common_InputFunctions.Utility_DisplayArrayInTable(Fertiliser_SourceData.Fertiliser_Products_Data5(),FertiliserProducts[[#Headers],[Company]], 121)</f>
        <v>6</v>
      </c>
      <c r="O218" s="152" t="str" cm="1">
        <f t="array" ref="O218">Common_InputFunctions.Utility_DisplayArrayInTable(Fertiliser_SourceData.Fertiliser_Products_Data5(),FertiliserProducts[[#Headers],[Company]], 121)</f>
        <v>Nitrogen - Generic</v>
      </c>
      <c r="P218" s="152" cm="1">
        <f t="array" ref="P218">Common_InputFunctions.Utility_DisplayArrayInTable(Fertiliser_SourceData.Fertiliser_Products_Data5(),FertiliserProducts[[#Headers],[Company]], 121)</f>
        <v>0.11</v>
      </c>
      <c r="Q218" s="152" t="str" cm="1">
        <f t="array" ref="Q218">Common_InputFunctions.Utility_DisplayArrayInTable(Fertiliser_SourceData.Fertiliser_Products_Data5(),FertiliserProducts[[#Headers],[Company]], 121)</f>
        <v>Phosphorus - Generic</v>
      </c>
      <c r="R218" s="152" cm="1">
        <f t="array" ref="R218">Common_InputFunctions.Utility_DisplayArrayInTable(Fertiliser_SourceData.Fertiliser_Products_Data5(),FertiliserProducts[[#Headers],[Company]], 121)</f>
        <v>0.08</v>
      </c>
      <c r="S218" s="152" t="str" cm="1">
        <f t="array" ref="S218">Common_InputFunctions.Utility_DisplayArrayInTable(Fertiliser_SourceData.Fertiliser_Products_Data5(),FertiliserProducts[[#Headers],[Company]], 121)</f>
        <v>Potassium - Generic</v>
      </c>
      <c r="T218" s="152" cm="1">
        <f t="array" ref="T218">Common_InputFunctions.Utility_DisplayArrayInTable(Fertiliser_SourceData.Fertiliser_Products_Data5(),FertiliserProducts[[#Headers],[Company]], 121)</f>
        <v>0.2</v>
      </c>
      <c r="U218" s="152" t="str" cm="1">
        <f t="array" ref="U218">Common_InputFunctions.Utility_DisplayArrayInTable(Fertiliser_SourceData.Fertiliser_Products_Data5(),FertiliserProducts[[#Headers],[Company]], 121)</f>
        <v>Sulfur - Generic</v>
      </c>
      <c r="V218" s="152" cm="1">
        <f t="array" ref="V218">Common_InputFunctions.Utility_DisplayArrayInTable(Fertiliser_SourceData.Fertiliser_Products_Data5(),FertiliserProducts[[#Headers],[Company]], 121)</f>
        <v>0.06</v>
      </c>
      <c r="W218" s="152" t="str" cm="1">
        <f t="array" ref="W218">Common_InputFunctions.Utility_DisplayArrayInTable(Fertiliser_SourceData.Fertiliser_Products_Data5(),FertiliserProducts[[#Headers],[Company]], 121)</f>
        <v/>
      </c>
      <c r="X218" s="152" t="str" cm="1">
        <f t="array" ref="X218">Common_InputFunctions.Utility_DisplayArrayInTable(Fertiliser_SourceData.Fertiliser_Products_Data5(),FertiliserProducts[[#Headers],[Company]], 121)</f>
        <v/>
      </c>
      <c r="Y218" s="152" t="str" cm="1">
        <f t="array" ref="Y218">Common_InputFunctions.Utility_DisplayArrayInTable(Fertiliser_SourceData.Fertiliser_Products_Data5(),FertiliserProducts[[#Headers],[Company]], 121)</f>
        <v/>
      </c>
      <c r="Z218" s="152" t="str" cm="1">
        <f t="array" ref="Z218">Common_InputFunctions.Utility_DisplayArrayInTable(Fertiliser_SourceData.Fertiliser_Products_Data5(),FertiliserProducts[[#Headers],[Company]], 121)</f>
        <v/>
      </c>
      <c r="AA218" s="152" t="str" cm="1">
        <f t="array" ref="AA218">Common_InputFunctions.Utility_DisplayArrayInTable(Fertiliser_SourceData.Fertiliser_Products_Data5(),FertiliserProducts[[#Headers],[Company]], 121)</f>
        <v/>
      </c>
      <c r="AB218" s="152" t="str" cm="1">
        <f t="array" ref="AB218">Common_InputFunctions.Utility_DisplayArrayInTable(Fertiliser_SourceData.Fertiliser_Products_Data5(),FertiliserProducts[[#Headers],[Company]], 121)</f>
        <v/>
      </c>
      <c r="AC218" s="152" t="str" cm="1">
        <f t="array" ref="AC218">Common_InputFunctions.Utility_DisplayArrayInTable(Fertiliser_SourceData.Fertiliser_Products_Data5(),FertiliserProducts[[#Headers],[Company]], 121)</f>
        <v/>
      </c>
      <c r="AD218" s="152" t="str" cm="1">
        <f t="array" ref="AD218">Common_InputFunctions.Utility_DisplayArrayInTable(Fertiliser_SourceData.Fertiliser_Products_Data5(),FertiliserProducts[[#Headers],[Company]], 121)</f>
        <v/>
      </c>
      <c r="AE218" s="152" t="str" cm="1">
        <f t="array" ref="AE218">Common_InputFunctions.Utility_DisplayArrayInTable(Fertiliser_SourceData.Fertiliser_Products_Data5(),FertiliserProducts[[#Headers],[Company]], 121)</f>
        <v/>
      </c>
      <c r="AF218" s="152" t="str" cm="1">
        <f t="array" ref="AF218">Common_InputFunctions.Utility_DisplayArrayInTable(Fertiliser_SourceData.Fertiliser_Products_Data5(),FertiliserProducts[[#Headers],[Company]], 121)</f>
        <v/>
      </c>
      <c r="AG218" s="152" t="str" cm="1">
        <f t="array" ref="AG218">Common_InputFunctions.Utility_DisplayArrayInTable(Fertiliser_SourceData.Fertiliser_Products_Data5(),FertiliserProducts[[#Headers],[Company]], 121)</f>
        <v/>
      </c>
      <c r="AH218" s="152" t="str" cm="1">
        <f t="array" ref="AH218">Common_InputFunctions.Utility_DisplayArrayInTable(Fertiliser_SourceData.Fertiliser_Products_Data5(),FertiliserProducts[[#Headers],[Company]], 121)</f>
        <v/>
      </c>
    </row>
    <row r="219" spans="1:34" ht="20.100000000000001" customHeight="1" x14ac:dyDescent="0.2">
      <c r="D219" s="152" t="str" cm="1">
        <f t="array" ref="D219">Common_InputFunctions.Utility_DisplayArrayInTable(Fertiliser_SourceData.Fertiliser_Products_Data5(),FertiliserProducts[[#Headers],[Company]], 121)</f>
        <v>Wengfu Australia</v>
      </c>
      <c r="E219" s="152" t="str" cm="1">
        <f t="array" ref="E219">Common_InputFunctions.Utility_DisplayArrayInTable(Fertiliser_SourceData.Fertiliser_Products_Data5(),FertiliserProducts[[#Headers],[Company]], 121)</f>
        <v>Wengfu Fodder Booster</v>
      </c>
      <c r="F219" s="152" t="str" cm="1">
        <f t="array" ref="F219">Common_InputFunctions.Utility_DisplayArrayInTable(Fertiliser_SourceData.Fertiliser_Products_Data5(),FertiliserProducts[[#Headers],[Company]], 121)</f>
        <v>kg</v>
      </c>
      <c r="G219" s="152" cm="1">
        <f t="array" ref="G219">Common_InputFunctions.Utility_DisplayArrayInTable(Fertiliser_SourceData.Fertiliser_Products_Data5(),FertiliserProducts[[#Headers],[Company]], 121)</f>
        <v>1</v>
      </c>
      <c r="H219" s="152" t="str" cm="1">
        <f t="array" ref="H219">Common_InputFunctions.Utility_DisplayArrayInTable(Fertiliser_SourceData.Fertiliser_Products_Data5(),FertiliserProducts[[#Headers],[Company]], 121)</f>
        <v/>
      </c>
      <c r="I219" s="152" t="str" cm="1">
        <f t="array" ref="I219">Common_InputFunctions.Utility_DisplayArrayInTable(Fertiliser_SourceData.Fertiliser_Products_Data5(),FertiliserProducts[[#Headers],[Company]], 121)</f>
        <v/>
      </c>
      <c r="J219" s="152" t="str" cm="1">
        <f t="array" ref="J219">Common_InputFunctions.Utility_DisplayArrayInTable(Fertiliser_SourceData.Fertiliser_Products_Data5(),FertiliserProducts[[#Headers],[Company]], 121)</f>
        <v/>
      </c>
      <c r="K219" s="152" cm="1">
        <f t="array" ref="K219">Common_InputFunctions.Utility_DisplayArrayInTable(Fertiliser_SourceData.Fertiliser_Products_Data5(),FertiliserProducts[[#Headers],[Company]], 121)</f>
        <v>9</v>
      </c>
      <c r="L219" s="152" cm="1">
        <f t="array" ref="L219">Common_InputFunctions.Utility_DisplayArrayInTable(Fertiliser_SourceData.Fertiliser_Products_Data5(),FertiliserProducts[[#Headers],[Company]], 121)</f>
        <v>4</v>
      </c>
      <c r="M219" s="152" cm="1">
        <f t="array" ref="M219">Common_InputFunctions.Utility_DisplayArrayInTable(Fertiliser_SourceData.Fertiliser_Products_Data5(),FertiliserProducts[[#Headers],[Company]], 121)</f>
        <v>5</v>
      </c>
      <c r="N219" s="152" cm="1">
        <f t="array" ref="N219">Common_InputFunctions.Utility_DisplayArrayInTable(Fertiliser_SourceData.Fertiliser_Products_Data5(),FertiliserProducts[[#Headers],[Company]], 121)</f>
        <v>15</v>
      </c>
      <c r="O219" s="152" t="str" cm="1">
        <f t="array" ref="O219">Common_InputFunctions.Utility_DisplayArrayInTable(Fertiliser_SourceData.Fertiliser_Products_Data5(),FertiliserProducts[[#Headers],[Company]], 121)</f>
        <v>Nitrogen - Generic</v>
      </c>
      <c r="P219" s="152" cm="1">
        <f t="array" ref="P219">Common_InputFunctions.Utility_DisplayArrayInTable(Fertiliser_SourceData.Fertiliser_Products_Data5(),FertiliserProducts[[#Headers],[Company]], 121)</f>
        <v>0.09</v>
      </c>
      <c r="Q219" s="152" t="str" cm="1">
        <f t="array" ref="Q219">Common_InputFunctions.Utility_DisplayArrayInTable(Fertiliser_SourceData.Fertiliser_Products_Data5(),FertiliserProducts[[#Headers],[Company]], 121)</f>
        <v>Phosphorus - Generic</v>
      </c>
      <c r="R219" s="152" cm="1">
        <f t="array" ref="R219">Common_InputFunctions.Utility_DisplayArrayInTable(Fertiliser_SourceData.Fertiliser_Products_Data5(),FertiliserProducts[[#Headers],[Company]], 121)</f>
        <v>0.04</v>
      </c>
      <c r="S219" s="152" t="str" cm="1">
        <f t="array" ref="S219">Common_InputFunctions.Utility_DisplayArrayInTable(Fertiliser_SourceData.Fertiliser_Products_Data5(),FertiliserProducts[[#Headers],[Company]], 121)</f>
        <v>Potassium - Generic</v>
      </c>
      <c r="T219" s="152" cm="1">
        <f t="array" ref="T219">Common_InputFunctions.Utility_DisplayArrayInTable(Fertiliser_SourceData.Fertiliser_Products_Data5(),FertiliserProducts[[#Headers],[Company]], 121)</f>
        <v>0.05</v>
      </c>
      <c r="U219" s="152" t="str" cm="1">
        <f t="array" ref="U219">Common_InputFunctions.Utility_DisplayArrayInTable(Fertiliser_SourceData.Fertiliser_Products_Data5(),FertiliserProducts[[#Headers],[Company]], 121)</f>
        <v>Sulfur - Generic</v>
      </c>
      <c r="V219" s="152" cm="1">
        <f t="array" ref="V219">Common_InputFunctions.Utility_DisplayArrayInTable(Fertiliser_SourceData.Fertiliser_Products_Data5(),FertiliserProducts[[#Headers],[Company]], 121)</f>
        <v>0.15</v>
      </c>
      <c r="W219" s="152" t="str" cm="1">
        <f t="array" ref="W219">Common_InputFunctions.Utility_DisplayArrayInTable(Fertiliser_SourceData.Fertiliser_Products_Data5(),FertiliserProducts[[#Headers],[Company]], 121)</f>
        <v/>
      </c>
      <c r="X219" s="152" t="str" cm="1">
        <f t="array" ref="X219">Common_InputFunctions.Utility_DisplayArrayInTable(Fertiliser_SourceData.Fertiliser_Products_Data5(),FertiliserProducts[[#Headers],[Company]], 121)</f>
        <v/>
      </c>
      <c r="Y219" s="152" t="str" cm="1">
        <f t="array" ref="Y219">Common_InputFunctions.Utility_DisplayArrayInTable(Fertiliser_SourceData.Fertiliser_Products_Data5(),FertiliserProducts[[#Headers],[Company]], 121)</f>
        <v/>
      </c>
      <c r="Z219" s="152" t="str" cm="1">
        <f t="array" ref="Z219">Common_InputFunctions.Utility_DisplayArrayInTable(Fertiliser_SourceData.Fertiliser_Products_Data5(),FertiliserProducts[[#Headers],[Company]], 121)</f>
        <v/>
      </c>
      <c r="AA219" s="152" t="str" cm="1">
        <f t="array" ref="AA219">Common_InputFunctions.Utility_DisplayArrayInTable(Fertiliser_SourceData.Fertiliser_Products_Data5(),FertiliserProducts[[#Headers],[Company]], 121)</f>
        <v/>
      </c>
      <c r="AB219" s="152" t="str" cm="1">
        <f t="array" ref="AB219">Common_InputFunctions.Utility_DisplayArrayInTable(Fertiliser_SourceData.Fertiliser_Products_Data5(),FertiliserProducts[[#Headers],[Company]], 121)</f>
        <v/>
      </c>
      <c r="AC219" s="152" t="str" cm="1">
        <f t="array" ref="AC219">Common_InputFunctions.Utility_DisplayArrayInTable(Fertiliser_SourceData.Fertiliser_Products_Data5(),FertiliserProducts[[#Headers],[Company]], 121)</f>
        <v/>
      </c>
      <c r="AD219" s="152" t="str" cm="1">
        <f t="array" ref="AD219">Common_InputFunctions.Utility_DisplayArrayInTable(Fertiliser_SourceData.Fertiliser_Products_Data5(),FertiliserProducts[[#Headers],[Company]], 121)</f>
        <v/>
      </c>
      <c r="AE219" s="152" t="str" cm="1">
        <f t="array" ref="AE219">Common_InputFunctions.Utility_DisplayArrayInTable(Fertiliser_SourceData.Fertiliser_Products_Data5(),FertiliserProducts[[#Headers],[Company]], 121)</f>
        <v/>
      </c>
      <c r="AF219" s="152" t="str" cm="1">
        <f t="array" ref="AF219">Common_InputFunctions.Utility_DisplayArrayInTable(Fertiliser_SourceData.Fertiliser_Products_Data5(),FertiliserProducts[[#Headers],[Company]], 121)</f>
        <v/>
      </c>
      <c r="AG219" s="152" t="str" cm="1">
        <f t="array" ref="AG219">Common_InputFunctions.Utility_DisplayArrayInTable(Fertiliser_SourceData.Fertiliser_Products_Data5(),FertiliserProducts[[#Headers],[Company]], 121)</f>
        <v/>
      </c>
      <c r="AH219" s="152" t="str" cm="1">
        <f t="array" ref="AH219">Common_InputFunctions.Utility_DisplayArrayInTable(Fertiliser_SourceData.Fertiliser_Products_Data5(),FertiliserProducts[[#Headers],[Company]], 121)</f>
        <v/>
      </c>
    </row>
    <row r="220" spans="1:34" ht="20.100000000000001" customHeight="1" x14ac:dyDescent="0.2">
      <c r="D220" s="152" t="str" cm="1">
        <f t="array" ref="D220">Common_InputFunctions.Utility_DisplayArrayInTable(Fertiliser_SourceData.Fertiliser_Products_Data5(),FertiliserProducts[[#Headers],[Company]], 121)</f>
        <v>CSBP</v>
      </c>
      <c r="E220" s="152" t="str" cm="1">
        <f t="array" ref="E220">Common_InputFunctions.Utility_DisplayArrayInTable(Fertiliser_SourceData.Fertiliser_Products_Data5(),FertiliserProducts[[#Headers],[Company]], 121)</f>
        <v>K-Till Extra</v>
      </c>
      <c r="F220" s="152" t="str" cm="1">
        <f t="array" ref="F220">Common_InputFunctions.Utility_DisplayArrayInTable(Fertiliser_SourceData.Fertiliser_Products_Data5(),FertiliserProducts[[#Headers],[Company]], 121)</f>
        <v>kg</v>
      </c>
      <c r="G220" s="152" cm="1">
        <f t="array" ref="G220">Common_InputFunctions.Utility_DisplayArrayInTable(Fertiliser_SourceData.Fertiliser_Products_Data5(),FertiliserProducts[[#Headers],[Company]], 121)</f>
        <v>1</v>
      </c>
      <c r="H220" s="152" t="str" cm="1">
        <f t="array" ref="H220">Common_InputFunctions.Utility_DisplayArrayInTable(Fertiliser_SourceData.Fertiliser_Products_Data5(),FertiliserProducts[[#Headers],[Company]], 121)</f>
        <v/>
      </c>
      <c r="I220" s="152" t="str" cm="1">
        <f t="array" ref="I220">Common_InputFunctions.Utility_DisplayArrayInTable(Fertiliser_SourceData.Fertiliser_Products_Data5(),FertiliserProducts[[#Headers],[Company]], 121)</f>
        <v/>
      </c>
      <c r="J220" s="152" t="str" cm="1">
        <f t="array" ref="J220">Common_InputFunctions.Utility_DisplayArrayInTable(Fertiliser_SourceData.Fertiliser_Products_Data5(),FertiliserProducts[[#Headers],[Company]], 121)</f>
        <v/>
      </c>
      <c r="K220" s="152" cm="1">
        <f t="array" ref="K220">Common_InputFunctions.Utility_DisplayArrayInTable(Fertiliser_SourceData.Fertiliser_Products_Data5(),FertiliserProducts[[#Headers],[Company]], 121)</f>
        <v>10.73</v>
      </c>
      <c r="L220" s="152" cm="1">
        <f t="array" ref="L220">Common_InputFunctions.Utility_DisplayArrayInTable(Fertiliser_SourceData.Fertiliser_Products_Data5(),FertiliserProducts[[#Headers],[Company]], 121)</f>
        <v>10.95</v>
      </c>
      <c r="M220" s="152" cm="1">
        <f t="array" ref="M220">Common_InputFunctions.Utility_DisplayArrayInTable(Fertiliser_SourceData.Fertiliser_Products_Data5(),FertiliserProducts[[#Headers],[Company]], 121)</f>
        <v>11.35</v>
      </c>
      <c r="N220" s="152" cm="1">
        <f t="array" ref="N220">Common_InputFunctions.Utility_DisplayArrayInTable(Fertiliser_SourceData.Fertiliser_Products_Data5(),FertiliserProducts[[#Headers],[Company]], 121)</f>
        <v>6.55</v>
      </c>
      <c r="O220" s="152" t="str" cm="1">
        <f t="array" ref="O220">Common_InputFunctions.Utility_DisplayArrayInTable(Fertiliser_SourceData.Fertiliser_Products_Data5(),FertiliserProducts[[#Headers],[Company]], 121)</f>
        <v>Monoammonium phosphate (MAP)</v>
      </c>
      <c r="P220" s="152" cm="1">
        <f t="array" ref="P220">Common_InputFunctions.Utility_DisplayArrayInTable(Fertiliser_SourceData.Fertiliser_Products_Data5(),FertiliserProducts[[#Headers],[Company]], 121)</f>
        <v>0.5</v>
      </c>
      <c r="Q220" s="152" t="str" cm="1">
        <f t="array" ref="Q220">Common_InputFunctions.Utility_DisplayArrayInTable(Fertiliser_SourceData.Fertiliser_Products_Data5(),FertiliserProducts[[#Headers],[Company]], 121)</f>
        <v>Sulphate of ammonia (SOA)</v>
      </c>
      <c r="R220" s="152" cm="1">
        <f t="array" ref="R220">Common_InputFunctions.Utility_DisplayArrayInTable(Fertiliser_SourceData.Fertiliser_Products_Data5(),FertiliserProducts[[#Headers],[Company]], 121)</f>
        <v>0.27300000000000002</v>
      </c>
      <c r="S220" s="152" t="str" cm="1">
        <f t="array" ref="S220">Common_InputFunctions.Utility_DisplayArrayInTable(Fertiliser_SourceData.Fertiliser_Products_Data5(),FertiliserProducts[[#Headers],[Company]], 121)</f>
        <v>Muriate of potash (MOP)</v>
      </c>
      <c r="T220" s="152" cm="1">
        <f t="array" ref="T220">Common_InputFunctions.Utility_DisplayArrayInTable(Fertiliser_SourceData.Fertiliser_Products_Data5(),FertiliserProducts[[#Headers],[Company]], 121)</f>
        <v>0.22700000000000001</v>
      </c>
      <c r="U220" s="152" t="str" cm="1">
        <f t="array" ref="U220">Common_InputFunctions.Utility_DisplayArrayInTable(Fertiliser_SourceData.Fertiliser_Products_Data5(),FertiliserProducts[[#Headers],[Company]], 121)</f>
        <v>Copper</v>
      </c>
      <c r="V220" s="152" t="str" cm="1">
        <f t="array" ref="V220">Common_InputFunctions.Utility_DisplayArrayInTable(Fertiliser_SourceData.Fertiliser_Products_Data5(),FertiliserProducts[[#Headers],[Company]], 121)</f>
        <v>No data</v>
      </c>
      <c r="W220" s="152" t="str" cm="1">
        <f t="array" ref="W220">Common_InputFunctions.Utility_DisplayArrayInTable(Fertiliser_SourceData.Fertiliser_Products_Data5(),FertiliserProducts[[#Headers],[Company]], 121)</f>
        <v>Zinc</v>
      </c>
      <c r="X220" s="152" t="str" cm="1">
        <f t="array" ref="X220">Common_InputFunctions.Utility_DisplayArrayInTable(Fertiliser_SourceData.Fertiliser_Products_Data5(),FertiliserProducts[[#Headers],[Company]], 121)</f>
        <v>No data</v>
      </c>
      <c r="Y220" s="152" t="str" cm="1">
        <f t="array" ref="Y220">Common_InputFunctions.Utility_DisplayArrayInTable(Fertiliser_SourceData.Fertiliser_Products_Data5(),FertiliserProducts[[#Headers],[Company]], 121)</f>
        <v/>
      </c>
      <c r="Z220" s="152" t="str" cm="1">
        <f t="array" ref="Z220">Common_InputFunctions.Utility_DisplayArrayInTable(Fertiliser_SourceData.Fertiliser_Products_Data5(),FertiliserProducts[[#Headers],[Company]], 121)</f>
        <v/>
      </c>
      <c r="AA220" s="152" t="str" cm="1">
        <f t="array" ref="AA220">Common_InputFunctions.Utility_DisplayArrayInTable(Fertiliser_SourceData.Fertiliser_Products_Data5(),FertiliserProducts[[#Headers],[Company]], 121)</f>
        <v/>
      </c>
      <c r="AB220" s="152" t="str" cm="1">
        <f t="array" ref="AB220">Common_InputFunctions.Utility_DisplayArrayInTable(Fertiliser_SourceData.Fertiliser_Products_Data5(),FertiliserProducts[[#Headers],[Company]], 121)</f>
        <v/>
      </c>
      <c r="AC220" s="152" t="str" cm="1">
        <f t="array" ref="AC220">Common_InputFunctions.Utility_DisplayArrayInTable(Fertiliser_SourceData.Fertiliser_Products_Data5(),FertiliserProducts[[#Headers],[Company]], 121)</f>
        <v/>
      </c>
      <c r="AD220" s="152" t="str" cm="1">
        <f t="array" ref="AD220">Common_InputFunctions.Utility_DisplayArrayInTable(Fertiliser_SourceData.Fertiliser_Products_Data5(),FertiliserProducts[[#Headers],[Company]], 121)</f>
        <v/>
      </c>
      <c r="AE220" s="152" t="str" cm="1">
        <f t="array" ref="AE220">Common_InputFunctions.Utility_DisplayArrayInTable(Fertiliser_SourceData.Fertiliser_Products_Data5(),FertiliserProducts[[#Headers],[Company]], 121)</f>
        <v/>
      </c>
      <c r="AF220" s="152" t="str" cm="1">
        <f t="array" ref="AF220">Common_InputFunctions.Utility_DisplayArrayInTable(Fertiliser_SourceData.Fertiliser_Products_Data5(),FertiliserProducts[[#Headers],[Company]], 121)</f>
        <v/>
      </c>
      <c r="AG220" s="152" t="str" cm="1">
        <f t="array" ref="AG220">Common_InputFunctions.Utility_DisplayArrayInTable(Fertiliser_SourceData.Fertiliser_Products_Data5(),FertiliserProducts[[#Headers],[Company]], 121)</f>
        <v/>
      </c>
      <c r="AH220" s="152" t="str" cm="1">
        <f t="array" ref="AH220">Common_InputFunctions.Utility_DisplayArrayInTable(Fertiliser_SourceData.Fertiliser_Products_Data5(),FertiliserProducts[[#Headers],[Company]], 121)</f>
        <v/>
      </c>
    </row>
    <row r="221" spans="1:34" ht="20.100000000000001" customHeight="1" x14ac:dyDescent="0.2">
      <c r="D221" s="152" t="str" cm="1">
        <f t="array" ref="D221">Common_InputFunctions.Utility_DisplayArrayInTable(Fertiliser_SourceData.Fertiliser_Products_Data5(),FertiliserProducts[[#Headers],[Company]], 121)</f>
        <v>CSBP</v>
      </c>
      <c r="E221" s="152" t="str" cm="1">
        <f t="array" ref="E221">Common_InputFunctions.Utility_DisplayArrayInTable(Fertiliser_SourceData.Fertiliser_Products_Data5(),FertiliserProducts[[#Headers],[Company]], 121)</f>
        <v>Agras Extra</v>
      </c>
      <c r="F221" s="152" t="str" cm="1">
        <f t="array" ref="F221">Common_InputFunctions.Utility_DisplayArrayInTable(Fertiliser_SourceData.Fertiliser_Products_Data5(),FertiliserProducts[[#Headers],[Company]], 121)</f>
        <v>kg</v>
      </c>
      <c r="G221" s="152" cm="1">
        <f t="array" ref="G221">Common_InputFunctions.Utility_DisplayArrayInTable(Fertiliser_SourceData.Fertiliser_Products_Data5(),FertiliserProducts[[#Headers],[Company]], 121)</f>
        <v>1</v>
      </c>
      <c r="H221" s="152" t="str" cm="1">
        <f t="array" ref="H221">Common_InputFunctions.Utility_DisplayArrayInTable(Fertiliser_SourceData.Fertiliser_Products_Data5(),FertiliserProducts[[#Headers],[Company]], 121)</f>
        <v/>
      </c>
      <c r="I221" s="152" t="str" cm="1">
        <f t="array" ref="I221">Common_InputFunctions.Utility_DisplayArrayInTable(Fertiliser_SourceData.Fertiliser_Products_Data5(),FertiliserProducts[[#Headers],[Company]], 121)</f>
        <v/>
      </c>
      <c r="J221" s="152" t="str" cm="1">
        <f t="array" ref="J221">Common_InputFunctions.Utility_DisplayArrayInTable(Fertiliser_SourceData.Fertiliser_Products_Data5(),FertiliserProducts[[#Headers],[Company]], 121)</f>
        <v/>
      </c>
      <c r="K221" s="152" cm="1">
        <f t="array" ref="K221">Common_InputFunctions.Utility_DisplayArrayInTable(Fertiliser_SourceData.Fertiliser_Products_Data5(),FertiliserProducts[[#Headers],[Company]], 121)</f>
        <v>16.95</v>
      </c>
      <c r="L221" s="152" cm="1">
        <f t="array" ref="L221">Common_InputFunctions.Utility_DisplayArrayInTable(Fertiliser_SourceData.Fertiliser_Products_Data5(),FertiliserProducts[[#Headers],[Company]], 121)</f>
        <v>8.06</v>
      </c>
      <c r="M221" s="152" t="str" cm="1">
        <f t="array" ref="M221">Common_InputFunctions.Utility_DisplayArrayInTable(Fertiliser_SourceData.Fertiliser_Products_Data5(),FertiliserProducts[[#Headers],[Company]], 121)</f>
        <v/>
      </c>
      <c r="N221" s="152" cm="1">
        <f t="array" ref="N221">Common_InputFunctions.Utility_DisplayArrayInTable(Fertiliser_SourceData.Fertiliser_Products_Data5(),FertiliserProducts[[#Headers],[Company]], 121)</f>
        <v>15.17</v>
      </c>
      <c r="O221" s="152" t="str" cm="1">
        <f t="array" ref="O221">Common_InputFunctions.Utility_DisplayArrayInTable(Fertiliser_SourceData.Fertiliser_Products_Data5(),FertiliserProducts[[#Headers],[Company]], 121)</f>
        <v>Sulphate of ammonia (SOA)</v>
      </c>
      <c r="P221" s="152" cm="1">
        <f t="array" ref="P221">Common_InputFunctions.Utility_DisplayArrayInTable(Fertiliser_SourceData.Fertiliser_Products_Data5(),FertiliserProducts[[#Headers],[Company]], 121)</f>
        <v>0.63200000000000001</v>
      </c>
      <c r="Q221" s="152" t="str" cm="1">
        <f t="array" ref="Q221">Common_InputFunctions.Utility_DisplayArrayInTable(Fertiliser_SourceData.Fertiliser_Products_Data5(),FertiliserProducts[[#Headers],[Company]], 121)</f>
        <v>Monoammonium phosphate (MAP)</v>
      </c>
      <c r="R221" s="152" cm="1">
        <f t="array" ref="R221">Common_InputFunctions.Utility_DisplayArrayInTable(Fertiliser_SourceData.Fertiliser_Products_Data5(),FertiliserProducts[[#Headers],[Company]], 121)</f>
        <v>0.36799999999999999</v>
      </c>
      <c r="S221" s="152" t="str" cm="1">
        <f t="array" ref="S221">Common_InputFunctions.Utility_DisplayArrayInTable(Fertiliser_SourceData.Fertiliser_Products_Data5(),FertiliserProducts[[#Headers],[Company]], 121)</f>
        <v>Zinc</v>
      </c>
      <c r="T221" s="152" t="str" cm="1">
        <f t="array" ref="T221">Common_InputFunctions.Utility_DisplayArrayInTable(Fertiliser_SourceData.Fertiliser_Products_Data5(),FertiliserProducts[[#Headers],[Company]], 121)</f>
        <v>No data</v>
      </c>
      <c r="U221" s="152" t="str" cm="1">
        <f t="array" ref="U221">Common_InputFunctions.Utility_DisplayArrayInTable(Fertiliser_SourceData.Fertiliser_Products_Data5(),FertiliserProducts[[#Headers],[Company]], 121)</f>
        <v>Copper</v>
      </c>
      <c r="V221" s="152" t="str" cm="1">
        <f t="array" ref="V221">Common_InputFunctions.Utility_DisplayArrayInTable(Fertiliser_SourceData.Fertiliser_Products_Data5(),FertiliserProducts[[#Headers],[Company]], 121)</f>
        <v>No data</v>
      </c>
      <c r="W221" s="152" t="str" cm="1">
        <f t="array" ref="W221">Common_InputFunctions.Utility_DisplayArrayInTable(Fertiliser_SourceData.Fertiliser_Products_Data5(),FertiliserProducts[[#Headers],[Company]], 121)</f>
        <v>Molybdenum</v>
      </c>
      <c r="X221" s="152" t="str" cm="1">
        <f t="array" ref="X221">Common_InputFunctions.Utility_DisplayArrayInTable(Fertiliser_SourceData.Fertiliser_Products_Data5(),FertiliserProducts[[#Headers],[Company]], 121)</f>
        <v>No data</v>
      </c>
      <c r="Y221" s="152" t="str" cm="1">
        <f t="array" ref="Y221">Common_InputFunctions.Utility_DisplayArrayInTable(Fertiliser_SourceData.Fertiliser_Products_Data5(),FertiliserProducts[[#Headers],[Company]], 121)</f>
        <v>Cobalt</v>
      </c>
      <c r="Z221" s="152" t="str" cm="1">
        <f t="array" ref="Z221">Common_InputFunctions.Utility_DisplayArrayInTable(Fertiliser_SourceData.Fertiliser_Products_Data5(),FertiliserProducts[[#Headers],[Company]], 121)</f>
        <v>No data</v>
      </c>
      <c r="AA221" s="152" t="str" cm="1">
        <f t="array" ref="AA221">Common_InputFunctions.Utility_DisplayArrayInTable(Fertiliser_SourceData.Fertiliser_Products_Data5(),FertiliserProducts[[#Headers],[Company]], 121)</f>
        <v/>
      </c>
      <c r="AB221" s="152" t="str" cm="1">
        <f t="array" ref="AB221">Common_InputFunctions.Utility_DisplayArrayInTable(Fertiliser_SourceData.Fertiliser_Products_Data5(),FertiliserProducts[[#Headers],[Company]], 121)</f>
        <v/>
      </c>
      <c r="AC221" s="152" t="str" cm="1">
        <f t="array" ref="AC221">Common_InputFunctions.Utility_DisplayArrayInTable(Fertiliser_SourceData.Fertiliser_Products_Data5(),FertiliserProducts[[#Headers],[Company]], 121)</f>
        <v/>
      </c>
      <c r="AD221" s="152" t="str" cm="1">
        <f t="array" ref="AD221">Common_InputFunctions.Utility_DisplayArrayInTable(Fertiliser_SourceData.Fertiliser_Products_Data5(),FertiliserProducts[[#Headers],[Company]], 121)</f>
        <v/>
      </c>
      <c r="AE221" s="152" t="str" cm="1">
        <f t="array" ref="AE221">Common_InputFunctions.Utility_DisplayArrayInTable(Fertiliser_SourceData.Fertiliser_Products_Data5(),FertiliserProducts[[#Headers],[Company]], 121)</f>
        <v/>
      </c>
      <c r="AF221" s="152" t="str" cm="1">
        <f t="array" ref="AF221">Common_InputFunctions.Utility_DisplayArrayInTable(Fertiliser_SourceData.Fertiliser_Products_Data5(),FertiliserProducts[[#Headers],[Company]], 121)</f>
        <v/>
      </c>
      <c r="AG221" s="152" t="str" cm="1">
        <f t="array" ref="AG221">Common_InputFunctions.Utility_DisplayArrayInTable(Fertiliser_SourceData.Fertiliser_Products_Data5(),FertiliserProducts[[#Headers],[Company]], 121)</f>
        <v/>
      </c>
      <c r="AH221" s="152" t="str" cm="1">
        <f t="array" ref="AH221">Common_InputFunctions.Utility_DisplayArrayInTable(Fertiliser_SourceData.Fertiliser_Products_Data5(),FertiliserProducts[[#Headers],[Company]], 121)</f>
        <v/>
      </c>
    </row>
    <row r="222" spans="1:34" ht="20.100000000000001" customHeight="1" x14ac:dyDescent="0.2">
      <c r="D222" s="152" t="str" cm="1">
        <f t="array" ref="D222">Common_InputFunctions.Utility_DisplayArrayInTable(Fertiliser_SourceData.Fertiliser_Products_Data5(),FertiliserProducts[[#Headers],[Company]], 121)</f>
        <v>CSBP</v>
      </c>
      <c r="E222" s="152" t="str" cm="1">
        <f t="array" ref="E222">Common_InputFunctions.Utility_DisplayArrayInTable(Fertiliser_SourceData.Fertiliser_Products_Data5(),FertiliserProducts[[#Headers],[Company]], 121)</f>
        <v>Super Copper Zinc Moly</v>
      </c>
      <c r="F222" s="152" t="str" cm="1">
        <f t="array" ref="F222">Common_InputFunctions.Utility_DisplayArrayInTable(Fertiliser_SourceData.Fertiliser_Products_Data5(),FertiliserProducts[[#Headers],[Company]], 121)</f>
        <v>kg</v>
      </c>
      <c r="G222" s="152" cm="1">
        <f t="array" ref="G222">Common_InputFunctions.Utility_DisplayArrayInTable(Fertiliser_SourceData.Fertiliser_Products_Data5(),FertiliserProducts[[#Headers],[Company]], 121)</f>
        <v>1</v>
      </c>
      <c r="H222" s="152" t="str" cm="1">
        <f t="array" ref="H222">Common_InputFunctions.Utility_DisplayArrayInTable(Fertiliser_SourceData.Fertiliser_Products_Data5(),FertiliserProducts[[#Headers],[Company]], 121)</f>
        <v/>
      </c>
      <c r="I222" s="152" t="str" cm="1">
        <f t="array" ref="I222">Common_InputFunctions.Utility_DisplayArrayInTable(Fertiliser_SourceData.Fertiliser_Products_Data5(),FertiliserProducts[[#Headers],[Company]], 121)</f>
        <v/>
      </c>
      <c r="J222" s="152" t="str" cm="1">
        <f t="array" ref="J222">Common_InputFunctions.Utility_DisplayArrayInTable(Fertiliser_SourceData.Fertiliser_Products_Data5(),FertiliserProducts[[#Headers],[Company]], 121)</f>
        <v/>
      </c>
      <c r="K222" s="152" t="str" cm="1">
        <f t="array" ref="K222">Common_InputFunctions.Utility_DisplayArrayInTable(Fertiliser_SourceData.Fertiliser_Products_Data5(),FertiliserProducts[[#Headers],[Company]], 121)</f>
        <v/>
      </c>
      <c r="L222" s="152" cm="1">
        <f t="array" ref="L222">Common_InputFunctions.Utility_DisplayArrayInTable(Fertiliser_SourceData.Fertiliser_Products_Data5(),FertiliserProducts[[#Headers],[Company]], 121)</f>
        <v>8.8000000000000007</v>
      </c>
      <c r="M222" s="152" t="str" cm="1">
        <f t="array" ref="M222">Common_InputFunctions.Utility_DisplayArrayInTable(Fertiliser_SourceData.Fertiliser_Products_Data5(),FertiliserProducts[[#Headers],[Company]], 121)</f>
        <v/>
      </c>
      <c r="N222" s="152" cm="1">
        <f t="array" ref="N222">Common_InputFunctions.Utility_DisplayArrayInTable(Fertiliser_SourceData.Fertiliser_Products_Data5(),FertiliserProducts[[#Headers],[Company]], 121)</f>
        <v>11</v>
      </c>
      <c r="O222" s="152" t="str" cm="1">
        <f t="array" ref="O222">Common_InputFunctions.Utility_DisplayArrayInTable(Fertiliser_SourceData.Fertiliser_Products_Data5(),FertiliserProducts[[#Headers],[Company]], 121)</f>
        <v>Single superphosphate (SSP)</v>
      </c>
      <c r="P222" s="152" cm="1">
        <f t="array" ref="P222">Common_InputFunctions.Utility_DisplayArrayInTable(Fertiliser_SourceData.Fertiliser_Products_Data5(),FertiliserProducts[[#Headers],[Company]], 121)</f>
        <v>1</v>
      </c>
      <c r="Q222" s="152" t="str" cm="1">
        <f t="array" ref="Q222">Common_InputFunctions.Utility_DisplayArrayInTable(Fertiliser_SourceData.Fertiliser_Products_Data5(),FertiliserProducts[[#Headers],[Company]], 121)</f>
        <v>Copper</v>
      </c>
      <c r="R222" s="152" cm="1">
        <f t="array" ref="R222">Common_InputFunctions.Utility_DisplayArrayInTable(Fertiliser_SourceData.Fertiliser_Products_Data5(),FertiliserProducts[[#Headers],[Company]], 121)</f>
        <v>6.0000000000000001E-3</v>
      </c>
      <c r="S222" s="152" t="str" cm="1">
        <f t="array" ref="S222">Common_InputFunctions.Utility_DisplayArrayInTable(Fertiliser_SourceData.Fertiliser_Products_Data5(),FertiliserProducts[[#Headers],[Company]], 121)</f>
        <v>Zinc</v>
      </c>
      <c r="T222" s="152" cm="1">
        <f t="array" ref="T222">Common_InputFunctions.Utility_DisplayArrayInTable(Fertiliser_SourceData.Fertiliser_Products_Data5(),FertiliserProducts[[#Headers],[Company]], 121)</f>
        <v>3.0000000000000001E-3</v>
      </c>
      <c r="U222" s="152" t="str" cm="1">
        <f t="array" ref="U222">Common_InputFunctions.Utility_DisplayArrayInTable(Fertiliser_SourceData.Fertiliser_Products_Data5(),FertiliserProducts[[#Headers],[Company]], 121)</f>
        <v>Molybdenum</v>
      </c>
      <c r="V222" s="152" cm="1">
        <f t="array" ref="V222">Common_InputFunctions.Utility_DisplayArrayInTable(Fertiliser_SourceData.Fertiliser_Products_Data5(),FertiliserProducts[[#Headers],[Company]], 121)</f>
        <v>5.9999999999999995E-4</v>
      </c>
      <c r="W222" s="152" t="str" cm="1">
        <f t="array" ref="W222">Common_InputFunctions.Utility_DisplayArrayInTable(Fertiliser_SourceData.Fertiliser_Products_Data5(),FertiliserProducts[[#Headers],[Company]], 121)</f>
        <v/>
      </c>
      <c r="X222" s="152" t="str" cm="1">
        <f t="array" ref="X222">Common_InputFunctions.Utility_DisplayArrayInTable(Fertiliser_SourceData.Fertiliser_Products_Data5(),FertiliserProducts[[#Headers],[Company]], 121)</f>
        <v/>
      </c>
      <c r="Y222" s="152" t="str" cm="1">
        <f t="array" ref="Y222">Common_InputFunctions.Utility_DisplayArrayInTable(Fertiliser_SourceData.Fertiliser_Products_Data5(),FertiliserProducts[[#Headers],[Company]], 121)</f>
        <v/>
      </c>
      <c r="Z222" s="152" t="str" cm="1">
        <f t="array" ref="Z222">Common_InputFunctions.Utility_DisplayArrayInTable(Fertiliser_SourceData.Fertiliser_Products_Data5(),FertiliserProducts[[#Headers],[Company]], 121)</f>
        <v/>
      </c>
      <c r="AA222" s="152" t="str" cm="1">
        <f t="array" ref="AA222">Common_InputFunctions.Utility_DisplayArrayInTable(Fertiliser_SourceData.Fertiliser_Products_Data5(),FertiliserProducts[[#Headers],[Company]], 121)</f>
        <v/>
      </c>
      <c r="AB222" s="152" t="str" cm="1">
        <f t="array" ref="AB222">Common_InputFunctions.Utility_DisplayArrayInTable(Fertiliser_SourceData.Fertiliser_Products_Data5(),FertiliserProducts[[#Headers],[Company]], 121)</f>
        <v/>
      </c>
      <c r="AC222" s="152" t="str" cm="1">
        <f t="array" ref="AC222">Common_InputFunctions.Utility_DisplayArrayInTable(Fertiliser_SourceData.Fertiliser_Products_Data5(),FertiliserProducts[[#Headers],[Company]], 121)</f>
        <v/>
      </c>
      <c r="AD222" s="152" t="str" cm="1">
        <f t="array" ref="AD222">Common_InputFunctions.Utility_DisplayArrayInTable(Fertiliser_SourceData.Fertiliser_Products_Data5(),FertiliserProducts[[#Headers],[Company]], 121)</f>
        <v/>
      </c>
      <c r="AE222" s="152" t="str" cm="1">
        <f t="array" ref="AE222">Common_InputFunctions.Utility_DisplayArrayInTable(Fertiliser_SourceData.Fertiliser_Products_Data5(),FertiliserProducts[[#Headers],[Company]], 121)</f>
        <v/>
      </c>
      <c r="AF222" s="152" t="str" cm="1">
        <f t="array" ref="AF222">Common_InputFunctions.Utility_DisplayArrayInTable(Fertiliser_SourceData.Fertiliser_Products_Data5(),FertiliserProducts[[#Headers],[Company]], 121)</f>
        <v/>
      </c>
      <c r="AG222" s="152" t="str" cm="1">
        <f t="array" ref="AG222">Common_InputFunctions.Utility_DisplayArrayInTable(Fertiliser_SourceData.Fertiliser_Products_Data5(),FertiliserProducts[[#Headers],[Company]], 121)</f>
        <v/>
      </c>
      <c r="AH222" s="152" t="str" cm="1">
        <f t="array" ref="AH222">Common_InputFunctions.Utility_DisplayArrayInTable(Fertiliser_SourceData.Fertiliser_Products_Data5(),FertiliserProducts[[#Headers],[Company]], 121)</f>
        <v/>
      </c>
    </row>
    <row r="223" spans="1:34" ht="20.100000000000001" customHeight="1" x14ac:dyDescent="0.2">
      <c r="D223" s="152" t="str" cm="1">
        <f t="array" ref="D223">Common_InputFunctions.Utility_DisplayArrayInTable(Fertiliser_SourceData.Fertiliser_Products_Data5(),FertiliserProducts[[#Headers],[Company]], 121)</f>
        <v>CSBP</v>
      </c>
      <c r="E223" s="152" t="str" cm="1">
        <f t="array" ref="E223">Common_InputFunctions.Utility_DisplayArrayInTable(Fertiliser_SourceData.Fertiliser_Products_Data5(),FertiliserProducts[[#Headers],[Company]], 121)</f>
        <v>Flexi-N</v>
      </c>
      <c r="F223" s="152" t="str" cm="1">
        <f t="array" ref="F223">Common_InputFunctions.Utility_DisplayArrayInTable(Fertiliser_SourceData.Fertiliser_Products_Data5(),FertiliserProducts[[#Headers],[Company]], 121)</f>
        <v>L</v>
      </c>
      <c r="G223" s="152" cm="1">
        <f t="array" ref="G223">Common_InputFunctions.Utility_DisplayArrayInTable(Fertiliser_SourceData.Fertiliser_Products_Data5(),FertiliserProducts[[#Headers],[Company]], 121)</f>
        <v>1.32</v>
      </c>
      <c r="H223" s="152" t="str" cm="1">
        <f t="array" ref="H223">Common_InputFunctions.Utility_DisplayArrayInTable(Fertiliser_SourceData.Fertiliser_Products_Data5(),FertiliserProducts[[#Headers],[Company]], 121)</f>
        <v/>
      </c>
      <c r="I223" s="152" t="str" cm="1">
        <f t="array" ref="I223">Common_InputFunctions.Utility_DisplayArrayInTable(Fertiliser_SourceData.Fertiliser_Products_Data5(),FertiliserProducts[[#Headers],[Company]], 121)</f>
        <v/>
      </c>
      <c r="J223" s="152" t="str" cm="1">
        <f t="array" ref="J223">Common_InputFunctions.Utility_DisplayArrayInTable(Fertiliser_SourceData.Fertiliser_Products_Data5(),FertiliserProducts[[#Headers],[Company]], 121)</f>
        <v/>
      </c>
      <c r="K223" s="152" cm="1">
        <f t="array" ref="K223">Common_InputFunctions.Utility_DisplayArrayInTable(Fertiliser_SourceData.Fertiliser_Products_Data5(),FertiliserProducts[[#Headers],[Company]], 121)</f>
        <v>32</v>
      </c>
      <c r="L223" s="152" t="str" cm="1">
        <f t="array" ref="L223">Common_InputFunctions.Utility_DisplayArrayInTable(Fertiliser_SourceData.Fertiliser_Products_Data5(),FertiliserProducts[[#Headers],[Company]], 121)</f>
        <v/>
      </c>
      <c r="M223" s="152" t="str" cm="1">
        <f t="array" ref="M223">Common_InputFunctions.Utility_DisplayArrayInTable(Fertiliser_SourceData.Fertiliser_Products_Data5(),FertiliserProducts[[#Headers],[Company]], 121)</f>
        <v/>
      </c>
      <c r="N223" s="152" t="str" cm="1">
        <f t="array" ref="N223">Common_InputFunctions.Utility_DisplayArrayInTable(Fertiliser_SourceData.Fertiliser_Products_Data5(),FertiliserProducts[[#Headers],[Company]], 121)</f>
        <v/>
      </c>
      <c r="O223" s="152" t="str" cm="1">
        <f t="array" ref="O223">Common_InputFunctions.Utility_DisplayArrayInTable(Fertiliser_SourceData.Fertiliser_Products_Data5(),FertiliserProducts[[#Headers],[Company]], 121)</f>
        <v>Urea-ammonium nitrate (UAN)</v>
      </c>
      <c r="P223" s="152" cm="1">
        <f t="array" ref="P223">Common_InputFunctions.Utility_DisplayArrayInTable(Fertiliser_SourceData.Fertiliser_Products_Data5(),FertiliserProducts[[#Headers],[Company]], 121)</f>
        <v>1</v>
      </c>
      <c r="Q223" s="152" t="str" cm="1">
        <f t="array" ref="Q223">Common_InputFunctions.Utility_DisplayArrayInTable(Fertiliser_SourceData.Fertiliser_Products_Data5(),FertiliserProducts[[#Headers],[Company]], 121)</f>
        <v/>
      </c>
      <c r="R223" s="152" t="str" cm="1">
        <f t="array" ref="R223">Common_InputFunctions.Utility_DisplayArrayInTable(Fertiliser_SourceData.Fertiliser_Products_Data5(),FertiliserProducts[[#Headers],[Company]], 121)</f>
        <v/>
      </c>
      <c r="S223" s="152" t="str" cm="1">
        <f t="array" ref="S223">Common_InputFunctions.Utility_DisplayArrayInTable(Fertiliser_SourceData.Fertiliser_Products_Data5(),FertiliserProducts[[#Headers],[Company]], 121)</f>
        <v/>
      </c>
      <c r="T223" s="152" t="str" cm="1">
        <f t="array" ref="T223">Common_InputFunctions.Utility_DisplayArrayInTable(Fertiliser_SourceData.Fertiliser_Products_Data5(),FertiliserProducts[[#Headers],[Company]], 121)</f>
        <v/>
      </c>
      <c r="U223" s="152" t="str" cm="1">
        <f t="array" ref="U223">Common_InputFunctions.Utility_DisplayArrayInTable(Fertiliser_SourceData.Fertiliser_Products_Data5(),FertiliserProducts[[#Headers],[Company]], 121)</f>
        <v/>
      </c>
      <c r="V223" s="152" t="str" cm="1">
        <f t="array" ref="V223">Common_InputFunctions.Utility_DisplayArrayInTable(Fertiliser_SourceData.Fertiliser_Products_Data5(),FertiliserProducts[[#Headers],[Company]], 121)</f>
        <v/>
      </c>
      <c r="W223" s="152" t="str" cm="1">
        <f t="array" ref="W223">Common_InputFunctions.Utility_DisplayArrayInTable(Fertiliser_SourceData.Fertiliser_Products_Data5(),FertiliserProducts[[#Headers],[Company]], 121)</f>
        <v/>
      </c>
      <c r="X223" s="152" t="str" cm="1">
        <f t="array" ref="X223">Common_InputFunctions.Utility_DisplayArrayInTable(Fertiliser_SourceData.Fertiliser_Products_Data5(),FertiliserProducts[[#Headers],[Company]], 121)</f>
        <v/>
      </c>
      <c r="Y223" s="152" t="str" cm="1">
        <f t="array" ref="Y223">Common_InputFunctions.Utility_DisplayArrayInTable(Fertiliser_SourceData.Fertiliser_Products_Data5(),FertiliserProducts[[#Headers],[Company]], 121)</f>
        <v/>
      </c>
      <c r="Z223" s="152" t="str" cm="1">
        <f t="array" ref="Z223">Common_InputFunctions.Utility_DisplayArrayInTable(Fertiliser_SourceData.Fertiliser_Products_Data5(),FertiliserProducts[[#Headers],[Company]], 121)</f>
        <v/>
      </c>
      <c r="AA223" s="152" t="str" cm="1">
        <f t="array" ref="AA223">Common_InputFunctions.Utility_DisplayArrayInTable(Fertiliser_SourceData.Fertiliser_Products_Data5(),FertiliserProducts[[#Headers],[Company]], 121)</f>
        <v/>
      </c>
      <c r="AB223" s="152" t="str" cm="1">
        <f t="array" ref="AB223">Common_InputFunctions.Utility_DisplayArrayInTable(Fertiliser_SourceData.Fertiliser_Products_Data5(),FertiliserProducts[[#Headers],[Company]], 121)</f>
        <v/>
      </c>
      <c r="AC223" s="152" t="str" cm="1">
        <f t="array" ref="AC223">Common_InputFunctions.Utility_DisplayArrayInTable(Fertiliser_SourceData.Fertiliser_Products_Data5(),FertiliserProducts[[#Headers],[Company]], 121)</f>
        <v/>
      </c>
      <c r="AD223" s="152" t="str" cm="1">
        <f t="array" ref="AD223">Common_InputFunctions.Utility_DisplayArrayInTable(Fertiliser_SourceData.Fertiliser_Products_Data5(),FertiliserProducts[[#Headers],[Company]], 121)</f>
        <v/>
      </c>
      <c r="AE223" s="152" t="str" cm="1">
        <f t="array" ref="AE223">Common_InputFunctions.Utility_DisplayArrayInTable(Fertiliser_SourceData.Fertiliser_Products_Data5(),FertiliserProducts[[#Headers],[Company]], 121)</f>
        <v/>
      </c>
      <c r="AF223" s="152" t="str" cm="1">
        <f t="array" ref="AF223">Common_InputFunctions.Utility_DisplayArrayInTable(Fertiliser_SourceData.Fertiliser_Products_Data5(),FertiliserProducts[[#Headers],[Company]], 121)</f>
        <v/>
      </c>
      <c r="AG223" s="152" t="str" cm="1">
        <f t="array" ref="AG223">Common_InputFunctions.Utility_DisplayArrayInTable(Fertiliser_SourceData.Fertiliser_Products_Data5(),FertiliserProducts[[#Headers],[Company]], 121)</f>
        <v/>
      </c>
      <c r="AH223" s="15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DA74F-FCFD-44CE-BE32-E0EB67270D53}">
  <sheetPr>
    <tabColor theme="2" tint="-0.499984740745262"/>
  </sheetPr>
  <dimension ref="A1:AI162"/>
  <sheetViews>
    <sheetView showGridLines="0" zoomScaleNormal="100" workbookViewId="0">
      <pane xSplit="1" topLeftCell="B1" activePane="topRight" state="frozenSplit"/>
      <selection pane="topRight" activeCell="A217" sqref="A21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626</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8"/>
      <c r="F5" s="158"/>
      <c r="G5" s="158"/>
      <c r="H5" s="158"/>
      <c r="I5" s="158"/>
      <c r="J5" s="158"/>
      <c r="K5" s="158"/>
      <c r="L5" s="158"/>
    </row>
    <row r="6" spans="1:35" ht="20.100000000000001" customHeight="1" x14ac:dyDescent="0.2">
      <c r="D6" s="1" t="str" cm="1">
        <f t="array" ref="D6">Fuel_SourceData.Fuel_Scope1Scope3EmissionFactorsTransport_Description()</f>
        <v>Direct (scope 1) and indirect (scope 3) emission factors for the consumption of transport fuels in different transport equipment</v>
      </c>
      <c r="E6" s="158"/>
      <c r="F6" s="158"/>
      <c r="G6" s="158"/>
      <c r="H6" s="158"/>
      <c r="I6" s="158"/>
      <c r="J6" s="158"/>
      <c r="K6" s="158"/>
      <c r="L6" s="158"/>
    </row>
    <row r="7" spans="1:35" ht="20.100000000000001" customHeight="1" x14ac:dyDescent="0.2">
      <c r="D7" s="17" t="str" cm="1">
        <f t="array" ref="D7">Fuel_SourceData.Fuel_Scope1Scope3EmissionFactorsTransport_Source()</f>
        <v>Australian National Greenhouse Accounts Factors 2025 - Table 9</v>
      </c>
      <c r="E7" s="158"/>
      <c r="F7" s="158"/>
      <c r="G7" s="158"/>
      <c r="H7" s="158"/>
      <c r="I7" s="158"/>
      <c r="J7" s="158"/>
      <c r="K7" s="158"/>
      <c r="L7" s="158"/>
    </row>
    <row r="8" spans="1:35" ht="20.100000000000001" customHeight="1" x14ac:dyDescent="0.2">
      <c r="A8" s="7" t="s">
        <v>0</v>
      </c>
      <c r="D8" s="25" t="str" cm="1">
        <f t="array" ref="D8">"⚠️" &amp; Fuel_SourceData.Fuel_Scope1Scope3EmissionFactorsTransport_Variation()</f>
        <v>⚠️VARIATION OF SOURCE DATA: 'NE' values returned as zero for calculations.</v>
      </c>
      <c r="E8" s="158"/>
      <c r="F8" s="158"/>
      <c r="G8" s="158"/>
      <c r="H8" s="158"/>
      <c r="I8" s="158"/>
      <c r="J8" s="158"/>
      <c r="K8" s="158"/>
      <c r="L8" s="158"/>
    </row>
    <row r="9" spans="1:35" ht="20.100000000000001" customHeight="1" x14ac:dyDescent="0.2">
      <c r="A9" s="5" t="str">
        <f>HYPERLINK("#'Input - Enterprise'!A1", "Enterprise")</f>
        <v>Enterprise</v>
      </c>
      <c r="D9" s="185" t="s">
        <v>627</v>
      </c>
      <c r="E9" s="185" t="s">
        <v>628</v>
      </c>
      <c r="F9" s="185" t="s">
        <v>629</v>
      </c>
      <c r="G9" s="185" t="s">
        <v>630</v>
      </c>
      <c r="H9" s="185" t="s">
        <v>631</v>
      </c>
      <c r="I9" s="185" t="s">
        <v>632</v>
      </c>
      <c r="J9" s="185" t="s">
        <v>633</v>
      </c>
      <c r="K9" s="185" t="s">
        <v>634</v>
      </c>
      <c r="L9" s="185" t="s">
        <v>635</v>
      </c>
    </row>
    <row r="10" spans="1:35" ht="20.100000000000001" customHeight="1" x14ac:dyDescent="0.2">
      <c r="A10" s="5" t="str">
        <f>HYPERLINK("#'Input - Site'!A1", "Site")</f>
        <v>Site</v>
      </c>
      <c r="D10" s="186" t="str" cm="1">
        <f t="array" ref="D10">Common_InputFunctions.Utility_DisplayArrayInTable(Fuel_SourceData.Fuel_Scope1Scope3EmissionFactorsTransport_Data(), Table_Fuel_EFs_Transport[[#Headers],[Transport type]], 0)</f>
        <v>Cars and light commercial vehicles</v>
      </c>
      <c r="E10" s="186" t="str" cm="1">
        <f t="array" ref="E10">Common_InputFunctions.Utility_DisplayArrayInTable(Fuel_SourceData.Fuel_Scope1Scope3EmissionFactorsTransport_Data(), Table_Fuel_EFs_Transport[[#Headers],[Transport type]], 0)</f>
        <v>Gasoline</v>
      </c>
      <c r="F10" s="186" cm="1">
        <f t="array" ref="F10">Common_InputFunctions.Utility_DisplayArrayInTable(Fuel_SourceData.Fuel_Scope1Scope3EmissionFactorsTransport_Data(), Table_Fuel_EFs_Transport[[#Headers],[Transport type]], 0)</f>
        <v>34.200000000000003</v>
      </c>
      <c r="G10" s="186" t="str" cm="1">
        <f t="array" ref="G10">Common_InputFunctions.Utility_DisplayArrayInTable(Fuel_SourceData.Fuel_Scope1Scope3EmissionFactorsTransport_Data(), Table_Fuel_EFs_Transport[[#Headers],[Transport type]], 0)</f>
        <v>kl</v>
      </c>
      <c r="H10" s="186" cm="1">
        <f t="array" ref="H10">Common_InputFunctions.Utility_DisplayArrayInTable(Fuel_SourceData.Fuel_Scope1Scope3EmissionFactorsTransport_Data(), Table_Fuel_EFs_Transport[[#Headers],[Transport type]], 0)</f>
        <v>67.400000000000006</v>
      </c>
      <c r="I10" s="186" cm="1">
        <f t="array" ref="I10">Common_InputFunctions.Utility_DisplayArrayInTable(Fuel_SourceData.Fuel_Scope1Scope3EmissionFactorsTransport_Data(), Table_Fuel_EFs_Transport[[#Headers],[Transport type]], 0)</f>
        <v>0.02</v>
      </c>
      <c r="J10" s="186" cm="1">
        <f t="array" ref="J10">Common_InputFunctions.Utility_DisplayArrayInTable(Fuel_SourceData.Fuel_Scope1Scope3EmissionFactorsTransport_Data(), Table_Fuel_EFs_Transport[[#Headers],[Transport type]], 0)</f>
        <v>0.2</v>
      </c>
      <c r="K10" s="186" cm="1">
        <f t="array" ref="K10">Common_InputFunctions.Utility_DisplayArrayInTable(Fuel_SourceData.Fuel_Scope1Scope3EmissionFactorsTransport_Data(), Table_Fuel_EFs_Transport[[#Headers],[Transport type]], 0)</f>
        <v>67.62</v>
      </c>
      <c r="L10" s="186"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Swine'!A1", "Swine")</f>
        <v>Swine</v>
      </c>
      <c r="D11" s="186" t="str" cm="1">
        <f t="array" ref="D11">Common_InputFunctions.Utility_DisplayArrayInTable(Fuel_SourceData.Fuel_Scope1Scope3EmissionFactorsTransport_Data(), Table_Fuel_EFs_Transport[[#Headers],[Transport type]], 0)</f>
        <v>Cars and light commercial vehicles</v>
      </c>
      <c r="E11" s="186" t="str" cm="1">
        <f t="array" ref="E11">Common_InputFunctions.Utility_DisplayArrayInTable(Fuel_SourceData.Fuel_Scope1Scope3EmissionFactorsTransport_Data(), Table_Fuel_EFs_Transport[[#Headers],[Transport type]], 0)</f>
        <v>Diesel oil</v>
      </c>
      <c r="F11" s="186" cm="1">
        <f t="array" ref="F11">Common_InputFunctions.Utility_DisplayArrayInTable(Fuel_SourceData.Fuel_Scope1Scope3EmissionFactorsTransport_Data(), Table_Fuel_EFs_Transport[[#Headers],[Transport type]], 0)</f>
        <v>38.6</v>
      </c>
      <c r="G11" s="186" t="str" cm="1">
        <f t="array" ref="G11">Common_InputFunctions.Utility_DisplayArrayInTable(Fuel_SourceData.Fuel_Scope1Scope3EmissionFactorsTransport_Data(), Table_Fuel_EFs_Transport[[#Headers],[Transport type]], 0)</f>
        <v>kl</v>
      </c>
      <c r="H11" s="186" cm="1">
        <f t="array" ref="H11">Common_InputFunctions.Utility_DisplayArrayInTable(Fuel_SourceData.Fuel_Scope1Scope3EmissionFactorsTransport_Data(), Table_Fuel_EFs_Transport[[#Headers],[Transport type]], 0)</f>
        <v>69.900000000000006</v>
      </c>
      <c r="I11" s="186" cm="1">
        <f t="array" ref="I11">Common_InputFunctions.Utility_DisplayArrayInTable(Fuel_SourceData.Fuel_Scope1Scope3EmissionFactorsTransport_Data(), Table_Fuel_EFs_Transport[[#Headers],[Transport type]], 0)</f>
        <v>0.01</v>
      </c>
      <c r="J11" s="186" cm="1">
        <f t="array" ref="J11">Common_InputFunctions.Utility_DisplayArrayInTable(Fuel_SourceData.Fuel_Scope1Scope3EmissionFactorsTransport_Data(), Table_Fuel_EFs_Transport[[#Headers],[Transport type]], 0)</f>
        <v>0.5</v>
      </c>
      <c r="K11" s="186" cm="1">
        <f t="array" ref="K11">Common_InputFunctions.Utility_DisplayArrayInTable(Fuel_SourceData.Fuel_Scope1Scope3EmissionFactorsTransport_Data(), Table_Fuel_EFs_Transport[[#Headers],[Transport type]], 0)</f>
        <v>70.41</v>
      </c>
      <c r="L11" s="186"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Livestock sales'!A1", "Livestock sales")</f>
        <v>Livestock sales</v>
      </c>
      <c r="D12" s="186" t="str" cm="1">
        <f t="array" ref="D12">Common_InputFunctions.Utility_DisplayArrayInTable(Fuel_SourceData.Fuel_Scope1Scope3EmissionFactorsTransport_Data(), Table_Fuel_EFs_Transport[[#Headers],[Transport type]], 0)</f>
        <v>Cars and light commercial vehicles</v>
      </c>
      <c r="E12" s="186" t="str" cm="1">
        <f t="array" ref="E12">Common_InputFunctions.Utility_DisplayArrayInTable(Fuel_SourceData.Fuel_Scope1Scope3EmissionFactorsTransport_Data(), Table_Fuel_EFs_Transport[[#Headers],[Transport type]], 0)</f>
        <v>Liquefied petroleum gas (LPG)</v>
      </c>
      <c r="F12" s="186" cm="1">
        <f t="array" ref="F12">Common_InputFunctions.Utility_DisplayArrayInTable(Fuel_SourceData.Fuel_Scope1Scope3EmissionFactorsTransport_Data(), Table_Fuel_EFs_Transport[[#Headers],[Transport type]], 0)</f>
        <v>26.2</v>
      </c>
      <c r="G12" s="186" t="str" cm="1">
        <f t="array" ref="G12">Common_InputFunctions.Utility_DisplayArrayInTable(Fuel_SourceData.Fuel_Scope1Scope3EmissionFactorsTransport_Data(), Table_Fuel_EFs_Transport[[#Headers],[Transport type]], 0)</f>
        <v>kl</v>
      </c>
      <c r="H12" s="186" cm="1">
        <f t="array" ref="H12">Common_InputFunctions.Utility_DisplayArrayInTable(Fuel_SourceData.Fuel_Scope1Scope3EmissionFactorsTransport_Data(), Table_Fuel_EFs_Transport[[#Headers],[Transport type]], 0)</f>
        <v>60.2</v>
      </c>
      <c r="I12" s="186" cm="1">
        <f t="array" ref="I12">Common_InputFunctions.Utility_DisplayArrayInTable(Fuel_SourceData.Fuel_Scope1Scope3EmissionFactorsTransport_Data(), Table_Fuel_EFs_Transport[[#Headers],[Transport type]], 0)</f>
        <v>0.5</v>
      </c>
      <c r="J12" s="186" cm="1">
        <f t="array" ref="J12">Common_InputFunctions.Utility_DisplayArrayInTable(Fuel_SourceData.Fuel_Scope1Scope3EmissionFactorsTransport_Data(), Table_Fuel_EFs_Transport[[#Headers],[Transport type]], 0)</f>
        <v>0.3</v>
      </c>
      <c r="K12" s="186" cm="1">
        <f t="array" ref="K12">Common_InputFunctions.Utility_DisplayArrayInTable(Fuel_SourceData.Fuel_Scope1Scope3EmissionFactorsTransport_Data(), Table_Fuel_EFs_Transport[[#Headers],[Transport type]], 0)</f>
        <v>61</v>
      </c>
      <c r="L12" s="186"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Pig purchases'!A1", "Pig purchases")</f>
        <v>Pig purchases</v>
      </c>
      <c r="D13" s="186" t="str" cm="1">
        <f t="array" ref="D13">Common_InputFunctions.Utility_DisplayArrayInTable(Fuel_SourceData.Fuel_Scope1Scope3EmissionFactorsTransport_Data(), Table_Fuel_EFs_Transport[[#Headers],[Transport type]], 0)</f>
        <v>Cars and light commercial vehicles</v>
      </c>
      <c r="E13" s="186" t="str" cm="1">
        <f t="array" ref="E13">Common_InputFunctions.Utility_DisplayArrayInTable(Fuel_SourceData.Fuel_Scope1Scope3EmissionFactorsTransport_Data(), Table_Fuel_EFs_Transport[[#Headers],[Transport type]], 0)</f>
        <v>Fuel oil</v>
      </c>
      <c r="F13" s="186" cm="1">
        <f t="array" ref="F13">Common_InputFunctions.Utility_DisplayArrayInTable(Fuel_SourceData.Fuel_Scope1Scope3EmissionFactorsTransport_Data(), Table_Fuel_EFs_Transport[[#Headers],[Transport type]], 0)</f>
        <v>39.700000000000003</v>
      </c>
      <c r="G13" s="186" t="str" cm="1">
        <f t="array" ref="G13">Common_InputFunctions.Utility_DisplayArrayInTable(Fuel_SourceData.Fuel_Scope1Scope3EmissionFactorsTransport_Data(), Table_Fuel_EFs_Transport[[#Headers],[Transport type]], 0)</f>
        <v>kl</v>
      </c>
      <c r="H13" s="186" cm="1">
        <f t="array" ref="H13">Common_InputFunctions.Utility_DisplayArrayInTable(Fuel_SourceData.Fuel_Scope1Scope3EmissionFactorsTransport_Data(), Table_Fuel_EFs_Transport[[#Headers],[Transport type]], 0)</f>
        <v>73.599999999999994</v>
      </c>
      <c r="I13" s="186" cm="1">
        <f t="array" ref="I13">Common_InputFunctions.Utility_DisplayArrayInTable(Fuel_SourceData.Fuel_Scope1Scope3EmissionFactorsTransport_Data(), Table_Fuel_EFs_Transport[[#Headers],[Transport type]], 0)</f>
        <v>0.08</v>
      </c>
      <c r="J13" s="186" cm="1">
        <f t="array" ref="J13">Common_InputFunctions.Utility_DisplayArrayInTable(Fuel_SourceData.Fuel_Scope1Scope3EmissionFactorsTransport_Data(), Table_Fuel_EFs_Transport[[#Headers],[Transport type]], 0)</f>
        <v>0.5</v>
      </c>
      <c r="K13" s="186" cm="1">
        <f t="array" ref="K13">Common_InputFunctions.Utility_DisplayArrayInTable(Fuel_SourceData.Fuel_Scope1Scope3EmissionFactorsTransport_Data(), Table_Fuel_EFs_Transport[[#Headers],[Transport type]], 0)</f>
        <v>74.180000000000007</v>
      </c>
      <c r="L13" s="186"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Fuel'!A1", "Fuel")</f>
        <v>Fuel</v>
      </c>
      <c r="D14" s="186" t="str" cm="1">
        <f t="array" ref="D14">Common_InputFunctions.Utility_DisplayArrayInTable(Fuel_SourceData.Fuel_Scope1Scope3EmissionFactorsTransport_Data(), Table_Fuel_EFs_Transport[[#Headers],[Transport type]], 0)</f>
        <v>Cars and light commercial vehicles</v>
      </c>
      <c r="E14" s="186" t="str" cm="1">
        <f t="array" ref="E14">Common_InputFunctions.Utility_DisplayArrayInTable(Fuel_SourceData.Fuel_Scope1Scope3EmissionFactorsTransport_Data(), Table_Fuel_EFs_Transport[[#Headers],[Transport type]], 0)</f>
        <v>Ethanol</v>
      </c>
      <c r="F14" s="186" cm="1">
        <f t="array" ref="F14">Common_InputFunctions.Utility_DisplayArrayInTable(Fuel_SourceData.Fuel_Scope1Scope3EmissionFactorsTransport_Data(), Table_Fuel_EFs_Transport[[#Headers],[Transport type]], 0)</f>
        <v>23.4</v>
      </c>
      <c r="G14" s="186" t="str" cm="1">
        <f t="array" ref="G14">Common_InputFunctions.Utility_DisplayArrayInTable(Fuel_SourceData.Fuel_Scope1Scope3EmissionFactorsTransport_Data(), Table_Fuel_EFs_Transport[[#Headers],[Transport type]], 0)</f>
        <v>kl</v>
      </c>
      <c r="H14" s="186" cm="1">
        <f t="array" ref="H14">Common_InputFunctions.Utility_DisplayArrayInTable(Fuel_SourceData.Fuel_Scope1Scope3EmissionFactorsTransport_Data(), Table_Fuel_EFs_Transport[[#Headers],[Transport type]], 0)</f>
        <v>0</v>
      </c>
      <c r="I14" s="186" cm="1">
        <f t="array" ref="I14">Common_InputFunctions.Utility_DisplayArrayInTable(Fuel_SourceData.Fuel_Scope1Scope3EmissionFactorsTransport_Data(), Table_Fuel_EFs_Transport[[#Headers],[Transport type]], 0)</f>
        <v>0.2</v>
      </c>
      <c r="J14" s="186" cm="1">
        <f t="array" ref="J14">Common_InputFunctions.Utility_DisplayArrayInTable(Fuel_SourceData.Fuel_Scope1Scope3EmissionFactorsTransport_Data(), Table_Fuel_EFs_Transport[[#Headers],[Transport type]], 0)</f>
        <v>0.2</v>
      </c>
      <c r="K14" s="186" cm="1">
        <f t="array" ref="K14">Common_InputFunctions.Utility_DisplayArrayInTable(Fuel_SourceData.Fuel_Scope1Scope3EmissionFactorsTransport_Data(), Table_Fuel_EFs_Transport[[#Headers],[Transport type]], 0)</f>
        <v>0.4</v>
      </c>
      <c r="L14" s="186"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Electricity'!A1", "Electricity")</f>
        <v>Electricity</v>
      </c>
      <c r="D15" s="186" t="str" cm="1">
        <f t="array" ref="D15">Common_InputFunctions.Utility_DisplayArrayInTable(Fuel_SourceData.Fuel_Scope1Scope3EmissionFactorsTransport_Data(), Table_Fuel_EFs_Transport[[#Headers],[Transport type]], 0)</f>
        <v>Cars and light commercial vehicles</v>
      </c>
      <c r="E15" s="186" t="str" cm="1">
        <f t="array" ref="E15">Common_InputFunctions.Utility_DisplayArrayInTable(Fuel_SourceData.Fuel_Scope1Scope3EmissionFactorsTransport_Data(), Table_Fuel_EFs_Transport[[#Headers],[Transport type]], 0)</f>
        <v>Biodiesel</v>
      </c>
      <c r="F15" s="186" cm="1">
        <f t="array" ref="F15">Common_InputFunctions.Utility_DisplayArrayInTable(Fuel_SourceData.Fuel_Scope1Scope3EmissionFactorsTransport_Data(), Table_Fuel_EFs_Transport[[#Headers],[Transport type]], 0)</f>
        <v>34.6</v>
      </c>
      <c r="G15" s="186" t="str" cm="1">
        <f t="array" ref="G15">Common_InputFunctions.Utility_DisplayArrayInTable(Fuel_SourceData.Fuel_Scope1Scope3EmissionFactorsTransport_Data(), Table_Fuel_EFs_Transport[[#Headers],[Transport type]], 0)</f>
        <v>kl</v>
      </c>
      <c r="H15" s="186" cm="1">
        <f t="array" ref="H15">Common_InputFunctions.Utility_DisplayArrayInTable(Fuel_SourceData.Fuel_Scope1Scope3EmissionFactorsTransport_Data(), Table_Fuel_EFs_Transport[[#Headers],[Transport type]], 0)</f>
        <v>0</v>
      </c>
      <c r="I15" s="186" cm="1">
        <f t="array" ref="I15">Common_InputFunctions.Utility_DisplayArrayInTable(Fuel_SourceData.Fuel_Scope1Scope3EmissionFactorsTransport_Data(), Table_Fuel_EFs_Transport[[#Headers],[Transport type]], 0)</f>
        <v>0.8</v>
      </c>
      <c r="J15" s="186" cm="1">
        <f t="array" ref="J15">Common_InputFunctions.Utility_DisplayArrayInTable(Fuel_SourceData.Fuel_Scope1Scope3EmissionFactorsTransport_Data(), Table_Fuel_EFs_Transport[[#Headers],[Transport type]], 0)</f>
        <v>1.7</v>
      </c>
      <c r="K15" s="186" cm="1">
        <f t="array" ref="K15">Common_InputFunctions.Utility_DisplayArrayInTable(Fuel_SourceData.Fuel_Scope1Scope3EmissionFactorsTransport_Data(), Table_Fuel_EFs_Transport[[#Headers],[Transport type]], 0)</f>
        <v>2.5</v>
      </c>
      <c r="L15" s="186"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Common farm inputs'!A1", "Common farm inputs")</f>
        <v>Common farm inputs</v>
      </c>
      <c r="D16" s="186" t="str" cm="1">
        <f t="array" ref="D16">Common_InputFunctions.Utility_DisplayArrayInTable(Fuel_SourceData.Fuel_Scope1Scope3EmissionFactorsTransport_Data(), Table_Fuel_EFs_Transport[[#Headers],[Transport type]], 0)</f>
        <v>Cars and light commercial vehicles</v>
      </c>
      <c r="E16" s="186" t="str" cm="1">
        <f t="array" ref="E16">Common_InputFunctions.Utility_DisplayArrayInTable(Fuel_SourceData.Fuel_Scope1Scope3EmissionFactorsTransport_Data(), Table_Fuel_EFs_Transport[[#Headers],[Transport type]], 0)</f>
        <v>Renewable diesel</v>
      </c>
      <c r="F16" s="186" cm="1">
        <f t="array" ref="F16">Common_InputFunctions.Utility_DisplayArrayInTable(Fuel_SourceData.Fuel_Scope1Scope3EmissionFactorsTransport_Data(), Table_Fuel_EFs_Transport[[#Headers],[Transport type]], 0)</f>
        <v>38.6</v>
      </c>
      <c r="G16" s="186" t="str" cm="1">
        <f t="array" ref="G16">Common_InputFunctions.Utility_DisplayArrayInTable(Fuel_SourceData.Fuel_Scope1Scope3EmissionFactorsTransport_Data(), Table_Fuel_EFs_Transport[[#Headers],[Transport type]], 0)</f>
        <v>kl</v>
      </c>
      <c r="H16" s="186" cm="1">
        <f t="array" ref="H16">Common_InputFunctions.Utility_DisplayArrayInTable(Fuel_SourceData.Fuel_Scope1Scope3EmissionFactorsTransport_Data(), Table_Fuel_EFs_Transport[[#Headers],[Transport type]], 0)</f>
        <v>0</v>
      </c>
      <c r="I16" s="186" cm="1">
        <f t="array" ref="I16">Common_InputFunctions.Utility_DisplayArrayInTable(Fuel_SourceData.Fuel_Scope1Scope3EmissionFactorsTransport_Data(), Table_Fuel_EFs_Transport[[#Headers],[Transport type]], 0)</f>
        <v>0.01</v>
      </c>
      <c r="J16" s="186" cm="1">
        <f t="array" ref="J16">Common_InputFunctions.Utility_DisplayArrayInTable(Fuel_SourceData.Fuel_Scope1Scope3EmissionFactorsTransport_Data(), Table_Fuel_EFs_Transport[[#Headers],[Transport type]], 0)</f>
        <v>0.5</v>
      </c>
      <c r="K16" s="186" cm="1">
        <f t="array" ref="K16">Common_InputFunctions.Utility_DisplayArrayInTable(Fuel_SourceData.Fuel_Scope1Scope3EmissionFactorsTransport_Data(), Table_Fuel_EFs_Transport[[#Headers],[Transport type]], 0)</f>
        <v>0.51</v>
      </c>
      <c r="L16" s="186"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Livestock farm Inputs'!A1", "Livestock farm Inputs")</f>
        <v>Livestock farm Inputs</v>
      </c>
      <c r="D17" s="186" t="str" cm="1">
        <f t="array" ref="D17">Common_InputFunctions.Utility_DisplayArrayInTable(Fuel_SourceData.Fuel_Scope1Scope3EmissionFactorsTransport_Data(), Table_Fuel_EFs_Transport[[#Headers],[Transport type]], 0)</f>
        <v>Cars and light commercial vehicles</v>
      </c>
      <c r="E17" s="186" t="str" cm="1">
        <f t="array" ref="E17">Common_InputFunctions.Utility_DisplayArrayInTable(Fuel_SourceData.Fuel_Scope1Scope3EmissionFactorsTransport_Data(), Table_Fuel_EFs_Transport[[#Headers],[Transport type]], 0)</f>
        <v>Other biofuels</v>
      </c>
      <c r="F17" s="186" cm="1">
        <f t="array" ref="F17">Common_InputFunctions.Utility_DisplayArrayInTable(Fuel_SourceData.Fuel_Scope1Scope3EmissionFactorsTransport_Data(), Table_Fuel_EFs_Transport[[#Headers],[Transport type]], 0)</f>
        <v>23.4</v>
      </c>
      <c r="G17" s="186" t="str" cm="1">
        <f t="array" ref="G17">Common_InputFunctions.Utility_DisplayArrayInTable(Fuel_SourceData.Fuel_Scope1Scope3EmissionFactorsTransport_Data(), Table_Fuel_EFs_Transport[[#Headers],[Transport type]], 0)</f>
        <v>kl</v>
      </c>
      <c r="H17" s="186" cm="1">
        <f t="array" ref="H17">Common_InputFunctions.Utility_DisplayArrayInTable(Fuel_SourceData.Fuel_Scope1Scope3EmissionFactorsTransport_Data(), Table_Fuel_EFs_Transport[[#Headers],[Transport type]], 0)</f>
        <v>0</v>
      </c>
      <c r="I17" s="186" cm="1">
        <f t="array" ref="I17">Common_InputFunctions.Utility_DisplayArrayInTable(Fuel_SourceData.Fuel_Scope1Scope3EmissionFactorsTransport_Data(), Table_Fuel_EFs_Transport[[#Headers],[Transport type]], 0)</f>
        <v>0.8</v>
      </c>
      <c r="J17" s="186" cm="1">
        <f t="array" ref="J17">Common_InputFunctions.Utility_DisplayArrayInTable(Fuel_SourceData.Fuel_Scope1Scope3EmissionFactorsTransport_Data(), Table_Fuel_EFs_Transport[[#Headers],[Transport type]], 0)</f>
        <v>1.7</v>
      </c>
      <c r="K17" s="186" cm="1">
        <f t="array" ref="K17">Common_InputFunctions.Utility_DisplayArrayInTable(Fuel_SourceData.Fuel_Scope1Scope3EmissionFactorsTransport_Data(), Table_Fuel_EFs_Transport[[#Headers],[Transport type]], 0)</f>
        <v>2.5</v>
      </c>
      <c r="L17" s="186"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Freight'!A1", "Freight")</f>
        <v>Freight</v>
      </c>
      <c r="D18" s="186" t="str" cm="1">
        <f t="array" ref="D18">Common_InputFunctions.Utility_DisplayArrayInTable(Fuel_SourceData.Fuel_Scope1Scope3EmissionFactorsTransport_Data(), Table_Fuel_EFs_Transport[[#Headers],[Transport type]], 0)</f>
        <v>Light duty vehicles</v>
      </c>
      <c r="E18" s="186" t="str" cm="1">
        <f t="array" ref="E18">Common_InputFunctions.Utility_DisplayArrayInTable(Fuel_SourceData.Fuel_Scope1Scope3EmissionFactorsTransport_Data(), Table_Fuel_EFs_Transport[[#Headers],[Transport type]], 0)</f>
        <v>Compressed natural gas</v>
      </c>
      <c r="F18" s="186" cm="1">
        <f t="array" ref="F18">Common_InputFunctions.Utility_DisplayArrayInTable(Fuel_SourceData.Fuel_Scope1Scope3EmissionFactorsTransport_Data(), Table_Fuel_EFs_Transport[[#Headers],[Transport type]], 0)</f>
        <v>3.9300000000000002E-2</v>
      </c>
      <c r="G18" s="186" t="str" cm="1">
        <f t="array" ref="G18">Common_InputFunctions.Utility_DisplayArrayInTable(Fuel_SourceData.Fuel_Scope1Scope3EmissionFactorsTransport_Data(), Table_Fuel_EFs_Transport[[#Headers],[Transport type]], 0)</f>
        <v>m3</v>
      </c>
      <c r="H18" s="186" cm="1">
        <f t="array" ref="H18">Common_InputFunctions.Utility_DisplayArrayInTable(Fuel_SourceData.Fuel_Scope1Scope3EmissionFactorsTransport_Data(), Table_Fuel_EFs_Transport[[#Headers],[Transport type]], 0)</f>
        <v>51.4</v>
      </c>
      <c r="I18" s="186" cm="1">
        <f t="array" ref="I18">Common_InputFunctions.Utility_DisplayArrayInTable(Fuel_SourceData.Fuel_Scope1Scope3EmissionFactorsTransport_Data(), Table_Fuel_EFs_Transport[[#Headers],[Transport type]], 0)</f>
        <v>7.3</v>
      </c>
      <c r="J18" s="186" cm="1">
        <f t="array" ref="J18">Common_InputFunctions.Utility_DisplayArrayInTable(Fuel_SourceData.Fuel_Scope1Scope3EmissionFactorsTransport_Data(), Table_Fuel_EFs_Transport[[#Headers],[Transport type]], 0)</f>
        <v>0.3</v>
      </c>
      <c r="K18" s="186" cm="1">
        <f t="array" ref="K18">Common_InputFunctions.Utility_DisplayArrayInTable(Fuel_SourceData.Fuel_Scope1Scope3EmissionFactorsTransport_Data(), Table_Fuel_EFs_Transport[[#Headers],[Transport type]], 0)</f>
        <v>59</v>
      </c>
      <c r="L18" s="186"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Solid waste'!A1", "Solid waste")</f>
        <v>Solid waste</v>
      </c>
      <c r="D19" s="186" t="str" cm="1">
        <f t="array" ref="D19">Common_InputFunctions.Utility_DisplayArrayInTable(Fuel_SourceData.Fuel_Scope1Scope3EmissionFactorsTransport_Data(), Table_Fuel_EFs_Transport[[#Headers],[Transport type]], 0)</f>
        <v>Light duty vehicles</v>
      </c>
      <c r="E19" s="186" t="str" cm="1">
        <f t="array" ref="E19">Common_InputFunctions.Utility_DisplayArrayInTable(Fuel_SourceData.Fuel_Scope1Scope3EmissionFactorsTransport_Data(), Table_Fuel_EFs_Transport[[#Headers],[Transport type]], 0)</f>
        <v>Liquefied natural gas</v>
      </c>
      <c r="F19" s="186" cm="1">
        <f t="array" ref="F19">Common_InputFunctions.Utility_DisplayArrayInTable(Fuel_SourceData.Fuel_Scope1Scope3EmissionFactorsTransport_Data(), Table_Fuel_EFs_Transport[[#Headers],[Transport type]], 0)</f>
        <v>25.3</v>
      </c>
      <c r="G19" s="186" t="str" cm="1">
        <f t="array" ref="G19">Common_InputFunctions.Utility_DisplayArrayInTable(Fuel_SourceData.Fuel_Scope1Scope3EmissionFactorsTransport_Data(), Table_Fuel_EFs_Transport[[#Headers],[Transport type]], 0)</f>
        <v>kl</v>
      </c>
      <c r="H19" s="186" cm="1">
        <f t="array" ref="H19">Common_InputFunctions.Utility_DisplayArrayInTable(Fuel_SourceData.Fuel_Scope1Scope3EmissionFactorsTransport_Data(), Table_Fuel_EFs_Transport[[#Headers],[Transport type]], 0)</f>
        <v>51.4</v>
      </c>
      <c r="I19" s="186" cm="1">
        <f t="array" ref="I19">Common_InputFunctions.Utility_DisplayArrayInTable(Fuel_SourceData.Fuel_Scope1Scope3EmissionFactorsTransport_Data(), Table_Fuel_EFs_Transport[[#Headers],[Transport type]], 0)</f>
        <v>7.3</v>
      </c>
      <c r="J19" s="186" cm="1">
        <f t="array" ref="J19">Common_InputFunctions.Utility_DisplayArrayInTable(Fuel_SourceData.Fuel_Scope1Scope3EmissionFactorsTransport_Data(), Table_Fuel_EFs_Transport[[#Headers],[Transport type]], 0)</f>
        <v>0.3</v>
      </c>
      <c r="K19" s="186" cm="1">
        <f t="array" ref="K19">Common_InputFunctions.Utility_DisplayArrayInTable(Fuel_SourceData.Fuel_Scope1Scope3EmissionFactorsTransport_Data(), Table_Fuel_EFs_Transport[[#Headers],[Transport type]], 0)</f>
        <v>59</v>
      </c>
      <c r="L19" s="186"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Manure sent off-site'!A1", "Manure sent off-site")</f>
        <v>Manure sent off-site</v>
      </c>
      <c r="D20" s="186" t="str" cm="1">
        <f t="array" ref="D20">Common_InputFunctions.Utility_DisplayArrayInTable(Fuel_SourceData.Fuel_Scope1Scope3EmissionFactorsTransport_Data(), Table_Fuel_EFs_Transport[[#Headers],[Transport type]], 0)</f>
        <v>Heavy duty vehicles</v>
      </c>
      <c r="E20" s="186" t="str" cm="1">
        <f t="array" ref="E20">Common_InputFunctions.Utility_DisplayArrayInTable(Fuel_SourceData.Fuel_Scope1Scope3EmissionFactorsTransport_Data(), Table_Fuel_EFs_Transport[[#Headers],[Transport type]], 0)</f>
        <v>Compressed natural gas</v>
      </c>
      <c r="F20" s="186" cm="1">
        <f t="array" ref="F20">Common_InputFunctions.Utility_DisplayArrayInTable(Fuel_SourceData.Fuel_Scope1Scope3EmissionFactorsTransport_Data(), Table_Fuel_EFs_Transport[[#Headers],[Transport type]], 0)</f>
        <v>3.9300000000000002E-2</v>
      </c>
      <c r="G20" s="186" t="str" cm="1">
        <f t="array" ref="G20">Common_InputFunctions.Utility_DisplayArrayInTable(Fuel_SourceData.Fuel_Scope1Scope3EmissionFactorsTransport_Data(), Table_Fuel_EFs_Transport[[#Headers],[Transport type]], 0)</f>
        <v>m3</v>
      </c>
      <c r="H20" s="186" cm="1">
        <f t="array" ref="H20">Common_InputFunctions.Utility_DisplayArrayInTable(Fuel_SourceData.Fuel_Scope1Scope3EmissionFactorsTransport_Data(), Table_Fuel_EFs_Transport[[#Headers],[Transport type]], 0)</f>
        <v>51.4</v>
      </c>
      <c r="I20" s="186" cm="1">
        <f t="array" ref="I20">Common_InputFunctions.Utility_DisplayArrayInTable(Fuel_SourceData.Fuel_Scope1Scope3EmissionFactorsTransport_Data(), Table_Fuel_EFs_Transport[[#Headers],[Transport type]], 0)</f>
        <v>2.8</v>
      </c>
      <c r="J20" s="186" cm="1">
        <f t="array" ref="J20">Common_InputFunctions.Utility_DisplayArrayInTable(Fuel_SourceData.Fuel_Scope1Scope3EmissionFactorsTransport_Data(), Table_Fuel_EFs_Transport[[#Headers],[Transport type]], 0)</f>
        <v>0.3</v>
      </c>
      <c r="K20" s="186" cm="1">
        <f t="array" ref="K20">Common_InputFunctions.Utility_DisplayArrayInTable(Fuel_SourceData.Fuel_Scope1Scope3EmissionFactorsTransport_Data(), Table_Fuel_EFs_Transport[[#Headers],[Transport type]], 0)</f>
        <v>54.5</v>
      </c>
      <c r="L20" s="186" cm="1">
        <f t="array" ref="L20">Common_InputFunctions.Utility_DisplayArrayInTable(Fuel_SourceData.Fuel_Scope1Scope3EmissionFactorsTransport_Data(), Table_Fuel_EFs_Transport[[#Headers],[Transport type]], 0)</f>
        <v>18</v>
      </c>
    </row>
    <row r="21" spans="1:12" ht="20.100000000000001" customHeight="1" x14ac:dyDescent="0.2">
      <c r="A21" s="5" t="str">
        <f>HYPERLINK("#'Input - Data quality'!A1", "Data quality")</f>
        <v>Data quality</v>
      </c>
      <c r="D21" s="186" t="str" cm="1">
        <f t="array" ref="D21">Common_InputFunctions.Utility_DisplayArrayInTable(Fuel_SourceData.Fuel_Scope1Scope3EmissionFactorsTransport_Data(), Table_Fuel_EFs_Transport[[#Headers],[Transport type]], 0)</f>
        <v>Heavy duty vehicles</v>
      </c>
      <c r="E21" s="186" t="str" cm="1">
        <f t="array" ref="E21">Common_InputFunctions.Utility_DisplayArrayInTable(Fuel_SourceData.Fuel_Scope1Scope3EmissionFactorsTransport_Data(), Table_Fuel_EFs_Transport[[#Headers],[Transport type]], 0)</f>
        <v>Liquefied natural gas</v>
      </c>
      <c r="F21" s="186" cm="1">
        <f t="array" ref="F21">Common_InputFunctions.Utility_DisplayArrayInTable(Fuel_SourceData.Fuel_Scope1Scope3EmissionFactorsTransport_Data(), Table_Fuel_EFs_Transport[[#Headers],[Transport type]], 0)</f>
        <v>25.3</v>
      </c>
      <c r="G21" s="186" t="str" cm="1">
        <f t="array" ref="G21">Common_InputFunctions.Utility_DisplayArrayInTable(Fuel_SourceData.Fuel_Scope1Scope3EmissionFactorsTransport_Data(), Table_Fuel_EFs_Transport[[#Headers],[Transport type]], 0)</f>
        <v>kl</v>
      </c>
      <c r="H21" s="186" cm="1">
        <f t="array" ref="H21">Common_InputFunctions.Utility_DisplayArrayInTable(Fuel_SourceData.Fuel_Scope1Scope3EmissionFactorsTransport_Data(), Table_Fuel_EFs_Transport[[#Headers],[Transport type]], 0)</f>
        <v>51.4</v>
      </c>
      <c r="I21" s="186" cm="1">
        <f t="array" ref="I21">Common_InputFunctions.Utility_DisplayArrayInTable(Fuel_SourceData.Fuel_Scope1Scope3EmissionFactorsTransport_Data(), Table_Fuel_EFs_Transport[[#Headers],[Transport type]], 0)</f>
        <v>2.8</v>
      </c>
      <c r="J21" s="186" cm="1">
        <f t="array" ref="J21">Common_InputFunctions.Utility_DisplayArrayInTable(Fuel_SourceData.Fuel_Scope1Scope3EmissionFactorsTransport_Data(), Table_Fuel_EFs_Transport[[#Headers],[Transport type]], 0)</f>
        <v>0.3</v>
      </c>
      <c r="K21" s="186" cm="1">
        <f t="array" ref="K21">Common_InputFunctions.Utility_DisplayArrayInTable(Fuel_SourceData.Fuel_Scope1Scope3EmissionFactorsTransport_Data(), Table_Fuel_EFs_Transport[[#Headers],[Transport type]], 0)</f>
        <v>54.5</v>
      </c>
      <c r="L21" s="186" cm="1">
        <f t="array" ref="L21">Common_InputFunctions.Utility_DisplayArrayInTable(Fuel_SourceData.Fuel_Scope1Scope3EmissionFactorsTransport_Data(), Table_Fuel_EFs_Transport[[#Headers],[Transport type]], 0)</f>
        <v>18</v>
      </c>
    </row>
    <row r="22" spans="1:12" ht="20.100000000000001" customHeight="1" x14ac:dyDescent="0.2">
      <c r="A22" s="5" t="str">
        <f>HYPERLINK("#'Input - Fert Prod System'!A1", "Fert Prod System")</f>
        <v>Fert Prod System</v>
      </c>
      <c r="D22" s="186" t="str" cm="1">
        <f t="array" ref="D22">Common_InputFunctions.Utility_DisplayArrayInTable(Fuel_SourceData.Fuel_Scope1Scope3EmissionFactorsTransport_Data(), Table_Fuel_EFs_Transport[[#Headers],[Transport type]], 0)</f>
        <v>Heavy duty vehicles</v>
      </c>
      <c r="E22" s="186" t="str" cm="1">
        <f t="array" ref="E22">Common_InputFunctions.Utility_DisplayArrayInTable(Fuel_SourceData.Fuel_Scope1Scope3EmissionFactorsTransport_Data(), Table_Fuel_EFs_Transport[[#Headers],[Transport type]], 0)</f>
        <v>Diesel oil - Euro iv or higher</v>
      </c>
      <c r="F22" s="186" cm="1">
        <f t="array" ref="F22">Common_InputFunctions.Utility_DisplayArrayInTable(Fuel_SourceData.Fuel_Scope1Scope3EmissionFactorsTransport_Data(), Table_Fuel_EFs_Transport[[#Headers],[Transport type]], 0)</f>
        <v>38.6</v>
      </c>
      <c r="G22" s="186" t="str" cm="1">
        <f t="array" ref="G22">Common_InputFunctions.Utility_DisplayArrayInTable(Fuel_SourceData.Fuel_Scope1Scope3EmissionFactorsTransport_Data(), Table_Fuel_EFs_Transport[[#Headers],[Transport type]], 0)</f>
        <v>kl</v>
      </c>
      <c r="H22" s="186" cm="1">
        <f t="array" ref="H22">Common_InputFunctions.Utility_DisplayArrayInTable(Fuel_SourceData.Fuel_Scope1Scope3EmissionFactorsTransport_Data(), Table_Fuel_EFs_Transport[[#Headers],[Transport type]], 0)</f>
        <v>69.900000000000006</v>
      </c>
      <c r="I22" s="186" cm="1">
        <f t="array" ref="I22">Common_InputFunctions.Utility_DisplayArrayInTable(Fuel_SourceData.Fuel_Scope1Scope3EmissionFactorsTransport_Data(), Table_Fuel_EFs_Transport[[#Headers],[Transport type]], 0)</f>
        <v>7.0000000000000007E-2</v>
      </c>
      <c r="J22" s="186" cm="1">
        <f t="array" ref="J22">Common_InputFunctions.Utility_DisplayArrayInTable(Fuel_SourceData.Fuel_Scope1Scope3EmissionFactorsTransport_Data(), Table_Fuel_EFs_Transport[[#Headers],[Transport type]], 0)</f>
        <v>0.4</v>
      </c>
      <c r="K22" s="186" cm="1">
        <f t="array" ref="K22">Common_InputFunctions.Utility_DisplayArrayInTable(Fuel_SourceData.Fuel_Scope1Scope3EmissionFactorsTransport_Data(), Table_Fuel_EFs_Transport[[#Headers],[Transport type]], 0)</f>
        <v>70.37</v>
      </c>
      <c r="L22" s="186" cm="1">
        <f t="array" ref="L22">Common_InputFunctions.Utility_DisplayArrayInTable(Fuel_SourceData.Fuel_Scope1Scope3EmissionFactorsTransport_Data(), Table_Fuel_EFs_Transport[[#Headers],[Transport type]], 0)</f>
        <v>17.3</v>
      </c>
    </row>
    <row r="23" spans="1:12" ht="20.100000000000001" customHeight="1" x14ac:dyDescent="0.2">
      <c r="A23" s="5" t="str">
        <f>HYPERLINK("#'Input - Fertiliser'!A1", "Fertiliser")</f>
        <v>Fertiliser</v>
      </c>
      <c r="D23" s="186" t="str" cm="1">
        <f t="array" ref="D23">Common_InputFunctions.Utility_DisplayArrayInTable(Fuel_SourceData.Fuel_Scope1Scope3EmissionFactorsTransport_Data(), Table_Fuel_EFs_Transport[[#Headers],[Transport type]], 0)</f>
        <v>Heavy duty vehicles</v>
      </c>
      <c r="E23" s="186" t="str" cm="1">
        <f t="array" ref="E23">Common_InputFunctions.Utility_DisplayArrayInTable(Fuel_SourceData.Fuel_Scope1Scope3EmissionFactorsTransport_Data(), Table_Fuel_EFs_Transport[[#Headers],[Transport type]], 0)</f>
        <v>Diesel oil - Euro iii</v>
      </c>
      <c r="F23" s="186" cm="1">
        <f t="array" ref="F23">Common_InputFunctions.Utility_DisplayArrayInTable(Fuel_SourceData.Fuel_Scope1Scope3EmissionFactorsTransport_Data(), Table_Fuel_EFs_Transport[[#Headers],[Transport type]], 0)</f>
        <v>38.6</v>
      </c>
      <c r="G23" s="186" t="str" cm="1">
        <f t="array" ref="G23">Common_InputFunctions.Utility_DisplayArrayInTable(Fuel_SourceData.Fuel_Scope1Scope3EmissionFactorsTransport_Data(), Table_Fuel_EFs_Transport[[#Headers],[Transport type]], 0)</f>
        <v>kl</v>
      </c>
      <c r="H23" s="186" cm="1">
        <f t="array" ref="H23">Common_InputFunctions.Utility_DisplayArrayInTable(Fuel_SourceData.Fuel_Scope1Scope3EmissionFactorsTransport_Data(), Table_Fuel_EFs_Transport[[#Headers],[Transport type]], 0)</f>
        <v>69.900000000000006</v>
      </c>
      <c r="I23" s="186" cm="1">
        <f t="array" ref="I23">Common_InputFunctions.Utility_DisplayArrayInTable(Fuel_SourceData.Fuel_Scope1Scope3EmissionFactorsTransport_Data(), Table_Fuel_EFs_Transport[[#Headers],[Transport type]], 0)</f>
        <v>0.1</v>
      </c>
      <c r="J23" s="186" cm="1">
        <f t="array" ref="J23">Common_InputFunctions.Utility_DisplayArrayInTable(Fuel_SourceData.Fuel_Scope1Scope3EmissionFactorsTransport_Data(), Table_Fuel_EFs_Transport[[#Headers],[Transport type]], 0)</f>
        <v>0.4</v>
      </c>
      <c r="K23" s="186" cm="1">
        <f t="array" ref="K23">Common_InputFunctions.Utility_DisplayArrayInTable(Fuel_SourceData.Fuel_Scope1Scope3EmissionFactorsTransport_Data(), Table_Fuel_EFs_Transport[[#Headers],[Transport type]], 0)</f>
        <v>70.400000000000006</v>
      </c>
      <c r="L23" s="186" cm="1">
        <f t="array" ref="L23">Common_InputFunctions.Utility_DisplayArrayInTable(Fuel_SourceData.Fuel_Scope1Scope3EmissionFactorsTransport_Data(), Table_Fuel_EFs_Transport[[#Headers],[Transport type]], 0)</f>
        <v>17.3</v>
      </c>
    </row>
    <row r="24" spans="1:12" ht="20.100000000000001" customHeight="1" x14ac:dyDescent="0.2">
      <c r="D24" s="186" t="str" cm="1">
        <f t="array" ref="D24">Common_InputFunctions.Utility_DisplayArrayInTable(Fuel_SourceData.Fuel_Scope1Scope3EmissionFactorsTransport_Data(), Table_Fuel_EFs_Transport[[#Headers],[Transport type]], 0)</f>
        <v>Heavy duty vehicles</v>
      </c>
      <c r="E24" s="186" t="str" cm="1">
        <f t="array" ref="E24">Common_InputFunctions.Utility_DisplayArrayInTable(Fuel_SourceData.Fuel_Scope1Scope3EmissionFactorsTransport_Data(), Table_Fuel_EFs_Transport[[#Headers],[Transport type]], 0)</f>
        <v>Diesel oil - Euro i</v>
      </c>
      <c r="F24" s="186" cm="1">
        <f t="array" ref="F24">Common_InputFunctions.Utility_DisplayArrayInTable(Fuel_SourceData.Fuel_Scope1Scope3EmissionFactorsTransport_Data(), Table_Fuel_EFs_Transport[[#Headers],[Transport type]], 0)</f>
        <v>38.6</v>
      </c>
      <c r="G24" s="186" t="str" cm="1">
        <f t="array" ref="G24">Common_InputFunctions.Utility_DisplayArrayInTable(Fuel_SourceData.Fuel_Scope1Scope3EmissionFactorsTransport_Data(), Table_Fuel_EFs_Transport[[#Headers],[Transport type]], 0)</f>
        <v>kl</v>
      </c>
      <c r="H24" s="186" cm="1">
        <f t="array" ref="H24">Common_InputFunctions.Utility_DisplayArrayInTable(Fuel_SourceData.Fuel_Scope1Scope3EmissionFactorsTransport_Data(), Table_Fuel_EFs_Transport[[#Headers],[Transport type]], 0)</f>
        <v>69.900000000000006</v>
      </c>
      <c r="I24" s="186" cm="1">
        <f t="array" ref="I24">Common_InputFunctions.Utility_DisplayArrayInTable(Fuel_SourceData.Fuel_Scope1Scope3EmissionFactorsTransport_Data(), Table_Fuel_EFs_Transport[[#Headers],[Transport type]], 0)</f>
        <v>0.2</v>
      </c>
      <c r="J24" s="186" cm="1">
        <f t="array" ref="J24">Common_InputFunctions.Utility_DisplayArrayInTable(Fuel_SourceData.Fuel_Scope1Scope3EmissionFactorsTransport_Data(), Table_Fuel_EFs_Transport[[#Headers],[Transport type]], 0)</f>
        <v>0.4</v>
      </c>
      <c r="K24" s="186" cm="1">
        <f t="array" ref="K24">Common_InputFunctions.Utility_DisplayArrayInTable(Fuel_SourceData.Fuel_Scope1Scope3EmissionFactorsTransport_Data(), Table_Fuel_EFs_Transport[[#Headers],[Transport type]], 0)</f>
        <v>70.5</v>
      </c>
      <c r="L24" s="186" cm="1">
        <f t="array" ref="L24">Common_InputFunctions.Utility_DisplayArrayInTable(Fuel_SourceData.Fuel_Scope1Scope3EmissionFactorsTransport_Data(), Table_Fuel_EFs_Transport[[#Headers],[Transport type]], 0)</f>
        <v>17.3</v>
      </c>
    </row>
    <row r="25" spans="1:12" ht="20.100000000000001" customHeight="1" x14ac:dyDescent="0.2">
      <c r="D25" s="186" t="str" cm="1">
        <f t="array" ref="D25">Common_InputFunctions.Utility_DisplayArrayInTable(Fuel_SourceData.Fuel_Scope1Scope3EmissionFactorsTransport_Data(), Table_Fuel_EFs_Transport[[#Headers],[Transport type]], 0)</f>
        <v>Heavy duty vehicles</v>
      </c>
      <c r="E25" s="186" t="str" cm="1">
        <f t="array" ref="E25">Common_InputFunctions.Utility_DisplayArrayInTable(Fuel_SourceData.Fuel_Scope1Scope3EmissionFactorsTransport_Data(), Table_Fuel_EFs_Transport[[#Headers],[Transport type]], 0)</f>
        <v>Renewable diesel – Euro iv or higher</v>
      </c>
      <c r="F25" s="186" cm="1">
        <f t="array" ref="F25">Common_InputFunctions.Utility_DisplayArrayInTable(Fuel_SourceData.Fuel_Scope1Scope3EmissionFactorsTransport_Data(), Table_Fuel_EFs_Transport[[#Headers],[Transport type]], 0)</f>
        <v>38.6</v>
      </c>
      <c r="G25" s="186" t="str" cm="1">
        <f t="array" ref="G25">Common_InputFunctions.Utility_DisplayArrayInTable(Fuel_SourceData.Fuel_Scope1Scope3EmissionFactorsTransport_Data(), Table_Fuel_EFs_Transport[[#Headers],[Transport type]], 0)</f>
        <v>kl</v>
      </c>
      <c r="H25" s="186" cm="1">
        <f t="array" ref="H25">Common_InputFunctions.Utility_DisplayArrayInTable(Fuel_SourceData.Fuel_Scope1Scope3EmissionFactorsTransport_Data(), Table_Fuel_EFs_Transport[[#Headers],[Transport type]], 0)</f>
        <v>0</v>
      </c>
      <c r="I25" s="186" cm="1">
        <f t="array" ref="I25">Common_InputFunctions.Utility_DisplayArrayInTable(Fuel_SourceData.Fuel_Scope1Scope3EmissionFactorsTransport_Data(), Table_Fuel_EFs_Transport[[#Headers],[Transport type]], 0)</f>
        <v>7.0000000000000007E-2</v>
      </c>
      <c r="J25" s="186" cm="1">
        <f t="array" ref="J25">Common_InputFunctions.Utility_DisplayArrayInTable(Fuel_SourceData.Fuel_Scope1Scope3EmissionFactorsTransport_Data(), Table_Fuel_EFs_Transport[[#Headers],[Transport type]], 0)</f>
        <v>0.4</v>
      </c>
      <c r="K25" s="186" cm="1">
        <f t="array" ref="K25">Common_InputFunctions.Utility_DisplayArrayInTable(Fuel_SourceData.Fuel_Scope1Scope3EmissionFactorsTransport_Data(), Table_Fuel_EFs_Transport[[#Headers],[Transport type]], 0)</f>
        <v>0.47</v>
      </c>
      <c r="L25" s="186" t="str" cm="1">
        <f t="array" ref="L25">Common_InputFunctions.Utility_DisplayArrayInTable(Fuel_SourceData.Fuel_Scope1Scope3EmissionFactorsTransport_Data(), Table_Fuel_EFs_Transport[[#Headers],[Transport type]], 0)</f>
        <v>NE</v>
      </c>
    </row>
    <row r="26" spans="1:12" ht="20.100000000000001" customHeight="1" x14ac:dyDescent="0.2">
      <c r="A26" s="6" t="s">
        <v>2</v>
      </c>
      <c r="D26" s="186" t="str" cm="1">
        <f t="array" ref="D26">Common_InputFunctions.Utility_DisplayArrayInTable(Fuel_SourceData.Fuel_Scope1Scope3EmissionFactorsTransport_Data(), Table_Fuel_EFs_Transport[[#Headers],[Transport type]], 0)</f>
        <v>Heavy duty vehicles</v>
      </c>
      <c r="E26" s="186" t="str" cm="1">
        <f t="array" ref="E26">Common_InputFunctions.Utility_DisplayArrayInTable(Fuel_SourceData.Fuel_Scope1Scope3EmissionFactorsTransport_Data(), Table_Fuel_EFs_Transport[[#Headers],[Transport type]], 0)</f>
        <v>Renewable diesel – Euro iii</v>
      </c>
      <c r="F26" s="186" cm="1">
        <f t="array" ref="F26">Common_InputFunctions.Utility_DisplayArrayInTable(Fuel_SourceData.Fuel_Scope1Scope3EmissionFactorsTransport_Data(), Table_Fuel_EFs_Transport[[#Headers],[Transport type]], 0)</f>
        <v>38.6</v>
      </c>
      <c r="G26" s="186" t="str" cm="1">
        <f t="array" ref="G26">Common_InputFunctions.Utility_DisplayArrayInTable(Fuel_SourceData.Fuel_Scope1Scope3EmissionFactorsTransport_Data(), Table_Fuel_EFs_Transport[[#Headers],[Transport type]], 0)</f>
        <v>kl</v>
      </c>
      <c r="H26" s="186" cm="1">
        <f t="array" ref="H26">Common_InputFunctions.Utility_DisplayArrayInTable(Fuel_SourceData.Fuel_Scope1Scope3EmissionFactorsTransport_Data(), Table_Fuel_EFs_Transport[[#Headers],[Transport type]], 0)</f>
        <v>0</v>
      </c>
      <c r="I26" s="186" cm="1">
        <f t="array" ref="I26">Common_InputFunctions.Utility_DisplayArrayInTable(Fuel_SourceData.Fuel_Scope1Scope3EmissionFactorsTransport_Data(), Table_Fuel_EFs_Transport[[#Headers],[Transport type]], 0)</f>
        <v>0.1</v>
      </c>
      <c r="J26" s="186" cm="1">
        <f t="array" ref="J26">Common_InputFunctions.Utility_DisplayArrayInTable(Fuel_SourceData.Fuel_Scope1Scope3EmissionFactorsTransport_Data(), Table_Fuel_EFs_Transport[[#Headers],[Transport type]], 0)</f>
        <v>0.4</v>
      </c>
      <c r="K26" s="186" cm="1">
        <f t="array" ref="K26">Common_InputFunctions.Utility_DisplayArrayInTable(Fuel_SourceData.Fuel_Scope1Scope3EmissionFactorsTransport_Data(), Table_Fuel_EFs_Transport[[#Headers],[Transport type]], 0)</f>
        <v>0.5</v>
      </c>
      <c r="L26" s="186"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HYPERLINK("#'3.5.1.1-2 Enteric Methane'!A1", "3.5.1.1-2 Enteric Methane")</f>
        <v>3.5.1.1-2 Enteric Methane</v>
      </c>
      <c r="D27" s="186" t="str" cm="1">
        <f t="array" ref="D27">Common_InputFunctions.Utility_DisplayArrayInTable(Fuel_SourceData.Fuel_Scope1Scope3EmissionFactorsTransport_Data(), Table_Fuel_EFs_Transport[[#Headers],[Transport type]], 0)</f>
        <v>Heavy duty vehicles</v>
      </c>
      <c r="E27" s="186" t="str" cm="1">
        <f t="array" ref="E27">Common_InputFunctions.Utility_DisplayArrayInTable(Fuel_SourceData.Fuel_Scope1Scope3EmissionFactorsTransport_Data(), Table_Fuel_EFs_Transport[[#Headers],[Transport type]], 0)</f>
        <v>Renewable diesel – Euro i</v>
      </c>
      <c r="F27" s="186" cm="1">
        <f t="array" ref="F27">Common_InputFunctions.Utility_DisplayArrayInTable(Fuel_SourceData.Fuel_Scope1Scope3EmissionFactorsTransport_Data(), Table_Fuel_EFs_Transport[[#Headers],[Transport type]], 0)</f>
        <v>38.6</v>
      </c>
      <c r="G27" s="186" t="str" cm="1">
        <f t="array" ref="G27">Common_InputFunctions.Utility_DisplayArrayInTable(Fuel_SourceData.Fuel_Scope1Scope3EmissionFactorsTransport_Data(), Table_Fuel_EFs_Transport[[#Headers],[Transport type]], 0)</f>
        <v>kl</v>
      </c>
      <c r="H27" s="186" cm="1">
        <f t="array" ref="H27">Common_InputFunctions.Utility_DisplayArrayInTable(Fuel_SourceData.Fuel_Scope1Scope3EmissionFactorsTransport_Data(), Table_Fuel_EFs_Transport[[#Headers],[Transport type]], 0)</f>
        <v>0</v>
      </c>
      <c r="I27" s="186" cm="1">
        <f t="array" ref="I27">Common_InputFunctions.Utility_DisplayArrayInTable(Fuel_SourceData.Fuel_Scope1Scope3EmissionFactorsTransport_Data(), Table_Fuel_EFs_Transport[[#Headers],[Transport type]], 0)</f>
        <v>0.2</v>
      </c>
      <c r="J27" s="186" cm="1">
        <f t="array" ref="J27">Common_InputFunctions.Utility_DisplayArrayInTable(Fuel_SourceData.Fuel_Scope1Scope3EmissionFactorsTransport_Data(), Table_Fuel_EFs_Transport[[#Headers],[Transport type]], 0)</f>
        <v>0.4</v>
      </c>
      <c r="K27" s="186" cm="1">
        <f t="array" ref="K27">Common_InputFunctions.Utility_DisplayArrayInTable(Fuel_SourceData.Fuel_Scope1Scope3EmissionFactorsTransport_Data(), Table_Fuel_EFs_Transport[[#Headers],[Transport type]], 0)</f>
        <v>0.6</v>
      </c>
      <c r="L27" s="186" t="str" cm="1">
        <f t="array" ref="L27">Common_InputFunctions.Utility_DisplayArrayInTable(Fuel_SourceData.Fuel_Scope1Scope3EmissionFactorsTransport_Data(), Table_Fuel_EFs_Transport[[#Headers],[Transport type]], 0)</f>
        <v>NE</v>
      </c>
    </row>
    <row r="28" spans="1:12" ht="20.100000000000001" customHeight="1" x14ac:dyDescent="0.2">
      <c r="A28" s="5" t="str">
        <f>HYPERLINK("#'4.5.1.1-2 Methane'!A1", "4.5.1.1-2 Manure Methane")</f>
        <v>4.5.1.1-2 Manure Methane</v>
      </c>
      <c r="D28" s="186" t="str" cm="1">
        <f t="array" ref="D28">Common_InputFunctions.Utility_DisplayArrayInTable(Fuel_SourceData.Fuel_Scope1Scope3EmissionFactorsTransport_Data(), Table_Fuel_EFs_Transport[[#Headers],[Transport type]], 0)</f>
        <v>Aviation</v>
      </c>
      <c r="E28" s="186" t="str" cm="1">
        <f t="array" ref="E28">Common_InputFunctions.Utility_DisplayArrayInTable(Fuel_SourceData.Fuel_Scope1Scope3EmissionFactorsTransport_Data(), Table_Fuel_EFs_Transport[[#Headers],[Transport type]], 0)</f>
        <v>Gasoline for use as fuel in an aircraft</v>
      </c>
      <c r="F28" s="186" cm="1">
        <f t="array" ref="F28">Common_InputFunctions.Utility_DisplayArrayInTable(Fuel_SourceData.Fuel_Scope1Scope3EmissionFactorsTransport_Data(), Table_Fuel_EFs_Transport[[#Headers],[Transport type]], 0)</f>
        <v>33.1</v>
      </c>
      <c r="G28" s="186" t="str" cm="1">
        <f t="array" ref="G28">Common_InputFunctions.Utility_DisplayArrayInTable(Fuel_SourceData.Fuel_Scope1Scope3EmissionFactorsTransport_Data(), Table_Fuel_EFs_Transport[[#Headers],[Transport type]], 0)</f>
        <v>kl</v>
      </c>
      <c r="H28" s="186" cm="1">
        <f t="array" ref="H28">Common_InputFunctions.Utility_DisplayArrayInTable(Fuel_SourceData.Fuel_Scope1Scope3EmissionFactorsTransport_Data(), Table_Fuel_EFs_Transport[[#Headers],[Transport type]], 0)</f>
        <v>67</v>
      </c>
      <c r="I28" s="186" cm="1">
        <f t="array" ref="I28">Common_InputFunctions.Utility_DisplayArrayInTable(Fuel_SourceData.Fuel_Scope1Scope3EmissionFactorsTransport_Data(), Table_Fuel_EFs_Transport[[#Headers],[Transport type]], 0)</f>
        <v>0.06</v>
      </c>
      <c r="J28" s="186" cm="1">
        <f t="array" ref="J28">Common_InputFunctions.Utility_DisplayArrayInTable(Fuel_SourceData.Fuel_Scope1Scope3EmissionFactorsTransport_Data(), Table_Fuel_EFs_Transport[[#Headers],[Transport type]], 0)</f>
        <v>0.6</v>
      </c>
      <c r="K28" s="186" cm="1">
        <f t="array" ref="K28">Common_InputFunctions.Utility_DisplayArrayInTable(Fuel_SourceData.Fuel_Scope1Scope3EmissionFactorsTransport_Data(), Table_Fuel_EFs_Transport[[#Headers],[Transport type]], 0)</f>
        <v>67.66</v>
      </c>
      <c r="L28" s="186" cm="1">
        <f t="array" ref="L28">Common_InputFunctions.Utility_DisplayArrayInTable(Fuel_SourceData.Fuel_Scope1Scope3EmissionFactorsTransport_Data(), Table_Fuel_EFs_Transport[[#Headers],[Transport type]], 0)</f>
        <v>18</v>
      </c>
    </row>
    <row r="29" spans="1:12" ht="20.100000000000001" customHeight="1" x14ac:dyDescent="0.2">
      <c r="A29" s="5" t="str">
        <f>HYPERLINK("#'4.5.1.3-4 Direct N2O'!A1", "4.5.1.3-4 Manure Direct N2O")</f>
        <v>4.5.1.3-4 Manure Direct N2O</v>
      </c>
      <c r="D29" s="186" t="str" cm="1">
        <f t="array" ref="D29">Common_InputFunctions.Utility_DisplayArrayInTable(Fuel_SourceData.Fuel_Scope1Scope3EmissionFactorsTransport_Data(), Table_Fuel_EFs_Transport[[#Headers],[Transport type]], 0)</f>
        <v>Aviation</v>
      </c>
      <c r="E29" s="186" t="str" cm="1">
        <f t="array" ref="E29">Common_InputFunctions.Utility_DisplayArrayInTable(Fuel_SourceData.Fuel_Scope1Scope3EmissionFactorsTransport_Data(), Table_Fuel_EFs_Transport[[#Headers],[Transport type]], 0)</f>
        <v>Kerosene for use as fuel in an aircraft</v>
      </c>
      <c r="F29" s="186" cm="1">
        <f t="array" ref="F29">Common_InputFunctions.Utility_DisplayArrayInTable(Fuel_SourceData.Fuel_Scope1Scope3EmissionFactorsTransport_Data(), Table_Fuel_EFs_Transport[[#Headers],[Transport type]], 0)</f>
        <v>36.799999999999997</v>
      </c>
      <c r="G29" s="186" t="str" cm="1">
        <f t="array" ref="G29">Common_InputFunctions.Utility_DisplayArrayInTable(Fuel_SourceData.Fuel_Scope1Scope3EmissionFactorsTransport_Data(), Table_Fuel_EFs_Transport[[#Headers],[Transport type]], 0)</f>
        <v>kl</v>
      </c>
      <c r="H29" s="186" cm="1">
        <f t="array" ref="H29">Common_InputFunctions.Utility_DisplayArrayInTable(Fuel_SourceData.Fuel_Scope1Scope3EmissionFactorsTransport_Data(), Table_Fuel_EFs_Transport[[#Headers],[Transport type]], 0)</f>
        <v>69.599999999999994</v>
      </c>
      <c r="I29" s="186" cm="1">
        <f t="array" ref="I29">Common_InputFunctions.Utility_DisplayArrayInTable(Fuel_SourceData.Fuel_Scope1Scope3EmissionFactorsTransport_Data(), Table_Fuel_EFs_Transport[[#Headers],[Transport type]], 0)</f>
        <v>0.01</v>
      </c>
      <c r="J29" s="186" cm="1">
        <f t="array" ref="J29">Common_InputFunctions.Utility_DisplayArrayInTable(Fuel_SourceData.Fuel_Scope1Scope3EmissionFactorsTransport_Data(), Table_Fuel_EFs_Transport[[#Headers],[Transport type]], 0)</f>
        <v>0.6</v>
      </c>
      <c r="K29" s="186" cm="1">
        <f t="array" ref="K29">Common_InputFunctions.Utility_DisplayArrayInTable(Fuel_SourceData.Fuel_Scope1Scope3EmissionFactorsTransport_Data(), Table_Fuel_EFs_Transport[[#Headers],[Transport type]], 0)</f>
        <v>70.209999999999994</v>
      </c>
      <c r="L29" s="186" cm="1">
        <f t="array" ref="L29">Common_InputFunctions.Utility_DisplayArrayInTable(Fuel_SourceData.Fuel_Scope1Scope3EmissionFactorsTransport_Data(), Table_Fuel_EFs_Transport[[#Headers],[Transport type]], 0)</f>
        <v>18</v>
      </c>
    </row>
    <row r="30" spans="1:12" ht="20.100000000000001" customHeight="1" x14ac:dyDescent="0.2">
      <c r="A30" s="5" t="str">
        <f>HYPERLINK("#'4.5.1.5-6 Atmos Dep'!A1", "4.5.1.5-6 Manure Atmos Dep")</f>
        <v>4.5.1.5-6 Manure Atmos Dep</v>
      </c>
      <c r="D30" s="186" t="str" cm="1">
        <f t="array" ref="D30">Common_InputFunctions.Utility_DisplayArrayInTable(Fuel_SourceData.Fuel_Scope1Scope3EmissionFactorsTransport_Data(), Table_Fuel_EFs_Transport[[#Headers],[Transport type]], 0)</f>
        <v>Aviation</v>
      </c>
      <c r="E30" s="186" t="str" cm="1">
        <f t="array" ref="E30">Common_InputFunctions.Utility_DisplayArrayInTable(Fuel_SourceData.Fuel_Scope1Scope3EmissionFactorsTransport_Data(), Table_Fuel_EFs_Transport[[#Headers],[Transport type]], 0)</f>
        <v>Renewable aviation kerosene</v>
      </c>
      <c r="F30" s="186" cm="1">
        <f t="array" ref="F30">Common_InputFunctions.Utility_DisplayArrayInTable(Fuel_SourceData.Fuel_Scope1Scope3EmissionFactorsTransport_Data(), Table_Fuel_EFs_Transport[[#Headers],[Transport type]], 0)</f>
        <v>36.799999999999997</v>
      </c>
      <c r="G30" s="186" t="str" cm="1">
        <f t="array" ref="G30">Common_InputFunctions.Utility_DisplayArrayInTable(Fuel_SourceData.Fuel_Scope1Scope3EmissionFactorsTransport_Data(), Table_Fuel_EFs_Transport[[#Headers],[Transport type]], 0)</f>
        <v>kl</v>
      </c>
      <c r="H30" s="186" cm="1">
        <f t="array" ref="H30">Common_InputFunctions.Utility_DisplayArrayInTable(Fuel_SourceData.Fuel_Scope1Scope3EmissionFactorsTransport_Data(), Table_Fuel_EFs_Transport[[#Headers],[Transport type]], 0)</f>
        <v>0</v>
      </c>
      <c r="I30" s="186" cm="1">
        <f t="array" ref="I30">Common_InputFunctions.Utility_DisplayArrayInTable(Fuel_SourceData.Fuel_Scope1Scope3EmissionFactorsTransport_Data(), Table_Fuel_EFs_Transport[[#Headers],[Transport type]], 0)</f>
        <v>0.01</v>
      </c>
      <c r="J30" s="186" cm="1">
        <f t="array" ref="J30">Common_InputFunctions.Utility_DisplayArrayInTable(Fuel_SourceData.Fuel_Scope1Scope3EmissionFactorsTransport_Data(), Table_Fuel_EFs_Transport[[#Headers],[Transport type]], 0)</f>
        <v>0.6</v>
      </c>
      <c r="K30" s="186" cm="1">
        <f t="array" ref="K30">Common_InputFunctions.Utility_DisplayArrayInTable(Fuel_SourceData.Fuel_Scope1Scope3EmissionFactorsTransport_Data(), Table_Fuel_EFs_Transport[[#Headers],[Transport type]], 0)</f>
        <v>0.61</v>
      </c>
      <c r="L30" s="186"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HYPERLINK("#'4.5.1.7-8 Leaching and runoff'!A1", "4.5.1.7-8 Manure Leaching and runoff")</f>
        <v>4.5.1.7-8 Manure Leaching and runoff</v>
      </c>
      <c r="D31" s="186" t="str" cm="1">
        <f t="array" ref="D31">Common_InputFunctions.Utility_DisplayArrayInTable(Fuel_SourceData.Fuel_Scope1Scope3EmissionFactorsTransport_Data(), Table_Fuel_EFs_Transport[[#Headers],[Transport type]], 0)</f>
        <v>Vessels</v>
      </c>
      <c r="E31" s="186" t="str" cm="1">
        <f t="array" ref="E31">Common_InputFunctions.Utility_DisplayArrayInTable(Fuel_SourceData.Fuel_Scope1Scope3EmissionFactorsTransport_Data(), Table_Fuel_EFs_Transport[[#Headers],[Transport type]], 0)</f>
        <v>Gasoline</v>
      </c>
      <c r="F31" s="186" cm="1">
        <f t="array" ref="F31">Common_InputFunctions.Utility_DisplayArrayInTable(Fuel_SourceData.Fuel_Scope1Scope3EmissionFactorsTransport_Data(), Table_Fuel_EFs_Transport[[#Headers],[Transport type]], 0)</f>
        <v>34.200000000000003</v>
      </c>
      <c r="G31" s="186" t="str" cm="1">
        <f t="array" ref="G31">Common_InputFunctions.Utility_DisplayArrayInTable(Fuel_SourceData.Fuel_Scope1Scope3EmissionFactorsTransport_Data(), Table_Fuel_EFs_Transport[[#Headers],[Transport type]], 0)</f>
        <v>kL</v>
      </c>
      <c r="H31" s="186" cm="1">
        <f t="array" ref="H31">Common_InputFunctions.Utility_DisplayArrayInTable(Fuel_SourceData.Fuel_Scope1Scope3EmissionFactorsTransport_Data(), Table_Fuel_EFs_Transport[[#Headers],[Transport type]], 0)</f>
        <v>67.400000000000006</v>
      </c>
      <c r="I31" s="186" cm="1">
        <f t="array" ref="I31">Common_InputFunctions.Utility_DisplayArrayInTable(Fuel_SourceData.Fuel_Scope1Scope3EmissionFactorsTransport_Data(), Table_Fuel_EFs_Transport[[#Headers],[Transport type]], 0)</f>
        <v>10.1</v>
      </c>
      <c r="J31" s="186" cm="1">
        <f t="array" ref="J31">Common_InputFunctions.Utility_DisplayArrayInTable(Fuel_SourceData.Fuel_Scope1Scope3EmissionFactorsTransport_Data(), Table_Fuel_EFs_Transport[[#Headers],[Transport type]], 0)</f>
        <v>0.3</v>
      </c>
      <c r="K31" s="186" t="str" cm="1">
        <f t="array" ref="K31">Common_InputFunctions.Utility_DisplayArrayInTable(Fuel_SourceData.Fuel_Scope1Scope3EmissionFactorsTransport_Data(), Table_Fuel_EFs_Transport[[#Headers],[Transport type]], 0)</f>
        <v/>
      </c>
      <c r="L31" s="186"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HYPERLINK("#'4.5.1.9 Manure applied to soils'!A1", "4.5.1.9 Manure applied to soils")</f>
        <v>4.5.1.9 Manure applied to soils</v>
      </c>
      <c r="D32" s="187" t="str" cm="1">
        <f t="array" ref="D32">Common_InputFunctions.Utility_DisplayArrayInTable(Fuel_SourceData.Fuel_Scope1Scope3EmissionFactorsTransport_Data(), Table_Fuel_EFs_Transport[[#Headers],[Transport type]], 0)</f>
        <v>Vessels</v>
      </c>
      <c r="E32" s="187" t="str" cm="1">
        <f t="array" ref="E32">Common_InputFunctions.Utility_DisplayArrayInTable(Fuel_SourceData.Fuel_Scope1Scope3EmissionFactorsTransport_Data(), Table_Fuel_EFs_Transport[[#Headers],[Transport type]], 0)</f>
        <v>Diesel oil</v>
      </c>
      <c r="F32" s="187" cm="1">
        <f t="array" ref="F32">Common_InputFunctions.Utility_DisplayArrayInTable(Fuel_SourceData.Fuel_Scope1Scope3EmissionFactorsTransport_Data(), Table_Fuel_EFs_Transport[[#Headers],[Transport type]], 0)</f>
        <v>38.6</v>
      </c>
      <c r="G32" s="187" t="str" cm="1">
        <f t="array" ref="G32">Common_InputFunctions.Utility_DisplayArrayInTable(Fuel_SourceData.Fuel_Scope1Scope3EmissionFactorsTransport_Data(), Table_Fuel_EFs_Transport[[#Headers],[Transport type]], 0)</f>
        <v>kL</v>
      </c>
      <c r="H32" s="187" cm="1">
        <f t="array" ref="H32">Common_InputFunctions.Utility_DisplayArrayInTable(Fuel_SourceData.Fuel_Scope1Scope3EmissionFactorsTransport_Data(), Table_Fuel_EFs_Transport[[#Headers],[Transport type]], 0)</f>
        <v>69.900000000000006</v>
      </c>
      <c r="I32" s="187" cm="1">
        <f t="array" ref="I32">Common_InputFunctions.Utility_DisplayArrayInTable(Fuel_SourceData.Fuel_Scope1Scope3EmissionFactorsTransport_Data(), Table_Fuel_EFs_Transport[[#Headers],[Transport type]], 0)</f>
        <v>0.2</v>
      </c>
      <c r="J32" s="187" cm="1">
        <f t="array" ref="J32">Common_InputFunctions.Utility_DisplayArrayInTable(Fuel_SourceData.Fuel_Scope1Scope3EmissionFactorsTransport_Data(), Table_Fuel_EFs_Transport[[#Headers],[Transport type]], 0)</f>
        <v>0.5</v>
      </c>
      <c r="K32" s="187" t="str" cm="1">
        <f t="array" ref="K32">Common_InputFunctions.Utility_DisplayArrayInTable(Fuel_SourceData.Fuel_Scope1Scope3EmissionFactorsTransport_Data(), Table_Fuel_EFs_Transport[[#Headers],[Transport type]], 0)</f>
        <v/>
      </c>
      <c r="L32" s="187"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HYPERLINK("#'8.1.1.1-2 Transport fuel'!A1", "8.1.1.1-2 Transport fuel")</f>
        <v>8.1.1.1-2 Transport fuel</v>
      </c>
      <c r="D33" s="187" t="str" cm="1">
        <f t="array" ref="D33">Common_InputFunctions.Utility_DisplayArrayInTable(Fuel_SourceData.Fuel_Scope1Scope3EmissionFactorsTransport_Data(), Table_Fuel_EFs_Transport[[#Headers],[Transport type]], 0)</f>
        <v>Vessels</v>
      </c>
      <c r="E33" s="187" t="str" cm="1">
        <f t="array" ref="E33">Common_InputFunctions.Utility_DisplayArrayInTable(Fuel_SourceData.Fuel_Scope1Scope3EmissionFactorsTransport_Data(), Table_Fuel_EFs_Transport[[#Headers],[Transport type]], 0)</f>
        <v>Fuel Oil</v>
      </c>
      <c r="F33" s="187" cm="1">
        <f t="array" ref="F33">Common_InputFunctions.Utility_DisplayArrayInTable(Fuel_SourceData.Fuel_Scope1Scope3EmissionFactorsTransport_Data(), Table_Fuel_EFs_Transport[[#Headers],[Transport type]], 0)</f>
        <v>39.700000000000003</v>
      </c>
      <c r="G33" s="187" t="str" cm="1">
        <f t="array" ref="G33">Common_InputFunctions.Utility_DisplayArrayInTable(Fuel_SourceData.Fuel_Scope1Scope3EmissionFactorsTransport_Data(), Table_Fuel_EFs_Transport[[#Headers],[Transport type]], 0)</f>
        <v>kL</v>
      </c>
      <c r="H33" s="187" cm="1">
        <f t="array" ref="H33">Common_InputFunctions.Utility_DisplayArrayInTable(Fuel_SourceData.Fuel_Scope1Scope3EmissionFactorsTransport_Data(), Table_Fuel_EFs_Transport[[#Headers],[Transport type]], 0)</f>
        <v>73.599999999999994</v>
      </c>
      <c r="I33" s="187" cm="1">
        <f t="array" ref="I33">Common_InputFunctions.Utility_DisplayArrayInTable(Fuel_SourceData.Fuel_Scope1Scope3EmissionFactorsTransport_Data(), Table_Fuel_EFs_Transport[[#Headers],[Transport type]], 0)</f>
        <v>0.2</v>
      </c>
      <c r="J33" s="187" cm="1">
        <f t="array" ref="J33">Common_InputFunctions.Utility_DisplayArrayInTable(Fuel_SourceData.Fuel_Scope1Scope3EmissionFactorsTransport_Data(), Table_Fuel_EFs_Transport[[#Headers],[Transport type]], 0)</f>
        <v>0.5</v>
      </c>
      <c r="K33" s="187" t="str" cm="1">
        <f t="array" ref="K33">Common_InputFunctions.Utility_DisplayArrayInTable(Fuel_SourceData.Fuel_Scope1Scope3EmissionFactorsTransport_Data(), Table_Fuel_EFs_Transport[[#Headers],[Transport type]], 0)</f>
        <v/>
      </c>
      <c r="L33" s="187"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HYPERLINK("#'8.2.1.1-2 Stationary fuel'!A1", "8.2.1.1-2 Stationary fuel")</f>
        <v>8.2.1.1-2 Stationary fuel</v>
      </c>
      <c r="D34" s="187" t="str" cm="1">
        <f t="array" ref="D34">Common_InputFunctions.Utility_DisplayArrayInTable(Fuel_SourceData.Fuel_Scope1Scope3EmissionFactorsTransport_Data(), Table_Fuel_EFs_Transport[[#Headers],[Transport type]], 0)</f>
        <v>Off-road Agriculture and forestry equipment</v>
      </c>
      <c r="E34" s="187" t="str" cm="1">
        <f t="array" ref="E34">Common_InputFunctions.Utility_DisplayArrayInTable(Fuel_SourceData.Fuel_Scope1Scope3EmissionFactorsTransport_Data(), Table_Fuel_EFs_Transport[[#Headers],[Transport type]], 0)</f>
        <v>Diesel oil</v>
      </c>
      <c r="F34" s="187" cm="1">
        <f t="array" ref="F34">Common_InputFunctions.Utility_DisplayArrayInTable(Fuel_SourceData.Fuel_Scope1Scope3EmissionFactorsTransport_Data(), Table_Fuel_EFs_Transport[[#Headers],[Transport type]], 0)</f>
        <v>38.6</v>
      </c>
      <c r="G34" s="187" t="str" cm="1">
        <f t="array" ref="G34">Common_InputFunctions.Utility_DisplayArrayInTable(Fuel_SourceData.Fuel_Scope1Scope3EmissionFactorsTransport_Data(), Table_Fuel_EFs_Transport[[#Headers],[Transport type]], 0)</f>
        <v>kL</v>
      </c>
      <c r="H34" s="187" cm="1">
        <f t="array" ref="H34">Common_InputFunctions.Utility_DisplayArrayInTable(Fuel_SourceData.Fuel_Scope1Scope3EmissionFactorsTransport_Data(), Table_Fuel_EFs_Transport[[#Headers],[Transport type]], 0)</f>
        <v>69.900000000000006</v>
      </c>
      <c r="I34" s="187" cm="1">
        <f t="array" ref="I34">Common_InputFunctions.Utility_DisplayArrayInTable(Fuel_SourceData.Fuel_Scope1Scope3EmissionFactorsTransport_Data(), Table_Fuel_EFs_Transport[[#Headers],[Transport type]], 0)</f>
        <v>0.3</v>
      </c>
      <c r="J34" s="187" cm="1">
        <f t="array" ref="J34">Common_InputFunctions.Utility_DisplayArrayInTable(Fuel_SourceData.Fuel_Scope1Scope3EmissionFactorsTransport_Data(), Table_Fuel_EFs_Transport[[#Headers],[Transport type]], 0)</f>
        <v>0.5</v>
      </c>
      <c r="K34" s="187" t="str" cm="1">
        <f t="array" ref="K34">Common_InputFunctions.Utility_DisplayArrayInTable(Fuel_SourceData.Fuel_Scope1Scope3EmissionFactorsTransport_Data(), Table_Fuel_EFs_Transport[[#Headers],[Transport type]], 0)</f>
        <v/>
      </c>
      <c r="L34" s="187"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HYPERLINK("#'10.1.1-2 Solid waste treatment'!A1", "10.1.1.1-2 Solid waste")</f>
        <v>10.1.1.1-2 Solid waste</v>
      </c>
    </row>
    <row r="36" spans="1:12" ht="20.100000000000001" customHeight="1" x14ac:dyDescent="0.2">
      <c r="A36" s="5" t="str">
        <f>HYPERLINK("#'14.1.1-2 Purchased electricity'!A1", "14.1.1-2 Purchased electricity")</f>
        <v>14.1.1-2 Purchased electricity</v>
      </c>
    </row>
    <row r="37" spans="1:12" ht="20.100000000000001" customHeight="1" x14ac:dyDescent="0.2">
      <c r="A37" s="5" t="str">
        <f>HYPERLINK("#'15 Scope 3'!A1", "15 Scope 3")</f>
        <v>15 Scope 3</v>
      </c>
      <c r="D37" s="2" t="str" cm="1">
        <f t="array" ref="D37">Fuel_SourceData.Fuel_Scope1Scope3EmissionFactorsTransportOffRoad_Title()</f>
        <v>Fuel scope 1 and 3 emission factors - Off-road equipment and vessels</v>
      </c>
    </row>
    <row r="38" spans="1:12" ht="20.100000000000001" customHeight="1" x14ac:dyDescent="0.2">
      <c r="A38" s="5" t="str">
        <f>HYPERLINK("#'Calcs - Manure sent off-site'!A1", "Calcs - Manure sent off-site")</f>
        <v>Calcs - Manure sent off-site</v>
      </c>
      <c r="D38" s="17" t="str" cm="1">
        <f t="array" ref="D38">Fuel_SourceData.Fuel_Scope1Scope3EmissionFactorsTransportOffRoad_Source()</f>
        <v>VEERG 2026: Table A.4.2.1</v>
      </c>
    </row>
    <row r="39" spans="1:12" ht="20.100000000000001" customHeight="1" x14ac:dyDescent="0.2">
      <c r="A39" s="5" t="str">
        <f>HYPERLINK("#'5.1.1.1-2 Inorganic fert N2O'!A1", "5.1.1.1-2 Inorganic fert N2O")</f>
        <v>5.1.1.1-2 Inorganic fert N2O</v>
      </c>
      <c r="D39" s="19" t="s">
        <v>636</v>
      </c>
      <c r="E39" s="19" t="s">
        <v>637</v>
      </c>
      <c r="F39" s="19" t="s">
        <v>638</v>
      </c>
      <c r="G39" s="19" t="s">
        <v>639</v>
      </c>
      <c r="H39" s="19" t="s">
        <v>640</v>
      </c>
      <c r="I39" s="19" t="s">
        <v>641</v>
      </c>
      <c r="J39" s="19" t="s">
        <v>642</v>
      </c>
    </row>
    <row r="40" spans="1:12" ht="20.100000000000001" customHeight="1" x14ac:dyDescent="0.2">
      <c r="A40" s="5" t="str">
        <f>HYPERLINK("#'5.1.1.3-4 Inorganic fert CO2'!A1", "5.1.1.3-4 Inorganic fert CO2")</f>
        <v>5.1.1.3-4 Inorganic fert CO2</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HYPERLINK("#'5.2.1.1-2 Organic Fert N2O'!A1", "5.2.1.1-2 Organic Fert N2O")</f>
        <v>5.2.1.1-2 Organic Fert N2O</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HYPERLINK("#'5.3.1.1-2 Lime CO2'!A1", "5.3.1.1-2 Lime CO2")</f>
        <v>5.3.1.1-2 Lime CO2</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HYPERLINK("#'5.4.1.1-4 Atmos deposition'!A1", "5.4.1.1-4 Atmos deposition")</f>
        <v>5.4.1.1-4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5" t="str">
        <f>HYPERLINK("#'5.5.1.1-2 Leaching and runoff'!A1", "5.5.1.1-2 Leaching and runoff")</f>
        <v>5.5.1.1-2 Leaching and runoff</v>
      </c>
    </row>
    <row r="47" spans="1:12" ht="20.100000000000001" customHeight="1" x14ac:dyDescent="0.2">
      <c r="A47" s="79" t="s">
        <v>1</v>
      </c>
    </row>
    <row r="48" spans="1:12" ht="20.100000000000001" customHeight="1" x14ac:dyDescent="0.2">
      <c r="A48" s="5" t="str">
        <f>HYPERLINK("#'Constants - Swine'!A1", "Constants - Swine")</f>
        <v>Constants - Swine</v>
      </c>
    </row>
    <row r="49" spans="1:12" ht="20.100000000000001" customHeight="1" x14ac:dyDescent="0.2">
      <c r="A49" s="5" t="str">
        <f>HYPERLINK("#'Constants - Common livestock'!A1", "Constants - Common Livestock")</f>
        <v>Constants - Common Livestock</v>
      </c>
      <c r="D49" s="2" t="str" cm="1">
        <f t="array" ref="D49">Fuel_SourceData.Fuel_Scope1Scope3EmissionFactorsStationaryLiquid_Title()</f>
        <v>Fuel scope 1 and 3 emission factors - Stationary liquid fuels</v>
      </c>
      <c r="E49" s="158"/>
      <c r="F49" s="158"/>
      <c r="G49" s="158"/>
      <c r="H49" s="158"/>
      <c r="I49" s="158"/>
      <c r="J49" s="158"/>
      <c r="K49" s="158"/>
      <c r="L49" s="158"/>
    </row>
    <row r="50" spans="1:12" ht="20.100000000000001" customHeight="1" x14ac:dyDescent="0.2">
      <c r="A50" s="5" t="str">
        <f>HYPERLINK("#'Constants - Electricity'!A1", "Constants - Electricity")</f>
        <v>Constants - Electricity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8"/>
      <c r="F50" s="158"/>
      <c r="G50" s="158"/>
      <c r="H50" s="158"/>
      <c r="I50" s="158"/>
      <c r="J50" s="158"/>
      <c r="K50" s="158"/>
      <c r="L50" s="158"/>
    </row>
    <row r="51" spans="1:12" ht="20.100000000000001" customHeight="1" x14ac:dyDescent="0.2">
      <c r="A51" s="5" t="str">
        <f>HYPERLINK("#'Constants - Fertiliser'!A1", "Constants - Fertiliser")</f>
        <v>Constants - Fertiliser</v>
      </c>
      <c r="D51" s="17" t="str" cm="1">
        <f t="array" ref="D51">Fuel_SourceData.Fuel_Scope1Scope3EmissionFactorsStationaryLiquid_Source()</f>
        <v>Australian National Greenhouse Accounts Factors 2025 - Table 8</v>
      </c>
      <c r="E51" s="158"/>
      <c r="F51" s="158"/>
      <c r="G51" s="158"/>
      <c r="H51" s="158"/>
      <c r="I51" s="158"/>
      <c r="J51" s="158"/>
      <c r="K51" s="158"/>
      <c r="L51" s="158"/>
    </row>
    <row r="52" spans="1:12" ht="20.100000000000001" customHeight="1" x14ac:dyDescent="0.2">
      <c r="A52" s="80" t="str">
        <f>HYPERLINK("#'Constants - Fuel'!A1", "Constants - Fuel")</f>
        <v>Constants - Fuel</v>
      </c>
      <c r="D52" s="25" t="str" cm="1">
        <f t="array" ref="D52">"⚠️" &amp; Fuel_SourceData.Fuel_Scope1Scope3EmissionFactorsStationaryLiquid_Variation()</f>
        <v>⚠️VARIATION OF SOURCE DATA: 'NE' values returned as zero for calculations.</v>
      </c>
      <c r="E52" s="158"/>
      <c r="F52" s="158"/>
      <c r="G52" s="158"/>
      <c r="H52" s="158"/>
      <c r="I52" s="158"/>
      <c r="J52" s="158"/>
      <c r="K52" s="158"/>
      <c r="L52" s="158"/>
    </row>
    <row r="53" spans="1:12" ht="20.100000000000001" customHeight="1" x14ac:dyDescent="0.2">
      <c r="A53" s="5" t="str">
        <f>HYPERLINK("#'Constants - Scope 3'!A1", "Constants - Scope 3")</f>
        <v>Constants - Scope 3</v>
      </c>
      <c r="D53" s="151" t="s">
        <v>628</v>
      </c>
      <c r="E53" s="185" t="s">
        <v>629</v>
      </c>
      <c r="F53" s="151" t="s">
        <v>630</v>
      </c>
      <c r="G53" s="185" t="s">
        <v>631</v>
      </c>
      <c r="H53" s="185" t="s">
        <v>632</v>
      </c>
      <c r="I53" s="185" t="s">
        <v>633</v>
      </c>
      <c r="J53" s="185" t="s">
        <v>634</v>
      </c>
      <c r="K53" s="185" t="s">
        <v>635</v>
      </c>
      <c r="L53" s="158"/>
    </row>
    <row r="54" spans="1:12" ht="20.100000000000001" customHeight="1" x14ac:dyDescent="0.2">
      <c r="A54" s="5" t="str">
        <f>HYPERLINK("#'Constants - Solid Waste'!A1", "Constants - Solid Waste")</f>
        <v>Constants - Solid Waste</v>
      </c>
      <c r="D54" s="18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6" cm="1">
        <f t="array" ref="E54">Common_InputFunctions.Utility_DisplayArrayInTable(Fuel_SourceData.Fuel_Scope1Scope3EmissionFactorsStationaryLiquid_Data(), Table_Fuel_EFs_StationaryLiquid[[#Headers],[Fuel combusted]],0)</f>
        <v>38.799999999999997</v>
      </c>
      <c r="F54" s="186" t="str" cm="1">
        <f t="array" ref="F54">Common_InputFunctions.Utility_DisplayArrayInTable(Fuel_SourceData.Fuel_Scope1Scope3EmissionFactorsStationaryLiquid_Data(), Table_Fuel_EFs_StationaryLiquid[[#Headers],[Fuel combusted]],0)</f>
        <v>kl</v>
      </c>
      <c r="G54" s="186" cm="1">
        <f t="array" ref="G54">Common_InputFunctions.Utility_DisplayArrayInTable(Fuel_SourceData.Fuel_Scope1Scope3EmissionFactorsStationaryLiquid_Data(), Table_Fuel_EFs_StationaryLiquid[[#Headers],[Fuel combusted]],0)</f>
        <v>13.9</v>
      </c>
      <c r="H54" s="186" cm="1">
        <f t="array" ref="H54">Common_InputFunctions.Utility_DisplayArrayInTable(Fuel_SourceData.Fuel_Scope1Scope3EmissionFactorsStationaryLiquid_Data(), Table_Fuel_EFs_StationaryLiquid[[#Headers],[Fuel combusted]],0)</f>
        <v>0</v>
      </c>
      <c r="I54" s="186" cm="1">
        <f t="array" ref="I54">Common_InputFunctions.Utility_DisplayArrayInTable(Fuel_SourceData.Fuel_Scope1Scope3EmissionFactorsStationaryLiquid_Data(), Table_Fuel_EFs_StationaryLiquid[[#Headers],[Fuel combusted]],0)</f>
        <v>0</v>
      </c>
      <c r="J54" s="186" cm="1">
        <f t="array" ref="J54">Common_InputFunctions.Utility_DisplayArrayInTable(Fuel_SourceData.Fuel_Scope1Scope3EmissionFactorsStationaryLiquid_Data(), Table_Fuel_EFs_StationaryLiquid[[#Headers],[Fuel combusted]],0)</f>
        <v>13.9</v>
      </c>
      <c r="K54" s="186" cm="1">
        <f t="array" ref="K54">Common_InputFunctions.Utility_DisplayArrayInTable(Fuel_SourceData.Fuel_Scope1Scope3EmissionFactorsStationaryLiquid_Data(), Table_Fuel_EFs_StationaryLiquid[[#Headers],[Fuel combusted]],0)</f>
        <v>18</v>
      </c>
      <c r="L54" s="158"/>
    </row>
    <row r="55" spans="1:12" ht="20.100000000000001" customHeight="1" x14ac:dyDescent="0.2">
      <c r="A55" s="5" t="str">
        <f>HYPERLINK("#'Constants - Common'!A1", "Constants - Common")</f>
        <v>Constants - Common</v>
      </c>
      <c r="D55" s="186" t="str" cm="1">
        <f t="array" ref="D55">Common_InputFunctions.Utility_DisplayArrayInTable(Fuel_SourceData.Fuel_Scope1Scope3EmissionFactorsStationaryLiquid_Data(), Table_Fuel_EFs_StationaryLiquid[[#Headers],[Fuel combusted]],0)</f>
        <v>Petroleum based greases</v>
      </c>
      <c r="E55" s="186" cm="1">
        <f t="array" ref="E55">Common_InputFunctions.Utility_DisplayArrayInTable(Fuel_SourceData.Fuel_Scope1Scope3EmissionFactorsStationaryLiquid_Data(), Table_Fuel_EFs_StationaryLiquid[[#Headers],[Fuel combusted]],0)</f>
        <v>38.799999999999997</v>
      </c>
      <c r="F55" s="186" t="str" cm="1">
        <f t="array" ref="F55">Common_InputFunctions.Utility_DisplayArrayInTable(Fuel_SourceData.Fuel_Scope1Scope3EmissionFactorsStationaryLiquid_Data(), Table_Fuel_EFs_StationaryLiquid[[#Headers],[Fuel combusted]],0)</f>
        <v>kl</v>
      </c>
      <c r="G55" s="186" cm="1">
        <f t="array" ref="G55">Common_InputFunctions.Utility_DisplayArrayInTable(Fuel_SourceData.Fuel_Scope1Scope3EmissionFactorsStationaryLiquid_Data(), Table_Fuel_EFs_StationaryLiquid[[#Headers],[Fuel combusted]],0)</f>
        <v>3.5</v>
      </c>
      <c r="H55" s="186" cm="1">
        <f t="array" ref="H55">Common_InputFunctions.Utility_DisplayArrayInTable(Fuel_SourceData.Fuel_Scope1Scope3EmissionFactorsStationaryLiquid_Data(), Table_Fuel_EFs_StationaryLiquid[[#Headers],[Fuel combusted]],0)</f>
        <v>0</v>
      </c>
      <c r="I55" s="186" cm="1">
        <f t="array" ref="I55">Common_InputFunctions.Utility_DisplayArrayInTable(Fuel_SourceData.Fuel_Scope1Scope3EmissionFactorsStationaryLiquid_Data(), Table_Fuel_EFs_StationaryLiquid[[#Headers],[Fuel combusted]],0)</f>
        <v>0</v>
      </c>
      <c r="J55" s="186" cm="1">
        <f t="array" ref="J55">Common_InputFunctions.Utility_DisplayArrayInTable(Fuel_SourceData.Fuel_Scope1Scope3EmissionFactorsStationaryLiquid_Data(), Table_Fuel_EFs_StationaryLiquid[[#Headers],[Fuel combusted]],0)</f>
        <v>3.5</v>
      </c>
      <c r="K55" s="186" cm="1">
        <f t="array" ref="K55">Common_InputFunctions.Utility_DisplayArrayInTable(Fuel_SourceData.Fuel_Scope1Scope3EmissionFactorsStationaryLiquid_Data(), Table_Fuel_EFs_StationaryLiquid[[#Headers],[Fuel combusted]],0)</f>
        <v>18</v>
      </c>
      <c r="L55" s="158"/>
    </row>
    <row r="56" spans="1:12" ht="20.100000000000001" customHeight="1" x14ac:dyDescent="0.2">
      <c r="A56" s="5" t="str">
        <f>HYPERLINK("#'Acknowledgements'!A1", "Acknowledgements")</f>
        <v>Acknowledgements</v>
      </c>
      <c r="D56" s="186" t="str" cm="1">
        <f t="array" ref="D56">Common_InputFunctions.Utility_DisplayArrayInTable(Fuel_SourceData.Fuel_Scope1Scope3EmissionFactorsStationaryLiquid_Data(), Table_Fuel_EFs_StationaryLiquid[[#Headers],[Fuel combusted]],0)</f>
        <v>Crude oil including crude oil condensates</v>
      </c>
      <c r="E56" s="186" cm="1">
        <f t="array" ref="E56">Common_InputFunctions.Utility_DisplayArrayInTable(Fuel_SourceData.Fuel_Scope1Scope3EmissionFactorsStationaryLiquid_Data(), Table_Fuel_EFs_StationaryLiquid[[#Headers],[Fuel combusted]],0)</f>
        <v>45.3</v>
      </c>
      <c r="F56" s="186" t="str" cm="1">
        <f t="array" ref="F56">Common_InputFunctions.Utility_DisplayArrayInTable(Fuel_SourceData.Fuel_Scope1Scope3EmissionFactorsStationaryLiquid_Data(), Table_Fuel_EFs_StationaryLiquid[[#Headers],[Fuel combusted]],0)</f>
        <v>t</v>
      </c>
      <c r="G56" s="186" cm="1">
        <f t="array" ref="G56">Common_InputFunctions.Utility_DisplayArrayInTable(Fuel_SourceData.Fuel_Scope1Scope3EmissionFactorsStationaryLiquid_Data(), Table_Fuel_EFs_StationaryLiquid[[#Headers],[Fuel combusted]],0)</f>
        <v>69.599999999999994</v>
      </c>
      <c r="H56" s="186" cm="1">
        <f t="array" ref="H56">Common_InputFunctions.Utility_DisplayArrayInTable(Fuel_SourceData.Fuel_Scope1Scope3EmissionFactorsStationaryLiquid_Data(), Table_Fuel_EFs_StationaryLiquid[[#Headers],[Fuel combusted]],0)</f>
        <v>0.08</v>
      </c>
      <c r="I56" s="186" cm="1">
        <f t="array" ref="I56">Common_InputFunctions.Utility_DisplayArrayInTable(Fuel_SourceData.Fuel_Scope1Scope3EmissionFactorsStationaryLiquid_Data(), Table_Fuel_EFs_StationaryLiquid[[#Headers],[Fuel combusted]],0)</f>
        <v>0.2</v>
      </c>
      <c r="J56" s="186" cm="1">
        <f t="array" ref="J56">Common_InputFunctions.Utility_DisplayArrayInTable(Fuel_SourceData.Fuel_Scope1Scope3EmissionFactorsStationaryLiquid_Data(), Table_Fuel_EFs_StationaryLiquid[[#Headers],[Fuel combusted]],0)</f>
        <v>69.88</v>
      </c>
      <c r="K56" s="186" t="str" cm="1">
        <f t="array" ref="K56">Common_InputFunctions.Utility_DisplayArrayInTable(Fuel_SourceData.Fuel_Scope1Scope3EmissionFactorsStationaryLiquid_Data(), Table_Fuel_EFs_StationaryLiquid[[#Headers],[Fuel combusted]],0)</f>
        <v>NE</v>
      </c>
      <c r="L56" s="158"/>
    </row>
    <row r="57" spans="1:12" ht="20.100000000000001" customHeight="1" x14ac:dyDescent="0.2">
      <c r="D57" s="186" t="str" cm="1">
        <f t="array" ref="D57">Common_InputFunctions.Utility_DisplayArrayInTable(Fuel_SourceData.Fuel_Scope1Scope3EmissionFactorsStationaryLiquid_Data(), Table_Fuel_EFs_StationaryLiquid[[#Headers],[Fuel combusted]],0)</f>
        <v>Other natural gas liquids</v>
      </c>
      <c r="E57" s="186" cm="1">
        <f t="array" ref="E57">Common_InputFunctions.Utility_DisplayArrayInTable(Fuel_SourceData.Fuel_Scope1Scope3EmissionFactorsStationaryLiquid_Data(), Table_Fuel_EFs_StationaryLiquid[[#Headers],[Fuel combusted]],0)</f>
        <v>46.5</v>
      </c>
      <c r="F57" s="186" t="str" cm="1">
        <f t="array" ref="F57">Common_InputFunctions.Utility_DisplayArrayInTable(Fuel_SourceData.Fuel_Scope1Scope3EmissionFactorsStationaryLiquid_Data(), Table_Fuel_EFs_StationaryLiquid[[#Headers],[Fuel combusted]],0)</f>
        <v>t</v>
      </c>
      <c r="G57" s="186" cm="1">
        <f t="array" ref="G57">Common_InputFunctions.Utility_DisplayArrayInTable(Fuel_SourceData.Fuel_Scope1Scope3EmissionFactorsStationaryLiquid_Data(), Table_Fuel_EFs_StationaryLiquid[[#Headers],[Fuel combusted]],0)</f>
        <v>61</v>
      </c>
      <c r="H57" s="186" cm="1">
        <f t="array" ref="H57">Common_InputFunctions.Utility_DisplayArrayInTable(Fuel_SourceData.Fuel_Scope1Scope3EmissionFactorsStationaryLiquid_Data(), Table_Fuel_EFs_StationaryLiquid[[#Headers],[Fuel combusted]],0)</f>
        <v>0.08</v>
      </c>
      <c r="I57" s="186" cm="1">
        <f t="array" ref="I57">Common_InputFunctions.Utility_DisplayArrayInTable(Fuel_SourceData.Fuel_Scope1Scope3EmissionFactorsStationaryLiquid_Data(), Table_Fuel_EFs_StationaryLiquid[[#Headers],[Fuel combusted]],0)</f>
        <v>0.2</v>
      </c>
      <c r="J57" s="186" cm="1">
        <f t="array" ref="J57">Common_InputFunctions.Utility_DisplayArrayInTable(Fuel_SourceData.Fuel_Scope1Scope3EmissionFactorsStationaryLiquid_Data(), Table_Fuel_EFs_StationaryLiquid[[#Headers],[Fuel combusted]],0)</f>
        <v>61.28</v>
      </c>
      <c r="K57" s="186" t="str" cm="1">
        <f t="array" ref="K57">Common_InputFunctions.Utility_DisplayArrayInTable(Fuel_SourceData.Fuel_Scope1Scope3EmissionFactorsStationaryLiquid_Data(), Table_Fuel_EFs_StationaryLiquid[[#Headers],[Fuel combusted]],0)</f>
        <v>NE</v>
      </c>
      <c r="L57" s="158"/>
    </row>
    <row r="58" spans="1:12" ht="20.100000000000001" customHeight="1" x14ac:dyDescent="0.2">
      <c r="D58" s="18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6" cm="1">
        <f t="array" ref="E58">Common_InputFunctions.Utility_DisplayArrayInTable(Fuel_SourceData.Fuel_Scope1Scope3EmissionFactorsStationaryLiquid_Data(), Table_Fuel_EFs_StationaryLiquid[[#Headers],[Fuel combusted]],0)</f>
        <v>34.200000000000003</v>
      </c>
      <c r="F58" s="186" t="str" cm="1">
        <f t="array" ref="F58">Common_InputFunctions.Utility_DisplayArrayInTable(Fuel_SourceData.Fuel_Scope1Scope3EmissionFactorsStationaryLiquid_Data(), Table_Fuel_EFs_StationaryLiquid[[#Headers],[Fuel combusted]],0)</f>
        <v>kL</v>
      </c>
      <c r="G58" s="186" cm="1">
        <f t="array" ref="G58">Common_InputFunctions.Utility_DisplayArrayInTable(Fuel_SourceData.Fuel_Scope1Scope3EmissionFactorsStationaryLiquid_Data(), Table_Fuel_EFs_StationaryLiquid[[#Headers],[Fuel combusted]],0)</f>
        <v>67.400000000000006</v>
      </c>
      <c r="H58" s="186" cm="1">
        <f t="array" ref="H58">Common_InputFunctions.Utility_DisplayArrayInTable(Fuel_SourceData.Fuel_Scope1Scope3EmissionFactorsStationaryLiquid_Data(), Table_Fuel_EFs_StationaryLiquid[[#Headers],[Fuel combusted]],0)</f>
        <v>0.2</v>
      </c>
      <c r="I58" s="186" cm="1">
        <f t="array" ref="I58">Common_InputFunctions.Utility_DisplayArrayInTable(Fuel_SourceData.Fuel_Scope1Scope3EmissionFactorsStationaryLiquid_Data(), Table_Fuel_EFs_StationaryLiquid[[#Headers],[Fuel combusted]],0)</f>
        <v>0.2</v>
      </c>
      <c r="J58" s="186" cm="1">
        <f t="array" ref="J58">Common_InputFunctions.Utility_DisplayArrayInTable(Fuel_SourceData.Fuel_Scope1Scope3EmissionFactorsStationaryLiquid_Data(), Table_Fuel_EFs_StationaryLiquid[[#Headers],[Fuel combusted]],0)</f>
        <v>67.8</v>
      </c>
      <c r="K58" s="186" cm="1">
        <f t="array" ref="K58">Common_InputFunctions.Utility_DisplayArrayInTable(Fuel_SourceData.Fuel_Scope1Scope3EmissionFactorsStationaryLiquid_Data(), Table_Fuel_EFs_StationaryLiquid[[#Headers],[Fuel combusted]],0)</f>
        <v>17.2</v>
      </c>
      <c r="L58" s="158"/>
    </row>
    <row r="59" spans="1:12" ht="20.100000000000001" customHeight="1" x14ac:dyDescent="0.2">
      <c r="D59" s="186" t="str" cm="1">
        <f t="array" ref="D59">Common_InputFunctions.Utility_DisplayArrayInTable(Fuel_SourceData.Fuel_Scope1Scope3EmissionFactorsStationaryLiquid_Data(), Table_Fuel_EFs_StationaryLiquid[[#Headers],[Fuel combusted]],0)</f>
        <v>Aviation gasoline</v>
      </c>
      <c r="E59" s="186" cm="1">
        <f t="array" ref="E59">Common_InputFunctions.Utility_DisplayArrayInTable(Fuel_SourceData.Fuel_Scope1Scope3EmissionFactorsStationaryLiquid_Data(), Table_Fuel_EFs_StationaryLiquid[[#Headers],[Fuel combusted]],0)</f>
        <v>33.1</v>
      </c>
      <c r="F59" s="186" t="str" cm="1">
        <f t="array" ref="F59">Common_InputFunctions.Utility_DisplayArrayInTable(Fuel_SourceData.Fuel_Scope1Scope3EmissionFactorsStationaryLiquid_Data(), Table_Fuel_EFs_StationaryLiquid[[#Headers],[Fuel combusted]],0)</f>
        <v>kL</v>
      </c>
      <c r="G59" s="186" cm="1">
        <f t="array" ref="G59">Common_InputFunctions.Utility_DisplayArrayInTable(Fuel_SourceData.Fuel_Scope1Scope3EmissionFactorsStationaryLiquid_Data(), Table_Fuel_EFs_StationaryLiquid[[#Headers],[Fuel combusted]],0)</f>
        <v>67</v>
      </c>
      <c r="H59" s="186" cm="1">
        <f t="array" ref="H59">Common_InputFunctions.Utility_DisplayArrayInTable(Fuel_SourceData.Fuel_Scope1Scope3EmissionFactorsStationaryLiquid_Data(), Table_Fuel_EFs_StationaryLiquid[[#Headers],[Fuel combusted]],0)</f>
        <v>0.2</v>
      </c>
      <c r="I59" s="186" cm="1">
        <f t="array" ref="I59">Common_InputFunctions.Utility_DisplayArrayInTable(Fuel_SourceData.Fuel_Scope1Scope3EmissionFactorsStationaryLiquid_Data(), Table_Fuel_EFs_StationaryLiquid[[#Headers],[Fuel combusted]],0)</f>
        <v>0.2</v>
      </c>
      <c r="J59" s="186" cm="1">
        <f t="array" ref="J59">Common_InputFunctions.Utility_DisplayArrayInTable(Fuel_SourceData.Fuel_Scope1Scope3EmissionFactorsStationaryLiquid_Data(), Table_Fuel_EFs_StationaryLiquid[[#Headers],[Fuel combusted]],0)</f>
        <v>67.400000000000006</v>
      </c>
      <c r="K59" s="186" cm="1">
        <f t="array" ref="K59">Common_InputFunctions.Utility_DisplayArrayInTable(Fuel_SourceData.Fuel_Scope1Scope3EmissionFactorsStationaryLiquid_Data(), Table_Fuel_EFs_StationaryLiquid[[#Headers],[Fuel combusted]],0)</f>
        <v>18</v>
      </c>
      <c r="L59" s="158"/>
    </row>
    <row r="60" spans="1:12" ht="20.100000000000001" customHeight="1" x14ac:dyDescent="0.2">
      <c r="D60" s="186" t="str" cm="1">
        <f t="array" ref="D60">Common_InputFunctions.Utility_DisplayArrayInTable(Fuel_SourceData.Fuel_Scope1Scope3EmissionFactorsStationaryLiquid_Data(), Table_Fuel_EFs_StationaryLiquid[[#Headers],[Fuel combusted]],0)</f>
        <v>Kerosene (other than for use as fuel in an aircraft)</v>
      </c>
      <c r="E60" s="186" cm="1">
        <f t="array" ref="E60">Common_InputFunctions.Utility_DisplayArrayInTable(Fuel_SourceData.Fuel_Scope1Scope3EmissionFactorsStationaryLiquid_Data(), Table_Fuel_EFs_StationaryLiquid[[#Headers],[Fuel combusted]],0)</f>
        <v>37.5</v>
      </c>
      <c r="F60" s="186" t="str" cm="1">
        <f t="array" ref="F60">Common_InputFunctions.Utility_DisplayArrayInTable(Fuel_SourceData.Fuel_Scope1Scope3EmissionFactorsStationaryLiquid_Data(), Table_Fuel_EFs_StationaryLiquid[[#Headers],[Fuel combusted]],0)</f>
        <v>kL</v>
      </c>
      <c r="G60" s="186" cm="1">
        <f t="array" ref="G60">Common_InputFunctions.Utility_DisplayArrayInTable(Fuel_SourceData.Fuel_Scope1Scope3EmissionFactorsStationaryLiquid_Data(), Table_Fuel_EFs_StationaryLiquid[[#Headers],[Fuel combusted]],0)</f>
        <v>68.900000000000006</v>
      </c>
      <c r="H60" s="186" cm="1">
        <f t="array" ref="H60">Common_InputFunctions.Utility_DisplayArrayInTable(Fuel_SourceData.Fuel_Scope1Scope3EmissionFactorsStationaryLiquid_Data(), Table_Fuel_EFs_StationaryLiquid[[#Headers],[Fuel combusted]],0)</f>
        <v>0.01</v>
      </c>
      <c r="I60" s="186" cm="1">
        <f t="array" ref="I60">Common_InputFunctions.Utility_DisplayArrayInTable(Fuel_SourceData.Fuel_Scope1Scope3EmissionFactorsStationaryLiquid_Data(), Table_Fuel_EFs_StationaryLiquid[[#Headers],[Fuel combusted]],0)</f>
        <v>0.2</v>
      </c>
      <c r="J60" s="186" cm="1">
        <f t="array" ref="J60">Common_InputFunctions.Utility_DisplayArrayInTable(Fuel_SourceData.Fuel_Scope1Scope3EmissionFactorsStationaryLiquid_Data(), Table_Fuel_EFs_StationaryLiquid[[#Headers],[Fuel combusted]],0)</f>
        <v>69.11</v>
      </c>
      <c r="K60" s="186" cm="1">
        <f t="array" ref="K60">Common_InputFunctions.Utility_DisplayArrayInTable(Fuel_SourceData.Fuel_Scope1Scope3EmissionFactorsStationaryLiquid_Data(), Table_Fuel_EFs_StationaryLiquid[[#Headers],[Fuel combusted]],0)</f>
        <v>18</v>
      </c>
      <c r="L60" s="158"/>
    </row>
    <row r="61" spans="1:12" ht="20.100000000000001" customHeight="1" x14ac:dyDescent="0.2">
      <c r="D61" s="186" t="str" cm="1">
        <f t="array" ref="D61">Common_InputFunctions.Utility_DisplayArrayInTable(Fuel_SourceData.Fuel_Scope1Scope3EmissionFactorsStationaryLiquid_Data(), Table_Fuel_EFs_StationaryLiquid[[#Headers],[Fuel combusted]],0)</f>
        <v>Aviation turbine fuel / kerosene</v>
      </c>
      <c r="E61" s="186" cm="1">
        <f t="array" ref="E61">Common_InputFunctions.Utility_DisplayArrayInTable(Fuel_SourceData.Fuel_Scope1Scope3EmissionFactorsStationaryLiquid_Data(), Table_Fuel_EFs_StationaryLiquid[[#Headers],[Fuel combusted]],0)</f>
        <v>36.799999999999997</v>
      </c>
      <c r="F61" s="186" t="str" cm="1">
        <f t="array" ref="F61">Common_InputFunctions.Utility_DisplayArrayInTable(Fuel_SourceData.Fuel_Scope1Scope3EmissionFactorsStationaryLiquid_Data(), Table_Fuel_EFs_StationaryLiquid[[#Headers],[Fuel combusted]],0)</f>
        <v>kL</v>
      </c>
      <c r="G61" s="186" cm="1">
        <f t="array" ref="G61">Common_InputFunctions.Utility_DisplayArrayInTable(Fuel_SourceData.Fuel_Scope1Scope3EmissionFactorsStationaryLiquid_Data(), Table_Fuel_EFs_StationaryLiquid[[#Headers],[Fuel combusted]],0)</f>
        <v>69.599999999999994</v>
      </c>
      <c r="H61" s="186" cm="1">
        <f t="array" ref="H61">Common_InputFunctions.Utility_DisplayArrayInTable(Fuel_SourceData.Fuel_Scope1Scope3EmissionFactorsStationaryLiquid_Data(), Table_Fuel_EFs_StationaryLiquid[[#Headers],[Fuel combusted]],0)</f>
        <v>0.02</v>
      </c>
      <c r="I61" s="186" cm="1">
        <f t="array" ref="I61">Common_InputFunctions.Utility_DisplayArrayInTable(Fuel_SourceData.Fuel_Scope1Scope3EmissionFactorsStationaryLiquid_Data(), Table_Fuel_EFs_StationaryLiquid[[#Headers],[Fuel combusted]],0)</f>
        <v>0.2</v>
      </c>
      <c r="J61" s="186" cm="1">
        <f t="array" ref="J61">Common_InputFunctions.Utility_DisplayArrayInTable(Fuel_SourceData.Fuel_Scope1Scope3EmissionFactorsStationaryLiquid_Data(), Table_Fuel_EFs_StationaryLiquid[[#Headers],[Fuel combusted]],0)</f>
        <v>69.819999999999993</v>
      </c>
      <c r="K61" s="186" cm="1">
        <f t="array" ref="K61">Common_InputFunctions.Utility_DisplayArrayInTable(Fuel_SourceData.Fuel_Scope1Scope3EmissionFactorsStationaryLiquid_Data(), Table_Fuel_EFs_StationaryLiquid[[#Headers],[Fuel combusted]],0)</f>
        <v>18</v>
      </c>
      <c r="L61" s="158"/>
    </row>
    <row r="62" spans="1:12" ht="20.100000000000001" customHeight="1" x14ac:dyDescent="0.2">
      <c r="D62" s="186" t="str" cm="1">
        <f t="array" ref="D62">Common_InputFunctions.Utility_DisplayArrayInTable(Fuel_SourceData.Fuel_Scope1Scope3EmissionFactorsStationaryLiquid_Data(), Table_Fuel_EFs_StationaryLiquid[[#Headers],[Fuel combusted]],0)</f>
        <v>Heating oil</v>
      </c>
      <c r="E62" s="186" cm="1">
        <f t="array" ref="E62">Common_InputFunctions.Utility_DisplayArrayInTable(Fuel_SourceData.Fuel_Scope1Scope3EmissionFactorsStationaryLiquid_Data(), Table_Fuel_EFs_StationaryLiquid[[#Headers],[Fuel combusted]],0)</f>
        <v>37.299999999999997</v>
      </c>
      <c r="F62" s="186" t="str" cm="1">
        <f t="array" ref="F62">Common_InputFunctions.Utility_DisplayArrayInTable(Fuel_SourceData.Fuel_Scope1Scope3EmissionFactorsStationaryLiquid_Data(), Table_Fuel_EFs_StationaryLiquid[[#Headers],[Fuel combusted]],0)</f>
        <v>kL</v>
      </c>
      <c r="G62" s="186" cm="1">
        <f t="array" ref="G62">Common_InputFunctions.Utility_DisplayArrayInTable(Fuel_SourceData.Fuel_Scope1Scope3EmissionFactorsStationaryLiquid_Data(), Table_Fuel_EFs_StationaryLiquid[[#Headers],[Fuel combusted]],0)</f>
        <v>69.5</v>
      </c>
      <c r="H62" s="186" cm="1">
        <f t="array" ref="H62">Common_InputFunctions.Utility_DisplayArrayInTable(Fuel_SourceData.Fuel_Scope1Scope3EmissionFactorsStationaryLiquid_Data(), Table_Fuel_EFs_StationaryLiquid[[#Headers],[Fuel combusted]],0)</f>
        <v>0.03</v>
      </c>
      <c r="I62" s="186" cm="1">
        <f t="array" ref="I62">Common_InputFunctions.Utility_DisplayArrayInTable(Fuel_SourceData.Fuel_Scope1Scope3EmissionFactorsStationaryLiquid_Data(), Table_Fuel_EFs_StationaryLiquid[[#Headers],[Fuel combusted]],0)</f>
        <v>0.2</v>
      </c>
      <c r="J62" s="186" cm="1">
        <f t="array" ref="J62">Common_InputFunctions.Utility_DisplayArrayInTable(Fuel_SourceData.Fuel_Scope1Scope3EmissionFactorsStationaryLiquid_Data(), Table_Fuel_EFs_StationaryLiquid[[#Headers],[Fuel combusted]],0)</f>
        <v>69.73</v>
      </c>
      <c r="K62" s="186" cm="1">
        <f t="array" ref="K62">Common_InputFunctions.Utility_DisplayArrayInTable(Fuel_SourceData.Fuel_Scope1Scope3EmissionFactorsStationaryLiquid_Data(), Table_Fuel_EFs_StationaryLiquid[[#Headers],[Fuel combusted]],0)</f>
        <v>18</v>
      </c>
      <c r="L62" s="158"/>
    </row>
    <row r="63" spans="1:12" ht="20.100000000000001" customHeight="1" x14ac:dyDescent="0.2">
      <c r="D63" s="186" t="str" cm="1">
        <f t="array" ref="D63">Common_InputFunctions.Utility_DisplayArrayInTable(Fuel_SourceData.Fuel_Scope1Scope3EmissionFactorsStationaryLiquid_Data(), Table_Fuel_EFs_StationaryLiquid[[#Headers],[Fuel combusted]],0)</f>
        <v>Diesel oil</v>
      </c>
      <c r="E63" s="186" cm="1">
        <f t="array" ref="E63">Common_InputFunctions.Utility_DisplayArrayInTable(Fuel_SourceData.Fuel_Scope1Scope3EmissionFactorsStationaryLiquid_Data(), Table_Fuel_EFs_StationaryLiquid[[#Headers],[Fuel combusted]],0)</f>
        <v>38.6</v>
      </c>
      <c r="F63" s="186" t="str" cm="1">
        <f t="array" ref="F63">Common_InputFunctions.Utility_DisplayArrayInTable(Fuel_SourceData.Fuel_Scope1Scope3EmissionFactorsStationaryLiquid_Data(), Table_Fuel_EFs_StationaryLiquid[[#Headers],[Fuel combusted]],0)</f>
        <v>kL</v>
      </c>
      <c r="G63" s="186" cm="1">
        <f t="array" ref="G63">Common_InputFunctions.Utility_DisplayArrayInTable(Fuel_SourceData.Fuel_Scope1Scope3EmissionFactorsStationaryLiquid_Data(), Table_Fuel_EFs_StationaryLiquid[[#Headers],[Fuel combusted]],0)</f>
        <v>69.900000000000006</v>
      </c>
      <c r="H63" s="186" cm="1">
        <f t="array" ref="H63">Common_InputFunctions.Utility_DisplayArrayInTable(Fuel_SourceData.Fuel_Scope1Scope3EmissionFactorsStationaryLiquid_Data(), Table_Fuel_EFs_StationaryLiquid[[#Headers],[Fuel combusted]],0)</f>
        <v>0.1</v>
      </c>
      <c r="I63" s="186" cm="1">
        <f t="array" ref="I63">Common_InputFunctions.Utility_DisplayArrayInTable(Fuel_SourceData.Fuel_Scope1Scope3EmissionFactorsStationaryLiquid_Data(), Table_Fuel_EFs_StationaryLiquid[[#Headers],[Fuel combusted]],0)</f>
        <v>0.2</v>
      </c>
      <c r="J63" s="186" cm="1">
        <f t="array" ref="J63">Common_InputFunctions.Utility_DisplayArrayInTable(Fuel_SourceData.Fuel_Scope1Scope3EmissionFactorsStationaryLiquid_Data(), Table_Fuel_EFs_StationaryLiquid[[#Headers],[Fuel combusted]],0)</f>
        <v>70.2</v>
      </c>
      <c r="K63" s="186" cm="1">
        <f t="array" ref="K63">Common_InputFunctions.Utility_DisplayArrayInTable(Fuel_SourceData.Fuel_Scope1Scope3EmissionFactorsStationaryLiquid_Data(), Table_Fuel_EFs_StationaryLiquid[[#Headers],[Fuel combusted]],0)</f>
        <v>17.3</v>
      </c>
      <c r="L63" s="158"/>
    </row>
    <row r="64" spans="1:12" ht="20.100000000000001" customHeight="1" x14ac:dyDescent="0.2">
      <c r="D64" s="186" t="str" cm="1">
        <f t="array" ref="D64">Common_InputFunctions.Utility_DisplayArrayInTable(Fuel_SourceData.Fuel_Scope1Scope3EmissionFactorsStationaryLiquid_Data(), Table_Fuel_EFs_StationaryLiquid[[#Headers],[Fuel combusted]],0)</f>
        <v>Fuel oil</v>
      </c>
      <c r="E64" s="186" cm="1">
        <f t="array" ref="E64">Common_InputFunctions.Utility_DisplayArrayInTable(Fuel_SourceData.Fuel_Scope1Scope3EmissionFactorsStationaryLiquid_Data(), Table_Fuel_EFs_StationaryLiquid[[#Headers],[Fuel combusted]],0)</f>
        <v>39.700000000000003</v>
      </c>
      <c r="F64" s="186" t="str" cm="1">
        <f t="array" ref="F64">Common_InputFunctions.Utility_DisplayArrayInTable(Fuel_SourceData.Fuel_Scope1Scope3EmissionFactorsStationaryLiquid_Data(), Table_Fuel_EFs_StationaryLiquid[[#Headers],[Fuel combusted]],0)</f>
        <v>kL</v>
      </c>
      <c r="G64" s="186" cm="1">
        <f t="array" ref="G64">Common_InputFunctions.Utility_DisplayArrayInTable(Fuel_SourceData.Fuel_Scope1Scope3EmissionFactorsStationaryLiquid_Data(), Table_Fuel_EFs_StationaryLiquid[[#Headers],[Fuel combusted]],0)</f>
        <v>73.599999999999994</v>
      </c>
      <c r="H64" s="186" cm="1">
        <f t="array" ref="H64">Common_InputFunctions.Utility_DisplayArrayInTable(Fuel_SourceData.Fuel_Scope1Scope3EmissionFactorsStationaryLiquid_Data(), Table_Fuel_EFs_StationaryLiquid[[#Headers],[Fuel combusted]],0)</f>
        <v>0.04</v>
      </c>
      <c r="I64" s="186" cm="1">
        <f t="array" ref="I64">Common_InputFunctions.Utility_DisplayArrayInTable(Fuel_SourceData.Fuel_Scope1Scope3EmissionFactorsStationaryLiquid_Data(), Table_Fuel_EFs_StationaryLiquid[[#Headers],[Fuel combusted]],0)</f>
        <v>0.2</v>
      </c>
      <c r="J64" s="186" cm="1">
        <f t="array" ref="J64">Common_InputFunctions.Utility_DisplayArrayInTable(Fuel_SourceData.Fuel_Scope1Scope3EmissionFactorsStationaryLiquid_Data(), Table_Fuel_EFs_StationaryLiquid[[#Headers],[Fuel combusted]],0)</f>
        <v>73.84</v>
      </c>
      <c r="K64" s="186" cm="1">
        <f t="array" ref="K64">Common_InputFunctions.Utility_DisplayArrayInTable(Fuel_SourceData.Fuel_Scope1Scope3EmissionFactorsStationaryLiquid_Data(), Table_Fuel_EFs_StationaryLiquid[[#Headers],[Fuel combusted]],0)</f>
        <v>18</v>
      </c>
      <c r="L64" s="158"/>
    </row>
    <row r="65" spans="1:13" ht="20.100000000000001" customHeight="1" x14ac:dyDescent="0.2">
      <c r="D65" s="186" t="str" cm="1">
        <f t="array" ref="D65">Common_InputFunctions.Utility_DisplayArrayInTable(Fuel_SourceData.Fuel_Scope1Scope3EmissionFactorsStationaryLiquid_Data(), Table_Fuel_EFs_StationaryLiquid[[#Headers],[Fuel combusted]],0)</f>
        <v>Liquefied aromatic hydrocarbons</v>
      </c>
      <c r="E65" s="186" cm="1">
        <f t="array" ref="E65">Common_InputFunctions.Utility_DisplayArrayInTable(Fuel_SourceData.Fuel_Scope1Scope3EmissionFactorsStationaryLiquid_Data(), Table_Fuel_EFs_StationaryLiquid[[#Headers],[Fuel combusted]],0)</f>
        <v>34.4</v>
      </c>
      <c r="F65" s="186" t="str" cm="1">
        <f t="array" ref="F65">Common_InputFunctions.Utility_DisplayArrayInTable(Fuel_SourceData.Fuel_Scope1Scope3EmissionFactorsStationaryLiquid_Data(), Table_Fuel_EFs_StationaryLiquid[[#Headers],[Fuel combusted]],0)</f>
        <v>kL</v>
      </c>
      <c r="G65" s="186" cm="1">
        <f t="array" ref="G65">Common_InputFunctions.Utility_DisplayArrayInTable(Fuel_SourceData.Fuel_Scope1Scope3EmissionFactorsStationaryLiquid_Data(), Table_Fuel_EFs_StationaryLiquid[[#Headers],[Fuel combusted]],0)</f>
        <v>69.7</v>
      </c>
      <c r="H65" s="186" cm="1">
        <f t="array" ref="H65">Common_InputFunctions.Utility_DisplayArrayInTable(Fuel_SourceData.Fuel_Scope1Scope3EmissionFactorsStationaryLiquid_Data(), Table_Fuel_EFs_StationaryLiquid[[#Headers],[Fuel combusted]],0)</f>
        <v>0.03</v>
      </c>
      <c r="I65" s="186" cm="1">
        <f t="array" ref="I65">Common_InputFunctions.Utility_DisplayArrayInTable(Fuel_SourceData.Fuel_Scope1Scope3EmissionFactorsStationaryLiquid_Data(), Table_Fuel_EFs_StationaryLiquid[[#Headers],[Fuel combusted]],0)</f>
        <v>0.2</v>
      </c>
      <c r="J65" s="186" cm="1">
        <f t="array" ref="J65">Common_InputFunctions.Utility_DisplayArrayInTable(Fuel_SourceData.Fuel_Scope1Scope3EmissionFactorsStationaryLiquid_Data(), Table_Fuel_EFs_StationaryLiquid[[#Headers],[Fuel combusted]],0)</f>
        <v>69.930000000000007</v>
      </c>
      <c r="K65" s="186" cm="1">
        <f t="array" ref="K65">Common_InputFunctions.Utility_DisplayArrayInTable(Fuel_SourceData.Fuel_Scope1Scope3EmissionFactorsStationaryLiquid_Data(), Table_Fuel_EFs_StationaryLiquid[[#Headers],[Fuel combusted]],0)</f>
        <v>18</v>
      </c>
      <c r="L65" s="158"/>
    </row>
    <row r="66" spans="1:13" ht="20.100000000000001" customHeight="1" x14ac:dyDescent="0.2">
      <c r="D66" s="186" t="str" cm="1">
        <f t="array" ref="D66">Common_InputFunctions.Utility_DisplayArrayInTable(Fuel_SourceData.Fuel_Scope1Scope3EmissionFactorsStationaryLiquid_Data(), Table_Fuel_EFs_StationaryLiquid[[#Headers],[Fuel combusted]],0)</f>
        <v>Solvents: mineral turpentine or white spirits</v>
      </c>
      <c r="E66" s="186" cm="1">
        <f t="array" ref="E66">Common_InputFunctions.Utility_DisplayArrayInTable(Fuel_SourceData.Fuel_Scope1Scope3EmissionFactorsStationaryLiquid_Data(), Table_Fuel_EFs_StationaryLiquid[[#Headers],[Fuel combusted]],0)</f>
        <v>34.4</v>
      </c>
      <c r="F66" s="186" t="str" cm="1">
        <f t="array" ref="F66">Common_InputFunctions.Utility_DisplayArrayInTable(Fuel_SourceData.Fuel_Scope1Scope3EmissionFactorsStationaryLiquid_Data(), Table_Fuel_EFs_StationaryLiquid[[#Headers],[Fuel combusted]],0)</f>
        <v>kL</v>
      </c>
      <c r="G66" s="186" cm="1">
        <f t="array" ref="G66">Common_InputFunctions.Utility_DisplayArrayInTable(Fuel_SourceData.Fuel_Scope1Scope3EmissionFactorsStationaryLiquid_Data(), Table_Fuel_EFs_StationaryLiquid[[#Headers],[Fuel combusted]],0)</f>
        <v>69.7</v>
      </c>
      <c r="H66" s="186" cm="1">
        <f t="array" ref="H66">Common_InputFunctions.Utility_DisplayArrayInTable(Fuel_SourceData.Fuel_Scope1Scope3EmissionFactorsStationaryLiquid_Data(), Table_Fuel_EFs_StationaryLiquid[[#Headers],[Fuel combusted]],0)</f>
        <v>0.03</v>
      </c>
      <c r="I66" s="186" cm="1">
        <f t="array" ref="I66">Common_InputFunctions.Utility_DisplayArrayInTable(Fuel_SourceData.Fuel_Scope1Scope3EmissionFactorsStationaryLiquid_Data(), Table_Fuel_EFs_StationaryLiquid[[#Headers],[Fuel combusted]],0)</f>
        <v>0.2</v>
      </c>
      <c r="J66" s="186" cm="1">
        <f t="array" ref="J66">Common_InputFunctions.Utility_DisplayArrayInTable(Fuel_SourceData.Fuel_Scope1Scope3EmissionFactorsStationaryLiquid_Data(), Table_Fuel_EFs_StationaryLiquid[[#Headers],[Fuel combusted]],0)</f>
        <v>69.930000000000007</v>
      </c>
      <c r="K66" s="186" cm="1">
        <f t="array" ref="K66">Common_InputFunctions.Utility_DisplayArrayInTable(Fuel_SourceData.Fuel_Scope1Scope3EmissionFactorsStationaryLiquid_Data(), Table_Fuel_EFs_StationaryLiquid[[#Headers],[Fuel combusted]],0)</f>
        <v>18</v>
      </c>
      <c r="L66" s="158"/>
    </row>
    <row r="67" spans="1:13" ht="20.100000000000001" customHeight="1" x14ac:dyDescent="0.2">
      <c r="A67" s="131" t="str">
        <f>HYPERLINK("#A1", "▲ Back to top")</f>
        <v>▲ Back to top</v>
      </c>
      <c r="D67" s="186" t="str" cm="1">
        <f t="array" ref="D67">Common_InputFunctions.Utility_DisplayArrayInTable(Fuel_SourceData.Fuel_Scope1Scope3EmissionFactorsStationaryLiquid_Data(), Table_Fuel_EFs_StationaryLiquid[[#Headers],[Fuel combusted]],0)</f>
        <v>Liquefied petroleum gas (LPG)</v>
      </c>
      <c r="E67" s="186" cm="1">
        <f t="array" ref="E67">Common_InputFunctions.Utility_DisplayArrayInTable(Fuel_SourceData.Fuel_Scope1Scope3EmissionFactorsStationaryLiquid_Data(), Table_Fuel_EFs_StationaryLiquid[[#Headers],[Fuel combusted]],0)</f>
        <v>25.7</v>
      </c>
      <c r="F67" s="186" t="str" cm="1">
        <f t="array" ref="F67">Common_InputFunctions.Utility_DisplayArrayInTable(Fuel_SourceData.Fuel_Scope1Scope3EmissionFactorsStationaryLiquid_Data(), Table_Fuel_EFs_StationaryLiquid[[#Headers],[Fuel combusted]],0)</f>
        <v>kL</v>
      </c>
      <c r="G67" s="186" cm="1">
        <f t="array" ref="G67">Common_InputFunctions.Utility_DisplayArrayInTable(Fuel_SourceData.Fuel_Scope1Scope3EmissionFactorsStationaryLiquid_Data(), Table_Fuel_EFs_StationaryLiquid[[#Headers],[Fuel combusted]],0)</f>
        <v>60.2</v>
      </c>
      <c r="H67" s="186" cm="1">
        <f t="array" ref="H67">Common_InputFunctions.Utility_DisplayArrayInTable(Fuel_SourceData.Fuel_Scope1Scope3EmissionFactorsStationaryLiquid_Data(), Table_Fuel_EFs_StationaryLiquid[[#Headers],[Fuel combusted]],0)</f>
        <v>0.2</v>
      </c>
      <c r="I67" s="186" cm="1">
        <f t="array" ref="I67">Common_InputFunctions.Utility_DisplayArrayInTable(Fuel_SourceData.Fuel_Scope1Scope3EmissionFactorsStationaryLiquid_Data(), Table_Fuel_EFs_StationaryLiquid[[#Headers],[Fuel combusted]],0)</f>
        <v>0.2</v>
      </c>
      <c r="J67" s="186" cm="1">
        <f t="array" ref="J67">Common_InputFunctions.Utility_DisplayArrayInTable(Fuel_SourceData.Fuel_Scope1Scope3EmissionFactorsStationaryLiquid_Data(), Table_Fuel_EFs_StationaryLiquid[[#Headers],[Fuel combusted]],0)</f>
        <v>60.6</v>
      </c>
      <c r="K67" s="186" cm="1">
        <f t="array" ref="K67">Common_InputFunctions.Utility_DisplayArrayInTable(Fuel_SourceData.Fuel_Scope1Scope3EmissionFactorsStationaryLiquid_Data(), Table_Fuel_EFs_StationaryLiquid[[#Headers],[Fuel combusted]],0)</f>
        <v>20.2</v>
      </c>
      <c r="L67" s="158"/>
    </row>
    <row r="68" spans="1:13" ht="20.100000000000001" customHeight="1" x14ac:dyDescent="0.2">
      <c r="D68" s="186" t="str" cm="1">
        <f t="array" ref="D68">Common_InputFunctions.Utility_DisplayArrayInTable(Fuel_SourceData.Fuel_Scope1Scope3EmissionFactorsStationaryLiquid_Data(), Table_Fuel_EFs_StationaryLiquid[[#Headers],[Fuel combusted]],0)</f>
        <v>Naphtha</v>
      </c>
      <c r="E68" s="186" cm="1">
        <f t="array" ref="E68">Common_InputFunctions.Utility_DisplayArrayInTable(Fuel_SourceData.Fuel_Scope1Scope3EmissionFactorsStationaryLiquid_Data(), Table_Fuel_EFs_StationaryLiquid[[#Headers],[Fuel combusted]],0)</f>
        <v>31.4</v>
      </c>
      <c r="F68" s="186" t="str" cm="1">
        <f t="array" ref="F68">Common_InputFunctions.Utility_DisplayArrayInTable(Fuel_SourceData.Fuel_Scope1Scope3EmissionFactorsStationaryLiquid_Data(), Table_Fuel_EFs_StationaryLiquid[[#Headers],[Fuel combusted]],0)</f>
        <v>kL</v>
      </c>
      <c r="G68" s="186" cm="1">
        <f t="array" ref="G68">Common_InputFunctions.Utility_DisplayArrayInTable(Fuel_SourceData.Fuel_Scope1Scope3EmissionFactorsStationaryLiquid_Data(), Table_Fuel_EFs_StationaryLiquid[[#Headers],[Fuel combusted]],0)</f>
        <v>69.8</v>
      </c>
      <c r="H68" s="186" cm="1">
        <f t="array" ref="H68">Common_InputFunctions.Utility_DisplayArrayInTable(Fuel_SourceData.Fuel_Scope1Scope3EmissionFactorsStationaryLiquid_Data(), Table_Fuel_EFs_StationaryLiquid[[#Headers],[Fuel combusted]],0)</f>
        <v>0.01</v>
      </c>
      <c r="I68" s="186" cm="1">
        <f t="array" ref="I68">Common_InputFunctions.Utility_DisplayArrayInTable(Fuel_SourceData.Fuel_Scope1Scope3EmissionFactorsStationaryLiquid_Data(), Table_Fuel_EFs_StationaryLiquid[[#Headers],[Fuel combusted]],0)</f>
        <v>0.01</v>
      </c>
      <c r="J68" s="186" cm="1">
        <f t="array" ref="J68">Common_InputFunctions.Utility_DisplayArrayInTable(Fuel_SourceData.Fuel_Scope1Scope3EmissionFactorsStationaryLiquid_Data(), Table_Fuel_EFs_StationaryLiquid[[#Headers],[Fuel combusted]],0)</f>
        <v>69.819999999999993</v>
      </c>
      <c r="K68" s="186" cm="1">
        <f t="array" ref="K68">Common_InputFunctions.Utility_DisplayArrayInTable(Fuel_SourceData.Fuel_Scope1Scope3EmissionFactorsStationaryLiquid_Data(), Table_Fuel_EFs_StationaryLiquid[[#Headers],[Fuel combusted]],0)</f>
        <v>18</v>
      </c>
      <c r="L68" s="158"/>
    </row>
    <row r="69" spans="1:13" ht="20.100000000000001" customHeight="1" x14ac:dyDescent="0.2">
      <c r="D69" s="186" t="str" cm="1">
        <f t="array" ref="D69">Common_InputFunctions.Utility_DisplayArrayInTable(Fuel_SourceData.Fuel_Scope1Scope3EmissionFactorsStationaryLiquid_Data(), Table_Fuel_EFs_StationaryLiquid[[#Headers],[Fuel combusted]],0)</f>
        <v>Petroleum coke</v>
      </c>
      <c r="E69" s="186" cm="1">
        <f t="array" ref="E69">Common_InputFunctions.Utility_DisplayArrayInTable(Fuel_SourceData.Fuel_Scope1Scope3EmissionFactorsStationaryLiquid_Data(), Table_Fuel_EFs_StationaryLiquid[[#Headers],[Fuel combusted]],0)</f>
        <v>34.200000000000003</v>
      </c>
      <c r="F69" s="186" t="str" cm="1">
        <f t="array" ref="F69">Common_InputFunctions.Utility_DisplayArrayInTable(Fuel_SourceData.Fuel_Scope1Scope3EmissionFactorsStationaryLiquid_Data(), Table_Fuel_EFs_StationaryLiquid[[#Headers],[Fuel combusted]],0)</f>
        <v>t</v>
      </c>
      <c r="G69" s="186" cm="1">
        <f t="array" ref="G69">Common_InputFunctions.Utility_DisplayArrayInTable(Fuel_SourceData.Fuel_Scope1Scope3EmissionFactorsStationaryLiquid_Data(), Table_Fuel_EFs_StationaryLiquid[[#Headers],[Fuel combusted]],0)</f>
        <v>92.6</v>
      </c>
      <c r="H69" s="186" cm="1">
        <f t="array" ref="H69">Common_InputFunctions.Utility_DisplayArrayInTable(Fuel_SourceData.Fuel_Scope1Scope3EmissionFactorsStationaryLiquid_Data(), Table_Fuel_EFs_StationaryLiquid[[#Headers],[Fuel combusted]],0)</f>
        <v>0.08</v>
      </c>
      <c r="I69" s="186" cm="1">
        <f t="array" ref="I69">Common_InputFunctions.Utility_DisplayArrayInTable(Fuel_SourceData.Fuel_Scope1Scope3EmissionFactorsStationaryLiquid_Data(), Table_Fuel_EFs_StationaryLiquid[[#Headers],[Fuel combusted]],0)</f>
        <v>0.2</v>
      </c>
      <c r="J69" s="186" cm="1">
        <f t="array" ref="J69">Common_InputFunctions.Utility_DisplayArrayInTable(Fuel_SourceData.Fuel_Scope1Scope3EmissionFactorsStationaryLiquid_Data(), Table_Fuel_EFs_StationaryLiquid[[#Headers],[Fuel combusted]],0)</f>
        <v>92.88</v>
      </c>
      <c r="K69" s="186" cm="1">
        <f t="array" ref="K69">Common_InputFunctions.Utility_DisplayArrayInTable(Fuel_SourceData.Fuel_Scope1Scope3EmissionFactorsStationaryLiquid_Data(), Table_Fuel_EFs_StationaryLiquid[[#Headers],[Fuel combusted]],0)</f>
        <v>18</v>
      </c>
      <c r="L69" s="158"/>
    </row>
    <row r="70" spans="1:13" ht="20.100000000000001" customHeight="1" x14ac:dyDescent="0.2">
      <c r="D70" s="186" t="str" cm="1">
        <f t="array" ref="D70">Common_InputFunctions.Utility_DisplayArrayInTable(Fuel_SourceData.Fuel_Scope1Scope3EmissionFactorsStationaryLiquid_Data(), Table_Fuel_EFs_StationaryLiquid[[#Headers],[Fuel combusted]],0)</f>
        <v>Refinery gas and liquids</v>
      </c>
      <c r="E70" s="186" cm="1">
        <f t="array" ref="E70">Common_InputFunctions.Utility_DisplayArrayInTable(Fuel_SourceData.Fuel_Scope1Scope3EmissionFactorsStationaryLiquid_Data(), Table_Fuel_EFs_StationaryLiquid[[#Headers],[Fuel combusted]],0)</f>
        <v>42.9</v>
      </c>
      <c r="F70" s="186" t="str" cm="1">
        <f t="array" ref="F70">Common_InputFunctions.Utility_DisplayArrayInTable(Fuel_SourceData.Fuel_Scope1Scope3EmissionFactorsStationaryLiquid_Data(), Table_Fuel_EFs_StationaryLiquid[[#Headers],[Fuel combusted]],0)</f>
        <v>t</v>
      </c>
      <c r="G70" s="186" cm="1">
        <f t="array" ref="G70">Common_InputFunctions.Utility_DisplayArrayInTable(Fuel_SourceData.Fuel_Scope1Scope3EmissionFactorsStationaryLiquid_Data(), Table_Fuel_EFs_StationaryLiquid[[#Headers],[Fuel combusted]],0)</f>
        <v>54.7</v>
      </c>
      <c r="H70" s="186" cm="1">
        <f t="array" ref="H70">Common_InputFunctions.Utility_DisplayArrayInTable(Fuel_SourceData.Fuel_Scope1Scope3EmissionFactorsStationaryLiquid_Data(), Table_Fuel_EFs_StationaryLiquid[[#Headers],[Fuel combusted]],0)</f>
        <v>0.03</v>
      </c>
      <c r="I70" s="186" cm="1">
        <f t="array" ref="I70">Common_InputFunctions.Utility_DisplayArrayInTable(Fuel_SourceData.Fuel_Scope1Scope3EmissionFactorsStationaryLiquid_Data(), Table_Fuel_EFs_StationaryLiquid[[#Headers],[Fuel combusted]],0)</f>
        <v>0.03</v>
      </c>
      <c r="J70" s="186" cm="1">
        <f t="array" ref="J70">Common_InputFunctions.Utility_DisplayArrayInTable(Fuel_SourceData.Fuel_Scope1Scope3EmissionFactorsStationaryLiquid_Data(), Table_Fuel_EFs_StationaryLiquid[[#Headers],[Fuel combusted]],0)</f>
        <v>54.76</v>
      </c>
      <c r="K70" s="186" cm="1">
        <f t="array" ref="K70">Common_InputFunctions.Utility_DisplayArrayInTable(Fuel_SourceData.Fuel_Scope1Scope3EmissionFactorsStationaryLiquid_Data(), Table_Fuel_EFs_StationaryLiquid[[#Headers],[Fuel combusted]],0)</f>
        <v>18</v>
      </c>
      <c r="L70" s="158"/>
    </row>
    <row r="71" spans="1:13" ht="20.100000000000001" customHeight="1" x14ac:dyDescent="0.2">
      <c r="D71" s="186" t="str" cm="1">
        <f t="array" ref="D71">Common_InputFunctions.Utility_DisplayArrayInTable(Fuel_SourceData.Fuel_Scope1Scope3EmissionFactorsStationaryLiquid_Data(), Table_Fuel_EFs_StationaryLiquid[[#Headers],[Fuel combusted]],0)</f>
        <v>Refinery coke</v>
      </c>
      <c r="E71" s="186" cm="1">
        <f t="array" ref="E71">Common_InputFunctions.Utility_DisplayArrayInTable(Fuel_SourceData.Fuel_Scope1Scope3EmissionFactorsStationaryLiquid_Data(), Table_Fuel_EFs_StationaryLiquid[[#Headers],[Fuel combusted]],0)</f>
        <v>34.200000000000003</v>
      </c>
      <c r="F71" s="186" t="str" cm="1">
        <f t="array" ref="F71">Common_InputFunctions.Utility_DisplayArrayInTable(Fuel_SourceData.Fuel_Scope1Scope3EmissionFactorsStationaryLiquid_Data(), Table_Fuel_EFs_StationaryLiquid[[#Headers],[Fuel combusted]],0)</f>
        <v>t</v>
      </c>
      <c r="G71" s="186" cm="1">
        <f t="array" ref="G71">Common_InputFunctions.Utility_DisplayArrayInTable(Fuel_SourceData.Fuel_Scope1Scope3EmissionFactorsStationaryLiquid_Data(), Table_Fuel_EFs_StationaryLiquid[[#Headers],[Fuel combusted]],0)</f>
        <v>92.6</v>
      </c>
      <c r="H71" s="186" cm="1">
        <f t="array" ref="H71">Common_InputFunctions.Utility_DisplayArrayInTable(Fuel_SourceData.Fuel_Scope1Scope3EmissionFactorsStationaryLiquid_Data(), Table_Fuel_EFs_StationaryLiquid[[#Headers],[Fuel combusted]],0)</f>
        <v>0.08</v>
      </c>
      <c r="I71" s="186" cm="1">
        <f t="array" ref="I71">Common_InputFunctions.Utility_DisplayArrayInTable(Fuel_SourceData.Fuel_Scope1Scope3EmissionFactorsStationaryLiquid_Data(), Table_Fuel_EFs_StationaryLiquid[[#Headers],[Fuel combusted]],0)</f>
        <v>0.2</v>
      </c>
      <c r="J71" s="186" cm="1">
        <f t="array" ref="J71">Common_InputFunctions.Utility_DisplayArrayInTable(Fuel_SourceData.Fuel_Scope1Scope3EmissionFactorsStationaryLiquid_Data(), Table_Fuel_EFs_StationaryLiquid[[#Headers],[Fuel combusted]],0)</f>
        <v>92.88</v>
      </c>
      <c r="K71" s="186" cm="1">
        <f t="array" ref="K71">Common_InputFunctions.Utility_DisplayArrayInTable(Fuel_SourceData.Fuel_Scope1Scope3EmissionFactorsStationaryLiquid_Data(), Table_Fuel_EFs_StationaryLiquid[[#Headers],[Fuel combusted]],0)</f>
        <v>18</v>
      </c>
      <c r="L71" s="158"/>
    </row>
    <row r="72" spans="1:13" ht="20.100000000000001" customHeight="1" x14ac:dyDescent="0.2">
      <c r="D72" s="186" t="str" cm="1">
        <f t="array" ref="D72">Common_InputFunctions.Utility_DisplayArrayInTable(Fuel_SourceData.Fuel_Scope1Scope3EmissionFactorsStationaryLiquid_Data(), Table_Fuel_EFs_StationaryLiquid[[#Headers],[Fuel combusted]],0)</f>
        <v>Petroleum based products other than mentioned in the items above</v>
      </c>
      <c r="E72" s="186" cm="1">
        <f t="array" ref="E72">Common_InputFunctions.Utility_DisplayArrayInTable(Fuel_SourceData.Fuel_Scope1Scope3EmissionFactorsStationaryLiquid_Data(), Table_Fuel_EFs_StationaryLiquid[[#Headers],[Fuel combusted]],0)</f>
        <v>34.4</v>
      </c>
      <c r="F72" s="186" t="str" cm="1">
        <f t="array" ref="F72">Common_InputFunctions.Utility_DisplayArrayInTable(Fuel_SourceData.Fuel_Scope1Scope3EmissionFactorsStationaryLiquid_Data(), Table_Fuel_EFs_StationaryLiquid[[#Headers],[Fuel combusted]],0)</f>
        <v>kL</v>
      </c>
      <c r="G72" s="186" cm="1">
        <f t="array" ref="G72">Common_InputFunctions.Utility_DisplayArrayInTable(Fuel_SourceData.Fuel_Scope1Scope3EmissionFactorsStationaryLiquid_Data(), Table_Fuel_EFs_StationaryLiquid[[#Headers],[Fuel combusted]],0)</f>
        <v>69.8</v>
      </c>
      <c r="H72" s="186" cm="1">
        <f t="array" ref="H72">Common_InputFunctions.Utility_DisplayArrayInTable(Fuel_SourceData.Fuel_Scope1Scope3EmissionFactorsStationaryLiquid_Data(), Table_Fuel_EFs_StationaryLiquid[[#Headers],[Fuel combusted]],0)</f>
        <v>0.02</v>
      </c>
      <c r="I72" s="186" cm="1">
        <f t="array" ref="I72">Common_InputFunctions.Utility_DisplayArrayInTable(Fuel_SourceData.Fuel_Scope1Scope3EmissionFactorsStationaryLiquid_Data(), Table_Fuel_EFs_StationaryLiquid[[#Headers],[Fuel combusted]],0)</f>
        <v>0.1</v>
      </c>
      <c r="J72" s="186" cm="1">
        <f t="array" ref="J72">Common_InputFunctions.Utility_DisplayArrayInTable(Fuel_SourceData.Fuel_Scope1Scope3EmissionFactorsStationaryLiquid_Data(), Table_Fuel_EFs_StationaryLiquid[[#Headers],[Fuel combusted]],0)</f>
        <v>69.92</v>
      </c>
      <c r="K72" s="186" cm="1">
        <f t="array" ref="K72">Common_InputFunctions.Utility_DisplayArrayInTable(Fuel_SourceData.Fuel_Scope1Scope3EmissionFactorsStationaryLiquid_Data(), Table_Fuel_EFs_StationaryLiquid[[#Headers],[Fuel combusted]],0)</f>
        <v>18</v>
      </c>
      <c r="L72" s="158"/>
    </row>
    <row r="73" spans="1:13" ht="20.100000000000001" customHeight="1" x14ac:dyDescent="0.2">
      <c r="D73" s="186" t="str" cm="1">
        <f t="array" ref="D73">Common_InputFunctions.Utility_DisplayArrayInTable(Fuel_SourceData.Fuel_Scope1Scope3EmissionFactorsStationaryLiquid_Data(), Table_Fuel_EFs_StationaryLiquid[[#Headers],[Fuel combusted]],0)</f>
        <v>Biodiesel</v>
      </c>
      <c r="E73" s="186" cm="1">
        <f t="array" ref="E73">Common_InputFunctions.Utility_DisplayArrayInTable(Fuel_SourceData.Fuel_Scope1Scope3EmissionFactorsStationaryLiquid_Data(), Table_Fuel_EFs_StationaryLiquid[[#Headers],[Fuel combusted]],0)</f>
        <v>34.6</v>
      </c>
      <c r="F73" s="186" t="str" cm="1">
        <f t="array" ref="F73">Common_InputFunctions.Utility_DisplayArrayInTable(Fuel_SourceData.Fuel_Scope1Scope3EmissionFactorsStationaryLiquid_Data(), Table_Fuel_EFs_StationaryLiquid[[#Headers],[Fuel combusted]],0)</f>
        <v>kL</v>
      </c>
      <c r="G73" s="186" cm="1">
        <f t="array" ref="G73">Common_InputFunctions.Utility_DisplayArrayInTable(Fuel_SourceData.Fuel_Scope1Scope3EmissionFactorsStationaryLiquid_Data(), Table_Fuel_EFs_StationaryLiquid[[#Headers],[Fuel combusted]],0)</f>
        <v>0</v>
      </c>
      <c r="H73" s="186" cm="1">
        <f t="array" ref="H73">Common_InputFunctions.Utility_DisplayArrayInTable(Fuel_SourceData.Fuel_Scope1Scope3EmissionFactorsStationaryLiquid_Data(), Table_Fuel_EFs_StationaryLiquid[[#Headers],[Fuel combusted]],0)</f>
        <v>0.08</v>
      </c>
      <c r="I73" s="186" cm="1">
        <f t="array" ref="I73">Common_InputFunctions.Utility_DisplayArrayInTable(Fuel_SourceData.Fuel_Scope1Scope3EmissionFactorsStationaryLiquid_Data(), Table_Fuel_EFs_StationaryLiquid[[#Headers],[Fuel combusted]],0)</f>
        <v>0.2</v>
      </c>
      <c r="J73" s="186" cm="1">
        <f t="array" ref="J73">Common_InputFunctions.Utility_DisplayArrayInTable(Fuel_SourceData.Fuel_Scope1Scope3EmissionFactorsStationaryLiquid_Data(), Table_Fuel_EFs_StationaryLiquid[[#Headers],[Fuel combusted]],0)</f>
        <v>0.28000000000000003</v>
      </c>
      <c r="K73" s="186" t="str" cm="1">
        <f t="array" ref="K73">Common_InputFunctions.Utility_DisplayArrayInTable(Fuel_SourceData.Fuel_Scope1Scope3EmissionFactorsStationaryLiquid_Data(), Table_Fuel_EFs_StationaryLiquid[[#Headers],[Fuel combusted]],0)</f>
        <v>NE</v>
      </c>
      <c r="L73" s="158"/>
    </row>
    <row r="74" spans="1:13" ht="20.100000000000001" customHeight="1" x14ac:dyDescent="0.2">
      <c r="D74" s="186" t="str" cm="1">
        <f t="array" ref="D74">Common_InputFunctions.Utility_DisplayArrayInTable(Fuel_SourceData.Fuel_Scope1Scope3EmissionFactorsStationaryLiquid_Data(), Table_Fuel_EFs_StationaryLiquid[[#Headers],[Fuel combusted]],0)</f>
        <v>Ethanol for use as a fuel in an internal combustion engine</v>
      </c>
      <c r="E74" s="186" cm="1">
        <f t="array" ref="E74">Common_InputFunctions.Utility_DisplayArrayInTable(Fuel_SourceData.Fuel_Scope1Scope3EmissionFactorsStationaryLiquid_Data(), Table_Fuel_EFs_StationaryLiquid[[#Headers],[Fuel combusted]],0)</f>
        <v>23.4</v>
      </c>
      <c r="F74" s="186" t="str" cm="1">
        <f t="array" ref="F74">Common_InputFunctions.Utility_DisplayArrayInTable(Fuel_SourceData.Fuel_Scope1Scope3EmissionFactorsStationaryLiquid_Data(), Table_Fuel_EFs_StationaryLiquid[[#Headers],[Fuel combusted]],0)</f>
        <v>kL</v>
      </c>
      <c r="G74" s="186" cm="1">
        <f t="array" ref="G74">Common_InputFunctions.Utility_DisplayArrayInTable(Fuel_SourceData.Fuel_Scope1Scope3EmissionFactorsStationaryLiquid_Data(), Table_Fuel_EFs_StationaryLiquid[[#Headers],[Fuel combusted]],0)</f>
        <v>0</v>
      </c>
      <c r="H74" s="186" cm="1">
        <f t="array" ref="H74">Common_InputFunctions.Utility_DisplayArrayInTable(Fuel_SourceData.Fuel_Scope1Scope3EmissionFactorsStationaryLiquid_Data(), Table_Fuel_EFs_StationaryLiquid[[#Headers],[Fuel combusted]],0)</f>
        <v>0.08</v>
      </c>
      <c r="I74" s="186" cm="1">
        <f t="array" ref="I74">Common_InputFunctions.Utility_DisplayArrayInTable(Fuel_SourceData.Fuel_Scope1Scope3EmissionFactorsStationaryLiquid_Data(), Table_Fuel_EFs_StationaryLiquid[[#Headers],[Fuel combusted]],0)</f>
        <v>0.2</v>
      </c>
      <c r="J74" s="186" cm="1">
        <f t="array" ref="J74">Common_InputFunctions.Utility_DisplayArrayInTable(Fuel_SourceData.Fuel_Scope1Scope3EmissionFactorsStationaryLiquid_Data(), Table_Fuel_EFs_StationaryLiquid[[#Headers],[Fuel combusted]],0)</f>
        <v>0.28000000000000003</v>
      </c>
      <c r="K74" s="186" t="str" cm="1">
        <f t="array" ref="K74">Common_InputFunctions.Utility_DisplayArrayInTable(Fuel_SourceData.Fuel_Scope1Scope3EmissionFactorsStationaryLiquid_Data(), Table_Fuel_EFs_StationaryLiquid[[#Headers],[Fuel combusted]],0)</f>
        <v>NE</v>
      </c>
      <c r="L74" s="158"/>
    </row>
    <row r="75" spans="1:13" ht="20.100000000000001" customHeight="1" x14ac:dyDescent="0.2">
      <c r="D75" s="186" t="str" cm="1">
        <f t="array" ref="D75">Common_InputFunctions.Utility_DisplayArrayInTable(Fuel_SourceData.Fuel_Scope1Scope3EmissionFactorsStationaryLiquid_Data(), Table_Fuel_EFs_StationaryLiquid[[#Headers],[Fuel combusted]],0)</f>
        <v>Biofuels other than those mentioned in the items above and below</v>
      </c>
      <c r="E75" s="186" cm="1">
        <f t="array" ref="E75">Common_InputFunctions.Utility_DisplayArrayInTable(Fuel_SourceData.Fuel_Scope1Scope3EmissionFactorsStationaryLiquid_Data(), Table_Fuel_EFs_StationaryLiquid[[#Headers],[Fuel combusted]],0)</f>
        <v>23.4</v>
      </c>
      <c r="F75" s="186" t="str" cm="1">
        <f t="array" ref="F75">Common_InputFunctions.Utility_DisplayArrayInTable(Fuel_SourceData.Fuel_Scope1Scope3EmissionFactorsStationaryLiquid_Data(), Table_Fuel_EFs_StationaryLiquid[[#Headers],[Fuel combusted]],0)</f>
        <v>kL</v>
      </c>
      <c r="G75" s="186" cm="1">
        <f t="array" ref="G75">Common_InputFunctions.Utility_DisplayArrayInTable(Fuel_SourceData.Fuel_Scope1Scope3EmissionFactorsStationaryLiquid_Data(), Table_Fuel_EFs_StationaryLiquid[[#Headers],[Fuel combusted]],0)</f>
        <v>0</v>
      </c>
      <c r="H75" s="186" cm="1">
        <f t="array" ref="H75">Common_InputFunctions.Utility_DisplayArrayInTable(Fuel_SourceData.Fuel_Scope1Scope3EmissionFactorsStationaryLiquid_Data(), Table_Fuel_EFs_StationaryLiquid[[#Headers],[Fuel combusted]],0)</f>
        <v>0.08</v>
      </c>
      <c r="I75" s="186" cm="1">
        <f t="array" ref="I75">Common_InputFunctions.Utility_DisplayArrayInTable(Fuel_SourceData.Fuel_Scope1Scope3EmissionFactorsStationaryLiquid_Data(), Table_Fuel_EFs_StationaryLiquid[[#Headers],[Fuel combusted]],0)</f>
        <v>0.2</v>
      </c>
      <c r="J75" s="186" cm="1">
        <f t="array" ref="J75">Common_InputFunctions.Utility_DisplayArrayInTable(Fuel_SourceData.Fuel_Scope1Scope3EmissionFactorsStationaryLiquid_Data(), Table_Fuel_EFs_StationaryLiquid[[#Headers],[Fuel combusted]],0)</f>
        <v>0.28000000000000003</v>
      </c>
      <c r="K75" s="186" t="str" cm="1">
        <f t="array" ref="K75">Common_InputFunctions.Utility_DisplayArrayInTable(Fuel_SourceData.Fuel_Scope1Scope3EmissionFactorsStationaryLiquid_Data(), Table_Fuel_EFs_StationaryLiquid[[#Headers],[Fuel combusted]],0)</f>
        <v>NE</v>
      </c>
      <c r="L75" s="158"/>
    </row>
    <row r="76" spans="1:13" ht="20.100000000000001" customHeight="1" x14ac:dyDescent="0.2">
      <c r="D76" s="186" t="str" cm="1">
        <f t="array" ref="D76">Common_InputFunctions.Utility_DisplayArrayInTable(Fuel_SourceData.Fuel_Scope1Scope3EmissionFactorsStationaryLiquid_Data(), Table_Fuel_EFs_StationaryLiquid[[#Headers],[Fuel combusted]],0)</f>
        <v>Renewable aviation kerosene</v>
      </c>
      <c r="E76" s="186" cm="1">
        <f t="array" ref="E76">Common_InputFunctions.Utility_DisplayArrayInTable(Fuel_SourceData.Fuel_Scope1Scope3EmissionFactorsStationaryLiquid_Data(), Table_Fuel_EFs_StationaryLiquid[[#Headers],[Fuel combusted]],0)</f>
        <v>36.799999999999997</v>
      </c>
      <c r="F76" s="186" t="str" cm="1">
        <f t="array" ref="F76">Common_InputFunctions.Utility_DisplayArrayInTable(Fuel_SourceData.Fuel_Scope1Scope3EmissionFactorsStationaryLiquid_Data(), Table_Fuel_EFs_StationaryLiquid[[#Headers],[Fuel combusted]],0)</f>
        <v>kL</v>
      </c>
      <c r="G76" s="186" cm="1">
        <f t="array" ref="G76">Common_InputFunctions.Utility_DisplayArrayInTable(Fuel_SourceData.Fuel_Scope1Scope3EmissionFactorsStationaryLiquid_Data(), Table_Fuel_EFs_StationaryLiquid[[#Headers],[Fuel combusted]],0)</f>
        <v>0</v>
      </c>
      <c r="H76" s="186" cm="1">
        <f t="array" ref="H76">Common_InputFunctions.Utility_DisplayArrayInTable(Fuel_SourceData.Fuel_Scope1Scope3EmissionFactorsStationaryLiquid_Data(), Table_Fuel_EFs_StationaryLiquid[[#Headers],[Fuel combusted]],0)</f>
        <v>0.02</v>
      </c>
      <c r="I76" s="186" cm="1">
        <f t="array" ref="I76">Common_InputFunctions.Utility_DisplayArrayInTable(Fuel_SourceData.Fuel_Scope1Scope3EmissionFactorsStationaryLiquid_Data(), Table_Fuel_EFs_StationaryLiquid[[#Headers],[Fuel combusted]],0)</f>
        <v>0.2</v>
      </c>
      <c r="J76" s="186" cm="1">
        <f t="array" ref="J76">Common_InputFunctions.Utility_DisplayArrayInTable(Fuel_SourceData.Fuel_Scope1Scope3EmissionFactorsStationaryLiquid_Data(), Table_Fuel_EFs_StationaryLiquid[[#Headers],[Fuel combusted]],0)</f>
        <v>0.22</v>
      </c>
      <c r="K76" s="186" t="str" cm="1">
        <f t="array" ref="K76">Common_InputFunctions.Utility_DisplayArrayInTable(Fuel_SourceData.Fuel_Scope1Scope3EmissionFactorsStationaryLiquid_Data(), Table_Fuel_EFs_StationaryLiquid[[#Headers],[Fuel combusted]],0)</f>
        <v>NE</v>
      </c>
      <c r="L76" s="158"/>
    </row>
    <row r="77" spans="1:13" ht="20.100000000000001" customHeight="1" x14ac:dyDescent="0.2">
      <c r="D77" s="186" t="str" cm="1">
        <f t="array" ref="D77">Common_InputFunctions.Utility_DisplayArrayInTable(Fuel_SourceData.Fuel_Scope1Scope3EmissionFactorsStationaryLiquid_Data(), Table_Fuel_EFs_StationaryLiquid[[#Headers],[Fuel combusted]],0)</f>
        <v>Renewable diesel</v>
      </c>
      <c r="E77" s="186" cm="1">
        <f t="array" ref="E77">Common_InputFunctions.Utility_DisplayArrayInTable(Fuel_SourceData.Fuel_Scope1Scope3EmissionFactorsStationaryLiquid_Data(), Table_Fuel_EFs_StationaryLiquid[[#Headers],[Fuel combusted]],0)</f>
        <v>38.6</v>
      </c>
      <c r="F77" s="186" t="str" cm="1">
        <f t="array" ref="F77">Common_InputFunctions.Utility_DisplayArrayInTable(Fuel_SourceData.Fuel_Scope1Scope3EmissionFactorsStationaryLiquid_Data(), Table_Fuel_EFs_StationaryLiquid[[#Headers],[Fuel combusted]],0)</f>
        <v>kL</v>
      </c>
      <c r="G77" s="186" cm="1">
        <f t="array" ref="G77">Common_InputFunctions.Utility_DisplayArrayInTable(Fuel_SourceData.Fuel_Scope1Scope3EmissionFactorsStationaryLiquid_Data(), Table_Fuel_EFs_StationaryLiquid[[#Headers],[Fuel combusted]],0)</f>
        <v>0</v>
      </c>
      <c r="H77" s="186" cm="1">
        <f t="array" ref="H77">Common_InputFunctions.Utility_DisplayArrayInTable(Fuel_SourceData.Fuel_Scope1Scope3EmissionFactorsStationaryLiquid_Data(), Table_Fuel_EFs_StationaryLiquid[[#Headers],[Fuel combusted]],0)</f>
        <v>0.1</v>
      </c>
      <c r="I77" s="186" cm="1">
        <f t="array" ref="I77">Common_InputFunctions.Utility_DisplayArrayInTable(Fuel_SourceData.Fuel_Scope1Scope3EmissionFactorsStationaryLiquid_Data(), Table_Fuel_EFs_StationaryLiquid[[#Headers],[Fuel combusted]],0)</f>
        <v>0.2</v>
      </c>
      <c r="J77" s="186" cm="1">
        <f t="array" ref="J77">Common_InputFunctions.Utility_DisplayArrayInTable(Fuel_SourceData.Fuel_Scope1Scope3EmissionFactorsStationaryLiquid_Data(), Table_Fuel_EFs_StationaryLiquid[[#Headers],[Fuel combusted]],0)</f>
        <v>0.3</v>
      </c>
      <c r="K77" s="186" t="str" cm="1">
        <f t="array" ref="K77">Common_InputFunctions.Utility_DisplayArrayInTable(Fuel_SourceData.Fuel_Scope1Scope3EmissionFactorsStationaryLiquid_Data(), Table_Fuel_EFs_StationaryLiquid[[#Headers],[Fuel combusted]],0)</f>
        <v>NE</v>
      </c>
      <c r="L77" s="158"/>
    </row>
    <row r="78" spans="1:13" ht="20.100000000000001" customHeight="1" x14ac:dyDescent="0.2">
      <c r="D78" s="158"/>
      <c r="E78" s="158"/>
      <c r="F78" s="158"/>
      <c r="G78" s="158"/>
      <c r="H78" s="158"/>
      <c r="I78" s="158"/>
      <c r="J78" s="158"/>
      <c r="K78" s="158"/>
      <c r="L78" s="158"/>
    </row>
    <row r="79" spans="1:13" ht="20.100000000000001" customHeight="1" x14ac:dyDescent="0.2">
      <c r="D79" s="158"/>
      <c r="E79" s="158"/>
      <c r="F79" s="158"/>
      <c r="G79" s="158"/>
      <c r="H79" s="158"/>
      <c r="I79" s="158"/>
      <c r="J79" s="158"/>
      <c r="K79" s="158"/>
      <c r="L79" s="158"/>
      <c r="M79" s="158"/>
    </row>
    <row r="80" spans="1:13" ht="20.100000000000001" customHeight="1" x14ac:dyDescent="0.2">
      <c r="D80" s="158"/>
      <c r="E80" s="158"/>
      <c r="F80" s="158"/>
      <c r="G80" s="158"/>
      <c r="H80" s="158"/>
      <c r="I80" s="158"/>
      <c r="J80" s="158"/>
      <c r="K80" s="158"/>
      <c r="L80" s="158"/>
      <c r="M80" s="158"/>
    </row>
    <row r="81" spans="4:12" ht="20.100000000000001" customHeight="1" x14ac:dyDescent="0.2">
      <c r="D81" s="2" t="str" cm="1">
        <f t="array" ref="D81">Fuel_SourceData.Fuel_Scope1EmissionFactorsStationaryGaseous_Title()</f>
        <v>Fuel scope 1 emission factors - Stationary gaseous fuels</v>
      </c>
      <c r="E81" s="158"/>
      <c r="F81" s="158"/>
      <c r="G81" s="158"/>
      <c r="H81" s="158"/>
      <c r="I81" s="158"/>
      <c r="J81" s="158"/>
      <c r="K81" s="158"/>
      <c r="L81" s="158"/>
    </row>
    <row r="82" spans="4: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58"/>
      <c r="F82" s="158"/>
      <c r="G82" s="158"/>
      <c r="H82" s="158"/>
      <c r="I82" s="158"/>
      <c r="J82" s="158"/>
      <c r="K82" s="158"/>
      <c r="L82" s="158"/>
    </row>
    <row r="83" spans="4:12" ht="20.100000000000001" customHeight="1" x14ac:dyDescent="0.2">
      <c r="D83" s="17" t="str" cm="1">
        <f t="array" ref="D83">Fuel_SourceData.Fuel_Scope1EmissionFactorsStationaryGaseous_Source()</f>
        <v>Australian National Greenhouse Accounts Factors 2025 - Table 5</v>
      </c>
      <c r="E83" s="158"/>
      <c r="F83" s="158"/>
      <c r="G83" s="158"/>
      <c r="H83" s="158"/>
      <c r="I83" s="158"/>
      <c r="J83" s="158"/>
      <c r="K83" s="158"/>
      <c r="L83" s="158"/>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8"/>
      <c r="F84" s="158"/>
      <c r="G84" s="158"/>
      <c r="H84" s="158"/>
      <c r="I84" s="158"/>
      <c r="J84" s="158"/>
      <c r="K84" s="158"/>
      <c r="L84" s="158"/>
    </row>
    <row r="85" spans="4:12" ht="20.100000000000001" customHeight="1" x14ac:dyDescent="0.2">
      <c r="D85" s="158"/>
      <c r="E85" s="158"/>
      <c r="F85" s="158"/>
      <c r="G85" s="158"/>
      <c r="H85" s="158"/>
      <c r="I85" s="158"/>
      <c r="J85" s="158"/>
      <c r="K85" s="158"/>
      <c r="L85" s="158"/>
    </row>
    <row r="86" spans="4:12" ht="20.100000000000001" customHeight="1" x14ac:dyDescent="0.2">
      <c r="D86" s="151" t="s">
        <v>628</v>
      </c>
      <c r="E86" s="185" t="s">
        <v>629</v>
      </c>
      <c r="F86" s="151" t="s">
        <v>630</v>
      </c>
      <c r="G86" s="185" t="s">
        <v>631</v>
      </c>
      <c r="H86" s="185" t="s">
        <v>632</v>
      </c>
      <c r="I86" s="185" t="s">
        <v>633</v>
      </c>
      <c r="J86" s="185" t="s">
        <v>634</v>
      </c>
      <c r="K86" s="158"/>
      <c r="L86" s="158"/>
    </row>
    <row r="87" spans="4:12" ht="20.100000000000001" customHeight="1" x14ac:dyDescent="0.2">
      <c r="D87" s="186" t="str" cm="1">
        <f t="array" ref="D87">Common_InputFunctions.Utility_DisplayArrayInTable(Fuel_SourceData.Fuel_Scope1EmissionFactorsStationaryGaseous_Data(), Table_Fuel_EFs_StationaryGaseous[[#Headers],[Fuel combusted]],0)</f>
        <v>Natural gas distributed in a pipeline</v>
      </c>
      <c r="E87" s="186" cm="1">
        <f t="array" ref="E87">Common_InputFunctions.Utility_DisplayArrayInTable(Fuel_SourceData.Fuel_Scope1EmissionFactorsStationaryGaseous_Data(), Table_Fuel_EFs_StationaryGaseous[[#Headers],[Fuel combusted]],0)</f>
        <v>3.9300000000000002E-2</v>
      </c>
      <c r="F87" s="186" t="str" cm="1">
        <f t="array" ref="F87">Common_InputFunctions.Utility_DisplayArrayInTable(Fuel_SourceData.Fuel_Scope1EmissionFactorsStationaryGaseous_Data(), Table_Fuel_EFs_StationaryGaseous[[#Headers],[Fuel combusted]],0)</f>
        <v>m3</v>
      </c>
      <c r="G87" s="186" cm="1">
        <f t="array" ref="G87">Common_InputFunctions.Utility_DisplayArrayInTable(Fuel_SourceData.Fuel_Scope1EmissionFactorsStationaryGaseous_Data(), Table_Fuel_EFs_StationaryGaseous[[#Headers],[Fuel combusted]],0)</f>
        <v>51.4</v>
      </c>
      <c r="H87" s="186" cm="1">
        <f t="array" ref="H87">Common_InputFunctions.Utility_DisplayArrayInTable(Fuel_SourceData.Fuel_Scope1EmissionFactorsStationaryGaseous_Data(), Table_Fuel_EFs_StationaryGaseous[[#Headers],[Fuel combusted]],0)</f>
        <v>0.1</v>
      </c>
      <c r="I87" s="186" cm="1">
        <f t="array" ref="I87">Common_InputFunctions.Utility_DisplayArrayInTable(Fuel_SourceData.Fuel_Scope1EmissionFactorsStationaryGaseous_Data(), Table_Fuel_EFs_StationaryGaseous[[#Headers],[Fuel combusted]],0)</f>
        <v>0.03</v>
      </c>
      <c r="J87" s="186" cm="1">
        <f t="array" ref="J87">Common_InputFunctions.Utility_DisplayArrayInTable(Fuel_SourceData.Fuel_Scope1EmissionFactorsStationaryGaseous_Data(), Table_Fuel_EFs_StationaryGaseous[[#Headers],[Fuel combusted]],0)</f>
        <v>51.53</v>
      </c>
      <c r="K87" s="158"/>
      <c r="L87" s="158"/>
    </row>
    <row r="88" spans="4:12" ht="20.100000000000001" customHeight="1" x14ac:dyDescent="0.2">
      <c r="D88" s="186" t="str" cm="1">
        <f t="array" ref="D88">Common_InputFunctions.Utility_DisplayArrayInTable(Fuel_SourceData.Fuel_Scope1EmissionFactorsStationaryGaseous_Data(), Table_Fuel_EFs_StationaryGaseous[[#Headers],[Fuel combusted]],0)</f>
        <v>Coal seam methane that is captured for combustion</v>
      </c>
      <c r="E88" s="186" cm="1">
        <f t="array" ref="E88">Common_InputFunctions.Utility_DisplayArrayInTable(Fuel_SourceData.Fuel_Scope1EmissionFactorsStationaryGaseous_Data(), Table_Fuel_EFs_StationaryGaseous[[#Headers],[Fuel combusted]],0)</f>
        <v>3.7699999999999997E-2</v>
      </c>
      <c r="F88" s="186" t="str" cm="1">
        <f t="array" ref="F88">Common_InputFunctions.Utility_DisplayArrayInTable(Fuel_SourceData.Fuel_Scope1EmissionFactorsStationaryGaseous_Data(), Table_Fuel_EFs_StationaryGaseous[[#Headers],[Fuel combusted]],0)</f>
        <v>m3</v>
      </c>
      <c r="G88" s="186" cm="1">
        <f t="array" ref="G88">Common_InputFunctions.Utility_DisplayArrayInTable(Fuel_SourceData.Fuel_Scope1EmissionFactorsStationaryGaseous_Data(), Table_Fuel_EFs_StationaryGaseous[[#Headers],[Fuel combusted]],0)</f>
        <v>51.4</v>
      </c>
      <c r="H88" s="186" cm="1">
        <f t="array" ref="H88">Common_InputFunctions.Utility_DisplayArrayInTable(Fuel_SourceData.Fuel_Scope1EmissionFactorsStationaryGaseous_Data(), Table_Fuel_EFs_StationaryGaseous[[#Headers],[Fuel combusted]],0)</f>
        <v>0.2</v>
      </c>
      <c r="I88" s="186" cm="1">
        <f t="array" ref="I88">Common_InputFunctions.Utility_DisplayArrayInTable(Fuel_SourceData.Fuel_Scope1EmissionFactorsStationaryGaseous_Data(), Table_Fuel_EFs_StationaryGaseous[[#Headers],[Fuel combusted]],0)</f>
        <v>0.03</v>
      </c>
      <c r="J88" s="186" cm="1">
        <f t="array" ref="J88">Common_InputFunctions.Utility_DisplayArrayInTable(Fuel_SourceData.Fuel_Scope1EmissionFactorsStationaryGaseous_Data(), Table_Fuel_EFs_StationaryGaseous[[#Headers],[Fuel combusted]],0)</f>
        <v>51.63</v>
      </c>
      <c r="K88" s="158"/>
      <c r="L88" s="158"/>
    </row>
    <row r="89" spans="4:12" ht="20.100000000000001" customHeight="1" x14ac:dyDescent="0.2">
      <c r="D89" s="186" t="str" cm="1">
        <f t="array" ref="D89">Common_InputFunctions.Utility_DisplayArrayInTable(Fuel_SourceData.Fuel_Scope1EmissionFactorsStationaryGaseous_Data(), Table_Fuel_EFs_StationaryGaseous[[#Headers],[Fuel combusted]],0)</f>
        <v>Coal mine waste gas that is captured for combustion</v>
      </c>
      <c r="E89" s="186" cm="1">
        <f t="array" ref="E89">Common_InputFunctions.Utility_DisplayArrayInTable(Fuel_SourceData.Fuel_Scope1EmissionFactorsStationaryGaseous_Data(), Table_Fuel_EFs_StationaryGaseous[[#Headers],[Fuel combusted]],0)</f>
        <v>3.7699999999999997E-2</v>
      </c>
      <c r="F89" s="186" t="str" cm="1">
        <f t="array" ref="F89">Common_InputFunctions.Utility_DisplayArrayInTable(Fuel_SourceData.Fuel_Scope1EmissionFactorsStationaryGaseous_Data(), Table_Fuel_EFs_StationaryGaseous[[#Headers],[Fuel combusted]],0)</f>
        <v>m3</v>
      </c>
      <c r="G89" s="186" cm="1">
        <f t="array" ref="G89">Common_InputFunctions.Utility_DisplayArrayInTable(Fuel_SourceData.Fuel_Scope1EmissionFactorsStationaryGaseous_Data(), Table_Fuel_EFs_StationaryGaseous[[#Headers],[Fuel combusted]],0)</f>
        <v>51.9</v>
      </c>
      <c r="H89" s="186" cm="1">
        <f t="array" ref="H89">Common_InputFunctions.Utility_DisplayArrayInTable(Fuel_SourceData.Fuel_Scope1EmissionFactorsStationaryGaseous_Data(), Table_Fuel_EFs_StationaryGaseous[[#Headers],[Fuel combusted]],0)</f>
        <v>4.5999999999999996</v>
      </c>
      <c r="I89" s="186" cm="1">
        <f t="array" ref="I89">Common_InputFunctions.Utility_DisplayArrayInTable(Fuel_SourceData.Fuel_Scope1EmissionFactorsStationaryGaseous_Data(), Table_Fuel_EFs_StationaryGaseous[[#Headers],[Fuel combusted]],0)</f>
        <v>0.3</v>
      </c>
      <c r="J89" s="186" cm="1">
        <f t="array" ref="J89">Common_InputFunctions.Utility_DisplayArrayInTable(Fuel_SourceData.Fuel_Scope1EmissionFactorsStationaryGaseous_Data(), Table_Fuel_EFs_StationaryGaseous[[#Headers],[Fuel combusted]],0)</f>
        <v>56.8</v>
      </c>
      <c r="K89" s="158"/>
      <c r="L89" s="158"/>
    </row>
    <row r="90" spans="4:12" ht="20.100000000000001" customHeight="1" x14ac:dyDescent="0.2">
      <c r="D90" s="186" t="str" cm="1">
        <f t="array" ref="D90">Common_InputFunctions.Utility_DisplayArrayInTable(Fuel_SourceData.Fuel_Scope1EmissionFactorsStationaryGaseous_Data(), Table_Fuel_EFs_StationaryGaseous[[#Headers],[Fuel combusted]],0)</f>
        <v>Compressed natural gas(reverting to standard conditions)</v>
      </c>
      <c r="E90" s="186" cm="1">
        <f t="array" ref="E90">Common_InputFunctions.Utility_DisplayArrayInTable(Fuel_SourceData.Fuel_Scope1EmissionFactorsStationaryGaseous_Data(), Table_Fuel_EFs_StationaryGaseous[[#Headers],[Fuel combusted]],0)</f>
        <v>3.9300000000000002E-2</v>
      </c>
      <c r="F90" s="186" t="str" cm="1">
        <f t="array" ref="F90">Common_InputFunctions.Utility_DisplayArrayInTable(Fuel_SourceData.Fuel_Scope1EmissionFactorsStationaryGaseous_Data(), Table_Fuel_EFs_StationaryGaseous[[#Headers],[Fuel combusted]],0)</f>
        <v>m3</v>
      </c>
      <c r="G90" s="186" cm="1">
        <f t="array" ref="G90">Common_InputFunctions.Utility_DisplayArrayInTable(Fuel_SourceData.Fuel_Scope1EmissionFactorsStationaryGaseous_Data(), Table_Fuel_EFs_StationaryGaseous[[#Headers],[Fuel combusted]],0)</f>
        <v>51.4</v>
      </c>
      <c r="H90" s="186" cm="1">
        <f t="array" ref="H90">Common_InputFunctions.Utility_DisplayArrayInTable(Fuel_SourceData.Fuel_Scope1EmissionFactorsStationaryGaseous_Data(), Table_Fuel_EFs_StationaryGaseous[[#Headers],[Fuel combusted]],0)</f>
        <v>0.1</v>
      </c>
      <c r="I90" s="186" cm="1">
        <f t="array" ref="I90">Common_InputFunctions.Utility_DisplayArrayInTable(Fuel_SourceData.Fuel_Scope1EmissionFactorsStationaryGaseous_Data(), Table_Fuel_EFs_StationaryGaseous[[#Headers],[Fuel combusted]],0)</f>
        <v>0.03</v>
      </c>
      <c r="J90" s="186" cm="1">
        <f t="array" ref="J90">Common_InputFunctions.Utility_DisplayArrayInTable(Fuel_SourceData.Fuel_Scope1EmissionFactorsStationaryGaseous_Data(), Table_Fuel_EFs_StationaryGaseous[[#Headers],[Fuel combusted]],0)</f>
        <v>51.53</v>
      </c>
      <c r="K90" s="158"/>
      <c r="L90" s="158"/>
    </row>
    <row r="91" spans="4:12" ht="20.100000000000001" customHeight="1" x14ac:dyDescent="0.2">
      <c r="D91" s="186" t="str" cm="1">
        <f t="array" ref="D91">Common_InputFunctions.Utility_DisplayArrayInTable(Fuel_SourceData.Fuel_Scope1EmissionFactorsStationaryGaseous_Data(), Table_Fuel_EFs_StationaryGaseous[[#Headers],[Fuel combusted]],0)</f>
        <v>Unprocessed natural gas</v>
      </c>
      <c r="E91" s="186" cm="1">
        <f t="array" ref="E91">Common_InputFunctions.Utility_DisplayArrayInTable(Fuel_SourceData.Fuel_Scope1EmissionFactorsStationaryGaseous_Data(), Table_Fuel_EFs_StationaryGaseous[[#Headers],[Fuel combusted]],0)</f>
        <v>3.9300000000000002E-2</v>
      </c>
      <c r="F91" s="186" t="str" cm="1">
        <f t="array" ref="F91">Common_InputFunctions.Utility_DisplayArrayInTable(Fuel_SourceData.Fuel_Scope1EmissionFactorsStationaryGaseous_Data(), Table_Fuel_EFs_StationaryGaseous[[#Headers],[Fuel combusted]],0)</f>
        <v>m3</v>
      </c>
      <c r="G91" s="186" cm="1">
        <f t="array" ref="G91">Common_InputFunctions.Utility_DisplayArrayInTable(Fuel_SourceData.Fuel_Scope1EmissionFactorsStationaryGaseous_Data(), Table_Fuel_EFs_StationaryGaseous[[#Headers],[Fuel combusted]],0)</f>
        <v>51.4</v>
      </c>
      <c r="H91" s="186" cm="1">
        <f t="array" ref="H91">Common_InputFunctions.Utility_DisplayArrayInTable(Fuel_SourceData.Fuel_Scope1EmissionFactorsStationaryGaseous_Data(), Table_Fuel_EFs_StationaryGaseous[[#Headers],[Fuel combusted]],0)</f>
        <v>0.1</v>
      </c>
      <c r="I91" s="186" cm="1">
        <f t="array" ref="I91">Common_InputFunctions.Utility_DisplayArrayInTable(Fuel_SourceData.Fuel_Scope1EmissionFactorsStationaryGaseous_Data(), Table_Fuel_EFs_StationaryGaseous[[#Headers],[Fuel combusted]],0)</f>
        <v>0.03</v>
      </c>
      <c r="J91" s="186" cm="1">
        <f t="array" ref="J91">Common_InputFunctions.Utility_DisplayArrayInTable(Fuel_SourceData.Fuel_Scope1EmissionFactorsStationaryGaseous_Data(), Table_Fuel_EFs_StationaryGaseous[[#Headers],[Fuel combusted]],0)</f>
        <v>51.53</v>
      </c>
      <c r="K91" s="158"/>
      <c r="L91" s="158"/>
    </row>
    <row r="92" spans="4:12" ht="20.100000000000001" customHeight="1" x14ac:dyDescent="0.2">
      <c r="D92" s="186" t="str" cm="1">
        <f t="array" ref="D92">Common_InputFunctions.Utility_DisplayArrayInTable(Fuel_SourceData.Fuel_Scope1EmissionFactorsStationaryGaseous_Data(), Table_Fuel_EFs_StationaryGaseous[[#Headers],[Fuel combusted]],0)</f>
        <v>Ethane</v>
      </c>
      <c r="E92" s="186" cm="1">
        <f t="array" ref="E92">Common_InputFunctions.Utility_DisplayArrayInTable(Fuel_SourceData.Fuel_Scope1EmissionFactorsStationaryGaseous_Data(), Table_Fuel_EFs_StationaryGaseous[[#Headers],[Fuel combusted]],0)</f>
        <v>6.2899999999999998E-2</v>
      </c>
      <c r="F92" s="186" t="str" cm="1">
        <f t="array" ref="F92">Common_InputFunctions.Utility_DisplayArrayInTable(Fuel_SourceData.Fuel_Scope1EmissionFactorsStationaryGaseous_Data(), Table_Fuel_EFs_StationaryGaseous[[#Headers],[Fuel combusted]],0)</f>
        <v>m3</v>
      </c>
      <c r="G92" s="186" cm="1">
        <f t="array" ref="G92">Common_InputFunctions.Utility_DisplayArrayInTable(Fuel_SourceData.Fuel_Scope1EmissionFactorsStationaryGaseous_Data(), Table_Fuel_EFs_StationaryGaseous[[#Headers],[Fuel combusted]],0)</f>
        <v>56.5</v>
      </c>
      <c r="H92" s="186" cm="1">
        <f t="array" ref="H92">Common_InputFunctions.Utility_DisplayArrayInTable(Fuel_SourceData.Fuel_Scope1EmissionFactorsStationaryGaseous_Data(), Table_Fuel_EFs_StationaryGaseous[[#Headers],[Fuel combusted]],0)</f>
        <v>0.03</v>
      </c>
      <c r="I92" s="186" cm="1">
        <f t="array" ref="I92">Common_InputFunctions.Utility_DisplayArrayInTable(Fuel_SourceData.Fuel_Scope1EmissionFactorsStationaryGaseous_Data(), Table_Fuel_EFs_StationaryGaseous[[#Headers],[Fuel combusted]],0)</f>
        <v>0.03</v>
      </c>
      <c r="J92" s="186" cm="1">
        <f t="array" ref="J92">Common_InputFunctions.Utility_DisplayArrayInTable(Fuel_SourceData.Fuel_Scope1EmissionFactorsStationaryGaseous_Data(), Table_Fuel_EFs_StationaryGaseous[[#Headers],[Fuel combusted]],0)</f>
        <v>56.56</v>
      </c>
      <c r="K92" s="158"/>
      <c r="L92" s="158"/>
    </row>
    <row r="93" spans="4:12" ht="20.100000000000001" customHeight="1" x14ac:dyDescent="0.2">
      <c r="D93" s="186" t="str" cm="1">
        <f t="array" ref="D93">Common_InputFunctions.Utility_DisplayArrayInTable(Fuel_SourceData.Fuel_Scope1EmissionFactorsStationaryGaseous_Data(), Table_Fuel_EFs_StationaryGaseous[[#Headers],[Fuel combusted]],0)</f>
        <v>Coke oven gas</v>
      </c>
      <c r="E93" s="186" cm="1">
        <f t="array" ref="E93">Common_InputFunctions.Utility_DisplayArrayInTable(Fuel_SourceData.Fuel_Scope1EmissionFactorsStationaryGaseous_Data(), Table_Fuel_EFs_StationaryGaseous[[#Headers],[Fuel combusted]],0)</f>
        <v>1.8100000000000002E-2</v>
      </c>
      <c r="F93" s="186" t="str" cm="1">
        <f t="array" ref="F93">Common_InputFunctions.Utility_DisplayArrayInTable(Fuel_SourceData.Fuel_Scope1EmissionFactorsStationaryGaseous_Data(), Table_Fuel_EFs_StationaryGaseous[[#Headers],[Fuel combusted]],0)</f>
        <v>m3</v>
      </c>
      <c r="G93" s="186" cm="1">
        <f t="array" ref="G93">Common_InputFunctions.Utility_DisplayArrayInTable(Fuel_SourceData.Fuel_Scope1EmissionFactorsStationaryGaseous_Data(), Table_Fuel_EFs_StationaryGaseous[[#Headers],[Fuel combusted]],0)</f>
        <v>37</v>
      </c>
      <c r="H93" s="186" cm="1">
        <f t="array" ref="H93">Common_InputFunctions.Utility_DisplayArrayInTable(Fuel_SourceData.Fuel_Scope1EmissionFactorsStationaryGaseous_Data(), Table_Fuel_EFs_StationaryGaseous[[#Headers],[Fuel combusted]],0)</f>
        <v>0.03</v>
      </c>
      <c r="I93" s="186" cm="1">
        <f t="array" ref="I93">Common_InputFunctions.Utility_DisplayArrayInTable(Fuel_SourceData.Fuel_Scope1EmissionFactorsStationaryGaseous_Data(), Table_Fuel_EFs_StationaryGaseous[[#Headers],[Fuel combusted]],0)</f>
        <v>0.05</v>
      </c>
      <c r="J93" s="186" cm="1">
        <f t="array" ref="J93">Common_InputFunctions.Utility_DisplayArrayInTable(Fuel_SourceData.Fuel_Scope1EmissionFactorsStationaryGaseous_Data(), Table_Fuel_EFs_StationaryGaseous[[#Headers],[Fuel combusted]],0)</f>
        <v>37.08</v>
      </c>
      <c r="K93" s="158"/>
      <c r="L93" s="158"/>
    </row>
    <row r="94" spans="4:12" ht="20.100000000000001" customHeight="1" x14ac:dyDescent="0.2">
      <c r="D94" s="186" t="str" cm="1">
        <f t="array" ref="D94">Common_InputFunctions.Utility_DisplayArrayInTable(Fuel_SourceData.Fuel_Scope1EmissionFactorsStationaryGaseous_Data(), Table_Fuel_EFs_StationaryGaseous[[#Headers],[Fuel combusted]],0)</f>
        <v>Blast furnace gas</v>
      </c>
      <c r="E94" s="186" cm="1">
        <f t="array" ref="E94">Common_InputFunctions.Utility_DisplayArrayInTable(Fuel_SourceData.Fuel_Scope1EmissionFactorsStationaryGaseous_Data(), Table_Fuel_EFs_StationaryGaseous[[#Headers],[Fuel combusted]],0)</f>
        <v>4.0000000000000001E-3</v>
      </c>
      <c r="F94" s="186" t="str" cm="1">
        <f t="array" ref="F94">Common_InputFunctions.Utility_DisplayArrayInTable(Fuel_SourceData.Fuel_Scope1EmissionFactorsStationaryGaseous_Data(), Table_Fuel_EFs_StationaryGaseous[[#Headers],[Fuel combusted]],0)</f>
        <v>m3</v>
      </c>
      <c r="G94" s="186" cm="1">
        <f t="array" ref="G94">Common_InputFunctions.Utility_DisplayArrayInTable(Fuel_SourceData.Fuel_Scope1EmissionFactorsStationaryGaseous_Data(), Table_Fuel_EFs_StationaryGaseous[[#Headers],[Fuel combusted]],0)</f>
        <v>234</v>
      </c>
      <c r="H94" s="186" cm="1">
        <f t="array" ref="H94">Common_InputFunctions.Utility_DisplayArrayInTable(Fuel_SourceData.Fuel_Scope1EmissionFactorsStationaryGaseous_Data(), Table_Fuel_EFs_StationaryGaseous[[#Headers],[Fuel combusted]],0)</f>
        <v>0.03</v>
      </c>
      <c r="I94" s="186" cm="1">
        <f t="array" ref="I94">Common_InputFunctions.Utility_DisplayArrayInTable(Fuel_SourceData.Fuel_Scope1EmissionFactorsStationaryGaseous_Data(), Table_Fuel_EFs_StationaryGaseous[[#Headers],[Fuel combusted]],0)</f>
        <v>0.02</v>
      </c>
      <c r="J94" s="186" cm="1">
        <f t="array" ref="J94">Common_InputFunctions.Utility_DisplayArrayInTable(Fuel_SourceData.Fuel_Scope1EmissionFactorsStationaryGaseous_Data(), Table_Fuel_EFs_StationaryGaseous[[#Headers],[Fuel combusted]],0)</f>
        <v>234.05</v>
      </c>
      <c r="K94" s="158"/>
      <c r="L94" s="158"/>
    </row>
    <row r="95" spans="4:12" ht="20.100000000000001" customHeight="1" x14ac:dyDescent="0.2">
      <c r="D95" s="186" t="str" cm="1">
        <f t="array" ref="D95">Common_InputFunctions.Utility_DisplayArrayInTable(Fuel_SourceData.Fuel_Scope1EmissionFactorsStationaryGaseous_Data(), Table_Fuel_EFs_StationaryGaseous[[#Headers],[Fuel combusted]],0)</f>
        <v>Town gas</v>
      </c>
      <c r="E95" s="186" cm="1">
        <f t="array" ref="E95">Common_InputFunctions.Utility_DisplayArrayInTable(Fuel_SourceData.Fuel_Scope1EmissionFactorsStationaryGaseous_Data(), Table_Fuel_EFs_StationaryGaseous[[#Headers],[Fuel combusted]],0)</f>
        <v>3.9E-2</v>
      </c>
      <c r="F95" s="186" t="str" cm="1">
        <f t="array" ref="F95">Common_InputFunctions.Utility_DisplayArrayInTable(Fuel_SourceData.Fuel_Scope1EmissionFactorsStationaryGaseous_Data(), Table_Fuel_EFs_StationaryGaseous[[#Headers],[Fuel combusted]],0)</f>
        <v>m3</v>
      </c>
      <c r="G95" s="186" cm="1">
        <f t="array" ref="G95">Common_InputFunctions.Utility_DisplayArrayInTable(Fuel_SourceData.Fuel_Scope1EmissionFactorsStationaryGaseous_Data(), Table_Fuel_EFs_StationaryGaseous[[#Headers],[Fuel combusted]],0)</f>
        <v>60.2</v>
      </c>
      <c r="H95" s="186" cm="1">
        <f t="array" ref="H95">Common_InputFunctions.Utility_DisplayArrayInTable(Fuel_SourceData.Fuel_Scope1EmissionFactorsStationaryGaseous_Data(), Table_Fuel_EFs_StationaryGaseous[[#Headers],[Fuel combusted]],0)</f>
        <v>0.04</v>
      </c>
      <c r="I95" s="186" cm="1">
        <f t="array" ref="I95">Common_InputFunctions.Utility_DisplayArrayInTable(Fuel_SourceData.Fuel_Scope1EmissionFactorsStationaryGaseous_Data(), Table_Fuel_EFs_StationaryGaseous[[#Headers],[Fuel combusted]],0)</f>
        <v>0.03</v>
      </c>
      <c r="J95" s="186" cm="1">
        <f t="array" ref="J95">Common_InputFunctions.Utility_DisplayArrayInTable(Fuel_SourceData.Fuel_Scope1EmissionFactorsStationaryGaseous_Data(), Table_Fuel_EFs_StationaryGaseous[[#Headers],[Fuel combusted]],0)</f>
        <v>60.27</v>
      </c>
      <c r="K95" s="158"/>
      <c r="L95" s="158"/>
    </row>
    <row r="96" spans="4:12" ht="20.100000000000001" customHeight="1" x14ac:dyDescent="0.2">
      <c r="D96" s="186" t="str" cm="1">
        <f t="array" ref="D96">Common_InputFunctions.Utility_DisplayArrayInTable(Fuel_SourceData.Fuel_Scope1EmissionFactorsStationaryGaseous_Data(), Table_Fuel_EFs_StationaryGaseous[[#Headers],[Fuel combusted]],0)</f>
        <v>Liquefied natural gas</v>
      </c>
      <c r="E96" s="186" cm="1">
        <f t="array" ref="E96">Common_InputFunctions.Utility_DisplayArrayInTable(Fuel_SourceData.Fuel_Scope1EmissionFactorsStationaryGaseous_Data(), Table_Fuel_EFs_StationaryGaseous[[#Headers],[Fuel combusted]],0)</f>
        <v>25.3</v>
      </c>
      <c r="F96" s="186" t="str" cm="1">
        <f t="array" ref="F96">Common_InputFunctions.Utility_DisplayArrayInTable(Fuel_SourceData.Fuel_Scope1EmissionFactorsStationaryGaseous_Data(), Table_Fuel_EFs_StationaryGaseous[[#Headers],[Fuel combusted]],0)</f>
        <v>kL</v>
      </c>
      <c r="G96" s="186" cm="1">
        <f t="array" ref="G96">Common_InputFunctions.Utility_DisplayArrayInTable(Fuel_SourceData.Fuel_Scope1EmissionFactorsStationaryGaseous_Data(), Table_Fuel_EFs_StationaryGaseous[[#Headers],[Fuel combusted]],0)</f>
        <v>51.4</v>
      </c>
      <c r="H96" s="186" cm="1">
        <f t="array" ref="H96">Common_InputFunctions.Utility_DisplayArrayInTable(Fuel_SourceData.Fuel_Scope1EmissionFactorsStationaryGaseous_Data(), Table_Fuel_EFs_StationaryGaseous[[#Headers],[Fuel combusted]],0)</f>
        <v>0.1</v>
      </c>
      <c r="I96" s="186" cm="1">
        <f t="array" ref="I96">Common_InputFunctions.Utility_DisplayArrayInTable(Fuel_SourceData.Fuel_Scope1EmissionFactorsStationaryGaseous_Data(), Table_Fuel_EFs_StationaryGaseous[[#Headers],[Fuel combusted]],0)</f>
        <v>0.03</v>
      </c>
      <c r="J96" s="186" cm="1">
        <f t="array" ref="J96">Common_InputFunctions.Utility_DisplayArrayInTable(Fuel_SourceData.Fuel_Scope1EmissionFactorsStationaryGaseous_Data(), Table_Fuel_EFs_StationaryGaseous[[#Headers],[Fuel combusted]],0)</f>
        <v>51.53</v>
      </c>
      <c r="K96" s="158"/>
      <c r="L96" s="158"/>
    </row>
    <row r="97" spans="1:13" ht="20.100000000000001" customHeight="1" x14ac:dyDescent="0.2">
      <c r="A97" s="131" t="str">
        <f>HYPERLINK("#A1", "▲ Back to top")</f>
        <v>▲ Back to top</v>
      </c>
      <c r="D97" s="186" t="str" cm="1">
        <f t="array" ref="D97">Common_InputFunctions.Utility_DisplayArrayInTable(Fuel_SourceData.Fuel_Scope1EmissionFactorsStationaryGaseous_Data(), Table_Fuel_EFs_StationaryGaseous[[#Headers],[Fuel combusted]],0)</f>
        <v>Gaseous fossil fuels other than those mentioned in the items above</v>
      </c>
      <c r="E97" s="186" cm="1">
        <f t="array" ref="E97">Common_InputFunctions.Utility_DisplayArrayInTable(Fuel_SourceData.Fuel_Scope1EmissionFactorsStationaryGaseous_Data(), Table_Fuel_EFs_StationaryGaseous[[#Headers],[Fuel combusted]],0)</f>
        <v>3.9E-2</v>
      </c>
      <c r="F97" s="186" t="str" cm="1">
        <f t="array" ref="F97">Common_InputFunctions.Utility_DisplayArrayInTable(Fuel_SourceData.Fuel_Scope1EmissionFactorsStationaryGaseous_Data(), Table_Fuel_EFs_StationaryGaseous[[#Headers],[Fuel combusted]],0)</f>
        <v>m3</v>
      </c>
      <c r="G97" s="186" cm="1">
        <f t="array" ref="G97">Common_InputFunctions.Utility_DisplayArrayInTable(Fuel_SourceData.Fuel_Scope1EmissionFactorsStationaryGaseous_Data(), Table_Fuel_EFs_StationaryGaseous[[#Headers],[Fuel combusted]],0)</f>
        <v>51.4</v>
      </c>
      <c r="H97" s="186" cm="1">
        <f t="array" ref="H97">Common_InputFunctions.Utility_DisplayArrayInTable(Fuel_SourceData.Fuel_Scope1EmissionFactorsStationaryGaseous_Data(), Table_Fuel_EFs_StationaryGaseous[[#Headers],[Fuel combusted]],0)</f>
        <v>0.1</v>
      </c>
      <c r="I97" s="186" cm="1">
        <f t="array" ref="I97">Common_InputFunctions.Utility_DisplayArrayInTable(Fuel_SourceData.Fuel_Scope1EmissionFactorsStationaryGaseous_Data(), Table_Fuel_EFs_StationaryGaseous[[#Headers],[Fuel combusted]],0)</f>
        <v>0.03</v>
      </c>
      <c r="J97" s="186" cm="1">
        <f t="array" ref="J97">Common_InputFunctions.Utility_DisplayArrayInTable(Fuel_SourceData.Fuel_Scope1EmissionFactorsStationaryGaseous_Data(), Table_Fuel_EFs_StationaryGaseous[[#Headers],[Fuel combusted]],0)</f>
        <v>51.53</v>
      </c>
      <c r="K97" s="158"/>
      <c r="L97" s="158"/>
    </row>
    <row r="98" spans="1:13" ht="20.100000000000001" customHeight="1" x14ac:dyDescent="0.2">
      <c r="D98" s="186" t="str" cm="1">
        <f t="array" ref="D98">Common_InputFunctions.Utility_DisplayArrayInTable(Fuel_SourceData.Fuel_Scope1EmissionFactorsStationaryGaseous_Data(), Table_Fuel_EFs_StationaryGaseous[[#Headers],[Fuel combusted]],0)</f>
        <v>Landfill biogas that is captured for combustion (methane only)</v>
      </c>
      <c r="E98" s="186" cm="1">
        <f t="array" ref="E98">Common_InputFunctions.Utility_DisplayArrayInTable(Fuel_SourceData.Fuel_Scope1EmissionFactorsStationaryGaseous_Data(), Table_Fuel_EFs_StationaryGaseous[[#Headers],[Fuel combusted]],0)</f>
        <v>3.7699999999999997E-2</v>
      </c>
      <c r="F98" s="186" t="str" cm="1">
        <f t="array" ref="F98">Common_InputFunctions.Utility_DisplayArrayInTable(Fuel_SourceData.Fuel_Scope1EmissionFactorsStationaryGaseous_Data(), Table_Fuel_EFs_StationaryGaseous[[#Headers],[Fuel combusted]],0)</f>
        <v>m3</v>
      </c>
      <c r="G98" s="186" cm="1">
        <f t="array" ref="G98">Common_InputFunctions.Utility_DisplayArrayInTable(Fuel_SourceData.Fuel_Scope1EmissionFactorsStationaryGaseous_Data(), Table_Fuel_EFs_StationaryGaseous[[#Headers],[Fuel combusted]],0)</f>
        <v>0</v>
      </c>
      <c r="H98" s="186" cm="1">
        <f t="array" ref="H98">Common_InputFunctions.Utility_DisplayArrayInTable(Fuel_SourceData.Fuel_Scope1EmissionFactorsStationaryGaseous_Data(), Table_Fuel_EFs_StationaryGaseous[[#Headers],[Fuel combusted]],0)</f>
        <v>6.4</v>
      </c>
      <c r="I98" s="186" cm="1">
        <f t="array" ref="I98">Common_InputFunctions.Utility_DisplayArrayInTable(Fuel_SourceData.Fuel_Scope1EmissionFactorsStationaryGaseous_Data(), Table_Fuel_EFs_StationaryGaseous[[#Headers],[Fuel combusted]],0)</f>
        <v>0.03</v>
      </c>
      <c r="J98" s="186" cm="1">
        <f t="array" ref="J98">Common_InputFunctions.Utility_DisplayArrayInTable(Fuel_SourceData.Fuel_Scope1EmissionFactorsStationaryGaseous_Data(), Table_Fuel_EFs_StationaryGaseous[[#Headers],[Fuel combusted]],0)</f>
        <v>6.43</v>
      </c>
      <c r="K98" s="158"/>
      <c r="L98" s="158"/>
    </row>
    <row r="99" spans="1:13" ht="20.100000000000001" customHeight="1" x14ac:dyDescent="0.2">
      <c r="D99" s="186" t="str" cm="1">
        <f t="array" ref="D99">Common_InputFunctions.Utility_DisplayArrayInTable(Fuel_SourceData.Fuel_Scope1EmissionFactorsStationaryGaseous_Data(), Table_Fuel_EFs_StationaryGaseous[[#Headers],[Fuel combusted]],0)</f>
        <v>Sludge biogas that is captured for combustion (methane only)</v>
      </c>
      <c r="E99" s="186" cm="1">
        <f t="array" ref="E99">Common_InputFunctions.Utility_DisplayArrayInTable(Fuel_SourceData.Fuel_Scope1EmissionFactorsStationaryGaseous_Data(), Table_Fuel_EFs_StationaryGaseous[[#Headers],[Fuel combusted]],0)</f>
        <v>3.7699999999999997E-2</v>
      </c>
      <c r="F99" s="186" t="str" cm="1">
        <f t="array" ref="F99">Common_InputFunctions.Utility_DisplayArrayInTable(Fuel_SourceData.Fuel_Scope1EmissionFactorsStationaryGaseous_Data(), Table_Fuel_EFs_StationaryGaseous[[#Headers],[Fuel combusted]],0)</f>
        <v>m3</v>
      </c>
      <c r="G99" s="186" cm="1">
        <f t="array" ref="G99">Common_InputFunctions.Utility_DisplayArrayInTable(Fuel_SourceData.Fuel_Scope1EmissionFactorsStationaryGaseous_Data(), Table_Fuel_EFs_StationaryGaseous[[#Headers],[Fuel combusted]],0)</f>
        <v>0</v>
      </c>
      <c r="H99" s="186" cm="1">
        <f t="array" ref="H99">Common_InputFunctions.Utility_DisplayArrayInTable(Fuel_SourceData.Fuel_Scope1EmissionFactorsStationaryGaseous_Data(), Table_Fuel_EFs_StationaryGaseous[[#Headers],[Fuel combusted]],0)</f>
        <v>6.4</v>
      </c>
      <c r="I99" s="186" cm="1">
        <f t="array" ref="I99">Common_InputFunctions.Utility_DisplayArrayInTable(Fuel_SourceData.Fuel_Scope1EmissionFactorsStationaryGaseous_Data(), Table_Fuel_EFs_StationaryGaseous[[#Headers],[Fuel combusted]],0)</f>
        <v>0.03</v>
      </c>
      <c r="J99" s="186" cm="1">
        <f t="array" ref="J99">Common_InputFunctions.Utility_DisplayArrayInTable(Fuel_SourceData.Fuel_Scope1EmissionFactorsStationaryGaseous_Data(), Table_Fuel_EFs_StationaryGaseous[[#Headers],[Fuel combusted]],0)</f>
        <v>6.43</v>
      </c>
      <c r="K99" s="158"/>
      <c r="L99" s="158"/>
    </row>
    <row r="100" spans="1:13" ht="20.100000000000001" customHeight="1" x14ac:dyDescent="0.2">
      <c r="D100" s="18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6" cm="1">
        <f t="array" ref="E100">Common_InputFunctions.Utility_DisplayArrayInTable(Fuel_SourceData.Fuel_Scope1EmissionFactorsStationaryGaseous_Data(), Table_Fuel_EFs_StationaryGaseous[[#Headers],[Fuel combusted]],0)</f>
        <v>3.6999999999999998E-2</v>
      </c>
      <c r="F100" s="186" t="str" cm="1">
        <f t="array" ref="F100">Common_InputFunctions.Utility_DisplayArrayInTable(Fuel_SourceData.Fuel_Scope1EmissionFactorsStationaryGaseous_Data(), Table_Fuel_EFs_StationaryGaseous[[#Headers],[Fuel combusted]],0)</f>
        <v>m3</v>
      </c>
      <c r="G100" s="186" cm="1">
        <f t="array" ref="G100">Common_InputFunctions.Utility_DisplayArrayInTable(Fuel_SourceData.Fuel_Scope1EmissionFactorsStationaryGaseous_Data(), Table_Fuel_EFs_StationaryGaseous[[#Headers],[Fuel combusted]],0)</f>
        <v>0</v>
      </c>
      <c r="H100" s="186" cm="1">
        <f t="array" ref="H100">Common_InputFunctions.Utility_DisplayArrayInTable(Fuel_SourceData.Fuel_Scope1EmissionFactorsStationaryGaseous_Data(), Table_Fuel_EFs_StationaryGaseous[[#Headers],[Fuel combusted]],0)</f>
        <v>6.4</v>
      </c>
      <c r="I100" s="186" cm="1">
        <f t="array" ref="I100">Common_InputFunctions.Utility_DisplayArrayInTable(Fuel_SourceData.Fuel_Scope1EmissionFactorsStationaryGaseous_Data(), Table_Fuel_EFs_StationaryGaseous[[#Headers],[Fuel combusted]],0)</f>
        <v>0.03</v>
      </c>
      <c r="J100" s="186" cm="1">
        <f t="array" ref="J100">Common_InputFunctions.Utility_DisplayArrayInTable(Fuel_SourceData.Fuel_Scope1EmissionFactorsStationaryGaseous_Data(), Table_Fuel_EFs_StationaryGaseous[[#Headers],[Fuel combusted]],0)</f>
        <v>6.43</v>
      </c>
      <c r="K100" s="158"/>
      <c r="L100" s="158"/>
    </row>
    <row r="101" spans="1:13" ht="20.100000000000001" customHeight="1" x14ac:dyDescent="0.2">
      <c r="D101" s="186" t="str" cm="1">
        <f t="array" ref="D101">Common_InputFunctions.Utility_DisplayArrayInTable(Fuel_SourceData.Fuel_Scope1EmissionFactorsStationaryGaseous_Data(), Table_Fuel_EFs_StationaryGaseous[[#Headers],[Fuel combusted]],0)</f>
        <v>Biomethane</v>
      </c>
      <c r="E101" s="186" cm="1">
        <f t="array" ref="E101">Common_InputFunctions.Utility_DisplayArrayInTable(Fuel_SourceData.Fuel_Scope1EmissionFactorsStationaryGaseous_Data(), Table_Fuel_EFs_StationaryGaseous[[#Headers],[Fuel combusted]],0)</f>
        <v>3.9300000000000002E-2</v>
      </c>
      <c r="F101" s="186" t="str" cm="1">
        <f t="array" ref="F101">Common_InputFunctions.Utility_DisplayArrayInTable(Fuel_SourceData.Fuel_Scope1EmissionFactorsStationaryGaseous_Data(), Table_Fuel_EFs_StationaryGaseous[[#Headers],[Fuel combusted]],0)</f>
        <v>m3</v>
      </c>
      <c r="G101" s="186" cm="1">
        <f t="array" ref="G101">Common_InputFunctions.Utility_DisplayArrayInTable(Fuel_SourceData.Fuel_Scope1EmissionFactorsStationaryGaseous_Data(), Table_Fuel_EFs_StationaryGaseous[[#Headers],[Fuel combusted]],0)</f>
        <v>0</v>
      </c>
      <c r="H101" s="186" cm="1">
        <f t="array" ref="H101">Common_InputFunctions.Utility_DisplayArrayInTable(Fuel_SourceData.Fuel_Scope1EmissionFactorsStationaryGaseous_Data(), Table_Fuel_EFs_StationaryGaseous[[#Headers],[Fuel combusted]],0)</f>
        <v>0.1</v>
      </c>
      <c r="I101" s="186" cm="1">
        <f t="array" ref="I101">Common_InputFunctions.Utility_DisplayArrayInTable(Fuel_SourceData.Fuel_Scope1EmissionFactorsStationaryGaseous_Data(), Table_Fuel_EFs_StationaryGaseous[[#Headers],[Fuel combusted]],0)</f>
        <v>0.03</v>
      </c>
      <c r="J101" s="186" cm="1">
        <f t="array" ref="J101">Common_InputFunctions.Utility_DisplayArrayInTable(Fuel_SourceData.Fuel_Scope1EmissionFactorsStationaryGaseous_Data(), Table_Fuel_EFs_StationaryGaseous[[#Headers],[Fuel combusted]],0)</f>
        <v>0.13</v>
      </c>
      <c r="K101" s="158"/>
      <c r="L101" s="158"/>
    </row>
    <row r="102" spans="1:13" ht="20.100000000000001" customHeight="1" x14ac:dyDescent="0.2">
      <c r="D102" s="186" t="str" cm="1">
        <f t="array" ref="D102">Common_InputFunctions.Utility_DisplayArrayInTable(Fuel_SourceData.Fuel_Scope1EmissionFactorsStationaryGaseous_Data(), Table_Fuel_EFs_StationaryGaseous[[#Headers],[Fuel combusted]],0)</f>
        <v>Hydrogen</v>
      </c>
      <c r="E102" s="186" cm="1">
        <f t="array" ref="E102">Common_InputFunctions.Utility_DisplayArrayInTable(Fuel_SourceData.Fuel_Scope1EmissionFactorsStationaryGaseous_Data(), Table_Fuel_EFs_StationaryGaseous[[#Headers],[Fuel combusted]],0)</f>
        <v>1.2200000000000001E-2</v>
      </c>
      <c r="F102" s="186" t="str" cm="1">
        <f t="array" ref="F102">Common_InputFunctions.Utility_DisplayArrayInTable(Fuel_SourceData.Fuel_Scope1EmissionFactorsStationaryGaseous_Data(), Table_Fuel_EFs_StationaryGaseous[[#Headers],[Fuel combusted]],0)</f>
        <v>m3</v>
      </c>
      <c r="G102" s="186" cm="1">
        <f t="array" ref="G102">Common_InputFunctions.Utility_DisplayArrayInTable(Fuel_SourceData.Fuel_Scope1EmissionFactorsStationaryGaseous_Data(), Table_Fuel_EFs_StationaryGaseous[[#Headers],[Fuel combusted]],0)</f>
        <v>0</v>
      </c>
      <c r="H102" s="186" cm="1">
        <f t="array" ref="H102">Common_InputFunctions.Utility_DisplayArrayInTable(Fuel_SourceData.Fuel_Scope1EmissionFactorsStationaryGaseous_Data(), Table_Fuel_EFs_StationaryGaseous[[#Headers],[Fuel combusted]],0)</f>
        <v>0</v>
      </c>
      <c r="I102" s="186" cm="1">
        <f t="array" ref="I102">Common_InputFunctions.Utility_DisplayArrayInTable(Fuel_SourceData.Fuel_Scope1EmissionFactorsStationaryGaseous_Data(), Table_Fuel_EFs_StationaryGaseous[[#Headers],[Fuel combusted]],0)</f>
        <v>0.5</v>
      </c>
      <c r="J102" s="186" cm="1">
        <f t="array" ref="J102">Common_InputFunctions.Utility_DisplayArrayInTable(Fuel_SourceData.Fuel_Scope1EmissionFactorsStationaryGaseous_Data(), Table_Fuel_EFs_StationaryGaseous[[#Headers],[Fuel combusted]],0)</f>
        <v>0.5</v>
      </c>
      <c r="K102" s="158"/>
      <c r="L102" s="158"/>
    </row>
    <row r="103" spans="1:13" ht="20.100000000000001" customHeight="1" x14ac:dyDescent="0.2">
      <c r="D103" s="186" t="str" cm="1">
        <f t="array" ref="D103">Common_InputFunctions.Utility_DisplayArrayInTable(Fuel_SourceData.Fuel_Scope1EmissionFactorsStationaryGaseous_Data(), Table_Fuel_EFs_StationaryGaseous[[#Headers],[Fuel combusted]],0)</f>
        <v>Natural gas distributed in a pipeline - Gigajoules</v>
      </c>
      <c r="E103" s="186" cm="1">
        <f t="array" ref="E103">Common_InputFunctions.Utility_DisplayArrayInTable(Fuel_SourceData.Fuel_Scope1EmissionFactorsStationaryGaseous_Data(), Table_Fuel_EFs_StationaryGaseous[[#Headers],[Fuel combusted]],0)</f>
        <v>1</v>
      </c>
      <c r="F103" s="186" t="str" cm="1">
        <f t="array" ref="F103">Common_InputFunctions.Utility_DisplayArrayInTable(Fuel_SourceData.Fuel_Scope1EmissionFactorsStationaryGaseous_Data(), Table_Fuel_EFs_StationaryGaseous[[#Headers],[Fuel combusted]],0)</f>
        <v>GJ</v>
      </c>
      <c r="G103" s="186" cm="1">
        <f t="array" ref="G103">Common_InputFunctions.Utility_DisplayArrayInTable(Fuel_SourceData.Fuel_Scope1EmissionFactorsStationaryGaseous_Data(), Table_Fuel_EFs_StationaryGaseous[[#Headers],[Fuel combusted]],0)</f>
        <v>51.4</v>
      </c>
      <c r="H103" s="186" cm="1">
        <f t="array" ref="H103">Common_InputFunctions.Utility_DisplayArrayInTable(Fuel_SourceData.Fuel_Scope1EmissionFactorsStationaryGaseous_Data(), Table_Fuel_EFs_StationaryGaseous[[#Headers],[Fuel combusted]],0)</f>
        <v>0.1</v>
      </c>
      <c r="I103" s="186" cm="1">
        <f t="array" ref="I103">Common_InputFunctions.Utility_DisplayArrayInTable(Fuel_SourceData.Fuel_Scope1EmissionFactorsStationaryGaseous_Data(), Table_Fuel_EFs_StationaryGaseous[[#Headers],[Fuel combusted]],0)</f>
        <v>0.03</v>
      </c>
      <c r="J103" s="186" cm="1">
        <f t="array" ref="J103">Common_InputFunctions.Utility_DisplayArrayInTable(Fuel_SourceData.Fuel_Scope1EmissionFactorsStationaryGaseous_Data(), Table_Fuel_EFs_StationaryGaseous[[#Headers],[Fuel combusted]],0)</f>
        <v>51.53</v>
      </c>
      <c r="K103" s="158"/>
      <c r="L103" s="158"/>
    </row>
    <row r="104" spans="1:13" ht="20.100000000000001" customHeight="1" x14ac:dyDescent="0.2">
      <c r="D104" s="186" t="str" cm="1">
        <f t="array" ref="D104">Common_InputFunctions.Utility_DisplayArrayInTable(Fuel_SourceData.Fuel_Scope1EmissionFactorsStationaryGaseous_Data(), Table_Fuel_EFs_StationaryGaseous[[#Headers],[Fuel combusted]],0)</f>
        <v>Town gas - Gigajoules</v>
      </c>
      <c r="E104" s="186" cm="1">
        <f t="array" ref="E104">Common_InputFunctions.Utility_DisplayArrayInTable(Fuel_SourceData.Fuel_Scope1EmissionFactorsStationaryGaseous_Data(), Table_Fuel_EFs_StationaryGaseous[[#Headers],[Fuel combusted]],0)</f>
        <v>1</v>
      </c>
      <c r="F104" s="186" t="str" cm="1">
        <f t="array" ref="F104">Common_InputFunctions.Utility_DisplayArrayInTable(Fuel_SourceData.Fuel_Scope1EmissionFactorsStationaryGaseous_Data(), Table_Fuel_EFs_StationaryGaseous[[#Headers],[Fuel combusted]],0)</f>
        <v>GJ</v>
      </c>
      <c r="G104" s="186" cm="1">
        <f t="array" ref="G104">Common_InputFunctions.Utility_DisplayArrayInTable(Fuel_SourceData.Fuel_Scope1EmissionFactorsStationaryGaseous_Data(), Table_Fuel_EFs_StationaryGaseous[[#Headers],[Fuel combusted]],0)</f>
        <v>60.2</v>
      </c>
      <c r="H104" s="186" cm="1">
        <f t="array" ref="H104">Common_InputFunctions.Utility_DisplayArrayInTable(Fuel_SourceData.Fuel_Scope1EmissionFactorsStationaryGaseous_Data(), Table_Fuel_EFs_StationaryGaseous[[#Headers],[Fuel combusted]],0)</f>
        <v>0.04</v>
      </c>
      <c r="I104" s="186" cm="1">
        <f t="array" ref="I104">Common_InputFunctions.Utility_DisplayArrayInTable(Fuel_SourceData.Fuel_Scope1EmissionFactorsStationaryGaseous_Data(), Table_Fuel_EFs_StationaryGaseous[[#Headers],[Fuel combusted]],0)</f>
        <v>0.03</v>
      </c>
      <c r="J104" s="186" cm="1">
        <f t="array" ref="J104">Common_InputFunctions.Utility_DisplayArrayInTable(Fuel_SourceData.Fuel_Scope1EmissionFactorsStationaryGaseous_Data(), Table_Fuel_EFs_StationaryGaseous[[#Headers],[Fuel combusted]],0)</f>
        <v>60.27</v>
      </c>
      <c r="K104" s="158"/>
      <c r="L104" s="158"/>
    </row>
    <row r="105" spans="1:13" ht="20.100000000000001" customHeight="1" x14ac:dyDescent="0.2">
      <c r="D105" s="158"/>
      <c r="E105" s="158"/>
      <c r="F105" s="158"/>
      <c r="G105" s="158"/>
      <c r="H105" s="158"/>
      <c r="I105" s="158"/>
      <c r="J105" s="158"/>
      <c r="K105" s="158"/>
      <c r="L105" s="158"/>
      <c r="M105" s="158"/>
    </row>
    <row r="106" spans="1:13" ht="20.100000000000001" customHeight="1" x14ac:dyDescent="0.2">
      <c r="D106" s="158"/>
      <c r="E106" s="158"/>
      <c r="F106" s="158"/>
      <c r="G106" s="158"/>
      <c r="H106" s="158"/>
      <c r="I106" s="158"/>
      <c r="J106" s="158"/>
      <c r="K106" s="158"/>
      <c r="L106" s="158"/>
      <c r="M106" s="158"/>
    </row>
    <row r="107" spans="1:13" ht="20.100000000000001" customHeight="1" x14ac:dyDescent="0.2">
      <c r="D107" s="2" t="str" cm="1">
        <f t="array" ref="D107">Fuel_SourceData.Fuel_Scope3EmissionFactorsStationaryGaseous_Title()</f>
        <v>Fuel scope 3 emission factors - Stationary gaseous fuels</v>
      </c>
      <c r="E107" s="158"/>
      <c r="F107" s="158"/>
      <c r="G107" s="158"/>
      <c r="H107" s="158"/>
      <c r="I107" s="158"/>
      <c r="J107" s="158"/>
      <c r="K107" s="158"/>
      <c r="L107" s="158"/>
    </row>
    <row r="108" spans="1:13" ht="20.100000000000001" customHeight="1" x14ac:dyDescent="0.2">
      <c r="D108" s="1" t="str" cm="1">
        <f t="array" ref="D108">Fuel_SourceData.Fuel_Scope3EmissionFactorsStationaryGaseous_Description()</f>
        <v>Indirect (Scope 3) emission factors for the consumption of natural gas.</v>
      </c>
      <c r="E108" s="158"/>
      <c r="F108" s="158"/>
      <c r="G108" s="158"/>
      <c r="H108" s="158"/>
      <c r="I108" s="158"/>
      <c r="J108" s="158"/>
      <c r="K108" s="158"/>
      <c r="L108" s="158"/>
    </row>
    <row r="109" spans="1:13" ht="20.100000000000001" customHeight="1" x14ac:dyDescent="0.2">
      <c r="D109" s="17" t="str" cm="1">
        <f t="array" ref="D109">Fuel_SourceData.Fuel_Scope3EmissionFactorsStationaryGaseous_Source()</f>
        <v>Australian National Greenhouse Accounts Factors 2025 - Table 6</v>
      </c>
      <c r="E109" s="158"/>
      <c r="F109" s="158"/>
      <c r="G109" s="158"/>
      <c r="H109" s="158"/>
      <c r="I109" s="158"/>
      <c r="J109" s="158"/>
      <c r="K109" s="158"/>
      <c r="L109" s="158"/>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8"/>
      <c r="F110" s="158"/>
      <c r="G110" s="158"/>
      <c r="H110" s="158"/>
      <c r="I110" s="158"/>
      <c r="J110" s="158"/>
      <c r="K110" s="158"/>
      <c r="L110" s="158"/>
    </row>
    <row r="111" spans="1:13" ht="20.100000000000001" customHeight="1" x14ac:dyDescent="0.2">
      <c r="D111" s="158"/>
      <c r="E111" s="158"/>
      <c r="F111" s="158"/>
      <c r="G111" s="158"/>
      <c r="H111" s="158"/>
      <c r="I111" s="158"/>
      <c r="J111" s="158"/>
      <c r="K111" s="158"/>
      <c r="L111" s="158"/>
    </row>
    <row r="112" spans="1:13" ht="20.100000000000001" customHeight="1" x14ac:dyDescent="0.2">
      <c r="D112" s="151" t="s">
        <v>643</v>
      </c>
      <c r="E112" s="185" t="s">
        <v>578</v>
      </c>
      <c r="F112" s="185" t="s">
        <v>644</v>
      </c>
      <c r="G112" s="158"/>
      <c r="H112" s="75" t="s">
        <v>645</v>
      </c>
      <c r="I112" s="158"/>
      <c r="J112" s="158"/>
      <c r="K112" s="158"/>
      <c r="L112" s="158"/>
    </row>
    <row r="113" spans="1:13" ht="20.100000000000001" customHeight="1" x14ac:dyDescent="0.2">
      <c r="D113" s="188" t="str" cm="1">
        <f t="array" ref="D113">Common_InputFunctions.Utility_DisplayArrayInTable(Fuel_SourceData.Fuel_Scope3EmissionFactorsStationaryGaseous_Data(), Table_Fuel_EFs_StationaryGaseous34[[#Headers],[State or territory]],0)</f>
        <v>New South Wales</v>
      </c>
      <c r="E113" s="188" cm="1">
        <f t="array" ref="E113">Common_InputFunctions.Utility_DisplayArrayInTable(Fuel_SourceData.Fuel_Scope3EmissionFactorsStationaryGaseous_Data(), Table_Fuel_EFs_StationaryGaseous34[[#Headers],[State or territory]],0)</f>
        <v>13.1</v>
      </c>
      <c r="F113" s="188" cm="1">
        <f t="array" ref="F113">Common_InputFunctions.Utility_DisplayArrayInTable(Fuel_SourceData.Fuel_Scope3EmissionFactorsStationaryGaseous_Data(), Table_Fuel_EFs_StationaryGaseous34[[#Headers],[State or territory]],0)</f>
        <v>14</v>
      </c>
      <c r="G113" s="18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8"/>
      <c r="J113" s="158"/>
      <c r="K113" s="158"/>
      <c r="L113" s="158"/>
    </row>
    <row r="114" spans="1:13" ht="20.100000000000001" customHeight="1" x14ac:dyDescent="0.2">
      <c r="D114" s="188" t="str" cm="1">
        <f t="array" ref="D114">Common_InputFunctions.Utility_DisplayArrayInTable(Fuel_SourceData.Fuel_Scope3EmissionFactorsStationaryGaseous_Data(), Table_Fuel_EFs_StationaryGaseous34[[#Headers],[State or territory]],0)</f>
        <v>ACT</v>
      </c>
      <c r="E114" s="188" cm="1">
        <f t="array" ref="E114">Common_InputFunctions.Utility_DisplayArrayInTable(Fuel_SourceData.Fuel_Scope3EmissionFactorsStationaryGaseous_Data(), Table_Fuel_EFs_StationaryGaseous34[[#Headers],[State or territory]],0)</f>
        <v>13.1</v>
      </c>
      <c r="F114" s="188" cm="1">
        <f t="array" ref="F114">Common_InputFunctions.Utility_DisplayArrayInTable(Fuel_SourceData.Fuel_Scope3EmissionFactorsStationaryGaseous_Data(), Table_Fuel_EFs_StationaryGaseous34[[#Headers],[State or territory]],0)</f>
        <v>14</v>
      </c>
      <c r="G114" s="189" t="str">
        <v/>
      </c>
      <c r="H114" s="1" t="str">
        <v>Gas reaches end users either from the metro distribution networks or direct from the high - pressure distribution pipelines.</v>
      </c>
      <c r="I114" s="158"/>
      <c r="J114" s="158"/>
      <c r="K114" s="158"/>
      <c r="L114" s="158"/>
    </row>
    <row r="115" spans="1:13" ht="20.100000000000001" customHeight="1" x14ac:dyDescent="0.2">
      <c r="D115" s="188" t="str" cm="1">
        <f t="array" ref="D115">Common_InputFunctions.Utility_DisplayArrayInTable(Fuel_SourceData.Fuel_Scope3EmissionFactorsStationaryGaseous_Data(), Table_Fuel_EFs_StationaryGaseous34[[#Headers],[State or territory]],0)</f>
        <v>Victoria</v>
      </c>
      <c r="E115" s="188" cm="1">
        <f t="array" ref="E115">Common_InputFunctions.Utility_DisplayArrayInTable(Fuel_SourceData.Fuel_Scope3EmissionFactorsStationaryGaseous_Data(), Table_Fuel_EFs_StationaryGaseous34[[#Headers],[State or territory]],0)</f>
        <v>4</v>
      </c>
      <c r="F115" s="188" cm="1">
        <f t="array" ref="F115">Common_InputFunctions.Utility_DisplayArrayInTable(Fuel_SourceData.Fuel_Scope3EmissionFactorsStationaryGaseous_Data(), Table_Fuel_EFs_StationaryGaseous34[[#Headers],[State or territory]],0)</f>
        <v>4</v>
      </c>
      <c r="G115" s="189" t="str">
        <v/>
      </c>
      <c r="H115" s="1" t="str">
        <v>Households and commercial users tend to be served by the former, and electricity generators and large industrial plants from the latter.</v>
      </c>
      <c r="I115" s="158"/>
      <c r="J115" s="158"/>
      <c r="K115" s="158"/>
      <c r="L115" s="158"/>
    </row>
    <row r="116" spans="1:13" ht="20.100000000000001" customHeight="1" x14ac:dyDescent="0.2">
      <c r="D116" s="188" t="str" cm="1">
        <f t="array" ref="D116">Common_InputFunctions.Utility_DisplayArrayInTable(Fuel_SourceData.Fuel_Scope3EmissionFactorsStationaryGaseous_Data(), Table_Fuel_EFs_StationaryGaseous34[[#Headers],[State or territory]],0)</f>
        <v>Queensland</v>
      </c>
      <c r="E116" s="188" cm="1">
        <f t="array" ref="E116">Common_InputFunctions.Utility_DisplayArrayInTable(Fuel_SourceData.Fuel_Scope3EmissionFactorsStationaryGaseous_Data(), Table_Fuel_EFs_StationaryGaseous34[[#Headers],[State or territory]],0)</f>
        <v>8.8000000000000007</v>
      </c>
      <c r="F116" s="188" cm="1">
        <f t="array" ref="F116">Common_InputFunctions.Utility_DisplayArrayInTable(Fuel_SourceData.Fuel_Scope3EmissionFactorsStationaryGaseous_Data(), Table_Fuel_EFs_StationaryGaseous34[[#Headers],[State or territory]],0)</f>
        <v>7.9</v>
      </c>
      <c r="G116" s="189" t="str">
        <v>-</v>
      </c>
      <c r="H116" s="1" t="str">
        <v>Metro is defined as located on or east of the dividing range in NSW, including Canberra and Queanbeyan, Melbourne, Brisbane, Adelaide or Perth.</v>
      </c>
      <c r="I116" s="158"/>
      <c r="J116" s="158"/>
      <c r="K116" s="158"/>
      <c r="L116" s="158"/>
    </row>
    <row r="117" spans="1:13" ht="20.100000000000001" customHeight="1" x14ac:dyDescent="0.2">
      <c r="D117" s="188" t="str" cm="1">
        <f t="array" ref="D117">Common_InputFunctions.Utility_DisplayArrayInTable(Fuel_SourceData.Fuel_Scope3EmissionFactorsStationaryGaseous_Data(), Table_Fuel_EFs_StationaryGaseous34[[#Headers],[State or territory]],0)</f>
        <v>South Australia</v>
      </c>
      <c r="E117" s="188" cm="1">
        <f t="array" ref="E117">Common_InputFunctions.Utility_DisplayArrayInTable(Fuel_SourceData.Fuel_Scope3EmissionFactorsStationaryGaseous_Data(), Table_Fuel_EFs_StationaryGaseous34[[#Headers],[State or territory]],0)</f>
        <v>10.7</v>
      </c>
      <c r="F117" s="188" cm="1">
        <f t="array" ref="F117">Common_InputFunctions.Utility_DisplayArrayInTable(Fuel_SourceData.Fuel_Scope3EmissionFactorsStationaryGaseous_Data(), Table_Fuel_EFs_StationaryGaseous34[[#Headers],[State or territory]],0)</f>
        <v>10.6</v>
      </c>
      <c r="G117" s="189" t="str">
        <v/>
      </c>
      <c r="H117" s="1" t="str">
        <v>Otherwise, the non - metro factor should be used.</v>
      </c>
      <c r="I117" s="158"/>
      <c r="J117" s="158"/>
      <c r="K117" s="158"/>
      <c r="L117" s="158"/>
    </row>
    <row r="118" spans="1:13" ht="20.100000000000001" customHeight="1" x14ac:dyDescent="0.2">
      <c r="D118" s="188" t="str" cm="1">
        <f t="array" ref="D118">Common_InputFunctions.Utility_DisplayArrayInTable(Fuel_SourceData.Fuel_Scope3EmissionFactorsStationaryGaseous_Data(), Table_Fuel_EFs_StationaryGaseous34[[#Headers],[State or territory]],0)</f>
        <v>Western Australia</v>
      </c>
      <c r="E118" s="188" cm="1">
        <f t="array" ref="E118">Common_InputFunctions.Utility_DisplayArrayInTable(Fuel_SourceData.Fuel_Scope3EmissionFactorsStationaryGaseous_Data(), Table_Fuel_EFs_StationaryGaseous34[[#Headers],[State or territory]],0)</f>
        <v>4.0999999999999996</v>
      </c>
      <c r="F118" s="188" cm="1">
        <f t="array" ref="F118">Common_InputFunctions.Utility_DisplayArrayInTable(Fuel_SourceData.Fuel_Scope3EmissionFactorsStationaryGaseous_Data(), Table_Fuel_EFs_StationaryGaseous34[[#Headers],[State or territory]],0)</f>
        <v>4</v>
      </c>
      <c r="G118" s="189" t="str">
        <v>-</v>
      </c>
      <c r="H118" s="1" t="str">
        <v>Factors are calculated for all natural gas distributed in a pipeline which may include coal seam methane.</v>
      </c>
      <c r="I118" s="158"/>
      <c r="J118" s="158"/>
      <c r="K118" s="158"/>
      <c r="L118" s="158"/>
    </row>
    <row r="119" spans="1:13" ht="20.100000000000001" customHeight="1" x14ac:dyDescent="0.2">
      <c r="D119" s="188" t="str" cm="1">
        <f t="array" ref="D119">Common_InputFunctions.Utility_DisplayArrayInTable(Fuel_SourceData.Fuel_Scope3EmissionFactorsStationaryGaseous_Data(), Table_Fuel_EFs_StationaryGaseous34[[#Headers],[State or territory]],0)</f>
        <v>Tasmania</v>
      </c>
      <c r="E119" s="188" cm="1">
        <f t="array" ref="E119">Common_InputFunctions.Utility_DisplayArrayInTable(Fuel_SourceData.Fuel_Scope3EmissionFactorsStationaryGaseous_Data(), Table_Fuel_EFs_StationaryGaseous34[[#Headers],[State or territory]],0)</f>
        <v>4</v>
      </c>
      <c r="F119" s="188" cm="1">
        <f t="array" ref="F119">Common_InputFunctions.Utility_DisplayArrayInTable(Fuel_SourceData.Fuel_Scope3EmissionFactorsStationaryGaseous_Data(), Table_Fuel_EFs_StationaryGaseous34[[#Headers],[State or territory]],0)</f>
        <v>4</v>
      </c>
      <c r="G119" s="189" t="str">
        <v>-</v>
      </c>
      <c r="H119" s="1" t="str">
        <v>Table 6 is not applicable to ethane. See Table 7 Indirect (Scope 3) emissions from the consumption of ethane.</v>
      </c>
      <c r="I119" s="158"/>
      <c r="J119" s="158"/>
      <c r="K119" s="158"/>
      <c r="L119" s="158"/>
    </row>
    <row r="120" spans="1:13" ht="20.100000000000001" customHeight="1" x14ac:dyDescent="0.2">
      <c r="D120" s="188" t="str" cm="1">
        <f t="array" ref="D120">Common_InputFunctions.Utility_DisplayArrayInTable(Fuel_SourceData.Fuel_Scope3EmissionFactorsStationaryGaseous_Data(), Table_Fuel_EFs_StationaryGaseous34[[#Headers],[State or territory]],0)</f>
        <v>Northern Territory</v>
      </c>
      <c r="E120" s="188" cm="1">
        <f t="array" ref="E120">Common_InputFunctions.Utility_DisplayArrayInTable(Fuel_SourceData.Fuel_Scope3EmissionFactorsStationaryGaseous_Data(), Table_Fuel_EFs_StationaryGaseous34[[#Headers],[State or territory]],0)</f>
        <v>4.0999999999999996</v>
      </c>
      <c r="F120" s="188" cm="1">
        <f t="array" ref="F120">Common_InputFunctions.Utility_DisplayArrayInTable(Fuel_SourceData.Fuel_Scope3EmissionFactorsStationaryGaseous_Data(), Table_Fuel_EFs_StationaryGaseous34[[#Headers],[State or territory]],0)</f>
        <v>4</v>
      </c>
      <c r="G120" s="189" t="str">
        <v>-</v>
      </c>
      <c r="H120" s="1" t="str">
        <v>C = Confidential. Scope 3 emission factors for Tasmania and the Northern Territory are not available due to confidentiality constraints that arise</v>
      </c>
      <c r="I120" s="158"/>
      <c r="J120" s="158"/>
      <c r="K120" s="158"/>
      <c r="L120" s="158"/>
    </row>
    <row r="121" spans="1:13" ht="20.100000000000001" customHeight="1" x14ac:dyDescent="0.2">
      <c r="D121" s="8"/>
      <c r="E121" s="8"/>
      <c r="F121" s="8"/>
      <c r="G121" s="189" t="str">
        <v/>
      </c>
      <c r="H121" s="1" t="str">
        <v>from the use of a limited number of NGER data inputs. It is suggested that for Tasmania the use of the Victorian emission factors is appropriate,</v>
      </c>
      <c r="I121" s="158"/>
      <c r="J121" s="158"/>
      <c r="K121" s="158"/>
      <c r="L121" s="158"/>
    </row>
    <row r="122" spans="1:13" ht="20.100000000000001" customHeight="1" x14ac:dyDescent="0.2">
      <c r="D122" s="158"/>
      <c r="F122" s="190"/>
      <c r="G122" s="189" t="str">
        <v/>
      </c>
      <c r="H122" s="1" t="str">
        <v>while for Northern Territory the use of the Western Australian emission factors is appropriate.</v>
      </c>
      <c r="I122" s="158"/>
      <c r="J122" s="158"/>
      <c r="K122" s="158"/>
      <c r="L122" s="158"/>
    </row>
    <row r="123" spans="1:13" ht="20.100000000000001" customHeight="1" x14ac:dyDescent="0.2">
      <c r="D123" s="191"/>
      <c r="F123" s="190"/>
      <c r="G123" s="189" t="str">
        <v>-</v>
      </c>
      <c r="H123" s="1" t="str">
        <v>Scope 3 emission factors do not include fugitive emission leakage from low pressure natural gas distribution pipeline networks while those from high pressure</v>
      </c>
      <c r="I123" s="158"/>
      <c r="J123" s="158"/>
      <c r="K123" s="158"/>
      <c r="L123" s="158"/>
    </row>
    <row r="124" spans="1:13" ht="20.100000000000001" customHeight="1" x14ac:dyDescent="0.2">
      <c r="D124" s="191"/>
      <c r="F124" s="190"/>
      <c r="G124" s="158" t="str">
        <v/>
      </c>
      <c r="H124" s="1" t="str">
        <v>gas networks are considered negligible.</v>
      </c>
      <c r="I124" s="158"/>
      <c r="J124" s="158"/>
      <c r="K124" s="158"/>
      <c r="L124" s="158"/>
    </row>
    <row r="125" spans="1:13" ht="20.100000000000001" customHeight="1" x14ac:dyDescent="0.2">
      <c r="D125" s="191"/>
      <c r="F125" s="190"/>
      <c r="G125" s="158"/>
      <c r="H125" s="158"/>
      <c r="I125" s="158"/>
      <c r="J125" s="158"/>
      <c r="K125" s="158"/>
      <c r="L125" s="158"/>
    </row>
    <row r="126" spans="1:13" ht="20.100000000000001" customHeight="1" x14ac:dyDescent="0.2">
      <c r="D126" s="158"/>
      <c r="E126" s="158"/>
      <c r="F126" s="158"/>
      <c r="G126" s="158"/>
      <c r="H126" s="158"/>
      <c r="I126" s="158"/>
      <c r="J126" s="158"/>
      <c r="K126" s="158"/>
      <c r="L126" s="158"/>
      <c r="M126" s="158"/>
    </row>
    <row r="127" spans="1:13" ht="20.100000000000001" customHeight="1" x14ac:dyDescent="0.2">
      <c r="A127" s="131" t="str">
        <f>HYPERLINK("#A1", "▲ Back to top")</f>
        <v>▲ Back to top</v>
      </c>
      <c r="D127" s="158"/>
      <c r="E127" s="158"/>
      <c r="F127" s="158"/>
      <c r="G127" s="158"/>
      <c r="H127" s="158"/>
      <c r="I127" s="158"/>
      <c r="J127" s="158"/>
      <c r="K127" s="158"/>
      <c r="L127" s="158"/>
      <c r="M127" s="158"/>
    </row>
    <row r="128" spans="1:13" ht="20.100000000000001" customHeight="1" x14ac:dyDescent="0.2">
      <c r="D128" s="158"/>
      <c r="E128" s="158"/>
      <c r="F128" s="158"/>
      <c r="G128" s="158"/>
      <c r="H128" s="158"/>
      <c r="I128" s="158"/>
      <c r="J128" s="158"/>
      <c r="K128" s="158"/>
      <c r="L128" s="158"/>
      <c r="M128" s="158"/>
    </row>
    <row r="129" spans="4:33" ht="20.100000000000001" customHeight="1" x14ac:dyDescent="0.2">
      <c r="D129" s="192"/>
      <c r="E129" s="158"/>
      <c r="F129" s="158"/>
      <c r="G129" s="158"/>
      <c r="H129" s="158"/>
      <c r="I129" s="158"/>
      <c r="J129" s="158"/>
      <c r="K129" s="158"/>
      <c r="L129" s="158"/>
    </row>
    <row r="130" spans="4:33" ht="20.100000000000001" customHeight="1" x14ac:dyDescent="0.2">
      <c r="D130" s="193" t="s">
        <v>646</v>
      </c>
      <c r="E130" s="193" t="s">
        <v>587</v>
      </c>
      <c r="F130" s="193" t="s">
        <v>647</v>
      </c>
      <c r="G130" s="193" t="s">
        <v>590</v>
      </c>
      <c r="H130" s="193" t="s">
        <v>592</v>
      </c>
      <c r="I130" s="193" t="s">
        <v>593</v>
      </c>
      <c r="J130" s="158"/>
      <c r="K130" s="158"/>
      <c r="L130" s="158"/>
    </row>
    <row r="131" spans="4:33" ht="20.100000000000001" customHeight="1" x14ac:dyDescent="0.2">
      <c r="D131" s="194" t="str">
        <f>$D$143</f>
        <v>Petrol</v>
      </c>
      <c r="E131" s="194" t="str">
        <f>$D$143</f>
        <v>Petrol</v>
      </c>
      <c r="F131" s="194" t="str">
        <f>$D$150</f>
        <v>Avgas</v>
      </c>
      <c r="G131" s="194" t="str">
        <f>$D$143</f>
        <v>Petrol</v>
      </c>
      <c r="H131" s="194" t="str">
        <f>$D$144</f>
        <v>Diesel</v>
      </c>
      <c r="I131" s="194" t="str">
        <f>$D$143</f>
        <v>Petrol</v>
      </c>
      <c r="J131" s="158"/>
      <c r="K131" s="158"/>
      <c r="L131" s="158"/>
    </row>
    <row r="132" spans="4:33" ht="20.100000000000001" customHeight="1" x14ac:dyDescent="0.2">
      <c r="D132" s="194" t="str">
        <f>$D$144</f>
        <v>Diesel</v>
      </c>
      <c r="E132" s="194" t="str">
        <f>$D$144</f>
        <v>Diesel</v>
      </c>
      <c r="F132" s="194" t="str">
        <f>$D$151</f>
        <v>Jet A1, Jet B</v>
      </c>
      <c r="G132" s="194" t="str">
        <f>$D$144</f>
        <v>Diesel</v>
      </c>
      <c r="H132" s="194"/>
      <c r="I132" s="194" t="str">
        <f>$D$144</f>
        <v>Diesel</v>
      </c>
      <c r="J132" s="158"/>
      <c r="K132" s="158"/>
      <c r="L132" s="158"/>
    </row>
    <row r="133" spans="4:33" ht="20.100000000000001" customHeight="1" x14ac:dyDescent="0.2">
      <c r="D133" s="194" t="str">
        <f>$D$145</f>
        <v>Liquefied petroleum gas (LPG)</v>
      </c>
      <c r="E133" s="194" t="str">
        <f>$D$145</f>
        <v>Liquefied petroleum gas (LPG)</v>
      </c>
      <c r="F133" s="194" t="str">
        <f>$D$152</f>
        <v>Renewable aviation kerosene</v>
      </c>
      <c r="G133" s="194" t="str">
        <f>$D$145</f>
        <v>Liquefied petroleum gas (LPG)</v>
      </c>
      <c r="H133" s="194"/>
      <c r="I133" s="194" t="s">
        <v>594</v>
      </c>
      <c r="J133" s="158"/>
      <c r="K133" s="158"/>
      <c r="L133" s="158"/>
    </row>
    <row r="134" spans="4:33" ht="20.100000000000001" customHeight="1" x14ac:dyDescent="0.2">
      <c r="D134" s="194" t="str">
        <f>$D$146</f>
        <v>Biodiesel</v>
      </c>
      <c r="E134" s="194" t="str">
        <f>$D$146</f>
        <v>Biodiesel</v>
      </c>
      <c r="F134" s="193"/>
      <c r="G134" s="194" t="str">
        <f>$D$160</f>
        <v>Fuel oil</v>
      </c>
      <c r="H134" s="194"/>
      <c r="I134" s="194"/>
      <c r="J134" s="158"/>
      <c r="K134" s="158"/>
      <c r="L134" s="158"/>
    </row>
    <row r="135" spans="4:33" ht="20.100000000000001" customHeight="1" x14ac:dyDescent="0.2">
      <c r="D135" s="194" t="str">
        <f>$D$147</f>
        <v>Ethanol</v>
      </c>
      <c r="E135" s="194" t="str">
        <f>$D$147</f>
        <v>Ethanol</v>
      </c>
      <c r="F135" s="193"/>
      <c r="G135" s="194" t="str">
        <f>$D$147</f>
        <v>Ethanol</v>
      </c>
      <c r="H135" s="194"/>
      <c r="I135" s="194"/>
      <c r="J135" s="158"/>
      <c r="K135" s="158"/>
      <c r="L135" s="158"/>
    </row>
    <row r="136" spans="4:33" ht="20.100000000000001" customHeight="1" x14ac:dyDescent="0.2">
      <c r="D136" s="194" t="str">
        <f>$D$148</f>
        <v>Other biofuels</v>
      </c>
      <c r="E136" s="194" t="str">
        <f>$D$148</f>
        <v>Other biofuels</v>
      </c>
      <c r="F136" s="193"/>
      <c r="G136" s="194" t="str">
        <f>$D$146</f>
        <v>Biodiesel</v>
      </c>
      <c r="H136" s="194"/>
      <c r="I136" s="194"/>
      <c r="J136" s="158"/>
      <c r="K136" s="158"/>
      <c r="L136" s="158"/>
    </row>
    <row r="137" spans="4:33" ht="20.100000000000001" customHeight="1" x14ac:dyDescent="0.2">
      <c r="D137" s="194" t="str">
        <f>$D$149</f>
        <v>Renewable diesel</v>
      </c>
      <c r="E137" s="194" t="str">
        <f>$D$149</f>
        <v>Renewable diesel</v>
      </c>
      <c r="F137" s="193"/>
      <c r="G137" s="194" t="str">
        <f>$D$149</f>
        <v>Renewable diesel</v>
      </c>
      <c r="H137" s="194"/>
      <c r="I137" s="194"/>
      <c r="J137" s="158"/>
      <c r="K137" s="158"/>
      <c r="L137" s="158"/>
    </row>
    <row r="138" spans="4:33" ht="20.100000000000001" customHeight="1" x14ac:dyDescent="0.2">
      <c r="D138" s="193"/>
      <c r="E138" s="195" t="str">
        <f>$D$161</f>
        <v>Natural gas (via pipeline) in GJ</v>
      </c>
      <c r="F138" s="195"/>
      <c r="G138" s="194" t="str">
        <f>$D$148</f>
        <v>Other biofuels</v>
      </c>
      <c r="H138" s="194"/>
      <c r="I138" s="194"/>
      <c r="J138" s="158"/>
      <c r="K138" s="158"/>
      <c r="L138" s="158"/>
    </row>
    <row r="139" spans="4:33" ht="20.100000000000001" customHeight="1" x14ac:dyDescent="0.2">
      <c r="D139" s="195"/>
      <c r="E139" s="195" t="str">
        <f>$D$162</f>
        <v>Town gas in GJ</v>
      </c>
      <c r="F139" s="195"/>
      <c r="G139" s="195"/>
      <c r="H139" s="195"/>
      <c r="I139" s="195"/>
      <c r="J139" s="158"/>
      <c r="K139" s="158"/>
      <c r="L139" s="158"/>
    </row>
    <row r="140" spans="4:33" ht="20.100000000000001" customHeight="1" x14ac:dyDescent="0.2">
      <c r="D140" s="158"/>
      <c r="E140" s="158"/>
      <c r="F140" s="158"/>
      <c r="G140" s="158"/>
      <c r="H140" s="158"/>
      <c r="I140" s="158"/>
      <c r="J140" s="158"/>
      <c r="K140" s="158"/>
      <c r="L140" s="158"/>
    </row>
    <row r="141" spans="4:33" ht="20.100000000000001" customHeight="1" x14ac:dyDescent="0.2">
      <c r="D141" s="158"/>
      <c r="E141" s="158"/>
      <c r="F141" s="158"/>
      <c r="G141" s="158"/>
      <c r="H141" s="158"/>
      <c r="I141" s="158"/>
      <c r="J141" s="158"/>
      <c r="K141" s="158"/>
      <c r="L141" s="158"/>
    </row>
    <row r="142" spans="4:33" ht="20.100000000000001" customHeight="1" x14ac:dyDescent="0.2">
      <c r="D142" t="s">
        <v>648</v>
      </c>
      <c r="E142" t="s">
        <v>118</v>
      </c>
      <c r="F142" t="s">
        <v>649</v>
      </c>
      <c r="G142" s="158"/>
      <c r="H142" s="158"/>
      <c r="I142" s="158"/>
      <c r="J142" s="158"/>
      <c r="K142" s="158"/>
      <c r="L142" s="158"/>
      <c r="M142" s="158"/>
      <c r="AG142" s="1"/>
    </row>
    <row r="143" spans="4:33" ht="20.100000000000001" customHeight="1" x14ac:dyDescent="0.2">
      <c r="D143" s="194" t="s">
        <v>589</v>
      </c>
      <c r="E143" t="s">
        <v>650</v>
      </c>
      <c r="F143" t="s">
        <v>651</v>
      </c>
      <c r="G143" s="158"/>
      <c r="H143" s="158"/>
      <c r="I143" s="158"/>
      <c r="J143" s="158"/>
      <c r="K143" s="158"/>
      <c r="L143" s="158"/>
      <c r="M143" s="158"/>
      <c r="AG143" s="1"/>
    </row>
    <row r="144" spans="4:33" ht="20.100000000000001" customHeight="1" x14ac:dyDescent="0.2">
      <c r="D144" s="194" t="s">
        <v>591</v>
      </c>
      <c r="E144" t="s">
        <v>650</v>
      </c>
      <c r="F144" t="s">
        <v>651</v>
      </c>
      <c r="G144" s="158"/>
      <c r="H144" s="158"/>
      <c r="I144" s="158"/>
      <c r="J144" s="158"/>
      <c r="K144" s="158"/>
      <c r="L144" s="158"/>
      <c r="M144" s="158"/>
      <c r="AG144" s="1"/>
    </row>
    <row r="145" spans="1:33" ht="20.100000000000001" customHeight="1" x14ac:dyDescent="0.2">
      <c r="D145" s="194" t="s">
        <v>652</v>
      </c>
      <c r="E145" t="s">
        <v>650</v>
      </c>
      <c r="F145" t="s">
        <v>651</v>
      </c>
      <c r="G145" s="158"/>
      <c r="H145" s="158"/>
      <c r="I145" s="158"/>
      <c r="J145" s="158"/>
      <c r="K145" s="158"/>
      <c r="L145" s="158"/>
      <c r="M145" s="158"/>
      <c r="AG145" s="1"/>
    </row>
    <row r="146" spans="1:33" ht="20.100000000000001" customHeight="1" x14ac:dyDescent="0.2">
      <c r="D146" s="194" t="s">
        <v>653</v>
      </c>
      <c r="E146" t="s">
        <v>650</v>
      </c>
      <c r="F146" t="s">
        <v>651</v>
      </c>
      <c r="G146" s="158"/>
      <c r="H146" s="158"/>
      <c r="I146" s="158"/>
      <c r="J146" s="158"/>
      <c r="K146" s="158"/>
      <c r="L146" s="158"/>
      <c r="M146" s="158"/>
      <c r="AG146" s="1"/>
    </row>
    <row r="147" spans="1:33" ht="20.100000000000001" customHeight="1" x14ac:dyDescent="0.2">
      <c r="D147" s="194" t="s">
        <v>654</v>
      </c>
      <c r="E147" t="s">
        <v>650</v>
      </c>
      <c r="F147" t="s">
        <v>651</v>
      </c>
      <c r="G147" s="158"/>
      <c r="H147" s="158"/>
      <c r="I147" s="158"/>
      <c r="J147" s="158"/>
      <c r="K147" s="158"/>
      <c r="L147" s="158"/>
      <c r="M147" s="158"/>
      <c r="AG147" s="1"/>
    </row>
    <row r="148" spans="1:33" ht="20.100000000000001" customHeight="1" x14ac:dyDescent="0.2">
      <c r="D148" s="194" t="s">
        <v>655</v>
      </c>
      <c r="E148" t="s">
        <v>650</v>
      </c>
      <c r="F148" t="s">
        <v>651</v>
      </c>
      <c r="G148" s="158"/>
      <c r="H148" s="158"/>
      <c r="I148" s="158"/>
      <c r="J148" s="158"/>
      <c r="K148" s="158"/>
      <c r="L148" s="158"/>
      <c r="M148" s="158"/>
      <c r="AG148" s="1"/>
    </row>
    <row r="149" spans="1:33" ht="20.100000000000001" customHeight="1" x14ac:dyDescent="0.2">
      <c r="D149" s="194" t="s">
        <v>656</v>
      </c>
      <c r="E149" t="s">
        <v>650</v>
      </c>
      <c r="F149" t="s">
        <v>651</v>
      </c>
      <c r="G149" s="158"/>
      <c r="H149" s="158"/>
      <c r="I149" s="158"/>
      <c r="J149" s="158"/>
      <c r="K149" s="158"/>
      <c r="L149" s="158"/>
      <c r="M149" s="158"/>
      <c r="AG149" s="1"/>
    </row>
    <row r="150" spans="1:33" ht="20.100000000000001" customHeight="1" x14ac:dyDescent="0.2">
      <c r="D150" s="194" t="s">
        <v>657</v>
      </c>
      <c r="E150" t="s">
        <v>650</v>
      </c>
      <c r="F150" t="s">
        <v>651</v>
      </c>
      <c r="G150" s="158"/>
      <c r="H150" s="158"/>
      <c r="I150" s="158"/>
      <c r="J150" s="158"/>
      <c r="K150" s="158"/>
      <c r="L150" s="158"/>
      <c r="M150" s="158"/>
      <c r="AG150" s="1"/>
    </row>
    <row r="151" spans="1:33" ht="20.100000000000001" customHeight="1" x14ac:dyDescent="0.2">
      <c r="D151" s="194" t="s">
        <v>658</v>
      </c>
      <c r="E151" t="s">
        <v>650</v>
      </c>
      <c r="F151" t="s">
        <v>651</v>
      </c>
      <c r="G151" s="158"/>
      <c r="H151" s="158"/>
      <c r="I151" s="158"/>
      <c r="J151" s="158"/>
      <c r="K151" s="158"/>
      <c r="L151" s="158"/>
      <c r="M151" s="158"/>
      <c r="AG151" s="1"/>
    </row>
    <row r="152" spans="1:33" ht="20.100000000000001" customHeight="1" x14ac:dyDescent="0.2">
      <c r="D152" s="196" t="s">
        <v>659</v>
      </c>
      <c r="E152" s="8" t="s">
        <v>650</v>
      </c>
      <c r="F152" t="s">
        <v>651</v>
      </c>
      <c r="G152" s="158"/>
      <c r="H152" s="158"/>
      <c r="I152" s="158"/>
      <c r="J152" s="158"/>
      <c r="K152" s="158"/>
      <c r="L152" s="158"/>
      <c r="M152" s="158"/>
      <c r="AG152" s="1"/>
    </row>
    <row r="153" spans="1:33" ht="20.100000000000001" customHeight="1" x14ac:dyDescent="0.2">
      <c r="D153" s="196" t="s">
        <v>660</v>
      </c>
      <c r="E153" s="8" t="s">
        <v>650</v>
      </c>
      <c r="F153" t="s">
        <v>651</v>
      </c>
      <c r="G153" s="158"/>
      <c r="H153" s="158"/>
      <c r="I153" s="158"/>
      <c r="J153" s="158"/>
      <c r="K153" s="158"/>
      <c r="L153" s="158"/>
      <c r="M153" s="158"/>
      <c r="AG153" s="1"/>
    </row>
    <row r="154" spans="1:33" ht="20.100000000000001" customHeight="1" x14ac:dyDescent="0.2">
      <c r="D154" s="196" t="s">
        <v>661</v>
      </c>
      <c r="E154" s="8" t="s">
        <v>650</v>
      </c>
      <c r="F154" t="s">
        <v>651</v>
      </c>
      <c r="G154" s="158"/>
      <c r="H154" s="158"/>
      <c r="I154" s="158"/>
      <c r="J154" s="158"/>
      <c r="K154" s="158"/>
      <c r="L154" s="158"/>
      <c r="M154" s="158"/>
      <c r="AG154" s="1"/>
    </row>
    <row r="155" spans="1:33" ht="20.100000000000001" customHeight="1" x14ac:dyDescent="0.2">
      <c r="D155" s="196" t="s">
        <v>662</v>
      </c>
      <c r="E155" s="8" t="s">
        <v>650</v>
      </c>
      <c r="F155" t="s">
        <v>651</v>
      </c>
      <c r="G155" s="158"/>
      <c r="H155" s="158"/>
      <c r="I155" s="158"/>
      <c r="J155" s="158"/>
      <c r="K155" s="158"/>
      <c r="L155" s="158"/>
      <c r="M155" s="158"/>
      <c r="AG155" s="1"/>
    </row>
    <row r="156" spans="1:33" ht="20.100000000000001" customHeight="1" x14ac:dyDescent="0.2">
      <c r="D156" s="196" t="s">
        <v>663</v>
      </c>
      <c r="E156" s="8" t="s">
        <v>650</v>
      </c>
      <c r="F156" t="s">
        <v>651</v>
      </c>
      <c r="G156" s="158"/>
      <c r="H156" s="158"/>
      <c r="I156" s="158"/>
      <c r="J156" s="158"/>
      <c r="K156" s="158"/>
      <c r="L156" s="158"/>
      <c r="M156" s="158"/>
      <c r="AG156" s="1"/>
    </row>
    <row r="157" spans="1:33" ht="20.100000000000001" customHeight="1" x14ac:dyDescent="0.2">
      <c r="A157" s="131" t="str">
        <f>HYPERLINK("#A1", "▲ Back to top")</f>
        <v>▲ Back to top</v>
      </c>
      <c r="D157" s="196" t="s">
        <v>664</v>
      </c>
      <c r="E157" s="8" t="s">
        <v>650</v>
      </c>
      <c r="F157" t="s">
        <v>651</v>
      </c>
      <c r="G157" s="158"/>
      <c r="H157" s="158"/>
      <c r="I157" s="158"/>
      <c r="J157" s="158"/>
      <c r="K157" s="158"/>
      <c r="L157" s="158"/>
      <c r="M157" s="158"/>
      <c r="AG157" s="1"/>
    </row>
    <row r="158" spans="1:33" ht="20.100000000000001" customHeight="1" x14ac:dyDescent="0.2">
      <c r="D158" s="196" t="s">
        <v>665</v>
      </c>
      <c r="E158" s="8" t="s">
        <v>650</v>
      </c>
      <c r="F158" t="s">
        <v>651</v>
      </c>
      <c r="G158" s="158"/>
      <c r="H158" s="158"/>
      <c r="I158" s="158"/>
      <c r="J158" s="158"/>
      <c r="K158" s="158"/>
      <c r="L158" s="158"/>
      <c r="M158" s="158"/>
      <c r="AG158" s="1"/>
    </row>
    <row r="159" spans="1:33" ht="20.100000000000001" customHeight="1" x14ac:dyDescent="0.2">
      <c r="D159" s="196" t="s">
        <v>666</v>
      </c>
      <c r="E159" s="8" t="s">
        <v>650</v>
      </c>
      <c r="F159" t="s">
        <v>651</v>
      </c>
      <c r="G159" s="158"/>
      <c r="H159" s="158"/>
      <c r="I159" s="158"/>
      <c r="J159" s="158"/>
      <c r="K159" s="158"/>
      <c r="L159" s="158"/>
      <c r="M159" s="158"/>
      <c r="AG159" s="1"/>
    </row>
    <row r="160" spans="1:33" ht="20.100000000000001" customHeight="1" x14ac:dyDescent="0.2">
      <c r="D160" s="196" t="s">
        <v>594</v>
      </c>
      <c r="E160" s="8" t="s">
        <v>650</v>
      </c>
      <c r="F160" t="s">
        <v>651</v>
      </c>
      <c r="G160" s="158"/>
      <c r="H160" s="158"/>
      <c r="I160" s="158"/>
      <c r="J160" s="158"/>
      <c r="K160" s="158"/>
      <c r="L160" s="158"/>
      <c r="M160" s="158"/>
      <c r="AG160" s="1"/>
    </row>
    <row r="161" spans="4:33" ht="20.100000000000001" customHeight="1" x14ac:dyDescent="0.2">
      <c r="D161" s="195" t="s">
        <v>667</v>
      </c>
      <c r="E161" s="158" t="s">
        <v>668</v>
      </c>
      <c r="F161" s="158" t="s">
        <v>668</v>
      </c>
      <c r="G161" s="158"/>
      <c r="H161" s="158"/>
      <c r="I161" s="158"/>
      <c r="J161" s="158"/>
      <c r="K161" s="158"/>
      <c r="L161" s="158"/>
      <c r="M161" s="158"/>
      <c r="AG161" s="1"/>
    </row>
    <row r="162" spans="4:33" ht="20.100000000000001" customHeight="1" x14ac:dyDescent="0.2">
      <c r="D162" s="158" t="s">
        <v>588</v>
      </c>
      <c r="E162" s="158" t="s">
        <v>668</v>
      </c>
      <c r="F162" s="158" t="s">
        <v>668</v>
      </c>
      <c r="G162" s="158"/>
      <c r="H162" s="158"/>
      <c r="I162" s="158"/>
      <c r="J162" s="158"/>
      <c r="K162" s="158"/>
      <c r="L162" s="158"/>
      <c r="M162" s="158"/>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1BC85-8477-4011-A829-726EC079A523}">
  <sheetPr>
    <tabColor theme="2" tint="-0.499984740745262"/>
  </sheetPr>
  <dimension ref="A1:R247"/>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Swine'!A1", "Swine")</f>
        <v>Swine</v>
      </c>
    </row>
    <row r="12" spans="1:17" ht="20.100000000000001" customHeight="1" x14ac:dyDescent="0.2">
      <c r="A12" s="5" t="str">
        <f>HYPERLINK("#'Input - Livestock sales'!A1", "Livestock sales")</f>
        <v>Livestock sales</v>
      </c>
    </row>
    <row r="13" spans="1:17" ht="20.100000000000001" customHeight="1" x14ac:dyDescent="0.2">
      <c r="A13" s="5" t="str">
        <f>HYPERLINK("#'Input - Pig purchases'!A1", "Pig purchases")</f>
        <v>Pig purchases</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Livestock farm Inputs'!A1", "Livestock farm Inputs")</f>
        <v>Livestock farm Inputs</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Manure sent off-site'!A1", "Manure sent off-site")</f>
        <v>Manure sent off-site</v>
      </c>
    </row>
    <row r="21" spans="1:12" ht="20.100000000000001" customHeight="1" x14ac:dyDescent="0.2">
      <c r="A21" s="5" t="str">
        <f>HYPERLINK("#'Input - Data quality'!A1", "Data quality")</f>
        <v>Data quality</v>
      </c>
    </row>
    <row r="22" spans="1:12" ht="20.100000000000001" customHeight="1" x14ac:dyDescent="0.2">
      <c r="A22" s="5" t="str">
        <f>HYPERLINK("#'Input - Fert Prod System'!A1", "Fert Prod System")</f>
        <v>Fert Prod System</v>
      </c>
    </row>
    <row r="23" spans="1:12" ht="20.100000000000001" customHeight="1" x14ac:dyDescent="0.2">
      <c r="A23" s="5" t="str">
        <f>HYPERLINK("#'Input - Fertiliser'!A1", "Fertiliser")</f>
        <v>Fertiliser</v>
      </c>
    </row>
    <row r="26" spans="1:12" ht="20.100000000000001" customHeight="1" x14ac:dyDescent="0.2">
      <c r="A26" s="6" t="s">
        <v>2</v>
      </c>
    </row>
    <row r="27" spans="1:12" ht="20.100000000000001" customHeight="1" x14ac:dyDescent="0.2">
      <c r="A27" s="5" t="str">
        <f>HYPERLINK("#'3.5.1.1-2 Enteric Methane'!A1", "3.5.1.1-2 Enteric Methane")</f>
        <v>3.5.1.1-2 Enteric Methane</v>
      </c>
    </row>
    <row r="28" spans="1:12" ht="20.100000000000001" customHeight="1" x14ac:dyDescent="0.2">
      <c r="A28" s="5" t="str">
        <f>HYPERLINK("#'4.5.1.1-2 Methane'!A1", "4.5.1.1-2 Manure Methane")</f>
        <v>4.5.1.1-2 Manure Methane</v>
      </c>
    </row>
    <row r="29" spans="1:12" ht="20.100000000000001" customHeight="1" x14ac:dyDescent="0.2">
      <c r="A29" s="5" t="str">
        <f>HYPERLINK("#'4.5.1.3-4 Direct N2O'!A1", "4.5.1.3-4 Manure Direct N2O")</f>
        <v>4.5.1.3-4 Manure Direct N2O</v>
      </c>
    </row>
    <row r="30" spans="1:12" ht="20.100000000000001" customHeight="1" x14ac:dyDescent="0.2">
      <c r="A30" s="5" t="str">
        <f>HYPERLINK("#'4.5.1.5-6 Atmos Dep'!A1", "4.5.1.5-6 Manure Atmos Dep")</f>
        <v>4.5.1.5-6 Manure Atmos Dep</v>
      </c>
    </row>
    <row r="31" spans="1:12" ht="20.100000000000001" customHeight="1" x14ac:dyDescent="0.2">
      <c r="A31" s="5" t="str">
        <f>HYPERLINK("#'4.5.1.7-8 Leaching and runoff'!A1", "4.5.1.7-8 Manure Leaching and runoff")</f>
        <v>4.5.1.7-8 Manure Leaching and runoff</v>
      </c>
    </row>
    <row r="32" spans="1:12" ht="20.100000000000001" customHeight="1" x14ac:dyDescent="0.2">
      <c r="A32" s="5" t="str">
        <f>HYPERLINK("#'4.5.1.9 Manure applied to soils'!A1", "4.5.1.9 Manure applied to soils")</f>
        <v>4.5.1.9 Manure applied to soils</v>
      </c>
      <c r="D32" s="2" t="s">
        <v>1146</v>
      </c>
      <c r="L32" s="1" t="s">
        <v>1147</v>
      </c>
    </row>
    <row r="33" spans="1:13" ht="20.100000000000001" customHeight="1" x14ac:dyDescent="0.2">
      <c r="A33" s="5" t="str">
        <f>HYPERLINK("#'8.1.1.1-2 Transport fuel'!A1", "8.1.1.1-2 Transport fuel")</f>
        <v>8.1.1.1-2 Transport fuel</v>
      </c>
      <c r="D33" s="19" t="s">
        <v>1148</v>
      </c>
      <c r="E33" s="19" t="s">
        <v>132</v>
      </c>
      <c r="F33" s="19" t="s">
        <v>1149</v>
      </c>
      <c r="G33" s="19" t="s">
        <v>1150</v>
      </c>
      <c r="H33" s="19" t="s">
        <v>1151</v>
      </c>
      <c r="I33" s="19" t="s">
        <v>1152</v>
      </c>
      <c r="J33" s="19" t="s">
        <v>558</v>
      </c>
      <c r="L33" s="19" t="s">
        <v>1153</v>
      </c>
      <c r="M33" s="19" t="s">
        <v>1154</v>
      </c>
    </row>
    <row r="34" spans="1:13" ht="20.100000000000001" customHeight="1" x14ac:dyDescent="0.2">
      <c r="A34" s="5" t="str">
        <f>HYPERLINK("#'8.2.1.1-2 Stationary fuel'!A1", "8.2.1.1-2 Stationary fuel")</f>
        <v>8.2.1.1-2 Stationary fuel</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1155</v>
      </c>
      <c r="L34" s="19" t="s">
        <v>487</v>
      </c>
      <c r="M34" s="19" t="s">
        <v>486</v>
      </c>
    </row>
    <row r="35" spans="1:13" ht="20.100000000000001" customHeight="1" x14ac:dyDescent="0.2">
      <c r="A35" s="5" t="str">
        <f>HYPERLINK("#'10.1.1-2 Solid waste treatment'!A1", "10.1.1.1-2 Solid waste")</f>
        <v>10.1.1.1-2 Solid waste</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1155</v>
      </c>
      <c r="L35" s="19" t="s">
        <v>486</v>
      </c>
      <c r="M35" s="19" t="s">
        <v>486</v>
      </c>
    </row>
    <row r="36" spans="1:13" ht="20.100000000000001" customHeight="1" x14ac:dyDescent="0.2">
      <c r="A36" s="5" t="str">
        <f>HYPERLINK("#'14.1.1-2 Purchased electricity'!A1", "14.1.1-2 Purchased electricity")</f>
        <v>14.1.1-2 Purchased electricity</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1155</v>
      </c>
      <c r="L36" s="19" t="s">
        <v>490</v>
      </c>
      <c r="M36" s="19" t="s">
        <v>490</v>
      </c>
    </row>
    <row r="37" spans="1:13" ht="20.100000000000001" customHeight="1" x14ac:dyDescent="0.2">
      <c r="A37" s="5" t="str">
        <f>HYPERLINK("#'15 Scope 3'!A1", "15 Scope 3")</f>
        <v>15 Scope 3</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1155</v>
      </c>
      <c r="L37" s="19" t="s">
        <v>491</v>
      </c>
      <c r="M37" s="19" t="s">
        <v>491</v>
      </c>
    </row>
    <row r="38" spans="1:13" ht="20.100000000000001" customHeight="1" x14ac:dyDescent="0.2">
      <c r="A38" s="5" t="str">
        <f>HYPERLINK("#'Calcs - Manure sent off-site'!A1", "Calcs - Manure sent off-site")</f>
        <v>Calcs - Manure sent off-site</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1155</v>
      </c>
      <c r="L38" s="19" t="s">
        <v>492</v>
      </c>
      <c r="M38" s="19" t="s">
        <v>492</v>
      </c>
    </row>
    <row r="39" spans="1:13" ht="20.100000000000001" customHeight="1" x14ac:dyDescent="0.2">
      <c r="A39" s="5" t="str">
        <f>HYPERLINK("#'5.1.1.1-2 Inorganic fert N2O'!A1", "5.1.1.1-2 Inorganic fert N2O")</f>
        <v>5.1.1.1-2 Inorganic fert N2O</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1155</v>
      </c>
      <c r="L39" s="19" t="s">
        <v>1156</v>
      </c>
      <c r="M39" s="19" t="s">
        <v>493</v>
      </c>
    </row>
    <row r="40" spans="1:13" ht="20.100000000000001" customHeight="1" x14ac:dyDescent="0.2">
      <c r="A40" s="5" t="str">
        <f>HYPERLINK("#'5.1.1.3-4 Inorganic fert CO2'!A1", "5.1.1.3-4 Inorganic fert CO2")</f>
        <v>5.1.1.3-4 Inorganic fert CO2</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1155</v>
      </c>
      <c r="L40" s="19" t="s">
        <v>1157</v>
      </c>
      <c r="M40" s="19" t="s">
        <v>493</v>
      </c>
    </row>
    <row r="41" spans="1:13" ht="20.100000000000001" customHeight="1" x14ac:dyDescent="0.2">
      <c r="A41" s="5" t="str">
        <f>HYPERLINK("#'5.2.1.1-2 Organic Fert N2O'!A1", "5.2.1.1-2 Organic Fert N2O")</f>
        <v>5.2.1.1-2 Organic Fert N2O</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1155</v>
      </c>
      <c r="L41" s="19" t="s">
        <v>1158</v>
      </c>
      <c r="M41" s="19" t="s">
        <v>493</v>
      </c>
    </row>
    <row r="42" spans="1:13" ht="20.100000000000001" customHeight="1" x14ac:dyDescent="0.2">
      <c r="A42" s="5" t="str">
        <f>HYPERLINK("#'5.3.1.1-2 Lime CO2'!A1", "5.3.1.1-2 Lime CO2")</f>
        <v>5.3.1.1-2 Lime CO2</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1155</v>
      </c>
      <c r="L42" s="19" t="s">
        <v>1159</v>
      </c>
      <c r="M42" s="19" t="s">
        <v>489</v>
      </c>
    </row>
    <row r="43" spans="1:13" ht="20.100000000000001" customHeight="1" x14ac:dyDescent="0.2">
      <c r="A43" s="5" t="str">
        <f>HYPERLINK("#'5.4.1.1-4 Atmos deposition'!A1", "5.4.1.1-4 Atmos deposition")</f>
        <v>5.4.1.1-4 Atmos deposition</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1155</v>
      </c>
      <c r="L43" s="19" t="s">
        <v>1160</v>
      </c>
      <c r="M43" s="19" t="s">
        <v>489</v>
      </c>
    </row>
    <row r="44" spans="1:13" ht="20.100000000000001" customHeight="1" x14ac:dyDescent="0.2">
      <c r="A44" s="5" t="str">
        <f>HYPERLINK("#'5.5.1.1-2 Leaching and runoff'!A1", "5.5.1.1-2 Leaching and runoff")</f>
        <v>5.5.1.1-2 Leaching and runoff</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1155</v>
      </c>
      <c r="L44" s="19" t="s">
        <v>1161</v>
      </c>
      <c r="M44" s="19" t="s">
        <v>489</v>
      </c>
    </row>
    <row r="45" spans="1:13" ht="20.100000000000001" customHeight="1" x14ac:dyDescent="0.2">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1155</v>
      </c>
      <c r="L45" s="19" t="s">
        <v>1162</v>
      </c>
      <c r="M45" s="19" t="s">
        <v>488</v>
      </c>
    </row>
    <row r="46" spans="1:13" ht="20.100000000000001" customHeight="1" x14ac:dyDescent="0.2">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1155</v>
      </c>
      <c r="L46" s="19" t="s">
        <v>1163</v>
      </c>
      <c r="M46" s="19" t="s">
        <v>488</v>
      </c>
    </row>
    <row r="47" spans="1:13" ht="20.100000000000001" customHeight="1" x14ac:dyDescent="0.2">
      <c r="A47" s="79" t="s">
        <v>1</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1155</v>
      </c>
      <c r="L47" s="19" t="s">
        <v>1164</v>
      </c>
      <c r="M47" s="19" t="s">
        <v>488</v>
      </c>
    </row>
    <row r="48" spans="1:13" ht="20.100000000000001" customHeight="1" x14ac:dyDescent="0.2">
      <c r="A48" s="5" t="str">
        <f>HYPERLINK("#'Constants - Swine'!A1", "Constants - Swine")</f>
        <v>Constants - Swine</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1155</v>
      </c>
      <c r="L48" s="19" t="s">
        <v>1165</v>
      </c>
      <c r="M48" s="19" t="s">
        <v>488</v>
      </c>
    </row>
    <row r="49" spans="1:13" ht="20.100000000000001" customHeight="1" x14ac:dyDescent="0.2">
      <c r="A49" s="5" t="str">
        <f>HYPERLINK("#'Constants - Common livestock'!A1", "Constants - Common Livestock")</f>
        <v>Constants - Common Livestock</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1155</v>
      </c>
      <c r="L49" s="1" t="s">
        <v>975</v>
      </c>
      <c r="M49" s="1" t="s">
        <v>975</v>
      </c>
    </row>
    <row r="50" spans="1:13" ht="20.100000000000001" customHeight="1" x14ac:dyDescent="0.2">
      <c r="A50" s="5" t="str">
        <f>HYPERLINK("#'Constants - Electricity'!A1", "Constants - Electricity")</f>
        <v>Constants - Electricity</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1155</v>
      </c>
    </row>
    <row r="51" spans="1:13" ht="20.100000000000001" customHeight="1" x14ac:dyDescent="0.2">
      <c r="A51" s="5" t="str">
        <f>HYPERLINK("#'Constants - Fertiliser'!A1", "Constants - Fertiliser")</f>
        <v>Constants - Fertiliser</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1155</v>
      </c>
    </row>
    <row r="52" spans="1:13" ht="20.100000000000001" customHeight="1" x14ac:dyDescent="0.2">
      <c r="A52" s="5" t="str">
        <f>HYPERLINK("#'Constants - Fuel'!A1", "Constants - Fuel")</f>
        <v>Constants - Fuel</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1155</v>
      </c>
    </row>
    <row r="53" spans="1:13" ht="20.100000000000001" customHeight="1" x14ac:dyDescent="0.2">
      <c r="A53" s="80" t="str">
        <f>HYPERLINK("#'Constants - Scope 3'!A1", "Constants - Scope 3")</f>
        <v>Constants -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1155</v>
      </c>
    </row>
    <row r="54" spans="1:13" ht="20.100000000000001" customHeight="1" x14ac:dyDescent="0.2">
      <c r="A54" s="5" t="str">
        <f>HYPERLINK("#'Constants - Solid Waste'!A1", "Constants - Solid Waste")</f>
        <v>Constants - Solid Waste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1155</v>
      </c>
    </row>
    <row r="55" spans="1:13" ht="20.100000000000001" customHeight="1" x14ac:dyDescent="0.2">
      <c r="A55" s="5" t="str">
        <f>HYPERLINK("#'Constants - Common'!A1", "Constants - Common")</f>
        <v>Constants - Common</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1155</v>
      </c>
    </row>
    <row r="56" spans="1:13" ht="20.100000000000001" customHeight="1" x14ac:dyDescent="0.2">
      <c r="A56" s="5" t="str">
        <f>HYPERLINK("#'Acknowledgements'!A1", "Acknowledgements")</f>
        <v>Acknowledgements</v>
      </c>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1155</v>
      </c>
    </row>
    <row r="57" spans="1:13" ht="20.100000000000001" customHeight="1" x14ac:dyDescent="0.2">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1155</v>
      </c>
    </row>
    <row r="58" spans="1:13" ht="20.100000000000001" customHeight="1" x14ac:dyDescent="0.2">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1155</v>
      </c>
    </row>
    <row r="59" spans="1:13" ht="20.100000000000001" customHeight="1" x14ac:dyDescent="0.2">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1155</v>
      </c>
    </row>
    <row r="60" spans="1:13" ht="20.100000000000001" customHeight="1" x14ac:dyDescent="0.2">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1155</v>
      </c>
    </row>
    <row r="61" spans="1:13" ht="20.100000000000001" customHeight="1" x14ac:dyDescent="0.2">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1155</v>
      </c>
    </row>
    <row r="62" spans="1:13" ht="20.100000000000001" customHeight="1" x14ac:dyDescent="0.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1155</v>
      </c>
    </row>
    <row r="63" spans="1:13" ht="20.100000000000001" customHeight="1" x14ac:dyDescent="0.2">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1155</v>
      </c>
    </row>
    <row r="64" spans="1:13" ht="20.100000000000001" customHeight="1" x14ac:dyDescent="0.2">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1155</v>
      </c>
    </row>
    <row r="65" spans="1:10" ht="20.100000000000001" customHeight="1" x14ac:dyDescent="0.2">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1155</v>
      </c>
    </row>
    <row r="66" spans="1:10" ht="20.100000000000001" customHeight="1" x14ac:dyDescent="0.2">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1155</v>
      </c>
    </row>
    <row r="67" spans="1:10" ht="20.100000000000001" customHeight="1" x14ac:dyDescent="0.2">
      <c r="A67" s="131" t="str">
        <f>HYPERLINK("#A1", "▲ Back to top")</f>
        <v>▲ Back to top</v>
      </c>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1155</v>
      </c>
    </row>
    <row r="68" spans="1:10" ht="20.100000000000001" customHeight="1" x14ac:dyDescent="0.2">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1155</v>
      </c>
    </row>
    <row r="69" spans="1:10" ht="20.100000000000001" customHeight="1" x14ac:dyDescent="0.2">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1155</v>
      </c>
    </row>
    <row r="70" spans="1:10" ht="20.100000000000001" customHeight="1" x14ac:dyDescent="0.2">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1155</v>
      </c>
    </row>
    <row r="71" spans="1:10" ht="20.100000000000001" customHeight="1" x14ac:dyDescent="0.2">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1155</v>
      </c>
    </row>
    <row r="72" spans="1:10" ht="20.100000000000001" customHeight="1" x14ac:dyDescent="0.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1155</v>
      </c>
    </row>
    <row r="73" spans="1:10" ht="20.100000000000001" customHeight="1" x14ac:dyDescent="0.2">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1155</v>
      </c>
    </row>
    <row r="74" spans="1:10" ht="20.100000000000001" customHeight="1" x14ac:dyDescent="0.2">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1155</v>
      </c>
    </row>
    <row r="76" spans="1:10" ht="20.100000000000001" customHeight="1" x14ac:dyDescent="0.2">
      <c r="D76" s="2" t="s">
        <v>1166</v>
      </c>
    </row>
    <row r="77" spans="1:10" ht="20.100000000000001" customHeight="1" x14ac:dyDescent="0.2">
      <c r="D77" s="19" t="s">
        <v>1148</v>
      </c>
      <c r="E77" s="19" t="s">
        <v>132</v>
      </c>
      <c r="F77" s="19" t="s">
        <v>1149</v>
      </c>
      <c r="G77" s="19" t="s">
        <v>1150</v>
      </c>
      <c r="H77" s="19" t="s">
        <v>1151</v>
      </c>
      <c r="I77" s="19" t="s">
        <v>1152</v>
      </c>
      <c r="J77" s="19" t="s">
        <v>558</v>
      </c>
    </row>
    <row r="78" spans="1:10" ht="20.100000000000001" customHeight="1" x14ac:dyDescent="0.2">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1155</v>
      </c>
    </row>
    <row r="79" spans="1:10" ht="20.100000000000001" customHeight="1" x14ac:dyDescent="0.2">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1155</v>
      </c>
    </row>
    <row r="80" spans="1:10" ht="20.100000000000001" customHeight="1" x14ac:dyDescent="0.2">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1155</v>
      </c>
    </row>
    <row r="82" spans="4:17" ht="20.100000000000001" customHeight="1" x14ac:dyDescent="0.2">
      <c r="D82" s="19" t="s">
        <v>1148</v>
      </c>
      <c r="E82" s="19" t="s">
        <v>132</v>
      </c>
      <c r="F82" s="19" t="s">
        <v>1149</v>
      </c>
      <c r="G82" s="19" t="s">
        <v>1150</v>
      </c>
      <c r="H82" s="19" t="s">
        <v>1151</v>
      </c>
      <c r="I82" s="19" t="s">
        <v>1152</v>
      </c>
      <c r="J82" s="19" t="s">
        <v>558</v>
      </c>
    </row>
    <row r="83" spans="4:17" ht="20.100000000000001" customHeight="1" x14ac:dyDescent="0.2">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1155</v>
      </c>
    </row>
    <row r="84" spans="4:17" ht="20.100000000000001" customHeight="1" x14ac:dyDescent="0.2">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1155</v>
      </c>
    </row>
    <row r="85" spans="4:17" ht="20.100000000000001" customHeight="1" x14ac:dyDescent="0.2">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1155</v>
      </c>
    </row>
    <row r="86" spans="4:17" ht="20.100000000000001" customHeight="1" x14ac:dyDescent="0.2">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1155</v>
      </c>
    </row>
    <row r="88" spans="4:17" ht="20.100000000000001" customHeight="1" x14ac:dyDescent="0.2">
      <c r="D88" s="2" t="s">
        <v>959</v>
      </c>
    </row>
    <row r="89" spans="4:17" ht="20.100000000000001" customHeight="1" x14ac:dyDescent="0.2">
      <c r="D89" s="19" t="s">
        <v>1148</v>
      </c>
      <c r="E89" s="19" t="s">
        <v>132</v>
      </c>
      <c r="F89" s="19" t="s">
        <v>1149</v>
      </c>
      <c r="G89" s="19" t="s">
        <v>1150</v>
      </c>
      <c r="H89" s="19" t="s">
        <v>1151</v>
      </c>
      <c r="I89" s="19" t="s">
        <v>1152</v>
      </c>
      <c r="J89" s="19" t="s">
        <v>558</v>
      </c>
      <c r="O89" s="19" t="s">
        <v>132</v>
      </c>
      <c r="P89" s="19" t="s">
        <v>1153</v>
      </c>
      <c r="Q89" s="1" t="str">
        <f>"Table_ProductRegions_" &amp; SUBSTITUTE(SUBSTITUTE(SUBSTITUTE(SUBSTITUTE(O90, " ", ""), ",", ""), "(", ""), ")", "")</f>
        <v>Table_ProductRegions_Barleygrain</v>
      </c>
    </row>
    <row r="90" spans="4:17" ht="20.100000000000001" customHeight="1" x14ac:dyDescent="0.2">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1155</v>
      </c>
      <c r="O90" s="19" t="str">
        <f>Table_SourceData_Scope3_Feed[[#This Row],[Product]]</f>
        <v>Barley grain</v>
      </c>
      <c r="P90" s="19" t="str">
        <f>Table_SourceData_Scope3_Feed[[#This Row],[Region of origin]]</f>
        <v>Australia</v>
      </c>
    </row>
    <row r="91" spans="4:17" ht="20.100000000000001" customHeight="1" x14ac:dyDescent="0.2">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1155</v>
      </c>
      <c r="O91" s="19" t="str">
        <f>Table_SourceData_Scope3_Feed[[#This Row],[Product]]</f>
        <v>Barley grain</v>
      </c>
      <c r="P91" s="19" t="str">
        <f>Table_SourceData_Scope3_Feed[[#This Row],[Region of origin]]</f>
        <v>NSW</v>
      </c>
    </row>
    <row r="92" spans="4:17" ht="20.100000000000001" customHeight="1" x14ac:dyDescent="0.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1155</v>
      </c>
      <c r="O92" s="19" t="str">
        <f>Table_SourceData_Scope3_Feed[[#This Row],[Product]]</f>
        <v>Barley grain</v>
      </c>
      <c r="P92" s="19" t="str">
        <f>Table_SourceData_Scope3_Feed[[#This Row],[Region of origin]]</f>
        <v>NT</v>
      </c>
    </row>
    <row r="93" spans="4:17" ht="20.100000000000001" customHeight="1" x14ac:dyDescent="0.2">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1155</v>
      </c>
      <c r="O93" s="19" t="str">
        <f>Table_SourceData_Scope3_Feed[[#This Row],[Product]]</f>
        <v>Barley grain</v>
      </c>
      <c r="P93" s="19" t="str">
        <f>Table_SourceData_Scope3_Feed[[#This Row],[Region of origin]]</f>
        <v>QLD</v>
      </c>
    </row>
    <row r="94" spans="4:17" ht="20.100000000000001" customHeight="1" x14ac:dyDescent="0.2">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1155</v>
      </c>
      <c r="O94" s="19" t="str">
        <f>Table_SourceData_Scope3_Feed[[#This Row],[Product]]</f>
        <v>Barley grain</v>
      </c>
      <c r="P94" s="19" t="str">
        <f>Table_SourceData_Scope3_Feed[[#This Row],[Region of origin]]</f>
        <v>SA</v>
      </c>
    </row>
    <row r="95" spans="4:17" ht="20.100000000000001" customHeight="1" x14ac:dyDescent="0.2">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1155</v>
      </c>
      <c r="O95" s="19" t="str">
        <f>Table_SourceData_Scope3_Feed[[#This Row],[Product]]</f>
        <v>Barley grain</v>
      </c>
      <c r="P95" s="19" t="str">
        <f>Table_SourceData_Scope3_Feed[[#This Row],[Region of origin]]</f>
        <v>TAS</v>
      </c>
    </row>
    <row r="96" spans="4:17" ht="20.100000000000001" customHeight="1" x14ac:dyDescent="0.2">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1155</v>
      </c>
      <c r="O96" s="19" t="str">
        <f>Table_SourceData_Scope3_Feed[[#This Row],[Product]]</f>
        <v>Barley grain</v>
      </c>
      <c r="P96" s="19" t="str">
        <f>Table_SourceData_Scope3_Feed[[#This Row],[Region of origin]]</f>
        <v>VIC</v>
      </c>
    </row>
    <row r="97" spans="1:17" ht="20.100000000000001" customHeight="1" x14ac:dyDescent="0.2">
      <c r="A97" s="131" t="str">
        <f>HYPERLINK("#A1", "▲ Back to top")</f>
        <v>▲ Back to top</v>
      </c>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1155</v>
      </c>
      <c r="L97" s="19" t="s">
        <v>132</v>
      </c>
      <c r="M97" s="19" t="s">
        <v>1153</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1155</v>
      </c>
      <c r="L98" s="19" t="str">
        <f>Table_SourceData_Scope3_Feed[[#This Row],[Product]]</f>
        <v>Maize grain</v>
      </c>
      <c r="M98" s="19" t="str">
        <f>Table_SourceData_Scope3_Feed[[#This Row],[Region of origin]]</f>
        <v>Australia</v>
      </c>
    </row>
    <row r="99" spans="1:17" ht="20.100000000000001" customHeight="1" x14ac:dyDescent="0.2">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1155</v>
      </c>
      <c r="L99" s="19" t="str">
        <f>Table_SourceData_Scope3_Feed[[#This Row],[Product]]</f>
        <v>Maize grain</v>
      </c>
      <c r="M99" s="19" t="str">
        <f>Table_SourceData_Scope3_Feed[[#This Row],[Region of origin]]</f>
        <v>NSW</v>
      </c>
    </row>
    <row r="100" spans="1:17" ht="20.100000000000001" customHeight="1" x14ac:dyDescent="0.2">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1155</v>
      </c>
      <c r="L100" s="19" t="str">
        <f>Table_SourceData_Scope3_Feed[[#This Row],[Product]]</f>
        <v>Maize grain</v>
      </c>
      <c r="M100" s="19" t="str">
        <f>Table_SourceData_Scope3_Feed[[#This Row],[Region of origin]]</f>
        <v>NT</v>
      </c>
    </row>
    <row r="101" spans="1:17" ht="20.100000000000001" customHeight="1" x14ac:dyDescent="0.2">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1155</v>
      </c>
      <c r="L101" s="19" t="str">
        <f>Table_SourceData_Scope3_Feed[[#This Row],[Product]]</f>
        <v>Maize grain</v>
      </c>
      <c r="M101" s="19" t="str">
        <f>Table_SourceData_Scope3_Feed[[#This Row],[Region of origin]]</f>
        <v>QLD</v>
      </c>
    </row>
    <row r="102" spans="1:17" ht="20.100000000000001" customHeight="1" x14ac:dyDescent="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1155</v>
      </c>
      <c r="L102" s="19" t="str">
        <f>Table_SourceData_Scope3_Feed[[#This Row],[Product]]</f>
        <v>Maize grain</v>
      </c>
      <c r="M102" s="19" t="str">
        <f>Table_SourceData_Scope3_Feed[[#This Row],[Region of origin]]</f>
        <v>SA</v>
      </c>
    </row>
    <row r="103" spans="1:17" ht="20.100000000000001" customHeight="1" x14ac:dyDescent="0.2">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1155</v>
      </c>
      <c r="L103" s="19" t="str">
        <f>Table_SourceData_Scope3_Feed[[#This Row],[Product]]</f>
        <v>Maize grain</v>
      </c>
      <c r="M103" s="19" t="str">
        <f>Table_SourceData_Scope3_Feed[[#This Row],[Region of origin]]</f>
        <v>VIC</v>
      </c>
    </row>
    <row r="104" spans="1:17" ht="20.100000000000001" customHeight="1" x14ac:dyDescent="0.2">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1155</v>
      </c>
      <c r="L104" s="19" t="str">
        <f>Table_SourceData_Scope3_Feed[[#This Row],[Product]]</f>
        <v>Maize grain</v>
      </c>
      <c r="M104" s="19" t="str">
        <f>Table_SourceData_Scope3_Feed[[#This Row],[Region of origin]]</f>
        <v>WA</v>
      </c>
      <c r="O104" s="19" t="s">
        <v>132</v>
      </c>
      <c r="P104" s="19" t="s">
        <v>1153</v>
      </c>
      <c r="Q104" s="1" t="str">
        <f>"Table_ProductRegions_" &amp; SUBSTITUTE(SUBSTITUTE(SUBSTITUTE(SUBSTITUTE(O105, " ", ""), ",", ""), "(", ""), ")", "")</f>
        <v>Table_ProductRegions_Sorghumgrain</v>
      </c>
    </row>
    <row r="105" spans="1:17" ht="20.100000000000001" customHeight="1" x14ac:dyDescent="0.2">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1155</v>
      </c>
      <c r="O105" s="19" t="str">
        <f>Table_SourceData_Scope3_Feed[[#This Row],[Product]]</f>
        <v>Sorghum grain</v>
      </c>
      <c r="P105" s="19" t="str">
        <f>Table_SourceData_Scope3_Feed[[#This Row],[Region of origin]]</f>
        <v>Australia</v>
      </c>
    </row>
    <row r="106" spans="1:17" ht="20.100000000000001" customHeight="1" x14ac:dyDescent="0.2">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1155</v>
      </c>
      <c r="O106" s="19" t="str">
        <f>Table_SourceData_Scope3_Feed[[#This Row],[Product]]</f>
        <v>Sorghum grain</v>
      </c>
      <c r="P106" s="19" t="str">
        <f>Table_SourceData_Scope3_Feed[[#This Row],[Region of origin]]</f>
        <v>NSW</v>
      </c>
    </row>
    <row r="107" spans="1:17" ht="20.100000000000001" customHeight="1" x14ac:dyDescent="0.2">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1155</v>
      </c>
      <c r="O107" s="19" t="str">
        <f>Table_SourceData_Scope3_Feed[[#This Row],[Product]]</f>
        <v>Sorghum grain</v>
      </c>
      <c r="P107" s="19" t="str">
        <f>Table_SourceData_Scope3_Feed[[#This Row],[Region of origin]]</f>
        <v>QLD</v>
      </c>
    </row>
    <row r="108" spans="1:17" ht="20.100000000000001" customHeight="1" x14ac:dyDescent="0.2">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1155</v>
      </c>
      <c r="O108" s="19" t="str">
        <f>Table_SourceData_Scope3_Feed[[#This Row],[Product]]</f>
        <v>Sorghum grain</v>
      </c>
      <c r="P108" s="19" t="str">
        <f>Table_SourceData_Scope3_Feed[[#This Row],[Region of origin]]</f>
        <v>SA</v>
      </c>
    </row>
    <row r="109" spans="1:17" ht="20.100000000000001" customHeight="1" x14ac:dyDescent="0.2">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1155</v>
      </c>
      <c r="L109" s="19" t="s">
        <v>132</v>
      </c>
      <c r="M109" s="19" t="s">
        <v>1153</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1155</v>
      </c>
      <c r="L110" s="19" t="str">
        <f>Table_SourceData_Scope3_Feed[[#This Row],[Product]]</f>
        <v>Wheat grain</v>
      </c>
      <c r="M110" s="19" t="str">
        <f>Table_SourceData_Scope3_Feed[[#This Row],[Region of origin]]</f>
        <v>Australia</v>
      </c>
    </row>
    <row r="111" spans="1:17" ht="20.100000000000001" customHeight="1" x14ac:dyDescent="0.2">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1155</v>
      </c>
      <c r="L111" s="19" t="str">
        <f>Table_SourceData_Scope3_Feed[[#This Row],[Product]]</f>
        <v>Wheat grain</v>
      </c>
      <c r="M111" s="19" t="str">
        <f>Table_SourceData_Scope3_Feed[[#This Row],[Region of origin]]</f>
        <v>NSW</v>
      </c>
    </row>
    <row r="112" spans="1:17" ht="20.100000000000001" customHeight="1" x14ac:dyDescent="0.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1155</v>
      </c>
      <c r="L112" s="19" t="str">
        <f>Table_SourceData_Scope3_Feed[[#This Row],[Product]]</f>
        <v>Wheat grain</v>
      </c>
      <c r="M112" s="19" t="str">
        <f>Table_SourceData_Scope3_Feed[[#This Row],[Region of origin]]</f>
        <v>NT</v>
      </c>
    </row>
    <row r="113" spans="1:17" ht="20.100000000000001" customHeight="1" x14ac:dyDescent="0.2">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1155</v>
      </c>
      <c r="L113" s="19" t="str">
        <f>Table_SourceData_Scope3_Feed[[#This Row],[Product]]</f>
        <v>Wheat grain</v>
      </c>
      <c r="M113" s="19" t="str">
        <f>Table_SourceData_Scope3_Feed[[#This Row],[Region of origin]]</f>
        <v>QLD</v>
      </c>
    </row>
    <row r="114" spans="1:17" ht="20.100000000000001" customHeight="1" x14ac:dyDescent="0.2">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1155</v>
      </c>
      <c r="L114" s="19" t="str">
        <f>Table_SourceData_Scope3_Feed[[#This Row],[Product]]</f>
        <v>Wheat grain</v>
      </c>
      <c r="M114" s="19" t="str">
        <f>Table_SourceData_Scope3_Feed[[#This Row],[Region of origin]]</f>
        <v>SA</v>
      </c>
    </row>
    <row r="115" spans="1:17" ht="20.100000000000001" customHeight="1" x14ac:dyDescent="0.2">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1155</v>
      </c>
      <c r="L115" s="19" t="str">
        <f>Table_SourceData_Scope3_Feed[[#This Row],[Product]]</f>
        <v>Wheat grain</v>
      </c>
      <c r="M115" s="19" t="str">
        <f>Table_SourceData_Scope3_Feed[[#This Row],[Region of origin]]</f>
        <v>TAS</v>
      </c>
    </row>
    <row r="116" spans="1:17" ht="20.100000000000001" customHeight="1" x14ac:dyDescent="0.2">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1155</v>
      </c>
      <c r="L116" s="19" t="str">
        <f>Table_SourceData_Scope3_Feed[[#This Row],[Product]]</f>
        <v>Wheat grain</v>
      </c>
      <c r="M116" s="19" t="str">
        <f>Table_SourceData_Scope3_Feed[[#This Row],[Region of origin]]</f>
        <v>VIC</v>
      </c>
    </row>
    <row r="117" spans="1:17" ht="20.100000000000001" customHeight="1" x14ac:dyDescent="0.2">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1155</v>
      </c>
      <c r="L117" s="19" t="str">
        <f>Table_SourceData_Scope3_Feed[[#This Row],[Product]]</f>
        <v>Wheat grain</v>
      </c>
      <c r="M117" s="19" t="str">
        <f>Table_SourceData_Scope3_Feed[[#This Row],[Region of origin]]</f>
        <v>WA</v>
      </c>
      <c r="O117" s="19" t="s">
        <v>132</v>
      </c>
      <c r="P117" s="19" t="s">
        <v>1153</v>
      </c>
      <c r="Q117" s="1" t="str">
        <f>"Table_ProductRegions_" &amp; SUBSTITUTE(SUBSTITUTE(SUBSTITUTE(SUBSTITUTE(O118, " ", ""), ",", ""), "(", ""), ")", "")</f>
        <v>Table_ProductRegions_Cerealhay</v>
      </c>
    </row>
    <row r="118" spans="1:17" ht="20.100000000000001" customHeight="1" x14ac:dyDescent="0.2">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1155</v>
      </c>
      <c r="O118" s="19" t="str">
        <f>Table_SourceData_Scope3_Feed[[#This Row],[Product]]</f>
        <v>Cereal hay</v>
      </c>
      <c r="P118" s="19" t="str">
        <f>Table_SourceData_Scope3_Feed[[#This Row],[Region of origin]]</f>
        <v>Australia</v>
      </c>
    </row>
    <row r="119" spans="1:17" ht="20.100000000000001" customHeight="1" x14ac:dyDescent="0.2">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1155</v>
      </c>
      <c r="O119" s="19" t="str">
        <f>Table_SourceData_Scope3_Feed[[#This Row],[Product]]</f>
        <v>Cereal hay</v>
      </c>
      <c r="P119" s="19" t="str">
        <f>Table_SourceData_Scope3_Feed[[#This Row],[Region of origin]]</f>
        <v>NSW</v>
      </c>
    </row>
    <row r="120" spans="1:17" ht="20.100000000000001" customHeight="1" x14ac:dyDescent="0.2">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1155</v>
      </c>
      <c r="O120" s="19" t="str">
        <f>Table_SourceData_Scope3_Feed[[#This Row],[Product]]</f>
        <v>Cereal hay</v>
      </c>
      <c r="P120" s="19" t="str">
        <f>Table_SourceData_Scope3_Feed[[#This Row],[Region of origin]]</f>
        <v>QLD</v>
      </c>
    </row>
    <row r="121" spans="1:17" ht="20.100000000000001" customHeight="1" x14ac:dyDescent="0.2">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1155</v>
      </c>
      <c r="O121" s="19" t="str">
        <f>Table_SourceData_Scope3_Feed[[#This Row],[Product]]</f>
        <v>Cereal hay</v>
      </c>
      <c r="P121" s="19" t="str">
        <f>Table_SourceData_Scope3_Feed[[#This Row],[Region of origin]]</f>
        <v>SA</v>
      </c>
    </row>
    <row r="122" spans="1:17" ht="20.100000000000001" customHeight="1" x14ac:dyDescent="0.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1155</v>
      </c>
      <c r="O122" s="19" t="str">
        <f>Table_SourceData_Scope3_Feed[[#This Row],[Product]]</f>
        <v>Cereal hay</v>
      </c>
      <c r="P122" s="19" t="str">
        <f>Table_SourceData_Scope3_Feed[[#This Row],[Region of origin]]</f>
        <v>TAS</v>
      </c>
    </row>
    <row r="123" spans="1:17" ht="20.100000000000001" customHeight="1" x14ac:dyDescent="0.2">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1155</v>
      </c>
      <c r="O123" s="19" t="str">
        <f>Table_SourceData_Scope3_Feed[[#This Row],[Product]]</f>
        <v>Cereal hay</v>
      </c>
      <c r="P123" s="19" t="str">
        <f>Table_SourceData_Scope3_Feed[[#This Row],[Region of origin]]</f>
        <v>VIC</v>
      </c>
    </row>
    <row r="124" spans="1:17" ht="20.100000000000001" customHeight="1" x14ac:dyDescent="0.2">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1155</v>
      </c>
      <c r="L124" s="19" t="s">
        <v>132</v>
      </c>
      <c r="M124" s="19" t="s">
        <v>1153</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1155</v>
      </c>
      <c r="L125" s="19" t="str">
        <f>Table_SourceData_Scope3_Feed[[#This Row],[Product]]</f>
        <v>Cereal silage</v>
      </c>
      <c r="M125" s="19" t="str">
        <f>Table_SourceData_Scope3_Feed[[#This Row],[Region of origin]]</f>
        <v>Australia</v>
      </c>
    </row>
    <row r="126" spans="1:17" ht="20.100000000000001" customHeight="1" x14ac:dyDescent="0.2">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1155</v>
      </c>
      <c r="L126" s="19" t="str">
        <f>Table_SourceData_Scope3_Feed[[#This Row],[Product]]</f>
        <v>Cereal silage</v>
      </c>
      <c r="M126" s="19" t="str">
        <f>Table_SourceData_Scope3_Feed[[#This Row],[Region of origin]]</f>
        <v>NSW</v>
      </c>
    </row>
    <row r="127" spans="1:17" ht="20.100000000000001" customHeight="1" x14ac:dyDescent="0.2">
      <c r="A127" s="131" t="str">
        <f>HYPERLINK("#A1", "▲ Back to top")</f>
        <v>▲ Back to top</v>
      </c>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1155</v>
      </c>
      <c r="L127" s="19" t="str">
        <f>Table_SourceData_Scope3_Feed[[#This Row],[Product]]</f>
        <v>Cereal silage</v>
      </c>
      <c r="M127" s="19" t="str">
        <f>Table_SourceData_Scope3_Feed[[#This Row],[Region of origin]]</f>
        <v>QLD</v>
      </c>
    </row>
    <row r="128" spans="1:17" ht="20.100000000000001" customHeight="1" x14ac:dyDescent="0.2">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1155</v>
      </c>
      <c r="L128" s="19" t="str">
        <f>Table_SourceData_Scope3_Feed[[#This Row],[Product]]</f>
        <v>Cereal silage</v>
      </c>
      <c r="M128" s="19" t="str">
        <f>Table_SourceData_Scope3_Feed[[#This Row],[Region of origin]]</f>
        <v>SA</v>
      </c>
    </row>
    <row r="129" spans="4:17" ht="20.100000000000001" customHeight="1" x14ac:dyDescent="0.2">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1155</v>
      </c>
      <c r="L129" s="19" t="str">
        <f>Table_SourceData_Scope3_Feed[[#This Row],[Product]]</f>
        <v>Cereal silage</v>
      </c>
      <c r="M129" s="19" t="str">
        <f>Table_SourceData_Scope3_Feed[[#This Row],[Region of origin]]</f>
        <v>TAS</v>
      </c>
    </row>
    <row r="130" spans="4:17" ht="20.100000000000001" customHeight="1" x14ac:dyDescent="0.2">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1155</v>
      </c>
      <c r="L130" s="19" t="str">
        <f>Table_SourceData_Scope3_Feed[[#This Row],[Product]]</f>
        <v>Cereal silage</v>
      </c>
      <c r="M130" s="19" t="str">
        <f>Table_SourceData_Scope3_Feed[[#This Row],[Region of origin]]</f>
        <v>VIC</v>
      </c>
      <c r="O130" s="19" t="s">
        <v>132</v>
      </c>
      <c r="P130" s="19" t="s">
        <v>1153</v>
      </c>
      <c r="Q130" s="1" t="str">
        <f>"Table_ProductRegions_" &amp; SUBSTITUTE(SUBSTITUTE(SUBSTITUTE(SUBSTITUTE(O131, " ", ""), ",", ""), "(", ""), ")", "")</f>
        <v>Table_ProductRegions_Lucernehay</v>
      </c>
    </row>
    <row r="131" spans="4:17" ht="20.100000000000001" customHeight="1" x14ac:dyDescent="0.2">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1155</v>
      </c>
      <c r="O131" s="19" t="str">
        <f>Table_SourceData_Scope3_Feed[[#This Row],[Product]]</f>
        <v>Lucerne hay</v>
      </c>
      <c r="P131" s="19" t="str">
        <f>Table_SourceData_Scope3_Feed[[#This Row],[Region of origin]]</f>
        <v>Australia</v>
      </c>
    </row>
    <row r="132" spans="4:17" ht="20.100000000000001" customHeight="1" x14ac:dyDescent="0.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1155</v>
      </c>
      <c r="O132" s="19" t="str">
        <f>Table_SourceData_Scope3_Feed[[#This Row],[Product]]</f>
        <v>Lucerne hay</v>
      </c>
      <c r="P132" s="19" t="str">
        <f>Table_SourceData_Scope3_Feed[[#This Row],[Region of origin]]</f>
        <v>NSW</v>
      </c>
    </row>
    <row r="133" spans="4:17" ht="20.100000000000001" customHeight="1" x14ac:dyDescent="0.2">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1155</v>
      </c>
      <c r="O133" s="19" t="str">
        <f>Table_SourceData_Scope3_Feed[[#This Row],[Product]]</f>
        <v>Lucerne hay</v>
      </c>
      <c r="P133" s="19" t="str">
        <f>Table_SourceData_Scope3_Feed[[#This Row],[Region of origin]]</f>
        <v>QLD</v>
      </c>
    </row>
    <row r="134" spans="4:17" ht="20.100000000000001" customHeight="1" x14ac:dyDescent="0.2">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1155</v>
      </c>
      <c r="O134" s="19" t="str">
        <f>Table_SourceData_Scope3_Feed[[#This Row],[Product]]</f>
        <v>Lucerne hay</v>
      </c>
      <c r="P134" s="19" t="str">
        <f>Table_SourceData_Scope3_Feed[[#This Row],[Region of origin]]</f>
        <v>SA</v>
      </c>
    </row>
    <row r="135" spans="4:17" ht="20.100000000000001" customHeight="1" x14ac:dyDescent="0.2">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1155</v>
      </c>
      <c r="O135" s="19" t="str">
        <f>Table_SourceData_Scope3_Feed[[#This Row],[Product]]</f>
        <v>Lucerne hay</v>
      </c>
      <c r="P135" s="19" t="str">
        <f>Table_SourceData_Scope3_Feed[[#This Row],[Region of origin]]</f>
        <v>TAS</v>
      </c>
    </row>
    <row r="136" spans="4:17" ht="20.100000000000001" customHeight="1" x14ac:dyDescent="0.2">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1155</v>
      </c>
      <c r="O136" s="19" t="str">
        <f>Table_SourceData_Scope3_Feed[[#This Row],[Product]]</f>
        <v>Lucerne hay</v>
      </c>
      <c r="P136" s="19" t="str">
        <f>Table_SourceData_Scope3_Feed[[#This Row],[Region of origin]]</f>
        <v>VIC</v>
      </c>
    </row>
    <row r="137" spans="4:17" ht="20.100000000000001" customHeight="1" x14ac:dyDescent="0.2">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1155</v>
      </c>
      <c r="L137" s="19" t="s">
        <v>132</v>
      </c>
      <c r="M137" s="19" t="s">
        <v>1153</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4:17" ht="20.100000000000001" customHeight="1" x14ac:dyDescent="0.2">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1155</v>
      </c>
      <c r="L138" s="19" t="str">
        <f>Table_SourceData_Scope3_Feed[[#This Row],[Product]]</f>
        <v>Oaten hay</v>
      </c>
      <c r="M138" s="19" t="str">
        <f>Table_SourceData_Scope3_Feed[[#This Row],[Region of origin]]</f>
        <v>Australia</v>
      </c>
    </row>
    <row r="139" spans="4:17" ht="20.100000000000001" customHeight="1" x14ac:dyDescent="0.2">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1155</v>
      </c>
      <c r="L139" s="19" t="str">
        <f>Table_SourceData_Scope3_Feed[[#This Row],[Product]]</f>
        <v>Oaten hay</v>
      </c>
      <c r="M139" s="19" t="str">
        <f>Table_SourceData_Scope3_Feed[[#This Row],[Region of origin]]</f>
        <v>NSW</v>
      </c>
    </row>
    <row r="140" spans="4:17" ht="20.100000000000001" customHeight="1" x14ac:dyDescent="0.2">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1155</v>
      </c>
      <c r="L140" s="19" t="str">
        <f>Table_SourceData_Scope3_Feed[[#This Row],[Product]]</f>
        <v>Oaten hay</v>
      </c>
      <c r="M140" s="19" t="str">
        <f>Table_SourceData_Scope3_Feed[[#This Row],[Region of origin]]</f>
        <v>QLD</v>
      </c>
    </row>
    <row r="141" spans="4:17" ht="20.100000000000001" customHeight="1" x14ac:dyDescent="0.2">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1155</v>
      </c>
      <c r="L141" s="19" t="str">
        <f>Table_SourceData_Scope3_Feed[[#This Row],[Product]]</f>
        <v>Oaten hay</v>
      </c>
      <c r="M141" s="19" t="str">
        <f>Table_SourceData_Scope3_Feed[[#This Row],[Region of origin]]</f>
        <v>SA</v>
      </c>
    </row>
    <row r="142" spans="4:17" ht="20.100000000000001" customHeight="1" x14ac:dyDescent="0.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1155</v>
      </c>
      <c r="L142" s="19" t="str">
        <f>Table_SourceData_Scope3_Feed[[#This Row],[Product]]</f>
        <v>Oaten hay</v>
      </c>
      <c r="M142" s="19" t="str">
        <f>Table_SourceData_Scope3_Feed[[#This Row],[Region of origin]]</f>
        <v>VIC</v>
      </c>
    </row>
    <row r="143" spans="4:17" ht="20.100000000000001" customHeight="1" x14ac:dyDescent="0.2">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1155</v>
      </c>
      <c r="L143" s="19" t="str">
        <f>Table_SourceData_Scope3_Feed[[#This Row],[Product]]</f>
        <v>Oaten hay</v>
      </c>
      <c r="M143" s="19" t="str">
        <f>Table_SourceData_Scope3_Feed[[#This Row],[Region of origin]]</f>
        <v>WA</v>
      </c>
      <c r="O143" s="19" t="s">
        <v>132</v>
      </c>
      <c r="P143" s="19" t="s">
        <v>1153</v>
      </c>
      <c r="Q143" s="1" t="str">
        <f>"Table_ProductRegions_" &amp; SUBSTITUTE(SUBSTITUTE(SUBSTITUTE(SUBSTITUTE(O144, " ", ""), ",", ""), "(", ""), ")", "")</f>
        <v>Table_ProductRegions_Pasturehay</v>
      </c>
    </row>
    <row r="144" spans="4:17" ht="20.100000000000001" customHeight="1" x14ac:dyDescent="0.2">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1155</v>
      </c>
      <c r="O144" s="19" t="str">
        <f>Table_SourceData_Scope3_Feed[[#This Row],[Product]]</f>
        <v>Pasture hay</v>
      </c>
      <c r="P144" s="19" t="str">
        <f>Table_SourceData_Scope3_Feed[[#This Row],[Region of origin]]</f>
        <v>Australia</v>
      </c>
    </row>
    <row r="145" spans="1:17" ht="20.100000000000001" customHeight="1" x14ac:dyDescent="0.2">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1155</v>
      </c>
      <c r="O145" s="19" t="str">
        <f>Table_SourceData_Scope3_Feed[[#This Row],[Product]]</f>
        <v>Pasture hay</v>
      </c>
      <c r="P145" s="19" t="str">
        <f>Table_SourceData_Scope3_Feed[[#This Row],[Region of origin]]</f>
        <v>NSW</v>
      </c>
    </row>
    <row r="146" spans="1:17" ht="20.100000000000001" customHeight="1" x14ac:dyDescent="0.2">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1155</v>
      </c>
      <c r="O146" s="19" t="str">
        <f>Table_SourceData_Scope3_Feed[[#This Row],[Product]]</f>
        <v>Pasture hay</v>
      </c>
      <c r="P146" s="19" t="str">
        <f>Table_SourceData_Scope3_Feed[[#This Row],[Region of origin]]</f>
        <v>QLD</v>
      </c>
    </row>
    <row r="147" spans="1:17" ht="20.100000000000001" customHeight="1" x14ac:dyDescent="0.2">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1155</v>
      </c>
      <c r="O147" s="19" t="str">
        <f>Table_SourceData_Scope3_Feed[[#This Row],[Product]]</f>
        <v>Pasture hay</v>
      </c>
      <c r="P147" s="19" t="str">
        <f>Table_SourceData_Scope3_Feed[[#This Row],[Region of origin]]</f>
        <v>SA</v>
      </c>
    </row>
    <row r="148" spans="1:17" ht="20.100000000000001" customHeight="1" x14ac:dyDescent="0.2">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1155</v>
      </c>
      <c r="O148" s="19" t="str">
        <f>Table_SourceData_Scope3_Feed[[#This Row],[Product]]</f>
        <v>Pasture hay</v>
      </c>
      <c r="P148" s="19" t="str">
        <f>Table_SourceData_Scope3_Feed[[#This Row],[Region of origin]]</f>
        <v>TAS</v>
      </c>
    </row>
    <row r="149" spans="1:17" ht="20.100000000000001" customHeight="1" x14ac:dyDescent="0.2">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1155</v>
      </c>
      <c r="O149" s="19" t="str">
        <f>Table_SourceData_Scope3_Feed[[#This Row],[Product]]</f>
        <v>Pasture hay</v>
      </c>
      <c r="P149" s="19" t="str">
        <f>Table_SourceData_Scope3_Feed[[#This Row],[Region of origin]]</f>
        <v>VIC</v>
      </c>
    </row>
    <row r="150" spans="1:17" ht="20.100000000000001" customHeight="1" x14ac:dyDescent="0.2">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1155</v>
      </c>
      <c r="L150" s="241" t="s">
        <v>132</v>
      </c>
      <c r="M150" s="241" t="s">
        <v>1153</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1155</v>
      </c>
      <c r="L151" s="1" t="str">
        <f>Table_SourceData_Scope3_Feed[[#This Row],[Product]]</f>
        <v>Canola meal</v>
      </c>
      <c r="M151" s="1" t="str">
        <f>Table_SourceData_Scope3_Feed[[#This Row],[Region of origin]]</f>
        <v>Australia</v>
      </c>
      <c r="O151" s="19" t="s">
        <v>132</v>
      </c>
      <c r="P151" s="19" t="s">
        <v>1153</v>
      </c>
      <c r="Q151" s="1" t="str">
        <f>"Table_ProductRegions_" &amp; SUBSTITUTE(SUBSTITUTE(SUBSTITUTE(SUBSTITUTE(O152, " ", ""), ",", ""), "(", ""), ")", "")</f>
        <v>Table_ProductRegions_Meatmeal</v>
      </c>
    </row>
    <row r="152" spans="1:17" ht="20.100000000000001" customHeight="1" x14ac:dyDescent="0.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1155</v>
      </c>
      <c r="L152" s="19" t="s">
        <v>132</v>
      </c>
      <c r="M152" s="19" t="s">
        <v>1153</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1155</v>
      </c>
      <c r="L153" s="19" t="str">
        <f>Table_SourceData_Scope3_Feed[[#This Row],[Product]]</f>
        <v>Soybean meal</v>
      </c>
      <c r="M153" s="19" t="str">
        <f>Table_SourceData_Scope3_Feed[[#This Row],[Region of origin]]</f>
        <v>Brazil</v>
      </c>
      <c r="O153" s="19" t="s">
        <v>132</v>
      </c>
      <c r="P153" s="19" t="s">
        <v>1153</v>
      </c>
      <c r="Q153" s="1" t="str">
        <f>"Table_ProductRegions_" &amp; SUBSTITUTE(SUBSTITUTE(SUBSTITUTE(SUBSTITUTE(O154, " ", ""), ",", ""), "(", ""), ")", "")</f>
        <v>Table_ProductRegions_Wheatbran</v>
      </c>
    </row>
    <row r="154" spans="1:17" ht="20.100000000000001" customHeight="1" x14ac:dyDescent="0.2">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1155</v>
      </c>
      <c r="L154" s="19" t="s">
        <v>132</v>
      </c>
      <c r="M154" s="19" t="s">
        <v>1153</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1155</v>
      </c>
      <c r="L155" s="19" t="str">
        <f>Table_SourceData_Scope3_Feed[[#This Row],[Product]]</f>
        <v>Bentonite</v>
      </c>
      <c r="M155" s="19" t="str">
        <f>Table_SourceData_Scope3_Feed[[#This Row],[Region of origin]]</f>
        <v>Australia</v>
      </c>
      <c r="O155" s="19" t="s">
        <v>132</v>
      </c>
      <c r="P155" s="19" t="s">
        <v>1153</v>
      </c>
      <c r="Q155" s="1" t="str">
        <f>"Table_ProductRegions_" &amp; SUBSTITUTE(SUBSTITUTE(SUBSTITUTE(SUBSTITUTE(O156, " ", ""), ",", ""), "(", ""), ")", "")</f>
        <v>Table_ProductRegions_Canolaoil</v>
      </c>
    </row>
    <row r="156" spans="1: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1155</v>
      </c>
      <c r="L156" s="19" t="s">
        <v>132</v>
      </c>
      <c r="M156" s="19" t="s">
        <v>1153</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
      <c r="A157" s="131" t="str">
        <f>HYPERLINK("#A1", "▲ Back to top")</f>
        <v>▲ Back to top</v>
      </c>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1155</v>
      </c>
      <c r="L157" s="19" t="str">
        <f>Table_SourceData_Scope3_Feed[[#This Row],[Product]]</f>
        <v>Cotton seed</v>
      </c>
      <c r="M157" s="19" t="str">
        <f>Table_SourceData_Scope3_Feed[[#This Row],[Region of origin]]</f>
        <v>Australia</v>
      </c>
      <c r="O157" s="19" t="s">
        <v>132</v>
      </c>
      <c r="P157" s="19" t="s">
        <v>1153</v>
      </c>
      <c r="Q157" s="1" t="str">
        <f>"Table_ProductRegions_" &amp; SUBSTITUTE(SUBSTITUTE(SUBSTITUTE(SUBSTITUTE(O158, " ", ""), ",", ""), "(", ""), ")", "")</f>
        <v>Table_ProductRegions_Molasses</v>
      </c>
    </row>
    <row r="158" spans="1:17" ht="20.100000000000001" customHeight="1" x14ac:dyDescent="0.2">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61" spans="4:14" ht="20.100000000000001" customHeight="1" x14ac:dyDescent="0.2">
      <c r="D161" s="19" t="s">
        <v>1148</v>
      </c>
      <c r="E161" s="19" t="s">
        <v>132</v>
      </c>
      <c r="F161" s="19" t="s">
        <v>1149</v>
      </c>
      <c r="G161" s="19" t="s">
        <v>1150</v>
      </c>
      <c r="H161" s="19" t="s">
        <v>1151</v>
      </c>
      <c r="I161" s="19" t="s">
        <v>1152</v>
      </c>
      <c r="J161" s="19" t="s">
        <v>558</v>
      </c>
    </row>
    <row r="162" spans="4:14" ht="20.100000000000001" customHeight="1" x14ac:dyDescent="0.2">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1155</v>
      </c>
    </row>
    <row r="163" spans="4:14" ht="20.100000000000001" customHeight="1" x14ac:dyDescent="0.2">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1155</v>
      </c>
    </row>
    <row r="164" spans="4:14" ht="20.100000000000001" customHeight="1" x14ac:dyDescent="0.2">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1155</v>
      </c>
    </row>
    <row r="165" spans="4:14" ht="20.100000000000001" customHeight="1" x14ac:dyDescent="0.2">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1155</v>
      </c>
    </row>
    <row r="167" spans="4:14" ht="20.100000000000001" customHeight="1" x14ac:dyDescent="0.2">
      <c r="D167" s="19" t="s">
        <v>1148</v>
      </c>
      <c r="E167" s="19" t="s">
        <v>132</v>
      </c>
      <c r="F167" s="19" t="s">
        <v>1149</v>
      </c>
      <c r="G167" s="19" t="s">
        <v>1150</v>
      </c>
      <c r="H167" s="19" t="s">
        <v>1151</v>
      </c>
      <c r="I167" s="19" t="s">
        <v>1152</v>
      </c>
      <c r="J167" s="19" t="s">
        <v>558</v>
      </c>
    </row>
    <row r="168" spans="4:14" ht="20.100000000000001" customHeight="1" x14ac:dyDescent="0.2">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1155</v>
      </c>
    </row>
    <row r="169" spans="4:14" ht="20.100000000000001" customHeight="1" x14ac:dyDescent="0.2">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1155</v>
      </c>
    </row>
    <row r="170" spans="4:14" ht="20.100000000000001" customHeight="1" x14ac:dyDescent="0.2">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1155</v>
      </c>
    </row>
    <row r="172" spans="4:14" ht="20.100000000000001" customHeight="1" x14ac:dyDescent="0.2">
      <c r="D172" s="2" t="s">
        <v>1167</v>
      </c>
    </row>
    <row r="173" spans="4:14" ht="20.100000000000001" customHeight="1" x14ac:dyDescent="0.2">
      <c r="D173" s="19" t="s">
        <v>1148</v>
      </c>
      <c r="E173" s="19" t="s">
        <v>132</v>
      </c>
      <c r="F173" s="19" t="s">
        <v>1149</v>
      </c>
      <c r="G173" s="19" t="s">
        <v>806</v>
      </c>
      <c r="H173" s="19" t="s">
        <v>700</v>
      </c>
      <c r="I173" s="19" t="s">
        <v>701</v>
      </c>
      <c r="J173" s="19" t="s">
        <v>1168</v>
      </c>
      <c r="K173" s="19" t="s">
        <v>1150</v>
      </c>
      <c r="L173" s="19" t="s">
        <v>1151</v>
      </c>
      <c r="M173" s="19" t="s">
        <v>1152</v>
      </c>
      <c r="N173" s="19" t="s">
        <v>558</v>
      </c>
    </row>
    <row r="174" spans="4:14" ht="20.100000000000001" customHeight="1" x14ac:dyDescent="0.2">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1155</v>
      </c>
    </row>
    <row r="175" spans="4:14" ht="20.100000000000001" customHeight="1" x14ac:dyDescent="0.2">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1155</v>
      </c>
    </row>
    <row r="176" spans="4:14" ht="20.100000000000001" customHeight="1" x14ac:dyDescent="0.2">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1155</v>
      </c>
    </row>
    <row r="177" spans="1:14" ht="20.100000000000001" customHeight="1" x14ac:dyDescent="0.2">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1155</v>
      </c>
    </row>
    <row r="178" spans="1:14" ht="20.100000000000001" customHeight="1" x14ac:dyDescent="0.2">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1155</v>
      </c>
    </row>
    <row r="179" spans="1:14" ht="20.100000000000001" customHeight="1" x14ac:dyDescent="0.2">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1155</v>
      </c>
    </row>
    <row r="180" spans="1:14" ht="20.100000000000001" customHeight="1" x14ac:dyDescent="0.2">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1155</v>
      </c>
    </row>
    <row r="181" spans="1:14" ht="20.100000000000001" customHeight="1" x14ac:dyDescent="0.2">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1155</v>
      </c>
    </row>
    <row r="182" spans="1:14" ht="20.100000000000001" customHeight="1" x14ac:dyDescent="0.2">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1155</v>
      </c>
    </row>
    <row r="183" spans="1:14" ht="20.100000000000001" customHeight="1" x14ac:dyDescent="0.2">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1155</v>
      </c>
    </row>
    <row r="184" spans="1:14" ht="20.100000000000001" customHeight="1" x14ac:dyDescent="0.2">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1155</v>
      </c>
    </row>
    <row r="185" spans="1:14" ht="20.100000000000001" customHeight="1" x14ac:dyDescent="0.2">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1155</v>
      </c>
    </row>
    <row r="186" spans="1:14" ht="20.100000000000001" customHeight="1" x14ac:dyDescent="0.2">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1155</v>
      </c>
    </row>
    <row r="187" spans="1:14" ht="20.100000000000001" customHeight="1" x14ac:dyDescent="0.2">
      <c r="A187" s="131" t="str">
        <f>HYPERLINK("#A1", "▲ Back to top")</f>
        <v>▲ Back to top</v>
      </c>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1155</v>
      </c>
    </row>
    <row r="188" spans="1:14" ht="20.100000000000001" customHeight="1" x14ac:dyDescent="0.2">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1155</v>
      </c>
    </row>
    <row r="189" spans="1:14" ht="20.100000000000001" customHeight="1" x14ac:dyDescent="0.2">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1155</v>
      </c>
    </row>
    <row r="190" spans="1:14" ht="20.100000000000001" customHeight="1" x14ac:dyDescent="0.2">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1155</v>
      </c>
    </row>
    <row r="191" spans="1:14" ht="20.100000000000001" customHeight="1" x14ac:dyDescent="0.2">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1155</v>
      </c>
    </row>
    <row r="192" spans="1:14" ht="20.100000000000001" customHeight="1" x14ac:dyDescent="0.2">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1155</v>
      </c>
    </row>
    <row r="193" spans="4:14" ht="20.100000000000001" customHeight="1" x14ac:dyDescent="0.2">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1155</v>
      </c>
    </row>
    <row r="194" spans="4:14" ht="20.100000000000001" customHeight="1" x14ac:dyDescent="0.2">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1155</v>
      </c>
    </row>
    <row r="195" spans="4:14" ht="20.100000000000001" customHeight="1" x14ac:dyDescent="0.2">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1155</v>
      </c>
    </row>
    <row r="196" spans="4:14" ht="20.100000000000001" customHeight="1" x14ac:dyDescent="0.2">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1155</v>
      </c>
    </row>
    <row r="197" spans="4:14" ht="20.100000000000001" customHeight="1" x14ac:dyDescent="0.2">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1155</v>
      </c>
    </row>
    <row r="198" spans="4:14" ht="20.100000000000001" customHeight="1" x14ac:dyDescent="0.2">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1155</v>
      </c>
    </row>
    <row r="200" spans="4:14" ht="20.100000000000001" customHeight="1" x14ac:dyDescent="0.2">
      <c r="D200" s="2" t="s">
        <v>1169</v>
      </c>
    </row>
    <row r="201" spans="4:14" ht="20.100000000000001" customHeight="1" x14ac:dyDescent="0.2">
      <c r="D201" s="19" t="s">
        <v>1148</v>
      </c>
      <c r="E201" s="19" t="s">
        <v>132</v>
      </c>
      <c r="F201" s="19" t="s">
        <v>1149</v>
      </c>
      <c r="G201" s="19" t="s">
        <v>1150</v>
      </c>
      <c r="H201" s="19" t="s">
        <v>1151</v>
      </c>
      <c r="I201" s="19" t="s">
        <v>1152</v>
      </c>
      <c r="J201" s="19" t="s">
        <v>558</v>
      </c>
    </row>
    <row r="202" spans="4:14" ht="20.100000000000001" customHeight="1" x14ac:dyDescent="0.2">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1155</v>
      </c>
    </row>
    <row r="203" spans="4:14" ht="20.100000000000001" customHeight="1" x14ac:dyDescent="0.2">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1155</v>
      </c>
    </row>
    <row r="204" spans="4:14" ht="20.100000000000001" customHeight="1" x14ac:dyDescent="0.2">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1155</v>
      </c>
    </row>
    <row r="205" spans="4:14" ht="20.100000000000001" customHeight="1" x14ac:dyDescent="0.2">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1155</v>
      </c>
    </row>
    <row r="206" spans="4:14" ht="20.100000000000001" customHeight="1" x14ac:dyDescent="0.2">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1155</v>
      </c>
    </row>
    <row r="207" spans="4:14" ht="20.100000000000001" customHeight="1" x14ac:dyDescent="0.2">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1155</v>
      </c>
    </row>
    <row r="208" spans="4:14" ht="20.100000000000001" customHeight="1" x14ac:dyDescent="0.2">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1155</v>
      </c>
    </row>
    <row r="209" spans="1:10" ht="20.100000000000001" customHeight="1" x14ac:dyDescent="0.2">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1155</v>
      </c>
    </row>
    <row r="211" spans="1:10" ht="20.100000000000001" customHeight="1" x14ac:dyDescent="0.2">
      <c r="D211" s="2" t="s">
        <v>1170</v>
      </c>
    </row>
    <row r="212" spans="1:10" ht="20.100000000000001" customHeight="1" x14ac:dyDescent="0.2">
      <c r="D212" s="19" t="s">
        <v>1148</v>
      </c>
      <c r="E212" s="19" t="s">
        <v>132</v>
      </c>
      <c r="F212" s="19" t="s">
        <v>1149</v>
      </c>
      <c r="G212" s="19" t="s">
        <v>1150</v>
      </c>
      <c r="H212" s="19" t="s">
        <v>1151</v>
      </c>
      <c r="I212" s="19" t="s">
        <v>1152</v>
      </c>
      <c r="J212" s="19" t="s">
        <v>558</v>
      </c>
    </row>
    <row r="213" spans="1:10" ht="20.100000000000001" customHeight="1" x14ac:dyDescent="0.2">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1155</v>
      </c>
    </row>
    <row r="214" spans="1:10" ht="20.100000000000001" customHeight="1" x14ac:dyDescent="0.2">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1155</v>
      </c>
    </row>
    <row r="215" spans="1:10" ht="20.100000000000001" customHeight="1" x14ac:dyDescent="0.2">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1155</v>
      </c>
    </row>
    <row r="216" spans="1:10" ht="20.100000000000001" customHeight="1" x14ac:dyDescent="0.2">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1155</v>
      </c>
    </row>
    <row r="217" spans="1:10" ht="20.100000000000001" customHeight="1" x14ac:dyDescent="0.2">
      <c r="A217" s="131" t="str">
        <f>HYPERLINK("#A1", "▲ Back to top")</f>
        <v>▲ Back to top</v>
      </c>
    </row>
    <row r="218" spans="1:10" ht="20.100000000000001" customHeight="1" x14ac:dyDescent="0.2">
      <c r="D218" s="2" t="s">
        <v>1171</v>
      </c>
    </row>
    <row r="219" spans="1:10" ht="20.100000000000001" customHeight="1" x14ac:dyDescent="0.2">
      <c r="D219" s="19" t="s">
        <v>1148</v>
      </c>
      <c r="E219" s="19" t="s">
        <v>132</v>
      </c>
      <c r="F219" s="19" t="s">
        <v>1149</v>
      </c>
      <c r="G219" s="19" t="s">
        <v>1150</v>
      </c>
      <c r="H219" s="19" t="s">
        <v>1151</v>
      </c>
      <c r="I219" s="19" t="s">
        <v>1152</v>
      </c>
      <c r="J219" s="19" t="s">
        <v>558</v>
      </c>
    </row>
    <row r="220" spans="1:10" ht="20.100000000000001" customHeight="1" x14ac:dyDescent="0.2">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1155</v>
      </c>
    </row>
    <row r="221" spans="1:10" ht="20.100000000000001" customHeight="1" x14ac:dyDescent="0.2">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1155</v>
      </c>
    </row>
    <row r="222" spans="1:10" ht="20.100000000000001" customHeight="1" x14ac:dyDescent="0.2">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1155</v>
      </c>
    </row>
    <row r="223" spans="1:10" ht="20.100000000000001" customHeight="1" x14ac:dyDescent="0.2">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1155</v>
      </c>
    </row>
    <row r="224" spans="1:10" ht="20.100000000000001" customHeight="1" x14ac:dyDescent="0.2">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1155</v>
      </c>
    </row>
    <row r="225" spans="4:10" ht="20.100000000000001" customHeight="1" x14ac:dyDescent="0.2">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1155</v>
      </c>
    </row>
    <row r="226" spans="4:10" ht="20.100000000000001" customHeight="1" x14ac:dyDescent="0.2">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1155</v>
      </c>
    </row>
    <row r="227" spans="4:10" ht="20.100000000000001" customHeight="1" x14ac:dyDescent="0.2">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1155</v>
      </c>
    </row>
    <row r="228" spans="4:10" ht="20.100000000000001" customHeight="1" x14ac:dyDescent="0.2">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1155</v>
      </c>
    </row>
    <row r="229" spans="4:10" ht="20.100000000000001" customHeight="1" x14ac:dyDescent="0.2">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1155</v>
      </c>
    </row>
    <row r="230" spans="4:10" ht="20.100000000000001" customHeight="1" x14ac:dyDescent="0.2">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1155</v>
      </c>
    </row>
    <row r="231" spans="4:10" ht="20.100000000000001" customHeight="1" x14ac:dyDescent="0.2">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1155</v>
      </c>
    </row>
    <row r="233" spans="4:10" ht="20.100000000000001" customHeight="1" x14ac:dyDescent="0.2">
      <c r="D233" s="2" t="s">
        <v>1172</v>
      </c>
    </row>
    <row r="234" spans="4:10" ht="20.100000000000001" customHeight="1" x14ac:dyDescent="0.2">
      <c r="D234" s="19" t="s">
        <v>1148</v>
      </c>
      <c r="E234" s="19" t="s">
        <v>132</v>
      </c>
      <c r="F234" s="19" t="s">
        <v>1149</v>
      </c>
      <c r="G234" s="19" t="s">
        <v>1150</v>
      </c>
      <c r="H234" s="19" t="s">
        <v>1151</v>
      </c>
      <c r="I234" s="19" t="s">
        <v>1152</v>
      </c>
      <c r="J234" s="19" t="s">
        <v>558</v>
      </c>
    </row>
    <row r="235" spans="4:10" ht="20.100000000000001" customHeight="1" x14ac:dyDescent="0.2">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1155</v>
      </c>
    </row>
    <row r="236" spans="4:10" ht="20.100000000000001" customHeight="1" x14ac:dyDescent="0.2">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1155</v>
      </c>
    </row>
    <row r="237" spans="4:10" ht="20.100000000000001" customHeight="1" x14ac:dyDescent="0.2">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1155</v>
      </c>
    </row>
    <row r="240" spans="4:10" ht="20.100000000000001" customHeight="1" x14ac:dyDescent="0.2">
      <c r="D240" s="2" t="s">
        <v>1173</v>
      </c>
    </row>
    <row r="241" spans="1:18" ht="20.100000000000001" customHeight="1" x14ac:dyDescent="0.2">
      <c r="D241" s="19" t="s">
        <v>1148</v>
      </c>
      <c r="E241" s="19" t="s">
        <v>132</v>
      </c>
      <c r="F241" s="19" t="s">
        <v>1149</v>
      </c>
      <c r="G241" s="19" t="s">
        <v>1150</v>
      </c>
      <c r="H241" s="19" t="s">
        <v>1151</v>
      </c>
      <c r="I241" s="19" t="s">
        <v>1152</v>
      </c>
      <c r="J241" s="19" t="s">
        <v>558</v>
      </c>
      <c r="L241" s="19" t="s">
        <v>132</v>
      </c>
      <c r="M241" s="19" t="s">
        <v>1153</v>
      </c>
      <c r="N241" s="1" t="str">
        <f>"Table_ProductRegions_" &amp; SUBSTITUTE(SUBSTITUTE(SUBSTITUTE(SUBSTITUTE(L242, " ", ""), ",", ""), "(", ""), ")", "")</f>
        <v>Table_ProductRegions_Sardineswhole</v>
      </c>
      <c r="R241" s="1"/>
    </row>
    <row r="242" spans="1:18" ht="20.100000000000001" customHeight="1" x14ac:dyDescent="0.2">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1155</v>
      </c>
      <c r="L242" s="19" t="str">
        <f>Table_SourceData_Scope3_FishFeedAndBait[[#This Row],[Product]]</f>
        <v>Sardines (whole)</v>
      </c>
      <c r="M242" s="19" t="str">
        <f>Table_SourceData_Scope3_FishFeedAndBait[[#This Row],[Region of origin]]</f>
        <v>SA</v>
      </c>
      <c r="R242" s="1"/>
    </row>
    <row r="243" spans="1:18" ht="20.100000000000001" customHeight="1" x14ac:dyDescent="0.2">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1174</v>
      </c>
      <c r="L243" s="1" t="str">
        <f>Table_SourceData_Scope3_FishFeedAndBait[[#This Row],[Product]]</f>
        <v>Sardines (whole)</v>
      </c>
      <c r="M243" s="1" t="str">
        <f>Table_SourceData_Scope3_FishFeedAndBait[[#This Row],[Region of origin]]</f>
        <v>Australia</v>
      </c>
      <c r="R243" s="1"/>
    </row>
    <row r="244" spans="1:18" ht="20.100000000000001" customHeight="1" x14ac:dyDescent="0.2">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1174</v>
      </c>
      <c r="R244" s="1"/>
    </row>
    <row r="245" spans="1:18" ht="20.100000000000001" customHeight="1" x14ac:dyDescent="0.2">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1174</v>
      </c>
      <c r="R245" s="1"/>
    </row>
    <row r="246" spans="1:18" ht="20.100000000000001" customHeight="1" x14ac:dyDescent="0.2">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1174</v>
      </c>
      <c r="R246" s="1"/>
    </row>
    <row r="247" spans="1:18" ht="20.100000000000001" customHeight="1" x14ac:dyDescent="0.2">
      <c r="A247" s="131" t="str">
        <f>HYPERLINK("#A1", "▲ Back to top")</f>
        <v>▲ Back to top</v>
      </c>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1174</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D8060-1E5F-4B07-8DD4-FCDA888238FE}">
  <sheetPr>
    <tabColor theme="2" tint="-0.499984740745262"/>
  </sheetPr>
  <dimension ref="A1:AI68"/>
  <sheetViews>
    <sheetView showGridLines="0" zoomScaleNormal="100" workbookViewId="0">
      <pane xSplit="1" topLeftCell="B1" activePane="topRight" state="frozenSplit"/>
      <selection pane="topRight" activeCell="A247" sqref="A247"/>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917</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
      <c r="D6" s="17" t="str" cm="1">
        <f t="array" ref="D6">WasteSolid_SourceData.Waste_EmissionFactorsForWasteTreatment_Source()</f>
        <v>VEERG 2026: Table A.4.1.1</v>
      </c>
    </row>
    <row r="7" spans="1:35" ht="20.100000000000001" customHeight="1" x14ac:dyDescent="0.2">
      <c r="D7" s="25" t="str" cm="1">
        <f t="array" ref="D7:D13">WasteSolid_SourceData.Waste_EmissionFactorsForWasteTreatment_Variation()</f>
        <v>VARIATION ON SOURCE:</v>
      </c>
    </row>
    <row r="8" spans="1:35" ht="20.100000000000001" customHeight="1" x14ac:dyDescent="0.2">
      <c r="A8" s="7" t="s">
        <v>0</v>
      </c>
      <c r="D8" s="25" t="str">
        <v>Fixed typo 'paper and carboard' to 'paper and cardboard'</v>
      </c>
    </row>
    <row r="9" spans="1:35" ht="20.100000000000001" customHeight="1" x14ac:dyDescent="0.2">
      <c r="A9" s="5" t="str">
        <f>HYPERLINK("#'Input - Enterprise'!A1", "Enterprise")</f>
        <v>Enterprise</v>
      </c>
      <c r="D9" s="25" t="str">
        <v>Fixed typo 'prunnings' to 'prunings'</v>
      </c>
    </row>
    <row r="10" spans="1:35" ht="20.100000000000001" customHeight="1" x14ac:dyDescent="0.2">
      <c r="A10" s="5" t="str">
        <f>HYPERLINK("#'Input - Site'!A1", "Site")</f>
        <v>Site</v>
      </c>
      <c r="D10" s="25" t="str">
        <v>Added EF source column with specific references</v>
      </c>
    </row>
    <row r="11" spans="1:35" ht="20.100000000000001" customHeight="1" x14ac:dyDescent="0.2">
      <c r="A11" s="5" t="str">
        <f>HYPERLINK("#'Input - Swine'!A1", "Swine")</f>
        <v>Swine</v>
      </c>
      <c r="D11" s="25" t="str">
        <v>Added sub-categories for 'Incineration: Food waste, green waste, wood, sludge' in order to use volume to mass conversion factor values</v>
      </c>
    </row>
    <row r="12" spans="1:35" ht="20.100000000000001" customHeight="1" x14ac:dyDescent="0.2">
      <c r="A12" s="5" t="str">
        <f>HYPERLINK("#'Input - Livestock sales'!A1", "Livestock sales")</f>
        <v>Livestock sales</v>
      </c>
      <c r="D12" s="25" t="str">
        <v>Added sub-categories for 'Composting: All organic waste' in order to use volume to mass conversion factor values</v>
      </c>
    </row>
    <row r="13" spans="1:35" ht="20.100000000000001" customHeight="1" x14ac:dyDescent="0.2">
      <c r="A13" s="5" t="str">
        <f>HYPERLINK("#'Input - Pig purchases'!A1", "Pig purchases")</f>
        <v>Pig purchases</v>
      </c>
      <c r="D13" s="25" t="str">
        <v>Added sub-categories for 'Anaerobic digestion: All organic waste' in order to use volume to mass conversion factor values</v>
      </c>
    </row>
    <row r="14" spans="1:35" ht="20.100000000000001" customHeight="1" x14ac:dyDescent="0.2">
      <c r="A14" s="5" t="str">
        <f>HYPERLINK("#'Input - Fuel'!A1", "Fuel")</f>
        <v>Fuel</v>
      </c>
      <c r="D14" s="1" t="str" cm="1">
        <f t="array" ref="D14">WasteSolid_SourceData.Waste_EmissionFactorsForWasteTreatment_Variable()</f>
        <v>EFwt</v>
      </c>
    </row>
    <row r="15" spans="1:35" ht="20.100000000000001" customHeight="1" x14ac:dyDescent="0.2">
      <c r="A15" s="5" t="str">
        <f>HYPERLINK("#'Input - Electricity'!A1", "Electricity")</f>
        <v>Electricity</v>
      </c>
      <c r="D15" s="9" t="str" cm="1">
        <f t="array" ref="D15">WasteSolid_SourceData.Waste_EmissionFactorsForWasteTreatment_Unit()</f>
        <v>t CO2e / t</v>
      </c>
      <c r="I15" s="1" t="s">
        <v>918</v>
      </c>
      <c r="K15" s="1" t="s">
        <v>919</v>
      </c>
      <c r="M15" s="1" t="s">
        <v>920</v>
      </c>
      <c r="O15" s="1" t="s">
        <v>921</v>
      </c>
    </row>
    <row r="16" spans="1:35" ht="20.100000000000001" customHeight="1" x14ac:dyDescent="0.2">
      <c r="A16" s="5" t="str">
        <f>HYPERLINK("#'Input - Common farm inputs'!A1", "Common farm inputs")</f>
        <v>Common farm inputs</v>
      </c>
      <c r="D16" s="19" t="s">
        <v>922</v>
      </c>
      <c r="E16" s="19" t="s">
        <v>923</v>
      </c>
      <c r="F16" s="19" t="s">
        <v>924</v>
      </c>
      <c r="G16" s="19" t="s">
        <v>925</v>
      </c>
      <c r="I16" s="19" t="s">
        <v>923</v>
      </c>
      <c r="K16" s="241" t="s">
        <v>923</v>
      </c>
      <c r="M16" s="241" t="s">
        <v>923</v>
      </c>
      <c r="O16" s="241" t="s">
        <v>923</v>
      </c>
    </row>
    <row r="17" spans="1:15" ht="20.100000000000001" customHeight="1" x14ac:dyDescent="0.2">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HYPERLINK("#'3.5.1.1-2 Enteric Methane'!A1", "3.5.1.1-2 Enteric Methane")</f>
        <v>3.5.1.1-2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
      <c r="A28" s="5" t="str">
        <f>HYPERLINK("#'4.5.1.1-2 Methane'!A1", "4.5.1.1-2 Manure Methane")</f>
        <v>4.5.1.1-2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A29" s="5" t="str">
        <f>HYPERLINK("#'4.5.1.3-4 Direct N2O'!A1", "4.5.1.3-4 Manure Direct N2O")</f>
        <v>4.5.1.3-4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5" t="str">
        <f>HYPERLINK("#'4.5.1.5-6 Atmos Dep'!A1", "4.5.1.5-6 Manure Atmos Dep")</f>
        <v>4.5.1.5-6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HYPERLINK("#'4.5.1.7-8 Leaching and runoff'!A1", "4.5.1.7-8 Manure Leaching and runoff")</f>
        <v>4.5.1.7-8 Manure Leaching and runoff</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HYPERLINK("#'4.5.1.9 Manure applied to soils'!A1", "4.5.1.9 Manure applied to soils")</f>
        <v>4.5.1.9 Manure applied to soils</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42"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A38" s="5" t="str">
        <f>HYPERLINK("#'Calcs - Manure sent off-site'!A1", "Calcs - Manure sent off-site")</f>
        <v>Calcs - Manure sent off-site</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42"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A39" s="5" t="str">
        <f>HYPERLINK("#'5.1.1.1-2 Inorganic fert N2O'!A1", "5.1.1.1-2 Inorganic fert N2O")</f>
        <v>5.1.1.1-2 Inorganic fert N2O</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42"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5" t="str">
        <f>HYPERLINK("#'5.1.1.3-4 Inorganic fert CO2'!A1", "5.1.1.3-4 Inorganic fert CO2")</f>
        <v>5.1.1.3-4 Inorganic fert CO2</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42"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HYPERLINK("#'5.2.1.1-2 Organic Fert N2O'!A1", "5.2.1.1-2 Organic Fert N2O")</f>
        <v>5.2.1.1-2 Organic Fert N2O</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42"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HYPERLINK("#'5.3.1.1-2 Lime CO2'!A1", "5.3.1.1-2 Lime CO2")</f>
        <v>5.3.1.1-2 Lime CO2</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42"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HYPERLINK("#'5.4.1.1-4 Atmos deposition'!A1", "5.4.1.1-4 Atmos deposition")</f>
        <v>5.4.1.1-4 Atmos deposition</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42"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HYPERLINK("#'5.5.1.1-2 Leaching and runoff'!A1", "5.5.1.1-2 Leaching and runoff")</f>
        <v>5.5.1.1-2 Leaching and runoff</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42"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42"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42"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79" t="s">
        <v>1</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42"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A48" s="5" t="str">
        <f>HYPERLINK("#'Constants - Swine'!A1", "Constants - Swine")</f>
        <v>Constants - Swine</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42"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A49" s="5" t="str">
        <f>HYPERLINK("#'Constants - Common livestock'!A1", "Constants - Common Livestock")</f>
        <v>Constants - Common Livestock</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42"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A50" s="5" t="str">
        <f>HYPERLINK("#'Constants - Electricity'!A1", "Constants - Electricity")</f>
        <v>Constants - Electricity</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42"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
      <c r="A51" s="5" t="str">
        <f>HYPERLINK("#'Constants - Fertiliser'!A1", "Constants - Fertiliser")</f>
        <v>Constants - Fertiliser</v>
      </c>
    </row>
    <row r="52" spans="1:7" ht="20.100000000000001" customHeight="1" x14ac:dyDescent="0.2">
      <c r="A52" s="5" t="str">
        <f>HYPERLINK("#'Constants - Fuel'!A1", "Constants - Fuel")</f>
        <v>Constants - Fuel</v>
      </c>
      <c r="D52" s="2" t="str" cm="1">
        <f t="array" ref="D52">WasteSolid_SourceData.Waste_WasteVolumeToMassConversion_Title()</f>
        <v>Volume to mass conversion factor for various waste types</v>
      </c>
    </row>
    <row r="53" spans="1:7" ht="20.100000000000001" customHeight="1" x14ac:dyDescent="0.2">
      <c r="A53" s="5" t="str">
        <f>HYPERLINK("#'Constants - Scope 3'!A1", "Constants - Scope 3")</f>
        <v>Constants - Scope 3</v>
      </c>
      <c r="D53" s="17" t="str" cm="1">
        <f t="array" ref="D53">WasteSolid_SourceData.Waste_WasteVolumeToMassConversion_Source()</f>
        <v>VEERG 2026: Table A.4.1.2</v>
      </c>
    </row>
    <row r="54" spans="1:7" ht="20.100000000000001" customHeight="1" x14ac:dyDescent="0.2">
      <c r="A54" s="80" t="str">
        <f>HYPERLINK("#'Constants - Solid Waste'!A1", "Constants - Solid Waste")</f>
        <v>Constants - Solid Waste</v>
      </c>
      <c r="D54" s="25" t="str" cm="1">
        <f t="array" ref="D54">WasteSolid_SourceData.Waste_WasteVolumeToMassConversion_Variation()</f>
        <v>VARIATION OF SOURCE: Changed column header CFw to VTMw to match title variable.</v>
      </c>
    </row>
    <row r="55" spans="1:7" ht="20.100000000000001" customHeight="1" x14ac:dyDescent="0.2">
      <c r="A55" s="5" t="str">
        <f>HYPERLINK("#'Constants - Common'!A1", "Constants - Common")</f>
        <v>Constants - Common</v>
      </c>
      <c r="D55" s="1" t="str" cm="1">
        <f t="array" ref="D55">WasteSolid_SourceData.Waste_WasteVolumeToMassConversion_Variable()</f>
        <v>VTMw</v>
      </c>
    </row>
    <row r="56" spans="1:7" ht="20.100000000000001" customHeight="1" x14ac:dyDescent="0.2">
      <c r="A56" s="5" t="str">
        <f>HYPERLINK("#'Acknowledgements'!A1", "Acknowledgements")</f>
        <v>Acknowledgements</v>
      </c>
      <c r="D56" s="9" t="str" cm="1">
        <f t="array" ref="D56">WasteSolid_SourceData.Waste_WasteVolumeToMassConversion_Unit()</f>
        <v>t/m3</v>
      </c>
    </row>
    <row r="57" spans="1:7" ht="20.100000000000001" customHeight="1" x14ac:dyDescent="0.2">
      <c r="D57" s="19" t="s">
        <v>923</v>
      </c>
      <c r="E57" s="19" t="s">
        <v>926</v>
      </c>
    </row>
    <row r="58" spans="1:7" ht="20.100000000000001" customHeight="1" x14ac:dyDescent="0.2">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
      <c r="A67" s="131" t="str">
        <f>HYPERLINK("#A1", "▲ Back to top")</f>
        <v>▲ Back to top</v>
      </c>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zoomScaleNormal="100" workbookViewId="0">
      <pane xSplit="1" topLeftCell="B1" activePane="topRight" state="frozenSplit"/>
      <selection pane="topRight" activeCell="A55" sqref="A55"/>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
      <c r="A6"/>
      <c r="D6" s="19" t="s">
        <v>21</v>
      </c>
      <c r="E6" s="19" t="s">
        <v>22</v>
      </c>
      <c r="F6" s="19" t="s">
        <v>23</v>
      </c>
    </row>
    <row r="7" spans="1:65" ht="20.100000000000001" customHeight="1" x14ac:dyDescent="0.2">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Swine'!A1", "Swine")</f>
        <v>Swine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
      <c r="A13" s="5" t="str">
        <f>HYPERLINK("#'Input - Pig purchases'!A1", "Pig purchases")</f>
        <v>Pig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c r="D18" s="2" t="str" cm="1">
        <f t="array" ref="D18">Common_SourceData.Common_SourceData_WASA4Areas_Title()</f>
        <v>ABS Statistcal Areas Level 4 - Western Australia</v>
      </c>
    </row>
    <row r="19" spans="1:4" ht="20.100000000000001" customHeight="1" x14ac:dyDescent="0.2">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Manure sent off-site'!A1", "Manure sent off-site")</f>
        <v>Manure sent off-site</v>
      </c>
      <c r="D20" s="19" t="s">
        <v>24</v>
      </c>
    </row>
    <row r="21" spans="1:4" ht="20.100000000000001" customHeight="1" x14ac:dyDescent="0.2">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100000000000001" customHeight="1" x14ac:dyDescent="0.2">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100000000000001" customHeight="1" x14ac:dyDescent="0.2">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100000000000001" customHeight="1" x14ac:dyDescent="0.2">
      <c r="A24"/>
      <c r="D24" s="19" t="str" cm="1">
        <f t="array" ref="D24">Common_InputFunctions.Utility_DisplayArrayInTable(Common_SourceData.Common_SourceData_WASA4Areas_Data(), Table_WASA4Areas[[#Headers],[SA 4 Name]], 0)</f>
        <v>Perth - North East</v>
      </c>
    </row>
    <row r="25" spans="1:4" ht="20.100000000000001" customHeight="1" x14ac:dyDescent="0.2">
      <c r="A25"/>
      <c r="D25" s="19" t="str" cm="1">
        <f t="array" ref="D25">Common_InputFunctions.Utility_DisplayArrayInTable(Common_SourceData.Common_SourceData_WASA4Areas_Data(), Table_WASA4Areas[[#Headers],[SA 4 Name]], 0)</f>
        <v>Perth - North West</v>
      </c>
    </row>
    <row r="26" spans="1:4" ht="20.100000000000001" customHeight="1" x14ac:dyDescent="0.2">
      <c r="A26" s="6" t="s">
        <v>2</v>
      </c>
      <c r="D26" s="19" t="str" cm="1">
        <f t="array" ref="D26">Common_InputFunctions.Utility_DisplayArrayInTable(Common_SourceData.Common_SourceData_WASA4Areas_Data(), Table_WASA4Areas[[#Headers],[SA 4 Name]], 0)</f>
        <v>Perth - South East</v>
      </c>
    </row>
    <row r="27" spans="1:4" ht="20.100000000000001" customHeight="1" x14ac:dyDescent="0.2">
      <c r="A27" s="5" t="str">
        <f>HYPERLINK("#'3.5.1.1-2 Enteric Methane'!A1", "3.5.1.1-2 Enteric Methane")</f>
        <v>3.5.1.1-2 Enteric Methane</v>
      </c>
      <c r="D27" s="19" t="str" cm="1">
        <f t="array" ref="D27">Common_InputFunctions.Utility_DisplayArrayInTable(Common_SourceData.Common_SourceData_WASA4Areas_Data(), Table_WASA4Areas[[#Headers],[SA 4 Name]], 0)</f>
        <v>Perth - South West</v>
      </c>
    </row>
    <row r="28" spans="1:4" ht="20.100000000000001" customHeight="1" x14ac:dyDescent="0.2">
      <c r="A28" s="5" t="str">
        <f>HYPERLINK("#'4.5.1.1-2 Methane'!A1", "4.5.1.1-2 Manure Methane")</f>
        <v>4.5.1.1-2 Manure Methane</v>
      </c>
      <c r="D28" s="19" t="str" cm="1">
        <f t="array" ref="D28">Common_InputFunctions.Utility_DisplayArrayInTable(Common_SourceData.Common_SourceData_WASA4Areas_Data(), Table_WASA4Areas[[#Headers],[SA 4 Name]], 0)</f>
        <v>Western Australia - Wheat Belt</v>
      </c>
    </row>
    <row r="29" spans="1:4" ht="20.100000000000001" customHeight="1" x14ac:dyDescent="0.2">
      <c r="A29" s="5" t="str">
        <f>HYPERLINK("#'4.5.1.3-4 Direct N2O'!A1", "4.5.1.3-4 Manure Direct N2O")</f>
        <v>4.5.1.3-4 Manure Direct N2O</v>
      </c>
      <c r="D29" s="19" t="str" cm="1">
        <f t="array" ref="D29">Common_InputFunctions.Utility_DisplayArrayInTable(Common_SourceData.Common_SourceData_WASA4Areas_Data(), Table_WASA4Areas[[#Headers],[SA 4 Name]], 0)</f>
        <v>Western Australia - Outback (North)</v>
      </c>
    </row>
    <row r="30" spans="1:4" ht="20.100000000000001" customHeight="1" x14ac:dyDescent="0.2">
      <c r="A30" s="5" t="str">
        <f>HYPERLINK("#'4.5.1.5-6 Atmos Dep'!A1", "4.5.1.5-6 Manure Atmos Dep")</f>
        <v>4.5.1.5-6 Manure Atmos Dep</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HYPERLINK("#'4.5.1.7-8 Leaching and runoff'!A1", "4.5.1.7-8 Manure Leaching and runoff")</f>
        <v>4.5.1.7-8 Manure Leaching and runoff</v>
      </c>
    </row>
    <row r="32" spans="1:4" ht="20.100000000000001" customHeight="1" x14ac:dyDescent="0.2">
      <c r="A32" s="5" t="str">
        <f>HYPERLINK("#'4.5.1.9 Manure applied to soils'!A1", "4.5.1.9 Manure applied to soils")</f>
        <v>4.5.1.9 Manure applied to soils</v>
      </c>
    </row>
    <row r="33" spans="1:8" ht="20.100000000000001" customHeight="1" x14ac:dyDescent="0.2">
      <c r="A33" s="5" t="str">
        <f>HYPERLINK("#'8.1.1.1-2 Transport fuel'!A1", "8.1.1.1-2 Transport fuel")</f>
        <v>8.1.1.1-2 Transport fuel</v>
      </c>
    </row>
    <row r="34" spans="1:8" ht="20.100000000000001" customHeight="1" x14ac:dyDescent="0.2">
      <c r="A34" s="5" t="str">
        <f>HYPERLINK("#'8.2.1.1-2 Stationary fuel'!A1", "8.2.1.1-2 Stationary fuel")</f>
        <v>8.2.1.1-2 Stationary fuel</v>
      </c>
      <c r="D34" s="2" t="str" cm="1">
        <f t="array" ref="D34">Common_SourceData.Common_SourceData_GWP_Title()</f>
        <v>Global warming potential for greenhouse gases</v>
      </c>
    </row>
    <row r="35" spans="1:8" ht="20.100000000000001" customHeight="1" x14ac:dyDescent="0.2">
      <c r="A35" s="5" t="str">
        <f>HYPERLINK("#'10.1.1-2 Solid waste treatment'!A1", "10.1.1.1-2 Solid waste")</f>
        <v>10.1.1.1-2 Solid waste</v>
      </c>
      <c r="D35" s="17" t="str" cm="1">
        <f t="array" ref="D35">Common_SourceData.Common_SourceData_GWP_Source()</f>
        <v>XXXXXXX</v>
      </c>
    </row>
    <row r="36" spans="1:8" ht="20.100000000000001" customHeight="1" x14ac:dyDescent="0.2">
      <c r="A36" s="5" t="str">
        <f>HYPERLINK("#'14.1.1-2 Purchased electricity'!A1", "14.1.1-2 Purchased electricity")</f>
        <v>14.1.1-2 Purchased electricity</v>
      </c>
      <c r="D36" s="19" t="s">
        <v>25</v>
      </c>
      <c r="E36" s="19" t="s">
        <v>26</v>
      </c>
    </row>
    <row r="37" spans="1:8" ht="20.100000000000001" customHeight="1" x14ac:dyDescent="0.2">
      <c r="A37" s="5" t="str">
        <f>HYPERLINK("#'15 Scope 3'!A1", "15 Scope 3")</f>
        <v>15 Scope 3</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
      <c r="A38" s="5" t="str">
        <f>HYPERLINK("#'Calcs - Manure sent off-site'!A1", "Calcs - Manure sent off-site")</f>
        <v>Calcs - Manure sent off-site</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
      <c r="A39" s="5" t="str">
        <f>HYPERLINK("#'5.1.1.1-2 Inorganic fert N2O'!A1", "5.1.1.1-2 Inorganic fert N2O")</f>
        <v>5.1.1.1-2 Inorganic fert N2O</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
      <c r="A40" s="5" t="str">
        <f>HYPERLINK("#'5.1.1.3-4 Inorganic fert CO2'!A1", "5.1.1.3-4 Inorganic fert CO2")</f>
        <v>5.1.1.3-4 Inorganic fert CO2</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
      <c r="A41" s="5" t="str">
        <f>HYPERLINK("#'5.2.1.1-2 Organic Fert N2O'!A1", "5.2.1.1-2 Organic Fert N2O")</f>
        <v>5.2.1.1-2 Organic Fert N2O</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
      <c r="A42" s="5" t="str">
        <f>HYPERLINK("#'5.3.1.1-2 Lime CO2'!A1", "5.3.1.1-2 Lime CO2")</f>
        <v>5.3.1.1-2 Lime CO2</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
      <c r="A43" s="5" t="str">
        <f>HYPERLINK("#'5.4.1.1-4 Atmos deposition'!A1", "5.4.1.1-4 Atmos deposition")</f>
        <v>5.4.1.1-4 Atmos deposition</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
      <c r="A44" s="5" t="str">
        <f>HYPERLINK("#'5.5.1.1-2 Leaching and runoff'!A1", "5.5.1.1-2 Leaching and runoff")</f>
        <v>5.5.1.1-2 Leaching and runoff</v>
      </c>
    </row>
    <row r="45" spans="1:8" ht="20.100000000000001" customHeight="1" x14ac:dyDescent="0.2">
      <c r="A45"/>
      <c r="D45" s="2" t="str" cm="1">
        <f t="array" ref="D45">Common_SourceData.Common_SourceData_ConvertGasElementalToMolecular_Title()</f>
        <v>Factor to convert elemental mass of gas to molecular mass</v>
      </c>
    </row>
    <row r="46" spans="1:8" ht="20.100000000000001" customHeight="1" x14ac:dyDescent="0.2">
      <c r="A46"/>
      <c r="D46" s="17" t="str" cm="1">
        <f t="array" ref="D46">Common_SourceData.Common_SourceData_ConvertGasElementalToMolecular_Source()</f>
        <v>XXXXXXX</v>
      </c>
    </row>
    <row r="47" spans="1:8" ht="20.100000000000001" customHeight="1" x14ac:dyDescent="0.2">
      <c r="A47" s="79" t="s">
        <v>1</v>
      </c>
      <c r="D47" s="19" t="s">
        <v>25</v>
      </c>
      <c r="E47" s="19" t="s">
        <v>27</v>
      </c>
      <c r="F47" s="19" t="s">
        <v>28</v>
      </c>
      <c r="G47" s="19" t="s">
        <v>29</v>
      </c>
      <c r="H47" s="19" t="s">
        <v>30</v>
      </c>
    </row>
    <row r="48" spans="1:8" ht="20.100000000000001" customHeight="1" x14ac:dyDescent="0.2">
      <c r="A48" s="5" t="str">
        <f>HYPERLINK("#'Constants - Swine'!A1", "Constants - Swine")</f>
        <v>Constants - Swine</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
      <c r="A49" s="5" t="str">
        <f>HYPERLINK("#'Constants - Common livestock'!A1", "Constants - Common Livestock")</f>
        <v>Constants - Common Livestock</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
      <c r="A50" s="5" t="str">
        <f>HYPERLINK("#'Constants - Electricity'!A1", "Constants - Electricity")</f>
        <v>Constants - Electricity</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
      <c r="A51" s="5" t="str">
        <f>HYPERLINK("#'Constants - Fertiliser'!A1", "Constants - Fertiliser")</f>
        <v>Constants - Fertiliser</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
      <c r="A52" s="5" t="str">
        <f>HYPERLINK("#'Constants - Fuel'!A1", "Constants - Fuel")</f>
        <v>Constants - Fuel</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
      <c r="A53" s="5" t="str">
        <f>HYPERLINK("#'Constants - Scope 3'!A1", "Constants - Scope 3")</f>
        <v>Constants -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
      <c r="A54" s="5" t="str">
        <f>HYPERLINK("#'Constants - Solid Waste'!A1", "Constants - Solid Waste")</f>
        <v>Constants - Solid Waste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
      <c r="A55" s="80" t="str">
        <f>HYPERLINK("#'Constants - Common'!A1", "Constants - Common")</f>
        <v>Constants - Common</v>
      </c>
    </row>
    <row r="56" spans="1:8" ht="20.100000000000001" customHeight="1" x14ac:dyDescent="0.2">
      <c r="A56" s="5" t="str">
        <f>HYPERLINK("#'Acknowledgements'!A1", "Acknowledgements")</f>
        <v>Acknowledgements</v>
      </c>
    </row>
    <row r="57" spans="1:8" ht="20.100000000000001" customHeight="1" x14ac:dyDescent="0.2">
      <c r="A57"/>
      <c r="D57" s="2" t="str" cm="1">
        <f t="array" ref="D57">Common_SourceData.Common_SourceData_WetAndDryZones_Title()</f>
        <v>VEERG Australian wet and dry zones</v>
      </c>
    </row>
    <row r="58" spans="1:8" ht="20.100000000000001" customHeight="1" x14ac:dyDescent="0.2">
      <c r="A58"/>
      <c r="D58" s="17" t="str" cm="1">
        <f t="array" ref="D58">Common_SourceData.Common_SourceData_WetAndDryZones_Source()</f>
        <v>VEERG 2026: Table 1.2: Translating climate zones to wet and dry zones</v>
      </c>
    </row>
    <row r="59" spans="1:8" ht="20.100000000000001" customHeight="1" x14ac:dyDescent="0.2">
      <c r="A59"/>
      <c r="D59" s="25" t="str" cm="1">
        <f t="array" ref="D59:D61">"⚠️" &amp; Common_SourceData.Common_SourceData_WetAndDryZones_Variation()</f>
        <v>⚠️VARIATION OF SOURCE DATA:</v>
      </c>
    </row>
    <row r="60" spans="1:8" ht="20.100000000000001" customHeight="1" x14ac:dyDescent="0.2">
      <c r="A60"/>
      <c r="D60" s="25" t="str">
        <v>⚠️Added warm / cool temperate moist / dry - low frost and high temp classes to accommodate climate scenarios excluded by VEERG criteria.</v>
      </c>
    </row>
    <row r="61" spans="1:8" ht="20.100000000000001" customHeight="1" x14ac:dyDescent="0.2">
      <c r="A61"/>
      <c r="D61" s="25" t="str">
        <v>⚠️Fixed typo - Changed 'Fry' to 'Dry'.</v>
      </c>
    </row>
    <row r="62" spans="1:8" ht="20.100000000000001" customHeight="1" x14ac:dyDescent="0.2">
      <c r="A62"/>
    </row>
    <row r="63" spans="1:8" ht="20.100000000000001" customHeight="1" x14ac:dyDescent="0.2">
      <c r="A63"/>
      <c r="D63" s="19" t="s">
        <v>31</v>
      </c>
      <c r="E63" s="19" t="s">
        <v>32</v>
      </c>
    </row>
    <row r="64" spans="1:8" ht="20.100000000000001" customHeight="1" x14ac:dyDescent="0.2">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
      <c r="A67" s="131" t="str">
        <f>HYPERLINK("#A1", "▲ Back to top")</f>
        <v>▲ Back to top</v>
      </c>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
      <c r="A97" s="131" t="str">
        <f>HYPERLINK("#A1", "▲ Back to top")</f>
        <v>▲ Back to top</v>
      </c>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9" t="s">
        <v>48</v>
      </c>
      <c r="E109" s="19" t="s">
        <v>33</v>
      </c>
      <c r="F109" s="19" t="s">
        <v>49</v>
      </c>
      <c r="G109" s="19" t="s">
        <v>50</v>
      </c>
    </row>
    <row r="110" spans="1:20" ht="20.100000000000001" customHeight="1" x14ac:dyDescent="0.2">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1"/>
    </row>
    <row r="116" spans="1:66" ht="20.100000000000001" customHeight="1" x14ac:dyDescent="0.2">
      <c r="A116"/>
      <c r="D116" s="17" t="str" cm="1">
        <f t="array" ref="D116">Common_SourceData.Common_SourceData_RainfallZones_Source()</f>
        <v>VEERG 2026: Table 1.3: Climate and Rainfall zone classifications and definitions</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s="131" t="str">
        <f>HYPERLINK("#A1", "▲ Back to top")</f>
        <v>▲ Back to top</v>
      </c>
      <c r="D127" s="19" t="s">
        <v>53</v>
      </c>
      <c r="E127" s="19" t="s">
        <v>54</v>
      </c>
    </row>
    <row r="128" spans="1:66" ht="20.100000000000001" customHeight="1" x14ac:dyDescent="0.2">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
      <c r="A142"/>
      <c r="D142" s="19" t="s">
        <v>57</v>
      </c>
      <c r="E142" s="19" t="s">
        <v>56</v>
      </c>
      <c r="BN142" s="21"/>
    </row>
    <row r="143" spans="1:77" ht="20.100000000000001" customHeight="1" x14ac:dyDescent="0.2">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tr" cm="1">
        <f t="array" ref="D150">Common_SourceData.Common_SourceData_DataScores_Scope3_Title()</f>
        <v>Australian data scores for scope 3</v>
      </c>
      <c r="BN150" s="21"/>
    </row>
    <row r="151" spans="1:66" ht="20.100000000000001" customHeight="1" x14ac:dyDescent="0.2">
      <c r="A151"/>
      <c r="D151" s="17" t="str" cm="1">
        <f t="array" ref="D151">Common_SourceData.Common_SourceData_DataScores_Scope3_Source()</f>
        <v>VEERG 2026: XXXXXXXX</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
      <c r="A157" s="131" t="str">
        <f>HYPERLINK("#A1", "▲ Back to top")</f>
        <v>▲ Back to top</v>
      </c>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tr" cm="1">
        <f t="array" ref="D167">Common_SourceData.Common_SourceData_EFleach_Title()</f>
        <v>Emission factor for nitrogen leaching and runoff</v>
      </c>
      <c r="BN167" s="21"/>
      <c r="BO167" s="21"/>
      <c r="BP167" s="21"/>
    </row>
    <row r="168" spans="1:68" ht="20.100000000000001" customHeight="1" x14ac:dyDescent="0.2">
      <c r="A168"/>
      <c r="D168" s="17" t="str" cm="1">
        <f t="array" ref="D168">Common_SourceData.Common_SourceData_EFleach_Source()</f>
        <v>VEERG 2026:5.5.2.3 Constant Parameters</v>
      </c>
      <c r="BN168" s="21"/>
      <c r="BO168" s="21"/>
      <c r="BP168" s="21"/>
    </row>
    <row r="169" spans="1:68" ht="20.100000000000001" customHeight="1" x14ac:dyDescent="0.2">
      <c r="A169"/>
      <c r="D169" s="17" t="str" cm="1">
        <f t="array" ref="D169">Common_SourceData.Common_SourceData_EFleach_NIRReference()</f>
        <v>National Inventory Report Volume 1: Equation 3.D.B_10</v>
      </c>
      <c r="BN169" s="21"/>
      <c r="BO169" s="21"/>
      <c r="BP169" s="21"/>
    </row>
    <row r="170" spans="1:68" ht="20.100000000000001" customHeight="1" x14ac:dyDescent="0.2">
      <c r="A170"/>
      <c r="D170" s="1" t="str" cm="1">
        <f t="array" ref="D170:E170">Common_SourceData.Common_SourceData_EFleach_Data()</f>
        <v>EFleach</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tr" cm="1">
        <f t="array" ref="D173">Common_SourceData.Common_SourceData_DensityOfMethane_Title()</f>
        <v>p = density of methane</v>
      </c>
      <c r="BN173" s="21"/>
      <c r="BO173" s="21"/>
      <c r="BP173" s="21"/>
    </row>
    <row r="174" spans="1:68" ht="20.100000000000001" customHeight="1" x14ac:dyDescent="0.2">
      <c r="A174"/>
      <c r="D174" s="17" t="str" cm="1">
        <f t="array" ref="D174">Common_SourceData.Common_SourceData_DensityOfMethane_Source()</f>
        <v>National Inventory Report 2023 Volume 1: Equations 3.B.1a_2, 3.B.1c_2, 3.B.3_1, 3.B.4g_2</v>
      </c>
      <c r="BN174" s="21"/>
      <c r="BO174" s="21"/>
      <c r="BP174" s="21"/>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tr" cm="1">
        <f t="array" ref="D178">Common_SourceData.Common_SourceData_EFN2O_Title()</f>
        <v>Nitrous oxide emission factors for inorganic fertiliser application</v>
      </c>
      <c r="BN178" s="21"/>
      <c r="BO178" s="21"/>
      <c r="BP178" s="21"/>
    </row>
    <row r="179" spans="1:68" ht="20.100000000000001" customHeight="1" x14ac:dyDescent="0.2">
      <c r="A179"/>
      <c r="D179" s="17" t="str" cm="1">
        <f t="array" ref="D179">Common_SourceData.Common_SourceData_EFN2O_Source()</f>
        <v>VEERG 2026: Table A.2.2.1</v>
      </c>
      <c r="BN179" s="21"/>
      <c r="BO179" s="21"/>
      <c r="BP179" s="21"/>
    </row>
    <row r="180" spans="1:68" ht="20.100000000000001" customHeight="1" x14ac:dyDescent="0.2">
      <c r="A180"/>
      <c r="D180" s="9" t="str" cm="1">
        <f t="array" ref="D180">Common_SourceData.Common_SourceData_EFN2O_Unit()</f>
        <v>(kg N2O-N / kg N</v>
      </c>
    </row>
    <row r="181" spans="1:68" ht="20.100000000000001" customHeight="1" x14ac:dyDescent="0.2">
      <c r="A181"/>
      <c r="D181" s="25" t="str" cm="1">
        <f t="array" ref="D181:D185">Common_SourceData.Common_SourceData_EFN2O_Variation()</f>
        <v>VARIATION OF SOURCE DATA:</v>
      </c>
    </row>
    <row r="182" spans="1:68" ht="20.100000000000001" customHeight="1" x14ac:dyDescent="0.2">
      <c r="A182"/>
      <c r="D182" s="25" t="str">
        <v>Removed duplicate 'Aquaculture' row.</v>
      </c>
    </row>
    <row r="183" spans="1:68" ht="20.100000000000001" customHeight="1" x14ac:dyDescent="0.2">
      <c r="A183"/>
      <c r="D183" s="25" t="str">
        <v>Removed asterisks to aid lookup.</v>
      </c>
    </row>
    <row r="184" spans="1:68" ht="20.100000000000001" customHeight="1" x14ac:dyDescent="0.2">
      <c r="A184"/>
      <c r="D184" s="25" t="str">
        <v>Added 'production system only', 'rainfall zone' and 'irrigation method' columns to aid lookup.</v>
      </c>
    </row>
    <row r="185" spans="1:68" ht="20.100000000000001" customHeight="1" x14ac:dyDescent="0.2">
      <c r="A185"/>
      <c r="D185" s="25" t="str">
        <v>Duplicated 'non-irrigated pasture' row with same EF for low and high rainfall zones to aid lookup.</v>
      </c>
    </row>
    <row r="186" spans="1:68" ht="20.100000000000001" customHeight="1" x14ac:dyDescent="0.2">
      <c r="A186"/>
      <c r="D186" s="19" t="s">
        <v>60</v>
      </c>
      <c r="E186" s="19" t="s">
        <v>61</v>
      </c>
      <c r="F186" s="19" t="s">
        <v>62</v>
      </c>
      <c r="G186" s="19" t="s">
        <v>63</v>
      </c>
      <c r="H186" s="19" t="s">
        <v>64</v>
      </c>
    </row>
    <row r="187" spans="1:68" ht="20.100000000000001" customHeight="1" x14ac:dyDescent="0.2">
      <c r="A187" s="131" t="str">
        <f>HYPERLINK("#A1", "▲ Back to top")</f>
        <v>▲ Back to top</v>
      </c>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1:68" ht="20.100000000000001" customHeight="1" x14ac:dyDescent="0.2">
      <c r="A188"/>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1:68" ht="20.100000000000001" customHeight="1" x14ac:dyDescent="0.2">
      <c r="A189"/>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1:8" ht="20.100000000000001" customHeight="1" x14ac:dyDescent="0.2">
      <c r="A194"/>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1:8" ht="20.100000000000001" customHeight="1" x14ac:dyDescent="0.2">
      <c r="A19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1:8" ht="20.100000000000001" customHeight="1" x14ac:dyDescent="0.2">
      <c r="A196"/>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1:8" ht="20.100000000000001" customHeight="1" x14ac:dyDescent="0.2">
      <c r="A197"/>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1:8" ht="20.100000000000001" customHeight="1" x14ac:dyDescent="0.2">
      <c r="A198"/>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1:8" ht="20.100000000000001" customHeight="1" x14ac:dyDescent="0.2">
      <c r="A199"/>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5"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19" t="s">
        <v>31</v>
      </c>
      <c r="E206" s="19" t="s">
        <v>65</v>
      </c>
    </row>
    <row r="207" spans="1:8" ht="20.100000000000001" customHeight="1" x14ac:dyDescent="0.2">
      <c r="A207"/>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19" t="s">
        <v>66</v>
      </c>
      <c r="E212" s="19" t="s">
        <v>67</v>
      </c>
    </row>
    <row r="213" spans="1:5" ht="20.100000000000001" customHeight="1" x14ac:dyDescent="0.2">
      <c r="A213"/>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1:5" ht="20.100000000000001" customHeight="1" x14ac:dyDescent="0.2">
      <c r="A217" s="131" t="str">
        <f>HYPERLINK("#A1", "▲ Back to top")</f>
        <v>▲ Back to top</v>
      </c>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s="131" t="str">
        <f>HYPERLINK("#A1", "▲ Back to top")</f>
        <v>▲ Back to top</v>
      </c>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19" t="s">
        <v>84</v>
      </c>
      <c r="E257" s="19" t="s">
        <v>85</v>
      </c>
    </row>
    <row r="258" spans="1:66" ht="20.100000000000001" customHeight="1" x14ac:dyDescent="0.2">
      <c r="A258"/>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154</v>
      </c>
    </row>
    <row r="264" spans="1:66" ht="20.100000000000001" customHeight="1" x14ac:dyDescent="0.2">
      <c r="A264"/>
      <c r="D264" s="1" t="s">
        <v>155</v>
      </c>
    </row>
    <row r="265" spans="1:66" ht="20.100000000000001" customHeight="1" x14ac:dyDescent="0.2">
      <c r="A265"/>
      <c r="D265" s="19" t="s">
        <v>198</v>
      </c>
      <c r="E265" s="19" t="s">
        <v>156</v>
      </c>
      <c r="F265" s="19" t="s">
        <v>157</v>
      </c>
      <c r="G265" s="19" t="s">
        <v>150</v>
      </c>
      <c r="V265" s="1"/>
      <c r="BN265" s="21"/>
    </row>
    <row r="266" spans="1:66" ht="20.100000000000001" customHeight="1" x14ac:dyDescent="0.2">
      <c r="A266"/>
      <c r="D266" s="19" t="s">
        <v>199</v>
      </c>
      <c r="E266" s="19" t="s">
        <v>158</v>
      </c>
      <c r="F266" s="19" t="s">
        <v>159</v>
      </c>
      <c r="G266" s="19">
        <v>5</v>
      </c>
      <c r="V266" s="1"/>
      <c r="BN266" s="21"/>
    </row>
    <row r="267" spans="1:66" ht="20.100000000000001" customHeight="1" x14ac:dyDescent="0.2">
      <c r="A267"/>
      <c r="D267" s="19" t="s">
        <v>200</v>
      </c>
      <c r="E267" s="19" t="s">
        <v>160</v>
      </c>
      <c r="F267" s="19" t="s">
        <v>151</v>
      </c>
      <c r="G267" s="19">
        <v>4</v>
      </c>
      <c r="V267" s="1"/>
      <c r="BN267" s="21"/>
    </row>
    <row r="268" spans="1:66" ht="20.100000000000001" customHeight="1" x14ac:dyDescent="0.2">
      <c r="A268"/>
      <c r="D268" s="19" t="s">
        <v>201</v>
      </c>
      <c r="E268" s="19" t="s">
        <v>161</v>
      </c>
      <c r="F268" s="19" t="s">
        <v>162</v>
      </c>
      <c r="G268" s="19">
        <v>3</v>
      </c>
      <c r="V268" s="1"/>
      <c r="BN268" s="21"/>
    </row>
    <row r="269" spans="1:66" ht="20.100000000000001" customHeight="1" x14ac:dyDescent="0.2">
      <c r="A269"/>
      <c r="D269" s="19" t="s">
        <v>202</v>
      </c>
      <c r="E269" s="19" t="s">
        <v>163</v>
      </c>
      <c r="F269" s="19" t="s">
        <v>164</v>
      </c>
      <c r="G269" s="19">
        <v>2</v>
      </c>
      <c r="V269" s="1"/>
      <c r="BN269" s="21"/>
    </row>
    <row r="270" spans="1:66" ht="20.100000000000001" customHeight="1" x14ac:dyDescent="0.2">
      <c r="A270"/>
      <c r="D270" s="19" t="s">
        <v>203</v>
      </c>
      <c r="E270" s="19" t="s">
        <v>165</v>
      </c>
      <c r="F270" s="19" t="s">
        <v>166</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167</v>
      </c>
    </row>
    <row r="274" spans="1:66" ht="20.100000000000001" customHeight="1" x14ac:dyDescent="0.2">
      <c r="A274"/>
      <c r="D274" s="19" t="s">
        <v>198</v>
      </c>
      <c r="E274" s="19" t="s">
        <v>156</v>
      </c>
      <c r="F274" s="19" t="s">
        <v>157</v>
      </c>
      <c r="G274" s="19" t="s">
        <v>150</v>
      </c>
      <c r="V274" s="1"/>
      <c r="BN274" s="21"/>
    </row>
    <row r="275" spans="1:66" ht="20.100000000000001" customHeight="1" x14ac:dyDescent="0.2">
      <c r="A275"/>
      <c r="D275" s="19" t="s">
        <v>204</v>
      </c>
      <c r="E275" s="19" t="s">
        <v>168</v>
      </c>
      <c r="F275" s="19" t="s">
        <v>152</v>
      </c>
      <c r="G275" s="19">
        <v>5</v>
      </c>
      <c r="V275" s="1"/>
      <c r="BN275" s="21"/>
    </row>
    <row r="276" spans="1:66" ht="20.100000000000001" customHeight="1" x14ac:dyDescent="0.2">
      <c r="A276"/>
      <c r="D276" s="19" t="s">
        <v>205</v>
      </c>
      <c r="E276" s="19" t="s">
        <v>169</v>
      </c>
      <c r="F276" s="19" t="s">
        <v>170</v>
      </c>
      <c r="G276" s="19">
        <v>4</v>
      </c>
      <c r="V276" s="1"/>
      <c r="BN276" s="21"/>
    </row>
    <row r="277" spans="1:66" ht="20.100000000000001" customHeight="1" x14ac:dyDescent="0.2">
      <c r="A277" s="131" t="str">
        <f>HYPERLINK("#A1", "▲ Back to top")</f>
        <v>▲ Back to top</v>
      </c>
      <c r="D277" s="19" t="s">
        <v>206</v>
      </c>
      <c r="E277" s="19" t="s">
        <v>171</v>
      </c>
      <c r="F277" s="19" t="s">
        <v>172</v>
      </c>
      <c r="G277" s="19">
        <v>3</v>
      </c>
      <c r="V277" s="1"/>
      <c r="BN277" s="21"/>
    </row>
    <row r="278" spans="1:66" ht="20.100000000000001" customHeight="1" x14ac:dyDescent="0.2">
      <c r="A278"/>
      <c r="D278" s="19" t="s">
        <v>207</v>
      </c>
      <c r="E278" s="19" t="s">
        <v>173</v>
      </c>
      <c r="F278" s="19" t="s">
        <v>174</v>
      </c>
      <c r="G278" s="19">
        <v>2</v>
      </c>
      <c r="V278" s="1"/>
      <c r="BN278" s="21"/>
    </row>
    <row r="279" spans="1:66" ht="20.100000000000001" customHeight="1" x14ac:dyDescent="0.2">
      <c r="A279"/>
      <c r="D279" s="19" t="s">
        <v>208</v>
      </c>
      <c r="E279" s="19" t="s">
        <v>175</v>
      </c>
      <c r="F279" s="19" t="s">
        <v>176</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177</v>
      </c>
    </row>
    <row r="283" spans="1:66" ht="20.100000000000001" customHeight="1" x14ac:dyDescent="0.2">
      <c r="A283"/>
      <c r="D283" s="19" t="s">
        <v>198</v>
      </c>
      <c r="E283" s="19" t="s">
        <v>156</v>
      </c>
      <c r="F283" s="19" t="s">
        <v>157</v>
      </c>
      <c r="G283" s="19" t="s">
        <v>150</v>
      </c>
      <c r="V283" s="1"/>
      <c r="BN283" s="21"/>
    </row>
    <row r="284" spans="1:66" ht="20.100000000000001" customHeight="1" x14ac:dyDescent="0.2">
      <c r="A284"/>
      <c r="D284" s="19" t="s">
        <v>209</v>
      </c>
      <c r="E284" s="19" t="s">
        <v>178</v>
      </c>
      <c r="F284" s="19" t="s">
        <v>179</v>
      </c>
      <c r="G284" s="19">
        <v>5</v>
      </c>
      <c r="V284" s="1"/>
      <c r="BN284" s="21"/>
    </row>
    <row r="285" spans="1:66" ht="20.100000000000001" customHeight="1" x14ac:dyDescent="0.2">
      <c r="A285"/>
      <c r="D285" s="19" t="s">
        <v>210</v>
      </c>
      <c r="E285" s="19" t="s">
        <v>180</v>
      </c>
      <c r="F285" s="19" t="s">
        <v>181</v>
      </c>
      <c r="G285" s="19">
        <v>4</v>
      </c>
      <c r="V285" s="1"/>
      <c r="BN285" s="21"/>
    </row>
    <row r="286" spans="1:66" ht="20.100000000000001" customHeight="1" x14ac:dyDescent="0.2">
      <c r="A286"/>
      <c r="D286" s="19" t="s">
        <v>211</v>
      </c>
      <c r="E286" s="19" t="s">
        <v>182</v>
      </c>
      <c r="F286" s="19" t="s">
        <v>153</v>
      </c>
      <c r="G286" s="19">
        <v>3</v>
      </c>
      <c r="V286" s="1"/>
      <c r="BN286" s="21"/>
    </row>
    <row r="287" spans="1:66" ht="20.100000000000001" customHeight="1" x14ac:dyDescent="0.2">
      <c r="A287"/>
      <c r="D287" s="19" t="s">
        <v>212</v>
      </c>
      <c r="E287" s="19" t="s">
        <v>183</v>
      </c>
      <c r="F287" s="19" t="s">
        <v>184</v>
      </c>
      <c r="G287" s="19">
        <v>2</v>
      </c>
      <c r="V287" s="1"/>
      <c r="BN287" s="21"/>
    </row>
    <row r="288" spans="1:66" ht="20.100000000000001" customHeight="1" x14ac:dyDescent="0.2">
      <c r="A288"/>
      <c r="D288" s="19" t="s">
        <v>213</v>
      </c>
      <c r="E288" s="19" t="s">
        <v>185</v>
      </c>
      <c r="F288" s="19" t="s">
        <v>186</v>
      </c>
      <c r="G288" s="19">
        <v>1</v>
      </c>
      <c r="V288" s="1"/>
      <c r="BN288" s="21"/>
    </row>
    <row r="289" spans="1:66" ht="20.100000000000001" customHeight="1" x14ac:dyDescent="0.2">
      <c r="A289"/>
    </row>
    <row r="290" spans="1:66" ht="20.100000000000001" customHeight="1" x14ac:dyDescent="0.2">
      <c r="A290"/>
    </row>
    <row r="291" spans="1:66" ht="20.100000000000001" customHeight="1" x14ac:dyDescent="0.2">
      <c r="A291"/>
      <c r="D291" s="1" t="s">
        <v>187</v>
      </c>
    </row>
    <row r="292" spans="1:66" ht="20.100000000000001" customHeight="1" x14ac:dyDescent="0.2">
      <c r="A292"/>
      <c r="D292" s="19" t="s">
        <v>198</v>
      </c>
      <c r="E292" s="19" t="s">
        <v>156</v>
      </c>
      <c r="F292" s="19" t="s">
        <v>157</v>
      </c>
      <c r="G292" s="19" t="s">
        <v>150</v>
      </c>
      <c r="V292" s="1"/>
      <c r="BN292" s="21"/>
    </row>
    <row r="293" spans="1:66" ht="20.100000000000001" customHeight="1" x14ac:dyDescent="0.2">
      <c r="A293"/>
      <c r="D293" s="19" t="s">
        <v>214</v>
      </c>
      <c r="E293" s="19" t="s">
        <v>188</v>
      </c>
      <c r="F293" s="19" t="s">
        <v>189</v>
      </c>
      <c r="G293" s="19">
        <v>5</v>
      </c>
      <c r="V293" s="1"/>
      <c r="BN293" s="21"/>
    </row>
    <row r="294" spans="1:66" ht="20.100000000000001" customHeight="1" x14ac:dyDescent="0.2">
      <c r="A294"/>
      <c r="D294" s="19" t="s">
        <v>215</v>
      </c>
      <c r="E294" s="19" t="s">
        <v>190</v>
      </c>
      <c r="F294" s="19" t="s">
        <v>191</v>
      </c>
      <c r="G294" s="19">
        <v>4</v>
      </c>
      <c r="V294" s="1"/>
      <c r="BN294" s="21"/>
    </row>
    <row r="295" spans="1:66" ht="20.100000000000001" customHeight="1" x14ac:dyDescent="0.2">
      <c r="A295"/>
      <c r="D295" s="19" t="s">
        <v>216</v>
      </c>
      <c r="E295" s="19" t="s">
        <v>192</v>
      </c>
      <c r="F295" s="19" t="s">
        <v>193</v>
      </c>
      <c r="G295" s="19">
        <v>3</v>
      </c>
      <c r="V295" s="1"/>
      <c r="BN295" s="21"/>
    </row>
    <row r="296" spans="1:66" ht="20.100000000000001" customHeight="1" x14ac:dyDescent="0.2">
      <c r="A296"/>
      <c r="D296" s="19" t="s">
        <v>217</v>
      </c>
      <c r="E296" s="19" t="s">
        <v>194</v>
      </c>
      <c r="F296" s="19" t="s">
        <v>195</v>
      </c>
      <c r="G296" s="19">
        <v>2</v>
      </c>
      <c r="V296" s="1"/>
      <c r="BN296" s="21"/>
    </row>
    <row r="297" spans="1:66" ht="20.100000000000001" customHeight="1" x14ac:dyDescent="0.2">
      <c r="A297"/>
      <c r="D297" s="19" t="s">
        <v>218</v>
      </c>
      <c r="E297" s="19" t="s">
        <v>196</v>
      </c>
      <c r="F297" s="19" t="s">
        <v>197</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66218-A9E5-4FA3-94A3-7F28FA8F8759}">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669</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1" t="s">
        <v>303</v>
      </c>
      <c r="E5" s="13" t="s">
        <v>319</v>
      </c>
      <c r="F5" s="16" t="s">
        <v>100</v>
      </c>
    </row>
    <row r="6" spans="1:11" ht="20.100000000000001" customHeight="1" x14ac:dyDescent="0.2">
      <c r="D6" s="1" t="s">
        <v>670</v>
      </c>
      <c r="E6" s="13" t="s">
        <v>671</v>
      </c>
      <c r="F6" s="16" t="s">
        <v>100</v>
      </c>
    </row>
    <row r="7" spans="1:11" ht="20.100000000000001" customHeight="1" x14ac:dyDescent="0.2">
      <c r="D7" s="1" t="s">
        <v>63</v>
      </c>
      <c r="E7" s="13" t="s">
        <v>481</v>
      </c>
      <c r="F7" s="16" t="s">
        <v>100</v>
      </c>
    </row>
    <row r="8" spans="1:11" ht="20.100000000000001" customHeight="1" x14ac:dyDescent="0.2">
      <c r="A8" s="7" t="s">
        <v>0</v>
      </c>
      <c r="D8" s="1" t="s">
        <v>672</v>
      </c>
      <c r="E8" s="74">
        <v>100</v>
      </c>
      <c r="F8" s="16" t="s">
        <v>673</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Swine'!A1", "Swine")</f>
        <v>Swine</v>
      </c>
    </row>
    <row r="12" spans="1:11" ht="20.100000000000001" customHeight="1" x14ac:dyDescent="0.2">
      <c r="A12" s="5" t="str">
        <f>HYPERLINK("#'Input - Livestock sales'!A1", "Livestock sales")</f>
        <v>Livestock sales</v>
      </c>
    </row>
    <row r="13" spans="1:11" ht="20.100000000000001" customHeight="1" x14ac:dyDescent="0.2">
      <c r="A13" s="5" t="str">
        <f>HYPERLINK("#'Input - Pig purchases'!A1", "Pig purchases")</f>
        <v>Pig purchases</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99"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dataValidations count="3">
    <dataValidation type="list" allowBlank="1" showInputMessage="1" showErrorMessage="1" sqref="E5" xr:uid="{BEB05EAA-A33E-46E4-90D7-7FBEFDAFD084}">
      <formula1>INDIRECT("Table_SourceData_Fertiliser_CropProdSystems[Production system]")</formula1>
    </dataValidation>
    <dataValidation type="list" allowBlank="1" showInputMessage="1" showErrorMessage="1" sqref="E7" xr:uid="{F1C0F70F-6EC1-4B32-8D2B-B7B001CC6029}">
      <formula1>INDIRECT("Table_SourceData_Fertiliser_IrrigationMethods[Irrigation method]")</formula1>
    </dataValidation>
    <dataValidation type="list" allowBlank="1" showInputMessage="1" showErrorMessage="1" sqref="E6" xr:uid="{E25100BB-ECBF-4AC4-B336-CEDF9D173FBE}">
      <formula1>INDIRECT("Table_SourceData_Fertiliser_CropTypes[Production system]")</formula1>
    </dataValidation>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4B0A9-B05C-451C-92B7-80A7BB084DB9}">
  <sheetPr>
    <tabColor theme="5" tint="-0.249977111117893"/>
  </sheetPr>
  <dimension ref="A1:AA378"/>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674</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675</v>
      </c>
      <c r="E5" s="24"/>
      <c r="F5" s="24"/>
      <c r="G5" s="24"/>
      <c r="H5" s="24"/>
      <c r="I5" s="24"/>
      <c r="J5" s="24"/>
      <c r="K5" s="24"/>
      <c r="L5" s="24"/>
      <c r="M5" s="24"/>
    </row>
    <row r="6" spans="1:27" ht="20.100000000000001" customHeight="1" x14ac:dyDescent="0.2">
      <c r="D6" s="8"/>
      <c r="E6" s="8"/>
      <c r="F6" s="8"/>
      <c r="G6" s="8"/>
      <c r="H6" s="8"/>
      <c r="I6" s="8"/>
      <c r="J6" s="8"/>
      <c r="K6" s="8"/>
      <c r="L6" s="8"/>
      <c r="M6" s="8"/>
    </row>
    <row r="7" spans="1:27" ht="20.100000000000001" customHeight="1" x14ac:dyDescent="0.2">
      <c r="D7" s="136" t="s">
        <v>676</v>
      </c>
      <c r="E7" s="43"/>
      <c r="F7" s="43"/>
      <c r="G7" s="43"/>
      <c r="H7" s="44"/>
      <c r="I7" s="197"/>
      <c r="J7" s="198"/>
      <c r="K7" s="198"/>
      <c r="L7" s="198"/>
      <c r="M7" s="198"/>
    </row>
    <row r="8" spans="1:27" ht="20.100000000000001" customHeight="1" x14ac:dyDescent="0.2">
      <c r="A8" s="7" t="s">
        <v>0</v>
      </c>
      <c r="D8" s="45" t="s">
        <v>677</v>
      </c>
      <c r="E8" s="46"/>
      <c r="F8" s="46"/>
      <c r="G8" s="46"/>
      <c r="H8" s="47"/>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7" t="s">
        <v>678</v>
      </c>
      <c r="E10" s="8"/>
      <c r="F10" s="8"/>
      <c r="G10" s="8"/>
      <c r="H10" s="8"/>
      <c r="I10" s="8"/>
      <c r="J10" s="8"/>
      <c r="K10" s="8"/>
      <c r="L10" s="8"/>
      <c r="M10" s="8"/>
    </row>
    <row r="11" spans="1:27" ht="20.100000000000001" customHeight="1" x14ac:dyDescent="0.2">
      <c r="A11" s="5" t="str">
        <f>HYPERLINK("#'Input - Swine'!A1", "Swine")</f>
        <v>Swine</v>
      </c>
      <c r="D11" s="199" t="s">
        <v>679</v>
      </c>
      <c r="E11" s="200" t="s">
        <v>680</v>
      </c>
      <c r="F11" s="201" t="s">
        <v>681</v>
      </c>
      <c r="G11" s="200" t="s">
        <v>682</v>
      </c>
      <c r="H11" s="201" t="s">
        <v>683</v>
      </c>
      <c r="I11" s="200" t="s">
        <v>684</v>
      </c>
      <c r="J11" s="199" t="s">
        <v>685</v>
      </c>
      <c r="K11" s="199" t="s">
        <v>686</v>
      </c>
      <c r="L11" s="199" t="s">
        <v>687</v>
      </c>
      <c r="M11" s="199" t="s">
        <v>688</v>
      </c>
      <c r="N11" s="199" t="s">
        <v>689</v>
      </c>
      <c r="O11" s="199" t="s">
        <v>690</v>
      </c>
      <c r="P11" s="199" t="s">
        <v>691</v>
      </c>
      <c r="Q11" s="199" t="s">
        <v>692</v>
      </c>
      <c r="R11" s="199" t="s">
        <v>693</v>
      </c>
      <c r="S11" s="199" t="s">
        <v>694</v>
      </c>
      <c r="T11" s="199" t="s">
        <v>695</v>
      </c>
      <c r="U11" s="199" t="s">
        <v>696</v>
      </c>
      <c r="V11" s="199" t="s">
        <v>697</v>
      </c>
      <c r="W11" s="199" t="s">
        <v>698</v>
      </c>
      <c r="X11" s="199" t="s">
        <v>699</v>
      </c>
      <c r="Y11" s="199" t="s">
        <v>700</v>
      </c>
      <c r="Z11" s="199" t="s">
        <v>701</v>
      </c>
    </row>
    <row r="12" spans="1:27" ht="20.100000000000001" customHeight="1" x14ac:dyDescent="0.2">
      <c r="A12" s="5" t="str">
        <f>HYPERLINK("#'Input - Livestock sales'!A1", "Livestock sales")</f>
        <v>Livestock sales</v>
      </c>
      <c r="D12" s="202" t="s">
        <v>702</v>
      </c>
      <c r="E12" s="203">
        <v>100</v>
      </c>
      <c r="F12" s="15" t="str">
        <f>IFERROR(_xlfn.XLOOKUP(Table_Input_InorganicFertiliser_Brands[[#This Row],[Product (select)]],FertiliserProducts[Product],FertiliserProducts[Unit]), "kg")</f>
        <v>kg</v>
      </c>
      <c r="G12" s="203">
        <f t="shared" ref="G12" si="0">X_Cell_Fertiliser_AreaUnderCropping</f>
        <v>100</v>
      </c>
      <c r="H12" s="204">
        <f>IFERROR(_xlfn.XLOOKUP(Table_Input_InorganicFertiliser_Brands[[#This Row],[Product (select)]],FertiliserProducts[Product],FertiliserProducts[Density]), 1)</f>
        <v>1</v>
      </c>
      <c r="I12" s="205">
        <f>(Table_Input_InorganicFertiliser_Brands[[#This Row],[Amount applied per hectare]]*Table_Input_InorganicFertiliser_Brands[[#This Row],[Density]])*Table_Input_InorganicFertiliser_Brands[[#This Row],[Application area (ha)]]</f>
        <v>10000</v>
      </c>
      <c r="J12" s="205"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5"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5"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5"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5"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5"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5"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5"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5"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5"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5"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5"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5" cm="1">
        <f t="array" ref="W12">IFERROR(Fertiliser_InputFunctions.Fertiliser_FertiliserProductLookup(Table_Input_InorganicFertiliser_Brands[[#This Row],[Product (select)]], "N declared", FertiliserProducts[#Data], FertiliserProducts[Product], FertiliserProducts[#Headers])*0.01, 0)</f>
        <v>0.46</v>
      </c>
      <c r="X12"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5" t="str">
        <f>IFERROR(_xlfn.XLOOKUP(Table_Input_InorganicFertiliser_Brands[[#This Row],[Product (select)]],FertiliserProducts[Product],FertiliserProducts[Urea source]), "")</f>
        <v/>
      </c>
      <c r="Z12" s="205" t="str">
        <f>IFERROR(_xlfn.XLOOKUP(Table_Input_InorganicFertiliser_Brands[[#This Row],[Product (select)]],FertiliserProducts[Product],FertiliserProducts[Ammonia source]), "")</f>
        <v/>
      </c>
    </row>
    <row r="13" spans="1:27" ht="20.100000000000001" customHeight="1" x14ac:dyDescent="0.2">
      <c r="A13" s="5" t="str">
        <f>HYPERLINK("#'Input - Pig purchases'!A1", "Pig purchases")</f>
        <v>Pig purchases</v>
      </c>
      <c r="D13" s="202" t="s">
        <v>703</v>
      </c>
      <c r="E13" s="203">
        <v>100</v>
      </c>
      <c r="F13" s="15" t="str">
        <f>IFERROR(_xlfn.XLOOKUP(Table_Input_InorganicFertiliser_Brands[[#This Row],[Product (select)]],FertiliserProducts[Product],FertiliserProducts[Unit]), "kg")</f>
        <v>kg</v>
      </c>
      <c r="G13" s="203">
        <f t="shared" ref="G13" si="1">X_Cell_Fertiliser_AreaUnderCropping</f>
        <v>100</v>
      </c>
      <c r="H13" s="204">
        <f>IFERROR(_xlfn.XLOOKUP(Table_Input_InorganicFertiliser_Brands[[#This Row],[Product (select)]],FertiliserProducts[Product],FertiliserProducts[Density]), 1)</f>
        <v>1</v>
      </c>
      <c r="I13" s="205">
        <f>(Table_Input_InorganicFertiliser_Brands[[#This Row],[Amount applied per hectare]]*Table_Input_InorganicFertiliser_Brands[[#This Row],[Density]])*Table_Input_InorganicFertiliser_Brands[[#This Row],[Application area (ha)]]</f>
        <v>10000</v>
      </c>
      <c r="J13" s="205"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5"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5"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5"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5"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5"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5"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5"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5"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5"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5"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5"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6" cm="1">
        <f t="array" ref="W13">IFERROR(Fertiliser_InputFunctions.Fertiliser_FertiliserProductLookup(Table_Input_InorganicFertiliser_Brands[[#This Row],[Product (select)]], "N declared", FertiliserProducts[#Data], FertiliserProducts[Product], FertiliserProducts[#Headers])*0.01, 0)</f>
        <v>0.24</v>
      </c>
      <c r="X13"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5" t="str">
        <f>IFERROR(_xlfn.XLOOKUP(Table_Input_InorganicFertiliser_Brands[[#This Row],[Product (select)]],FertiliserProducts[Product],FertiliserProducts[Urea source]), "")</f>
        <v/>
      </c>
      <c r="Z13" s="205" t="str">
        <f>IFERROR(_xlfn.XLOOKUP(Table_Input_InorganicFertiliser_Brands[[#This Row],[Product (select)]],FertiliserProducts[Product],FertiliserProducts[Ammonia source]), "")</f>
        <v/>
      </c>
    </row>
    <row r="14" spans="1:27" ht="20.100000000000001" customHeight="1" x14ac:dyDescent="0.2">
      <c r="A14" s="5" t="str">
        <f>HYPERLINK("#'Input - Fuel'!A1", "Fuel")</f>
        <v>Fuel</v>
      </c>
      <c r="D14" s="202" t="s">
        <v>704</v>
      </c>
      <c r="E14" s="203">
        <v>100</v>
      </c>
      <c r="F14" s="15" t="str">
        <f>IFERROR(_xlfn.XLOOKUP(Table_Input_InorganicFertiliser_Brands[[#This Row],[Product (select)]],FertiliserProducts[Product],FertiliserProducts[Unit]), "kg")</f>
        <v>kg</v>
      </c>
      <c r="G14" s="203">
        <f t="shared" ref="G14" si="2">X_Cell_Fertiliser_AreaUnderCropping</f>
        <v>100</v>
      </c>
      <c r="H14" s="204">
        <f>IFERROR(_xlfn.XLOOKUP(Table_Input_InorganicFertiliser_Brands[[#This Row],[Product (select)]],FertiliserProducts[Product],FertiliserProducts[Density]), 1)</f>
        <v>1</v>
      </c>
      <c r="I14" s="205">
        <f>(Table_Input_InorganicFertiliser_Brands[[#This Row],[Amount applied per hectare]]*Table_Input_InorganicFertiliser_Brands[[#This Row],[Density]])*Table_Input_InorganicFertiliser_Brands[[#This Row],[Application area (ha)]]</f>
        <v>10000</v>
      </c>
      <c r="J14" s="205"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5"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5"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5"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5"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5"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5"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5"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5"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5"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5"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5"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6" cm="1">
        <f t="array" ref="W14">IFERROR(Fertiliser_InputFunctions.Fertiliser_FertiliserProductLookup(Table_Input_InorganicFertiliser_Brands[[#This Row],[Product (select)]], "N declared", FertiliserProducts[#Data], FertiliserProducts[Product], FertiliserProducts[#Headers])*0.01, 0)</f>
        <v>0.17899999999999999</v>
      </c>
      <c r="X14"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5" t="str">
        <f>IFERROR(_xlfn.XLOOKUP(Table_Input_InorganicFertiliser_Brands[[#This Row],[Product (select)]],FertiliserProducts[Product],FertiliserProducts[Urea source]), "")</f>
        <v/>
      </c>
      <c r="Z14" s="205" t="str">
        <f>IFERROR(_xlfn.XLOOKUP(Table_Input_InorganicFertiliser_Brands[[#This Row],[Product (select)]],FertiliserProducts[Product],FertiliserProducts[Ammonia source]), "")</f>
        <v/>
      </c>
    </row>
    <row r="15" spans="1:27" ht="20.100000000000001" customHeight="1" x14ac:dyDescent="0.2">
      <c r="A15" s="5" t="str">
        <f>HYPERLINK("#'Input - Electricity'!A1", "Electricity")</f>
        <v>Electricity</v>
      </c>
      <c r="D15" s="202"/>
      <c r="E15" s="203"/>
      <c r="F15" s="15" t="str">
        <f>IFERROR(_xlfn.XLOOKUP(Table_Input_InorganicFertiliser_Brands[[#This Row],[Product (select)]],FertiliserProducts[Product],FertiliserProducts[Unit]), "kg")</f>
        <v>kg</v>
      </c>
      <c r="G15" s="203">
        <f t="shared" ref="G15" si="3">X_Cell_Fertiliser_AreaUnderCropping</f>
        <v>100</v>
      </c>
      <c r="H15" s="204">
        <f>IFERROR(_xlfn.XLOOKUP(Table_Input_InorganicFertiliser_Brands[[#This Row],[Product (select)]],FertiliserProducts[Product],FertiliserProducts[Density]), 1)</f>
        <v>1</v>
      </c>
      <c r="I15" s="205">
        <f>(Table_Input_InorganicFertiliser_Brands[[#This Row],[Amount applied per hectare]]*Table_Input_InorganicFertiliser_Brands[[#This Row],[Density]])*Table_Input_InorganicFertiliser_Brands[[#This Row],[Application area (ha)]]</f>
        <v>0</v>
      </c>
      <c r="J15" s="205"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5"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5"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5"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5"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5"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5"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5"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5"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5"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5"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5"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6" cm="1">
        <f t="array" ref="W15">IFERROR(Fertiliser_InputFunctions.Fertiliser_FertiliserProductLookup(Table_Input_InorganicFertiliser_Brands[[#This Row],[Product (select)]], "N declared", FertiliserProducts[#Data], FertiliserProducts[Product], FertiliserProducts[#Headers])*0.01, 0)</f>
        <v>0</v>
      </c>
      <c r="X15"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5" t="str">
        <f>IFERROR(_xlfn.XLOOKUP(Table_Input_InorganicFertiliser_Brands[[#This Row],[Product (select)]],FertiliserProducts[Product],FertiliserProducts[Urea source]), "")</f>
        <v/>
      </c>
      <c r="Z15" s="205"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202"/>
      <c r="E16" s="203"/>
      <c r="F16" s="15" t="str">
        <f>IFERROR(_xlfn.XLOOKUP(Table_Input_InorganicFertiliser_Brands[[#This Row],[Product (select)]],FertiliserProducts[Product],FertiliserProducts[Unit]), "kg")</f>
        <v>kg</v>
      </c>
      <c r="G16" s="203">
        <f t="shared" ref="G16" si="4">X_Cell_Fertiliser_AreaUnderCropping</f>
        <v>100</v>
      </c>
      <c r="H16" s="204">
        <f>IFERROR(_xlfn.XLOOKUP(Table_Input_InorganicFertiliser_Brands[[#This Row],[Product (select)]],FertiliserProducts[Product],FertiliserProducts[Density]), 1)</f>
        <v>1</v>
      </c>
      <c r="I16" s="205">
        <f>(Table_Input_InorganicFertiliser_Brands[[#This Row],[Amount applied per hectare]]*Table_Input_InorganicFertiliser_Brands[[#This Row],[Density]])*Table_Input_InorganicFertiliser_Brands[[#This Row],[Application area (ha)]]</f>
        <v>0</v>
      </c>
      <c r="J16" s="205"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5"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5"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5"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5"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5"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5"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5"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5"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5"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5"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5"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6" cm="1">
        <f t="array" ref="W16">IFERROR(Fertiliser_InputFunctions.Fertiliser_FertiliserProductLookup(Table_Input_InorganicFertiliser_Brands[[#This Row],[Product (select)]], "N declared", FertiliserProducts[#Data], FertiliserProducts[Product], FertiliserProducts[#Headers])*0.01, 0)</f>
        <v>0</v>
      </c>
      <c r="X16"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5" t="str">
        <f>IFERROR(_xlfn.XLOOKUP(Table_Input_InorganicFertiliser_Brands[[#This Row],[Product (select)]],FertiliserProducts[Product],FertiliserProducts[Urea source]), "")</f>
        <v/>
      </c>
      <c r="Z16" s="205" t="str">
        <f>IFERROR(_xlfn.XLOOKUP(Table_Input_InorganicFertiliser_Brands[[#This Row],[Product (select)]],FertiliserProducts[Product],FertiliserProducts[Ammonia source]), "")</f>
        <v/>
      </c>
    </row>
    <row r="17" spans="1:26" ht="20.100000000000001" customHeight="1" x14ac:dyDescent="0.2">
      <c r="A17" s="5" t="str">
        <f>HYPERLINK("#'Input - Livestock farm Inputs'!A1", "Livestock farm Inputs")</f>
        <v>Livestock farm Inputs</v>
      </c>
      <c r="D17" s="202"/>
      <c r="E17" s="203"/>
      <c r="F17" s="15" t="str">
        <f>IFERROR(_xlfn.XLOOKUP(Table_Input_InorganicFertiliser_Brands[[#This Row],[Product (select)]],FertiliserProducts[Product],FertiliserProducts[Unit]), "kg")</f>
        <v>kg</v>
      </c>
      <c r="G17" s="203">
        <f t="shared" ref="G17" si="5">X_Cell_Fertiliser_AreaUnderCropping</f>
        <v>100</v>
      </c>
      <c r="H17" s="204">
        <f>IFERROR(_xlfn.XLOOKUP(Table_Input_InorganicFertiliser_Brands[[#This Row],[Product (select)]],FertiliserProducts[Product],FertiliserProducts[Density]), 1)</f>
        <v>1</v>
      </c>
      <c r="I17" s="205">
        <f>(Table_Input_InorganicFertiliser_Brands[[#This Row],[Amount applied per hectare]]*Table_Input_InorganicFertiliser_Brands[[#This Row],[Density]])*Table_Input_InorganicFertiliser_Brands[[#This Row],[Application area (ha)]]</f>
        <v>0</v>
      </c>
      <c r="J17" s="205"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5"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5"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5"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5"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5"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5"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5"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5"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5"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5"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5"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6" cm="1">
        <f t="array" ref="W17">IFERROR(Fertiliser_InputFunctions.Fertiliser_FertiliserProductLookup(Table_Input_InorganicFertiliser_Brands[[#This Row],[Product (select)]], "N declared", FertiliserProducts[#Data], FertiliserProducts[Product], FertiliserProducts[#Headers])*0.01, 0)</f>
        <v>0</v>
      </c>
      <c r="X17"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5" t="str">
        <f>IFERROR(_xlfn.XLOOKUP(Table_Input_InorganicFertiliser_Brands[[#This Row],[Product (select)]],FertiliserProducts[Product],FertiliserProducts[Urea source]), "")</f>
        <v/>
      </c>
      <c r="Z17" s="205"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202"/>
      <c r="E18" s="203"/>
      <c r="F18" s="15" t="str">
        <f>IFERROR(_xlfn.XLOOKUP(Table_Input_InorganicFertiliser_Brands[[#This Row],[Product (select)]],FertiliserProducts[Product],FertiliserProducts[Unit]), "kg")</f>
        <v>kg</v>
      </c>
      <c r="G18" s="203">
        <f t="shared" ref="G18" si="6">X_Cell_Fertiliser_AreaUnderCropping</f>
        <v>100</v>
      </c>
      <c r="H18" s="204">
        <f>IFERROR(_xlfn.XLOOKUP(Table_Input_InorganicFertiliser_Brands[[#This Row],[Product (select)]],FertiliserProducts[Product],FertiliserProducts[Density]), 1)</f>
        <v>1</v>
      </c>
      <c r="I18" s="205">
        <f>(Table_Input_InorganicFertiliser_Brands[[#This Row],[Amount applied per hectare]]*Table_Input_InorganicFertiliser_Brands[[#This Row],[Density]])*Table_Input_InorganicFertiliser_Brands[[#This Row],[Application area (ha)]]</f>
        <v>0</v>
      </c>
      <c r="J18" s="205"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5"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5"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5"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5"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5"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5"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5"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5"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5"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5"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5"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6" cm="1">
        <f t="array" ref="W18">IFERROR(Fertiliser_InputFunctions.Fertiliser_FertiliserProductLookup(Table_Input_InorganicFertiliser_Brands[[#This Row],[Product (select)]], "N declared", FertiliserProducts[#Data], FertiliserProducts[Product], FertiliserProducts[#Headers])*0.01, 0)</f>
        <v>0</v>
      </c>
      <c r="X18"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5" t="str">
        <f>IFERROR(_xlfn.XLOOKUP(Table_Input_InorganicFertiliser_Brands[[#This Row],[Product (select)]],FertiliserProducts[Product],FertiliserProducts[Urea source]), "")</f>
        <v/>
      </c>
      <c r="Z18" s="205"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202"/>
      <c r="E19" s="203"/>
      <c r="F19" s="15" t="str">
        <f>IFERROR(_xlfn.XLOOKUP(Table_Input_InorganicFertiliser_Brands[[#This Row],[Product (select)]],FertiliserProducts[Product],FertiliserProducts[Unit]), "kg")</f>
        <v>kg</v>
      </c>
      <c r="G19" s="203">
        <f t="shared" ref="G19" si="7">X_Cell_Fertiliser_AreaUnderCropping</f>
        <v>100</v>
      </c>
      <c r="H19" s="204">
        <f>IFERROR(_xlfn.XLOOKUP(Table_Input_InorganicFertiliser_Brands[[#This Row],[Product (select)]],FertiliserProducts[Product],FertiliserProducts[Density]), 1)</f>
        <v>1</v>
      </c>
      <c r="I19" s="205">
        <f>(Table_Input_InorganicFertiliser_Brands[[#This Row],[Amount applied per hectare]]*Table_Input_InorganicFertiliser_Brands[[#This Row],[Density]])*Table_Input_InorganicFertiliser_Brands[[#This Row],[Application area (ha)]]</f>
        <v>0</v>
      </c>
      <c r="J19" s="205"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5"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5"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5"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5"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5"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5"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5"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5"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5"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5"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5"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6" cm="1">
        <f t="array" ref="W19">IFERROR(Fertiliser_InputFunctions.Fertiliser_FertiliserProductLookup(Table_Input_InorganicFertiliser_Brands[[#This Row],[Product (select)]], "N declared", FertiliserProducts[#Data], FertiliserProducts[Product], FertiliserProducts[#Headers])*0.01, 0)</f>
        <v>0</v>
      </c>
      <c r="X19"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5" t="str">
        <f>IFERROR(_xlfn.XLOOKUP(Table_Input_InorganicFertiliser_Brands[[#This Row],[Product (select)]],FertiliserProducts[Product],FertiliserProducts[Urea source]), "")</f>
        <v/>
      </c>
      <c r="Z19" s="205" t="str">
        <f>IFERROR(_xlfn.XLOOKUP(Table_Input_InorganicFertiliser_Brands[[#This Row],[Product (select)]],FertiliserProducts[Product],FertiliserProducts[Ammonia source]), "")</f>
        <v/>
      </c>
    </row>
    <row r="20" spans="1:26" ht="20.100000000000001" customHeight="1" x14ac:dyDescent="0.2">
      <c r="A20" s="5" t="str">
        <f>HYPERLINK("#'Input - Manure sent off-site'!A1", "Manure sent off-site")</f>
        <v>Manure sent off-site</v>
      </c>
      <c r="D20" s="202"/>
      <c r="E20" s="203"/>
      <c r="F20" s="15" t="str">
        <f>IFERROR(_xlfn.XLOOKUP(Table_Input_InorganicFertiliser_Brands[[#This Row],[Product (select)]],FertiliserProducts[Product],FertiliserProducts[Unit]), "kg")</f>
        <v>kg</v>
      </c>
      <c r="G20" s="203">
        <f t="shared" ref="G20" si="8">X_Cell_Fertiliser_AreaUnderCropping</f>
        <v>100</v>
      </c>
      <c r="H20" s="204">
        <f>IFERROR(_xlfn.XLOOKUP(Table_Input_InorganicFertiliser_Brands[[#This Row],[Product (select)]],FertiliserProducts[Product],FertiliserProducts[Density]), 1)</f>
        <v>1</v>
      </c>
      <c r="I20" s="205">
        <f>(Table_Input_InorganicFertiliser_Brands[[#This Row],[Amount applied per hectare]]*Table_Input_InorganicFertiliser_Brands[[#This Row],[Density]])*Table_Input_InorganicFertiliser_Brands[[#This Row],[Application area (ha)]]</f>
        <v>0</v>
      </c>
      <c r="J20" s="205"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5"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5"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5"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5"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5"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5"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5"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5"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5"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5"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5"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6" cm="1">
        <f t="array" ref="W20">IFERROR(Fertiliser_InputFunctions.Fertiliser_FertiliserProductLookup(Table_Input_InorganicFertiliser_Brands[[#This Row],[Product (select)]], "N declared", FertiliserProducts[#Data], FertiliserProducts[Product], FertiliserProducts[#Headers])*0.01, 0)</f>
        <v>0</v>
      </c>
      <c r="X20"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5" t="str">
        <f>IFERROR(_xlfn.XLOOKUP(Table_Input_InorganicFertiliser_Brands[[#This Row],[Product (select)]],FertiliserProducts[Product],FertiliserProducts[Urea source]), "")</f>
        <v/>
      </c>
      <c r="Z20" s="205" t="str">
        <f>IFERROR(_xlfn.XLOOKUP(Table_Input_InorganicFertiliser_Brands[[#This Row],[Product (select)]],FertiliserProducts[Product],FertiliserProducts[Ammonia source]), "")</f>
        <v/>
      </c>
    </row>
    <row r="21" spans="1:26" ht="20.100000000000001" customHeight="1" x14ac:dyDescent="0.2">
      <c r="A21" s="5" t="str">
        <f>HYPERLINK("#'Input - Data quality'!A1", "Data quality")</f>
        <v>Data quality</v>
      </c>
      <c r="D21" s="202"/>
      <c r="E21" s="203"/>
      <c r="F21" s="15" t="str">
        <f>IFERROR(_xlfn.XLOOKUP(Table_Input_InorganicFertiliser_Brands[[#This Row],[Product (select)]],FertiliserProducts[Product],FertiliserProducts[Unit]), "kg")</f>
        <v>kg</v>
      </c>
      <c r="G21" s="203">
        <f t="shared" ref="G21" si="9">X_Cell_Fertiliser_AreaUnderCropping</f>
        <v>100</v>
      </c>
      <c r="H21" s="204">
        <f>IFERROR(_xlfn.XLOOKUP(Table_Input_InorganicFertiliser_Brands[[#This Row],[Product (select)]],FertiliserProducts[Product],FertiliserProducts[Density]), 1)</f>
        <v>1</v>
      </c>
      <c r="I21" s="205">
        <f>(Table_Input_InorganicFertiliser_Brands[[#This Row],[Amount applied per hectare]]*Table_Input_InorganicFertiliser_Brands[[#This Row],[Density]])*Table_Input_InorganicFertiliser_Brands[[#This Row],[Application area (ha)]]</f>
        <v>0</v>
      </c>
      <c r="J21" s="205"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5"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5"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5"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5"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5"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5"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5"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5"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5"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5"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5"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5">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6" cm="1">
        <f t="array" ref="W21">IFERROR(Fertiliser_InputFunctions.Fertiliser_FertiliserProductLookup(Table_Input_InorganicFertiliser_Brands[[#This Row],[Product (select)]], "N declared", FertiliserProducts[#Data], FertiliserProducts[Product], FertiliserProducts[#Headers])*0.01, 0)</f>
        <v>0</v>
      </c>
      <c r="X21" s="205">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5" t="str">
        <f>IFERROR(_xlfn.XLOOKUP(Table_Input_InorganicFertiliser_Brands[[#This Row],[Product (select)]],FertiliserProducts[Product],FertiliserProducts[Urea source]), "")</f>
        <v/>
      </c>
      <c r="Z21" s="205" t="str">
        <f>IFERROR(_xlfn.XLOOKUP(Table_Input_InorganicFertiliser_Brands[[#This Row],[Product (select)]],FertiliserProducts[Product],FertiliserProducts[Ammonia source]), "")</f>
        <v/>
      </c>
    </row>
    <row r="22" spans="1:26" ht="20.100000000000001" customHeight="1" x14ac:dyDescent="0.2">
      <c r="A22" s="5" t="str">
        <f>HYPERLINK("#'Input - Fert Prod System'!A1", "Fert Prod System")</f>
        <v>Fert Prod System</v>
      </c>
      <c r="D22" s="207"/>
      <c r="E22" s="208"/>
      <c r="F22" s="209"/>
      <c r="G22" s="209"/>
      <c r="H22" s="209"/>
      <c r="I22" s="209"/>
      <c r="J22" s="210"/>
      <c r="K22" s="210"/>
      <c r="L22" s="211"/>
      <c r="M22" s="211"/>
      <c r="N22" s="145"/>
      <c r="O22" s="145"/>
      <c r="P22" s="145"/>
      <c r="Q22" s="145"/>
      <c r="R22" s="145"/>
      <c r="S22" s="145"/>
      <c r="T22" s="145"/>
      <c r="U22" s="145"/>
      <c r="V22" s="145"/>
      <c r="W22" s="145"/>
      <c r="X22" s="145"/>
    </row>
    <row r="23" spans="1:26" ht="20.100000000000001" customHeight="1" x14ac:dyDescent="0.2">
      <c r="A23" s="99" t="str">
        <f>HYPERLINK("#'Input - Fertiliser'!A1", "Fertiliser")</f>
        <v>Fertiliser</v>
      </c>
      <c r="D23" s="212" t="s">
        <v>705</v>
      </c>
      <c r="E23" s="213"/>
      <c r="F23" s="213"/>
      <c r="G23" s="213"/>
      <c r="H23" s="213"/>
      <c r="I23" s="213"/>
      <c r="J23" s="213"/>
      <c r="K23" s="213"/>
      <c r="L23" s="213"/>
      <c r="M23" s="213"/>
      <c r="N23" s="145"/>
      <c r="O23" s="145"/>
      <c r="P23" s="145"/>
      <c r="Q23" s="145"/>
      <c r="R23" s="145"/>
      <c r="S23" s="145"/>
      <c r="T23" s="145"/>
      <c r="V23" s="145"/>
      <c r="W23" s="145"/>
      <c r="X23" s="145"/>
    </row>
    <row r="24" spans="1:26" ht="20.100000000000001" customHeight="1" x14ac:dyDescent="0.2">
      <c r="D24" s="200" t="s">
        <v>706</v>
      </c>
      <c r="E24" s="200" t="s">
        <v>707</v>
      </c>
      <c r="F24" s="200" t="s">
        <v>682</v>
      </c>
      <c r="G24" s="200" t="s">
        <v>684</v>
      </c>
      <c r="H24" s="200" t="s">
        <v>708</v>
      </c>
      <c r="I24" s="200" t="s">
        <v>686</v>
      </c>
      <c r="J24" s="200" t="s">
        <v>687</v>
      </c>
      <c r="K24" s="200" t="s">
        <v>688</v>
      </c>
      <c r="L24" s="200" t="s">
        <v>689</v>
      </c>
      <c r="M24" s="200" t="s">
        <v>690</v>
      </c>
      <c r="N24" s="200" t="s">
        <v>691</v>
      </c>
      <c r="O24" s="200" t="s">
        <v>692</v>
      </c>
      <c r="P24" s="200" t="s">
        <v>699</v>
      </c>
      <c r="Q24" s="214" t="s">
        <v>709</v>
      </c>
      <c r="R24" s="214" t="s">
        <v>710</v>
      </c>
      <c r="S24" s="145"/>
      <c r="T24" s="145"/>
      <c r="V24" s="145"/>
      <c r="W24" s="145"/>
      <c r="X24" s="145"/>
    </row>
    <row r="25" spans="1:26" ht="20.100000000000001" customHeight="1" x14ac:dyDescent="0.2">
      <c r="D25" s="33" t="s">
        <v>711</v>
      </c>
      <c r="E25" s="200">
        <v>100</v>
      </c>
      <c r="F25" s="203">
        <f t="shared" ref="F25:F34" si="10">X_Cell_Fertiliser_AreaUnderCropping</f>
        <v>100</v>
      </c>
      <c r="G25" s="205">
        <f>Table_Input_InorganicFertiliser_Custom[[#This Row],[Amount applied (kg / ha)]]*Table_Input_InorganicFertiliser_Custom[[#This Row],[Application area (ha)]]</f>
        <v>10000</v>
      </c>
      <c r="H25" s="215" t="s">
        <v>712</v>
      </c>
      <c r="I25" s="216">
        <v>0.5</v>
      </c>
      <c r="J25" s="215" t="s">
        <v>713</v>
      </c>
      <c r="K25" s="216">
        <v>0.2</v>
      </c>
      <c r="L25" s="215" t="s">
        <v>714</v>
      </c>
      <c r="M25" s="216">
        <v>0.2</v>
      </c>
      <c r="N25" s="217" t="s">
        <v>715</v>
      </c>
      <c r="O25" s="18">
        <v>0.1</v>
      </c>
      <c r="P25"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5"/>
    </row>
    <row r="26" spans="1:26" ht="20.100000000000001" customHeight="1" x14ac:dyDescent="0.2">
      <c r="A26" s="6" t="s">
        <v>2</v>
      </c>
      <c r="D26" s="33" t="s">
        <v>716</v>
      </c>
      <c r="E26" s="200">
        <v>100</v>
      </c>
      <c r="F26" s="203">
        <f t="shared" si="10"/>
        <v>100</v>
      </c>
      <c r="G26" s="205">
        <f>Table_Input_InorganicFertiliser_Custom[[#This Row],[Amount applied (kg / ha)]]*Table_Input_InorganicFertiliser_Custom[[#This Row],[Application area (ha)]]</f>
        <v>10000</v>
      </c>
      <c r="H26" s="215" t="s">
        <v>702</v>
      </c>
      <c r="I26" s="218">
        <v>1</v>
      </c>
      <c r="J26" s="215"/>
      <c r="K26" s="218"/>
      <c r="L26" s="215"/>
      <c r="M26" s="218"/>
      <c r="N26" s="217"/>
      <c r="O26" s="18"/>
      <c r="P26"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5"/>
      <c r="W26" s="75"/>
    </row>
    <row r="27" spans="1:26" ht="20.100000000000001" customHeight="1" x14ac:dyDescent="0.2">
      <c r="A27" s="5" t="str">
        <f>HYPERLINK("#'3.5.1.1-2 Enteric Methane'!A1", "3.5.1.1-2 Enteric Methane")</f>
        <v>3.5.1.1-2 Enteric Methane</v>
      </c>
      <c r="D27" s="33" t="s">
        <v>717</v>
      </c>
      <c r="E27" s="200">
        <v>100</v>
      </c>
      <c r="F27" s="203">
        <f t="shared" si="10"/>
        <v>100</v>
      </c>
      <c r="G27" s="205">
        <f>Table_Input_InorganicFertiliser_Custom[[#This Row],[Amount applied (kg / ha)]]*Table_Input_InorganicFertiliser_Custom[[#This Row],[Application area (ha)]]</f>
        <v>10000</v>
      </c>
      <c r="H27" s="215" t="s">
        <v>718</v>
      </c>
      <c r="I27" s="218">
        <v>0.5</v>
      </c>
      <c r="J27" s="215"/>
      <c r="K27" s="218"/>
      <c r="L27" s="215"/>
      <c r="M27" s="218"/>
      <c r="N27" s="217"/>
      <c r="O27" s="18"/>
      <c r="P27"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5"/>
    </row>
    <row r="28" spans="1:26" ht="20.100000000000001" customHeight="1" x14ac:dyDescent="0.2">
      <c r="A28" s="5" t="str">
        <f>HYPERLINK("#'4.5.1.1-2 Methane'!A1", "4.5.1.1-2 Manure Methane")</f>
        <v>4.5.1.1-2 Manure Methane</v>
      </c>
      <c r="D28" s="33"/>
      <c r="E28" s="200"/>
      <c r="F28" s="219">
        <f t="shared" si="10"/>
        <v>100</v>
      </c>
      <c r="G28" s="205">
        <f>Table_Input_InorganicFertiliser_Custom[[#This Row],[Amount applied (kg / ha)]]*Table_Input_InorganicFertiliser_Custom[[#This Row],[Application area (ha)]]</f>
        <v>0</v>
      </c>
      <c r="H28" s="215"/>
      <c r="I28" s="218"/>
      <c r="J28" s="215"/>
      <c r="K28" s="218"/>
      <c r="L28" s="215"/>
      <c r="M28" s="218"/>
      <c r="N28" s="217"/>
      <c r="O28" s="18"/>
      <c r="P28"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
      <c r="A29" s="5" t="str">
        <f>HYPERLINK("#'4.5.1.3-4 Direct N2O'!A1", "4.5.1.3-4 Manure Direct N2O")</f>
        <v>4.5.1.3-4 Manure Direct N2O</v>
      </c>
      <c r="D29" s="33"/>
      <c r="E29" s="200"/>
      <c r="F29" s="219">
        <f t="shared" si="10"/>
        <v>100</v>
      </c>
      <c r="G29" s="205">
        <f>Table_Input_InorganicFertiliser_Custom[[#This Row],[Amount applied (kg / ha)]]*Table_Input_InorganicFertiliser_Custom[[#This Row],[Application area (ha)]]</f>
        <v>0</v>
      </c>
      <c r="H29" s="215"/>
      <c r="I29" s="218"/>
      <c r="J29" s="215"/>
      <c r="K29" s="218"/>
      <c r="L29" s="215"/>
      <c r="M29" s="218"/>
      <c r="N29" s="217"/>
      <c r="O29" s="18"/>
      <c r="P29"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HYPERLINK("#'4.5.1.5-6 Atmos Dep'!A1", "4.5.1.5-6 Manure Atmos Dep")</f>
        <v>4.5.1.5-6 Manure Atmos Dep</v>
      </c>
      <c r="D30" s="33"/>
      <c r="E30" s="200"/>
      <c r="F30" s="219">
        <f t="shared" si="10"/>
        <v>100</v>
      </c>
      <c r="G30" s="205">
        <f>Table_Input_InorganicFertiliser_Custom[[#This Row],[Amount applied (kg / ha)]]*Table_Input_InorganicFertiliser_Custom[[#This Row],[Application area (ha)]]</f>
        <v>0</v>
      </c>
      <c r="H30" s="215"/>
      <c r="I30" s="218"/>
      <c r="J30" s="215"/>
      <c r="K30" s="218"/>
      <c r="L30" s="215"/>
      <c r="M30" s="218"/>
      <c r="N30" s="217"/>
      <c r="O30" s="18"/>
      <c r="P30"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HYPERLINK("#'4.5.1.7-8 Leaching and runoff'!A1", "4.5.1.7-8 Manure Leaching and runoff")</f>
        <v>4.5.1.7-8 Manure Leaching and runoff</v>
      </c>
      <c r="D31" s="33"/>
      <c r="E31" s="200"/>
      <c r="F31" s="219">
        <f t="shared" si="10"/>
        <v>100</v>
      </c>
      <c r="G31" s="205">
        <f>Table_Input_InorganicFertiliser_Custom[[#This Row],[Amount applied (kg / ha)]]*Table_Input_InorganicFertiliser_Custom[[#This Row],[Application area (ha)]]</f>
        <v>0</v>
      </c>
      <c r="H31" s="215"/>
      <c r="I31" s="218"/>
      <c r="J31" s="215"/>
      <c r="K31" s="218"/>
      <c r="L31" s="215"/>
      <c r="M31" s="218"/>
      <c r="N31" s="217"/>
      <c r="O31" s="18"/>
      <c r="P31"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HYPERLINK("#'4.5.1.9 Manure applied to soils'!A1", "4.5.1.9 Manure applied to soils")</f>
        <v>4.5.1.9 Manure applied to soils</v>
      </c>
      <c r="D32" s="33"/>
      <c r="E32" s="200"/>
      <c r="F32" s="219">
        <f t="shared" si="10"/>
        <v>100</v>
      </c>
      <c r="G32" s="205">
        <f>Table_Input_InorganicFertiliser_Custom[[#This Row],[Amount applied (kg / ha)]]*Table_Input_InorganicFertiliser_Custom[[#This Row],[Application area (ha)]]</f>
        <v>0</v>
      </c>
      <c r="H32" s="215"/>
      <c r="I32" s="218"/>
      <c r="J32" s="215"/>
      <c r="K32" s="218"/>
      <c r="L32" s="215"/>
      <c r="M32" s="218"/>
      <c r="N32" s="217"/>
      <c r="O32" s="18"/>
      <c r="P32"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HYPERLINK("#'8.1.1.1-2 Transport fuel'!A1", "8.1.1.1-2 Transport fuel")</f>
        <v>8.1.1.1-2 Transport fuel</v>
      </c>
      <c r="D33" s="33"/>
      <c r="E33" s="200"/>
      <c r="F33" s="219">
        <f t="shared" si="10"/>
        <v>100</v>
      </c>
      <c r="G33" s="205">
        <f>Table_Input_InorganicFertiliser_Custom[[#This Row],[Amount applied (kg / ha)]]*Table_Input_InorganicFertiliser_Custom[[#This Row],[Application area (ha)]]</f>
        <v>0</v>
      </c>
      <c r="H33" s="215"/>
      <c r="I33" s="218"/>
      <c r="J33" s="215"/>
      <c r="K33" s="218"/>
      <c r="L33" s="215"/>
      <c r="M33" s="218"/>
      <c r="N33" s="217"/>
      <c r="O33" s="18"/>
      <c r="P33"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HYPERLINK("#'8.2.1.1-2 Stationary fuel'!A1", "8.2.1.1-2 Stationary fuel")</f>
        <v>8.2.1.1-2 Stationary fuel</v>
      </c>
      <c r="D34" s="33"/>
      <c r="E34" s="200"/>
      <c r="F34" s="219">
        <f t="shared" si="10"/>
        <v>100</v>
      </c>
      <c r="G34" s="205">
        <f>Table_Input_InorganicFertiliser_Custom[[#This Row],[Amount applied (kg / ha)]]*Table_Input_InorganicFertiliser_Custom[[#This Row],[Application area (ha)]]</f>
        <v>0</v>
      </c>
      <c r="H34" s="215"/>
      <c r="I34" s="218"/>
      <c r="J34" s="215"/>
      <c r="K34" s="218"/>
      <c r="L34" s="215"/>
      <c r="M34" s="218"/>
      <c r="N34" s="217"/>
      <c r="O34" s="18"/>
      <c r="P34" s="20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HYPERLINK("#'10.1.1-2 Solid waste treatment'!A1", "10.1.1.1-2 Solid waste")</f>
        <v>10.1.1.1-2 Solid waste</v>
      </c>
    </row>
    <row r="36" spans="1:27" ht="20.100000000000001" customHeight="1" x14ac:dyDescent="0.2">
      <c r="A36" s="5" t="str">
        <f>HYPERLINK("#'14.1.1-2 Purchased electricity'!A1", "14.1.1-2 Purchased electricity")</f>
        <v>14.1.1-2 Purchased electricity</v>
      </c>
      <c r="D36" s="2" t="s">
        <v>719</v>
      </c>
      <c r="E36" s="24"/>
      <c r="F36" s="24"/>
      <c r="G36" s="24"/>
      <c r="H36" s="24"/>
      <c r="I36" s="24"/>
      <c r="J36" s="24"/>
      <c r="K36" s="8"/>
      <c r="L36" s="8"/>
      <c r="M36" s="8"/>
    </row>
    <row r="37" spans="1:27" ht="20.100000000000001" customHeight="1" x14ac:dyDescent="0.2">
      <c r="A37" s="5" t="str">
        <f>HYPERLINK("#'15 Scope 3'!A1", "15 Scope 3")</f>
        <v>15 Scope 3</v>
      </c>
      <c r="D37" s="136" t="s">
        <v>720</v>
      </c>
      <c r="E37" s="43"/>
      <c r="F37" s="44"/>
      <c r="G37" s="136"/>
      <c r="H37" s="44"/>
      <c r="I37" s="24"/>
      <c r="J37" s="24"/>
      <c r="K37" s="8"/>
      <c r="L37" s="8"/>
      <c r="M37" s="24"/>
    </row>
    <row r="38" spans="1:27" ht="20.100000000000001" customHeight="1" x14ac:dyDescent="0.2">
      <c r="A38" s="5" t="str">
        <f>HYPERLINK("#'Calcs - Manure sent off-site'!A1", "Calcs - Manure sent off-site")</f>
        <v>Calcs - Manure sent off-site</v>
      </c>
      <c r="C38" s="145"/>
      <c r="D38" s="220" t="s">
        <v>721</v>
      </c>
      <c r="E38" s="221"/>
      <c r="F38" s="222"/>
      <c r="G38" s="220"/>
      <c r="H38" s="222"/>
      <c r="I38" s="8"/>
      <c r="J38" s="8"/>
      <c r="K38" s="8"/>
      <c r="L38" s="8"/>
      <c r="M38" s="8"/>
    </row>
    <row r="39" spans="1:27" ht="20.100000000000001" customHeight="1" x14ac:dyDescent="0.2">
      <c r="A39" s="5" t="str">
        <f>HYPERLINK("#'5.1.1.1-2 Inorganic fert N2O'!A1", "5.1.1.1-2 Inorganic fert N2O")</f>
        <v>5.1.1.1-2 Inorganic fert N2O</v>
      </c>
      <c r="C39" s="145"/>
      <c r="D39" s="45" t="s">
        <v>677</v>
      </c>
      <c r="E39" s="46"/>
      <c r="F39" s="46"/>
      <c r="G39" s="46"/>
      <c r="H39" s="47"/>
      <c r="I39" s="8"/>
      <c r="J39" s="8"/>
      <c r="K39" s="8"/>
      <c r="L39" s="8"/>
      <c r="M39" s="24"/>
    </row>
    <row r="40" spans="1:27" s="143" customFormat="1" ht="20.100000000000001" customHeight="1" x14ac:dyDescent="0.2">
      <c r="A40" s="5" t="str">
        <f>HYPERLINK("#'5.1.1.3-4 Inorganic fert CO2'!A1", "5.1.1.3-4 Inorganic fert CO2")</f>
        <v>5.1.1.3-4 Inorganic fert CO2</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3" customFormat="1" ht="20.100000000000001" customHeight="1" x14ac:dyDescent="0.2">
      <c r="A41" s="5" t="str">
        <f>HYPERLINK("#'5.2.1.1-2 Organic Fert N2O'!A1", "5.2.1.1-2 Organic Fert N2O")</f>
        <v>5.2.1.1-2 Organic Fert N2O</v>
      </c>
      <c r="C41" s="1"/>
      <c r="D41" s="223" t="s">
        <v>132</v>
      </c>
      <c r="E41" s="223" t="s">
        <v>722</v>
      </c>
      <c r="F41" s="223" t="s">
        <v>682</v>
      </c>
      <c r="G41" s="223" t="s">
        <v>723</v>
      </c>
      <c r="H41" s="223" t="s">
        <v>724</v>
      </c>
      <c r="I41" s="223" t="s">
        <v>725</v>
      </c>
      <c r="J41" s="223" t="s">
        <v>726</v>
      </c>
      <c r="K41" s="223" t="s">
        <v>4</v>
      </c>
      <c r="L41" s="1"/>
      <c r="M41" s="1"/>
      <c r="N41" s="1"/>
      <c r="O41" s="1"/>
      <c r="P41" s="1"/>
      <c r="Q41" s="1"/>
      <c r="R41" s="1"/>
      <c r="S41" s="145"/>
      <c r="T41" s="1"/>
      <c r="U41" s="1"/>
      <c r="V41" s="1"/>
      <c r="W41" s="1"/>
      <c r="X41" s="1"/>
      <c r="Y41" s="1"/>
      <c r="Z41" s="1"/>
      <c r="AA41" s="1"/>
    </row>
    <row r="42" spans="1:27" ht="20.100000000000001" customHeight="1" x14ac:dyDescent="0.2">
      <c r="A42" s="5" t="str">
        <f>HYPERLINK("#'5.3.1.1-2 Lime CO2'!A1", "5.3.1.1-2 Lime CO2")</f>
        <v>5.3.1.1-2 Lime CO2</v>
      </c>
      <c r="D42" s="224" t="s">
        <v>727</v>
      </c>
      <c r="E42" s="203">
        <v>1</v>
      </c>
      <c r="F42" s="203">
        <f>X_Cell_Fertiliser_AreaUnderCropping</f>
        <v>100</v>
      </c>
      <c r="G42" s="205">
        <f>IFERROR(Table_Input_Lime[[#This Row],[Amount applied (t/hectare)]]*Table_Input_Lime[[#This Row],[Application area (ha)]], 0)</f>
        <v>100</v>
      </c>
      <c r="H42" s="225">
        <v>0.8</v>
      </c>
      <c r="I42" s="225">
        <v>0.1</v>
      </c>
      <c r="J42" s="225">
        <v>0.1</v>
      </c>
      <c r="K42" s="226">
        <f>SUM(Table_Input_Lime[[#This Row],[Percent Lime CaCO3]:[Percent Gypsum]])</f>
        <v>1</v>
      </c>
      <c r="S42" s="145"/>
    </row>
    <row r="43" spans="1:27" ht="20.100000000000001" customHeight="1" x14ac:dyDescent="0.2">
      <c r="A43" s="5" t="str">
        <f>HYPERLINK("#'5.4.1.1-4 Atmos deposition'!A1", "5.4.1.1-4 Atmos deposition")</f>
        <v>5.4.1.1-4 Atmos deposition</v>
      </c>
      <c r="D43" s="224" t="s">
        <v>728</v>
      </c>
      <c r="E43" s="203">
        <v>1</v>
      </c>
      <c r="F43" s="203">
        <f>X_Cell_Fertiliser_AreaUnderCropping</f>
        <v>100</v>
      </c>
      <c r="G43" s="205">
        <f>IFERROR(Table_Input_Lime[[#This Row],[Amount applied (t/hectare)]]*Table_Input_Lime[[#This Row],[Application area (ha)]], 0)</f>
        <v>100</v>
      </c>
      <c r="H43" s="225">
        <v>1</v>
      </c>
      <c r="I43" s="225"/>
      <c r="J43" s="225"/>
      <c r="K43" s="226">
        <f>SUM(Table_Input_Lime[[#This Row],[Percent Lime CaCO3]:[Percent Gypsum]])</f>
        <v>1</v>
      </c>
    </row>
    <row r="44" spans="1:27" ht="20.100000000000001" customHeight="1" x14ac:dyDescent="0.2">
      <c r="A44" s="5" t="str">
        <f>HYPERLINK("#'5.5.1.1-2 Leaching and runoff'!A1", "5.5.1.1-2 Leaching and runoff")</f>
        <v>5.5.1.1-2 Leaching and runoff</v>
      </c>
      <c r="D44" s="224" t="s">
        <v>729</v>
      </c>
      <c r="E44" s="203">
        <v>1</v>
      </c>
      <c r="F44" s="203">
        <f>X_Cell_Fertiliser_AreaUnderCropping</f>
        <v>100</v>
      </c>
      <c r="G44" s="205">
        <f>IFERROR(Table_Input_Lime[[#This Row],[Amount applied (t/hectare)]]*Table_Input_Lime[[#This Row],[Application area (ha)]], 0)</f>
        <v>100</v>
      </c>
      <c r="H44" s="225">
        <v>0</v>
      </c>
      <c r="I44" s="225"/>
      <c r="J44" s="225">
        <v>1</v>
      </c>
      <c r="K44" s="226">
        <f>SUM(Table_Input_Lime[[#This Row],[Percent Lime CaCO3]:[Percent Gypsum]])</f>
        <v>1</v>
      </c>
      <c r="L44" s="24"/>
    </row>
    <row r="45" spans="1:27" ht="20.100000000000001" customHeight="1" x14ac:dyDescent="0.2">
      <c r="L45" s="24"/>
      <c r="M45" s="24"/>
    </row>
    <row r="46" spans="1:27" ht="20.100000000000001" customHeight="1" x14ac:dyDescent="0.2">
      <c r="D46" s="8"/>
      <c r="E46" s="8"/>
      <c r="F46" s="8"/>
      <c r="G46" s="8"/>
      <c r="H46" s="8"/>
      <c r="I46" s="8"/>
      <c r="J46" s="8"/>
      <c r="L46" s="8"/>
      <c r="M46" s="24"/>
    </row>
    <row r="47" spans="1:27" ht="20.100000000000001" customHeight="1" x14ac:dyDescent="0.2">
      <c r="A47" s="79" t="s">
        <v>1</v>
      </c>
      <c r="D47" s="8"/>
      <c r="E47" s="8"/>
      <c r="F47" s="8"/>
      <c r="G47" s="8"/>
      <c r="H47" s="8"/>
      <c r="I47" s="8"/>
      <c r="J47" s="227"/>
      <c r="K47" s="24"/>
      <c r="L47" s="8"/>
      <c r="M47" s="8"/>
    </row>
    <row r="48" spans="1:27" ht="20.100000000000001" customHeight="1" x14ac:dyDescent="0.2">
      <c r="A48" s="5" t="str">
        <f>HYPERLINK("#'Constants - Swine'!A1", "Constants - Swine")</f>
        <v>Constants - Swine</v>
      </c>
      <c r="D48" s="2" t="s">
        <v>730</v>
      </c>
      <c r="E48" s="24"/>
      <c r="F48" s="24"/>
      <c r="G48" s="24"/>
      <c r="H48" s="8"/>
      <c r="I48" s="8"/>
      <c r="J48" s="8"/>
      <c r="K48" s="8"/>
      <c r="L48" s="8"/>
      <c r="M48" s="8"/>
    </row>
    <row r="49" spans="1:18" ht="20.100000000000001" customHeight="1" x14ac:dyDescent="0.2">
      <c r="A49" s="5" t="str">
        <f>HYPERLINK("#'Constants - Common livestock'!A1", "Constants - Common Livestock")</f>
        <v>Constants - Common Livestock</v>
      </c>
      <c r="D49" s="8"/>
      <c r="E49" s="8"/>
      <c r="F49" s="8"/>
      <c r="G49" s="8"/>
      <c r="H49" s="8"/>
      <c r="I49" s="8"/>
      <c r="J49" s="8"/>
      <c r="K49" s="8"/>
      <c r="L49" s="8"/>
      <c r="M49" s="8"/>
      <c r="Q49" s="145"/>
      <c r="R49" s="145"/>
    </row>
    <row r="50" spans="1:18" ht="20.100000000000001" customHeight="1" x14ac:dyDescent="0.2">
      <c r="A50" s="5" t="str">
        <f>HYPERLINK("#'Constants - Electricity'!A1", "Constants - Electricity")</f>
        <v>Constants - Electricity</v>
      </c>
      <c r="D50" s="136" t="s">
        <v>720</v>
      </c>
      <c r="E50" s="43"/>
      <c r="F50" s="43"/>
      <c r="G50" s="43"/>
      <c r="H50" s="44"/>
      <c r="I50" s="8"/>
      <c r="J50" s="8"/>
      <c r="K50" s="8"/>
      <c r="L50" s="8"/>
      <c r="M50" s="8"/>
      <c r="O50" s="145"/>
      <c r="P50" s="145"/>
      <c r="Q50" s="145"/>
      <c r="R50" s="145"/>
    </row>
    <row r="51" spans="1:18" ht="20.100000000000001" customHeight="1" x14ac:dyDescent="0.2">
      <c r="A51" s="5" t="str">
        <f>HYPERLINK("#'Constants - Fertiliser'!A1", "Constants - Fertiliser")</f>
        <v>Constants - Fertiliser</v>
      </c>
      <c r="D51" s="45" t="s">
        <v>677</v>
      </c>
      <c r="E51" s="46"/>
      <c r="F51" s="46"/>
      <c r="G51" s="46"/>
      <c r="H51" s="47"/>
      <c r="I51" s="8"/>
      <c r="J51" s="8"/>
      <c r="K51" s="8"/>
      <c r="L51" s="213"/>
      <c r="M51" s="145"/>
      <c r="N51" s="145"/>
      <c r="O51" s="145"/>
      <c r="P51" s="145"/>
    </row>
    <row r="52" spans="1:18" ht="20.100000000000001" customHeight="1" x14ac:dyDescent="0.2">
      <c r="A52" s="5" t="str">
        <f>HYPERLINK("#'Constants - Fuel'!A1", "Constants - Fuel")</f>
        <v>Constants - Fuel</v>
      </c>
      <c r="D52" s="8"/>
      <c r="E52" s="8"/>
      <c r="F52" s="8"/>
      <c r="G52" s="8"/>
      <c r="H52" s="8"/>
      <c r="I52" s="8"/>
      <c r="J52" s="8"/>
      <c r="K52" s="8"/>
      <c r="L52" s="213"/>
      <c r="M52" s="145"/>
      <c r="N52" s="145"/>
    </row>
    <row r="53" spans="1:18" ht="20.100000000000001" customHeight="1" x14ac:dyDescent="0.2">
      <c r="A53" s="5" t="str">
        <f>HYPERLINK("#'Constants - Scope 3'!A1", "Constants - Scope 3")</f>
        <v>Constants - Scope 3</v>
      </c>
      <c r="D53" s="223" t="s">
        <v>731</v>
      </c>
      <c r="E53" s="223" t="s">
        <v>732</v>
      </c>
      <c r="F53" s="223" t="s">
        <v>733</v>
      </c>
      <c r="G53" s="223" t="s">
        <v>734</v>
      </c>
      <c r="H53" s="223" t="s">
        <v>682</v>
      </c>
      <c r="I53" s="223" t="s">
        <v>735</v>
      </c>
      <c r="J53" s="223" t="s">
        <v>736</v>
      </c>
      <c r="K53" s="213"/>
    </row>
    <row r="54" spans="1:18" ht="20.100000000000001" customHeight="1" x14ac:dyDescent="0.2">
      <c r="A54" s="5" t="str">
        <f>HYPERLINK("#'Constants - Solid Waste'!A1", "Constants - Solid Waste")</f>
        <v>Constants - Solid Waste</v>
      </c>
      <c r="D54" s="202" t="s">
        <v>737</v>
      </c>
      <c r="E54" s="225">
        <v>0.3</v>
      </c>
      <c r="F54" s="203">
        <v>10</v>
      </c>
      <c r="G54" s="205">
        <f>Table_Input_OrganicFertiliser[[#This Row],[Amount applied (kg/hectare)]]*Table_Input_OrganicFertiliser[[#This Row],[Percentage of N in fertiliser]]</f>
        <v>3</v>
      </c>
      <c r="H54" s="203">
        <f>X_Cell_Fertiliser_AreaUnderCropping</f>
        <v>100</v>
      </c>
      <c r="I54" s="205">
        <f>Table_Input_OrganicFertiliser[[#This Row],[Amount applied (kg/hectare)]]*Table_Input_OrganicFertiliser[[#This Row],[Application area (ha)]]</f>
        <v>1000</v>
      </c>
      <c r="J54" s="205">
        <f>IFERROR(Table_Input_OrganicFertiliser[[#This Row],[Amount N applied (kg/hectare)]]*Table_Input_OrganicFertiliser[[#This Row],[Application area (ha)]], 0)</f>
        <v>300</v>
      </c>
      <c r="K54" s="213"/>
    </row>
    <row r="55" spans="1:18" ht="20.100000000000001" customHeight="1" x14ac:dyDescent="0.2">
      <c r="A55" s="5" t="str">
        <f>HYPERLINK("#'Constants - Common'!A1", "Constants - Common")</f>
        <v>Constants - Common</v>
      </c>
      <c r="D55" s="202" t="s">
        <v>738</v>
      </c>
      <c r="E55" s="225">
        <v>0.25</v>
      </c>
      <c r="F55" s="203">
        <v>10</v>
      </c>
      <c r="G55" s="205">
        <f>Table_Input_OrganicFertiliser[[#This Row],[Amount applied (kg/hectare)]]*Table_Input_OrganicFertiliser[[#This Row],[Percentage of N in fertiliser]]</f>
        <v>2.5</v>
      </c>
      <c r="H55" s="203">
        <f>X_Cell_Fertiliser_AreaUnderCropping</f>
        <v>100</v>
      </c>
      <c r="I55" s="205">
        <f>Table_Input_OrganicFertiliser[[#This Row],[Amount applied (kg/hectare)]]*Table_Input_OrganicFertiliser[[#This Row],[Application area (ha)]]</f>
        <v>1000</v>
      </c>
      <c r="J55" s="205">
        <f>IFERROR(Table_Input_OrganicFertiliser[[#This Row],[Amount N applied (kg/hectare)]]*Table_Input_OrganicFertiliser[[#This Row],[Application area (ha)]], 0)</f>
        <v>250</v>
      </c>
    </row>
    <row r="56" spans="1:18" ht="20.100000000000001" customHeight="1" x14ac:dyDescent="0.2">
      <c r="A56" s="5" t="str">
        <f>HYPERLINK("#'Acknowledgements'!A1", "Acknowledgements")</f>
        <v>Acknowledgements</v>
      </c>
      <c r="D56" s="202" t="s">
        <v>739</v>
      </c>
      <c r="E56" s="225">
        <v>0.16</v>
      </c>
      <c r="F56" s="203">
        <v>10</v>
      </c>
      <c r="G56" s="205">
        <f>Table_Input_OrganicFertiliser[[#This Row],[Amount applied (kg/hectare)]]*Table_Input_OrganicFertiliser[[#This Row],[Percentage of N in fertiliser]]</f>
        <v>1.6</v>
      </c>
      <c r="H56" s="203">
        <f>X_Cell_Fertiliser_AreaUnderCropping</f>
        <v>100</v>
      </c>
      <c r="I56" s="205">
        <f>Table_Input_OrganicFertiliser[[#This Row],[Amount applied (kg/hectare)]]*Table_Input_OrganicFertiliser[[#This Row],[Application area (ha)]]</f>
        <v>1000</v>
      </c>
      <c r="J56" s="205">
        <f>IFERROR(Table_Input_OrganicFertiliser[[#This Row],[Amount N applied (kg/hectare)]]*Table_Input_OrganicFertiliser[[#This Row],[Application area (ha)]], 0)</f>
        <v>160</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C052F8FA-9647-43D0-B0AA-0656A4DC4375}">
      <formula1>INDIRECT("FertiliserProducts[Product]")</formula1>
    </dataValidation>
    <dataValidation type="list" allowBlank="1" showInputMessage="1" showErrorMessage="1" sqref="Q25:R34" xr:uid="{416EDBBF-E02B-4C76-9CDD-B0C06D87C7C3}">
      <formula1>INDIRECT("Table_SourceData_Fertiliser_UreaAmmoniaSources[Source]")</formula1>
    </dataValidation>
    <dataValidation type="list" allowBlank="1" showInputMessage="1" showErrorMessage="1" sqref="D54:D56" xr:uid="{EF6A5C41-3ADF-4777-A571-D09CAF94BA1C}">
      <formula1>INDIRECT("Table_SourceData_OrganicFertiliserTypes[Organic fertiliser type]")</formula1>
    </dataValidation>
    <dataValidation type="list" allowBlank="1" showInputMessage="1" showErrorMessage="1" sqref="H25:H34 J25:J34 L25:L34 N25:N34" xr:uid="{3AD66235-437E-46B4-826E-BDEF50705F63}">
      <formula1>INDIRECT("Table_Fertiliser_ChemicalCompounds[Fertiliser type f]")</formula1>
    </dataValidation>
    <dataValidation type="list" allowBlank="1" showInputMessage="1" showErrorMessage="1" sqref="E81" xr:uid="{D0610B38-D329-413E-93F3-43E5E7FFDF8A}">
      <formula1>INDIRECT("Table_SourceData_Swine_CropProdSystems[Production system]")</formula1>
    </dataValidation>
    <dataValidation type="list" allowBlank="1" showInputMessage="1" showErrorMessage="1" sqref="E82" xr:uid="{C2267950-6141-4D25-93F8-9D2101DA8C8F}">
      <formula1>INDIRECT("Table_SourceData_Swine_IrrigationMethods[Irrigation method]")</formula1>
    </dataValidation>
    <dataValidation type="list" allowBlank="1" showInputMessage="1" showErrorMessage="1" sqref="E266 E271 E276 E310 E305 E300 E178 E166 E142 E154" xr:uid="{440B2DA3-B90F-4950-AA65-708696DD814A}">
      <formula1>"Yes, No"</formula1>
    </dataValidation>
    <dataValidation type="list" allowBlank="1" showInputMessage="1" showErrorMessage="1" sqref="E242" xr:uid="{CFAA4410-28D5-4347-ADC4-E5A403365D1C}">
      <formula1>INDIRECT("Table_SourceData_Dairy_ProductionSystemTemplates[Area]")</formula1>
    </dataValidation>
    <dataValidation type="list" allowBlank="1" showInputMessage="1" showErrorMessage="1" sqref="D294" xr:uid="{F0C01589-8ED6-4751-839B-E36EC40E1B4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8ADDF-3D25-416E-8A2A-EB279A25151A}">
  <sheetPr>
    <tabColor rgb="FF008000"/>
  </sheetPr>
  <dimension ref="A1:X342"/>
  <sheetViews>
    <sheetView showGridLines="0" zoomScaleNormal="100" workbookViewId="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740</v>
      </c>
      <c r="K1"/>
    </row>
    <row r="2" spans="1:24" s="3" customFormat="1" ht="20.100000000000001" customHeight="1" x14ac:dyDescent="0.2">
      <c r="A2"/>
      <c r="K2"/>
    </row>
    <row r="3" spans="1:24"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741</v>
      </c>
    </row>
    <row r="6" spans="1:24" ht="20.100000000000001" customHeight="1" x14ac:dyDescent="0.2">
      <c r="D6" s="17" t="str" cm="1">
        <f t="array" ref="D6">Fertiliser_Equations_InorganicN2O.VEERG_5_1_1_1__2_MassOfNitrogenInInorganicFertiliser_Source()</f>
        <v>VEERG 2026: 5.1.1.1, Equation (2)</v>
      </c>
      <c r="M6" s="130" t="s">
        <v>742</v>
      </c>
      <c r="N6" s="130"/>
      <c r="O6" s="130"/>
      <c r="P6" s="130"/>
      <c r="Q6" s="130"/>
      <c r="R6" s="130"/>
      <c r="S6" s="130"/>
    </row>
    <row r="7" spans="1:24" ht="20.100000000000001" customHeight="1" x14ac:dyDescent="0.2">
      <c r="D7" s="110" t="s">
        <v>321</v>
      </c>
      <c r="E7" s="110" t="str" cm="1">
        <f t="array" aca="1" ref="E7" ca="1">Common_InputFunctions.Utility_DisplayFunctionName(G19)</f>
        <v>=Fertiliser_Equations_InorganicN2O.VEERG_5_1_1_1__2_MassOfNitrogenInInorganicFertiliser</v>
      </c>
      <c r="M7" s="137" t="s">
        <v>743</v>
      </c>
    </row>
    <row r="8" spans="1:24" ht="20.100000000000001" customHeight="1" x14ac:dyDescent="0.2">
      <c r="A8" s="7" t="s">
        <v>0</v>
      </c>
      <c r="M8" s="138" t="s">
        <v>744</v>
      </c>
    </row>
    <row r="9" spans="1:24" ht="20.100000000000001" customHeight="1" x14ac:dyDescent="0.2">
      <c r="A9" s="5" t="str">
        <f>HYPERLINK("#'Input - Enterprise'!A1", "Enterprise")</f>
        <v>Enterprise</v>
      </c>
      <c r="O9" s="228" t="s">
        <v>745</v>
      </c>
      <c r="P9" s="228" t="s">
        <v>673</v>
      </c>
      <c r="Q9" s="228" t="s">
        <v>746</v>
      </c>
    </row>
    <row r="10" spans="1:24" ht="20.100000000000001" customHeight="1" x14ac:dyDescent="0.2">
      <c r="A10" s="5" t="str">
        <f>HYPERLINK("#'Input - Site'!A1", "Site")</f>
        <v>Site</v>
      </c>
      <c r="D10" s="75" t="s">
        <v>322</v>
      </c>
      <c r="E10" s="1" t="str" cm="1">
        <f t="array" ref="E10">Fertiliser_Equations_InorganicN2O.VEERG_5_1_1_1__2_MassOfNitrogenInInorganicFertiliser_Variable()</f>
        <v>MN_jf</v>
      </c>
      <c r="M10" s="119" t="s">
        <v>747</v>
      </c>
      <c r="N10" s="78" t="s">
        <v>747</v>
      </c>
      <c r="O10" s="78" t="s">
        <v>748</v>
      </c>
      <c r="P10" s="78" t="s">
        <v>749</v>
      </c>
      <c r="Q10" s="119" t="s">
        <v>750</v>
      </c>
    </row>
    <row r="11" spans="1:24" ht="20.100000000000001" customHeight="1" x14ac:dyDescent="0.2">
      <c r="A11" s="5" t="str">
        <f>HYPERLINK("#'Input - Swine'!A1", "Swine")</f>
        <v>Swine</v>
      </c>
      <c r="D11" s="75" t="s">
        <v>118</v>
      </c>
      <c r="E11" s="9" t="str" cm="1">
        <f t="array" ref="E11">Fertiliser_Equations_InorganicN2O.VEERG_5_1_1_1__2_MassOfNitrogenInInorganicFertiliser_Unit()</f>
        <v>kg N</v>
      </c>
      <c r="M11" s="15" t="s">
        <v>751</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
      <c r="A12" s="5" t="str">
        <f>HYPERLINK("#'Input - Livestock sales'!A1", "Livestock sales")</f>
        <v>Livestock sales</v>
      </c>
      <c r="M12" s="15" t="s">
        <v>751</v>
      </c>
      <c r="N12" s="15" t="str">
        <v>Boost-It</v>
      </c>
      <c r="O12" s="15">
        <v>24</v>
      </c>
      <c r="P12" s="15">
        <v>100</v>
      </c>
      <c r="Q12" s="15">
        <f>O12*P12</f>
        <v>2400</v>
      </c>
    </row>
    <row r="13" spans="1:24" ht="20.100000000000001" customHeight="1" x14ac:dyDescent="0.2">
      <c r="A13" s="5" t="str">
        <f>HYPERLINK("#'Input - Pig purchases'!A1", "Pig purchases")</f>
        <v>Pig purchases</v>
      </c>
      <c r="D13" s="111" t="str" cm="1">
        <f t="array" ref="D13:E14">_xlfn.CHOOSECOLS(Fertiliser_Equations_InorganicN2O.VEERG_5_1_1_1__2_MassOfNitrogenInInorganicFertiliser_Arguments(), 1,2)</f>
        <v>TM_jf</v>
      </c>
      <c r="E13" s="111" t="str">
        <v>total mass of inorganic fertiliser type f applied to production system j</v>
      </c>
      <c r="F13" s="111"/>
      <c r="G13" s="111" t="str" cm="1">
        <f t="array" ref="G13:H14">_xlfn.CHOOSECOLS(Fertiliser_Equations_InorganicN2O.VEERG_5_1_1_1__2_MassOfNitrogenInInorganicFertiliser_Arguments(), 3,4)</f>
        <v>kg</v>
      </c>
      <c r="H13" s="123" t="str">
        <v>Input</v>
      </c>
      <c r="I13" s="115" t="str" cm="1">
        <f t="array" aca="1" ref="I13" ca="1">HYPERLINK(Common_InputFunctions.Utility_SourceHyperlink($D$16), $D$16)</f>
        <v>Table_MN_j_f</v>
      </c>
      <c r="M13" s="15" t="s">
        <v>751</v>
      </c>
      <c r="N13" s="15" t="str">
        <v>Cal-Gran 50/50</v>
      </c>
      <c r="O13" s="15">
        <v>17.899999999999999</v>
      </c>
      <c r="P13" s="15">
        <v>100</v>
      </c>
      <c r="Q13" s="15">
        <f t="shared" ref="Q13:Q20" si="0">O13*P13</f>
        <v>1789.9999999999998</v>
      </c>
    </row>
    <row r="14" spans="1:24" ht="20.100000000000001" customHeight="1" x14ac:dyDescent="0.2">
      <c r="A14" s="5" t="str">
        <f>HYPERLINK("#'Input - Fuel'!A1", "Fuel")</f>
        <v>Fuel</v>
      </c>
      <c r="D14" s="111" t="str">
        <v>FN_inorganicf</v>
      </c>
      <c r="E14" s="112" t="str">
        <v xml:space="preserve">fraction of nitrogen in inorganic fertiliser type f </v>
      </c>
      <c r="F14" s="124"/>
      <c r="G14" s="111" t="str">
        <v>kg N/kg</v>
      </c>
      <c r="H14" s="125" t="str">
        <v>Constant</v>
      </c>
      <c r="I14" s="115" t="str" cm="1">
        <f t="array" aca="1" ref="I14" ca="1">HYPERLINK(Common_InputFunctions.Utility_SourceHyperlink($D$16), $D$16)</f>
        <v>Table_MN_j_f</v>
      </c>
      <c r="M14" s="15" t="s">
        <v>751</v>
      </c>
      <c r="N14" s="15">
        <v>0</v>
      </c>
      <c r="O14" s="15">
        <v>0</v>
      </c>
      <c r="P14" s="15">
        <v>0</v>
      </c>
      <c r="Q14" s="15">
        <f t="shared" si="0"/>
        <v>0</v>
      </c>
    </row>
    <row r="15" spans="1:24" ht="20.100000000000001" customHeight="1" x14ac:dyDescent="0.2">
      <c r="A15" s="5" t="str">
        <f>HYPERLINK("#'Input - Electricity'!A1", "Electricity")</f>
        <v>Electricity</v>
      </c>
      <c r="M15" s="15" t="s">
        <v>751</v>
      </c>
      <c r="N15" s="15">
        <v>0</v>
      </c>
      <c r="O15" s="15">
        <v>0</v>
      </c>
      <c r="P15" s="15">
        <v>0</v>
      </c>
      <c r="Q15" s="15">
        <f t="shared" si="0"/>
        <v>0</v>
      </c>
    </row>
    <row r="16" spans="1:24" ht="20.100000000000001" customHeight="1" x14ac:dyDescent="0.2">
      <c r="A16" s="5" t="str">
        <f>HYPERLINK("#'Input - Common farm inputs'!A1", "Common farm inputs")</f>
        <v>Common farm inputs</v>
      </c>
      <c r="D16" s="137" t="s">
        <v>752</v>
      </c>
      <c r="M16" s="15" t="s">
        <v>751</v>
      </c>
      <c r="N16" s="15">
        <v>0</v>
      </c>
      <c r="O16" s="15">
        <v>0</v>
      </c>
      <c r="P16" s="15">
        <v>0</v>
      </c>
      <c r="Q16" s="15">
        <f t="shared" si="0"/>
        <v>0</v>
      </c>
    </row>
    <row r="17" spans="1:17" ht="20.100000000000001" customHeight="1" x14ac:dyDescent="0.2">
      <c r="A17" s="5" t="str">
        <f>HYPERLINK("#'Input - Livestock farm Inputs'!A1", "Livestock farm Inputs")</f>
        <v>Livestock farm Inputs</v>
      </c>
      <c r="D17" s="138" t="s">
        <v>753</v>
      </c>
      <c r="M17" s="15" t="s">
        <v>751</v>
      </c>
      <c r="N17" s="15">
        <v>0</v>
      </c>
      <c r="O17" s="15">
        <v>0</v>
      </c>
      <c r="P17" s="15">
        <v>0</v>
      </c>
      <c r="Q17" s="15">
        <f t="shared" si="0"/>
        <v>0</v>
      </c>
    </row>
    <row r="18" spans="1:17" ht="20.100000000000001" customHeight="1" x14ac:dyDescent="0.2">
      <c r="A18" s="5" t="str">
        <f>HYPERLINK("#'Input - Freight'!A1", "Freight")</f>
        <v>Freight</v>
      </c>
      <c r="D18" s="119" t="s">
        <v>754</v>
      </c>
      <c r="E18" s="78" t="s">
        <v>755</v>
      </c>
      <c r="F18" s="119" t="s">
        <v>756</v>
      </c>
      <c r="G18" s="119" t="s">
        <v>757</v>
      </c>
      <c r="M18" s="15" t="s">
        <v>751</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751</v>
      </c>
      <c r="N19" s="15">
        <v>0</v>
      </c>
      <c r="O19" s="15">
        <v>0</v>
      </c>
      <c r="P19" s="15">
        <v>0</v>
      </c>
      <c r="Q19" s="15">
        <f t="shared" si="0"/>
        <v>0</v>
      </c>
    </row>
    <row r="20" spans="1: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751</v>
      </c>
      <c r="N20" s="15">
        <v>0</v>
      </c>
      <c r="O20" s="15">
        <v>0</v>
      </c>
      <c r="P20" s="15">
        <v>0</v>
      </c>
      <c r="Q20" s="15">
        <f t="shared" si="0"/>
        <v>0</v>
      </c>
    </row>
    <row r="21" spans="1: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758</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758</v>
      </c>
      <c r="N22" s="15" t="str">
        <v>My second custom blend</v>
      </c>
      <c r="O22" s="15">
        <v>46</v>
      </c>
      <c r="P22" s="15">
        <v>100</v>
      </c>
      <c r="Q22" s="15">
        <f>O22*P22</f>
        <v>4600</v>
      </c>
    </row>
    <row r="23" spans="1: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758</v>
      </c>
      <c r="N23" s="15" t="str">
        <v>My third custom blend</v>
      </c>
      <c r="O23" s="15">
        <v>41.174999999999997</v>
      </c>
      <c r="P23" s="15">
        <v>100</v>
      </c>
      <c r="Q23" s="15">
        <f>O23*P23</f>
        <v>4117.5</v>
      </c>
    </row>
    <row r="24" spans="1: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758</v>
      </c>
      <c r="N24" s="15">
        <v>0</v>
      </c>
      <c r="O24" s="15">
        <v>0</v>
      </c>
      <c r="P24" s="15">
        <v>0</v>
      </c>
      <c r="Q24" s="15">
        <f>O24*P24</f>
        <v>0</v>
      </c>
    </row>
    <row r="25" spans="1: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758</v>
      </c>
      <c r="N25" s="15">
        <v>0</v>
      </c>
      <c r="O25" s="15">
        <v>0</v>
      </c>
      <c r="P25" s="15">
        <v>0</v>
      </c>
      <c r="Q25" s="15">
        <f>O25*P25</f>
        <v>0</v>
      </c>
    </row>
    <row r="26" spans="1: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758</v>
      </c>
      <c r="N26" s="15">
        <v>0</v>
      </c>
      <c r="O26" s="15">
        <v>0</v>
      </c>
      <c r="P26" s="15">
        <v>0</v>
      </c>
      <c r="Q26" s="15">
        <f t="shared" ref="Q26:Q30" si="1">O26*P26</f>
        <v>0</v>
      </c>
    </row>
    <row r="27" spans="1:17" ht="20.100000000000001" customHeight="1" x14ac:dyDescent="0.2">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758</v>
      </c>
      <c r="N27" s="15">
        <v>0</v>
      </c>
      <c r="O27" s="15">
        <v>0</v>
      </c>
      <c r="P27" s="15">
        <v>0</v>
      </c>
      <c r="Q27" s="15">
        <f t="shared" si="1"/>
        <v>0</v>
      </c>
    </row>
    <row r="28" spans="1:17" ht="20.100000000000001" customHeight="1" x14ac:dyDescent="0.2">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758</v>
      </c>
      <c r="N28" s="15">
        <v>0</v>
      </c>
      <c r="O28" s="15">
        <v>0</v>
      </c>
      <c r="P28" s="15">
        <v>0</v>
      </c>
      <c r="Q28" s="15">
        <f t="shared" si="1"/>
        <v>0</v>
      </c>
    </row>
    <row r="29" spans="1:17" ht="20.100000000000001" customHeight="1" x14ac:dyDescent="0.2">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758</v>
      </c>
      <c r="N29" s="15">
        <v>0</v>
      </c>
      <c r="O29" s="15">
        <v>0</v>
      </c>
      <c r="P29" s="15">
        <v>0</v>
      </c>
      <c r="Q29" s="15">
        <f t="shared" si="1"/>
        <v>0</v>
      </c>
    </row>
    <row r="30" spans="1:17" ht="20.100000000000001" customHeight="1" x14ac:dyDescent="0.2">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758</v>
      </c>
      <c r="N30" s="15">
        <v>0</v>
      </c>
      <c r="O30" s="15">
        <v>0</v>
      </c>
      <c r="P30" s="15">
        <v>0</v>
      </c>
      <c r="Q30" s="15">
        <f t="shared" si="1"/>
        <v>0</v>
      </c>
    </row>
    <row r="31" spans="1:17" ht="20.100000000000001" customHeight="1" x14ac:dyDescent="0.2">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759</v>
      </c>
      <c r="N33" s="82">
        <f>SUM(Q11:Q30)</f>
        <v>18282.5</v>
      </c>
    </row>
    <row r="34" spans="1:24"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760</v>
      </c>
      <c r="N34" s="1">
        <f>MAX(P11:P30)</f>
        <v>100</v>
      </c>
    </row>
    <row r="35" spans="1:24"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761</v>
      </c>
      <c r="N35" s="1">
        <f>N33/N34</f>
        <v>182.82499999999999</v>
      </c>
    </row>
    <row r="36" spans="1:24"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100000000000001" customHeight="1" x14ac:dyDescent="0.2">
      <c r="A38" s="5" t="str">
        <f>HYPERLINK("#'Calcs - Manure sent off-site'!A1", "Calcs - Manure sent off-site")</f>
        <v>Calcs - Manure sent off-site</v>
      </c>
    </row>
    <row r="39" spans="1:24" ht="20.100000000000001" customHeight="1" x14ac:dyDescent="0.2">
      <c r="A39" s="116" t="str">
        <f>HYPERLINK("#'5.1.1.1-2 Inorganic fert N2O'!A1", "5.1.1.1-2 Inorganic fert N2O")</f>
        <v>5.1.1.1-2 Inorganic fert N2O</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100000000000001" customHeight="1" x14ac:dyDescent="0.2">
      <c r="A40" s="5" t="str">
        <f>HYPERLINK("#'5.1.1.3-4 Inorganic fert CO2'!A1", "5.1.1.3-4 Inorganic fert CO2")</f>
        <v>5.1.1.3-4 Inorganic fert CO2</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HYPERLINK("#'5.2.1.1-2 Organic Fert N2O'!A1", "5.2.1.1-2 Organic Fert N2O")</f>
        <v>5.2.1.1-2 Organic Fert N2O</v>
      </c>
      <c r="D41" s="17" t="str" cm="1">
        <f t="array" ref="D41">Fertiliser_Equations_InorganicN2O.VEERG_5_1_1_1__1_InorganicFertiliserApplicationN2OEmissions_Source()</f>
        <v>VEERG 2026: 5.1.1.1, Equation (1)</v>
      </c>
    </row>
    <row r="42" spans="1:24" ht="20.100000000000001" customHeight="1" x14ac:dyDescent="0.2">
      <c r="A42" s="5" t="str">
        <f>HYPERLINK("#'5.3.1.1-2 Lime CO2'!A1", "5.3.1.1-2 Lime CO2")</f>
        <v>5.3.1.1-2 Lime CO2</v>
      </c>
      <c r="D42" s="110" t="s">
        <v>321</v>
      </c>
      <c r="E42" s="110"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HYPERLINK("#'5.4.1.1-4 Atmos deposition'!A1", "5.4.1.1-4 Atmos deposition")</f>
        <v>5.4.1.1-4 Atmos deposition</v>
      </c>
      <c r="F43" s="16"/>
      <c r="M43" s="75" t="s">
        <v>322</v>
      </c>
      <c r="N43" s="1" t="str" cm="1">
        <f t="array" ref="N43">Fertiliser_Equations_InorganicN2O.VEERG_5_1_1_2__1_EmissionFactorIrrigatedMaize_Variable()</f>
        <v>EF_fjIrrigatedMaizeN2O</v>
      </c>
    </row>
    <row r="44" spans="1:24" ht="20.100000000000001" customHeight="1" x14ac:dyDescent="0.2">
      <c r="A44" s="5" t="str">
        <f>HYPERLINK("#'5.5.1.1-2 Leaching and runoff'!A1", "5.5.1.1-2 Leaching and runoff")</f>
        <v>5.5.1.1-2 Leaching and runoff</v>
      </c>
      <c r="F44" s="16"/>
      <c r="M44" s="75" t="s">
        <v>118</v>
      </c>
      <c r="N44" s="9" t="str" cm="1">
        <f t="array" ref="N44">Fertiliser_Equations_InorganicN2O.VEERG_5_1_1_2__1_EmissionFactorIrrigatedMaize_Unit()</f>
        <v>kg N2O-N/kg N applied</v>
      </c>
    </row>
    <row r="45" spans="1:24" ht="20.100000000000001" customHeight="1" x14ac:dyDescent="0.2">
      <c r="F45" s="16"/>
    </row>
    <row r="46" spans="1:24" ht="20.100000000000001" customHeight="1" x14ac:dyDescent="0.2">
      <c r="D46" s="75" t="s">
        <v>322</v>
      </c>
      <c r="E46" s="1" t="str" cm="1">
        <f t="array" ref="E46">Fertiliser_Equations_InorganicN2O.VEERG_5_1_1_1__1_InorganicFertiliserApplicationN2OEmissions_Variable()</f>
        <v>E_N2O</v>
      </c>
      <c r="F46" s="16"/>
      <c r="M46" s="111" t="str" cm="1">
        <f t="array" ref="M46:N47">_xlfn.CHOOSECOLS(Fertiliser_Equations_InorganicN2O.VEERG_5_1_1_2__1_EmissionFactorIrrigatedMaize_Arguments(), 1, 2)</f>
        <v>N_fjIrrigatedMaize</v>
      </c>
      <c r="N46" s="112" t="str">
        <v>application rate of inorganic fertiliser type f in the irrigated maize crop</v>
      </c>
      <c r="O46" s="113"/>
      <c r="P46" s="111" t="str" cm="1">
        <f t="array" ref="P46:Q47">_xlfn.CHOOSECOLS(Fertiliser_Equations_InorganicN2O.VEERG_5_1_1_2__1_EmissionFactorIrrigatedMaize_Arguments(), 3,4)</f>
        <v>kg N/ha</v>
      </c>
      <c r="Q46" s="123" t="str">
        <v>Input</v>
      </c>
      <c r="R46" s="128">
        <f>$N$35</f>
        <v>182.82499999999999</v>
      </c>
      <c r="S46" s="229"/>
    </row>
    <row r="47" spans="1:24" ht="20.100000000000001" customHeight="1" x14ac:dyDescent="0.2">
      <c r="A47" s="79" t="s">
        <v>1</v>
      </c>
      <c r="D47" s="75" t="s">
        <v>118</v>
      </c>
      <c r="E47" s="9" t="str" cm="1">
        <f t="array" ref="E47">Fertiliser_Equations_InorganicN2O.VEERG_5_1_1_1__1_InorganicFertiliserApplicationN2OEmissions_Unit()</f>
        <v>t N2O</v>
      </c>
      <c r="F47" s="16"/>
      <c r="M47" s="111" t="str">
        <v>f</v>
      </c>
      <c r="N47" s="112" t="str">
        <v>Inorganic fertiliser type</v>
      </c>
      <c r="O47" s="113"/>
      <c r="P47" s="111" t="str">
        <v/>
      </c>
      <c r="Q47" s="125" t="str">
        <v>Constant</v>
      </c>
      <c r="R47" s="112" t="s">
        <v>762</v>
      </c>
      <c r="S47" s="229"/>
    </row>
    <row r="48" spans="1:24" ht="20.100000000000001" customHeight="1" x14ac:dyDescent="0.2">
      <c r="A48" s="5" t="str">
        <f>HYPERLINK("#'Constants - Swine'!A1", "Constants - Swine")</f>
        <v>Constants - Swine</v>
      </c>
      <c r="F48" s="16"/>
    </row>
    <row r="49" spans="1:19" ht="20.100000000000001" customHeight="1" x14ac:dyDescent="0.2">
      <c r="A49" s="5" t="str">
        <f>HYPERLINK("#'Constants - Common livestock'!A1", "Constants - Common Livestock")</f>
        <v>Constants - Common Livestock</v>
      </c>
      <c r="D49" s="111" t="str" cm="1">
        <f t="array" ref="D49:E55">_xlfn.CHOOSECOLS(Fertiliser_Equations_InorganicN2O.VEERG_5_1_1_1__1_InorganicFertiliserApplicationN2OEmissions_Arguments(), 1, 2)</f>
        <v>MN_jf</v>
      </c>
      <c r="E49" s="112" t="str">
        <v>mass of nitrogen in inorganic fertiliser type f applied to production system j</v>
      </c>
      <c r="F49" s="113"/>
      <c r="G49" s="111" t="str" cm="1">
        <f t="array" ref="G49:H55">_xlfn.CHOOSECOLS(Fertiliser_Equations_InorganicN2O.VEERG_5_1_1_1__1_InorganicFertiliserApplicationN2OEmissions_Arguments(), 3,4)</f>
        <v>kg N</v>
      </c>
      <c r="H49" s="125" t="str">
        <v>Calculated from 5.1.1.1 (2)</v>
      </c>
      <c r="I49" s="115" t="str" cm="1">
        <f t="array" aca="1" ref="I49" ca="1">HYPERLINK(Common_InputFunctions.Utility_SourceHyperlink(D16), D16)</f>
        <v>Table_MN_j_f</v>
      </c>
      <c r="M49" s="1" t="s">
        <v>763</v>
      </c>
      <c r="N49" s="1" cm="1">
        <f t="array" ref="N49">Fertiliser_Equations_InorganicN2O.VEERG_5_1_1_2__1_EmissionFactorIrrigatedMaize(R46)</f>
        <v>9.6783250000000015E-3</v>
      </c>
      <c r="O49" s="9" t="str">
        <f>N44</f>
        <v>kg N2O-N/kg N applied</v>
      </c>
    </row>
    <row r="50" spans="1:19" ht="20.100000000000001" customHeight="1" x14ac:dyDescent="0.2">
      <c r="A50" s="5" t="str">
        <f>HYPERLINK("#'Constants - Electricity'!A1", "Constants - Electricity")</f>
        <v>Constants - Electricity</v>
      </c>
      <c r="D50" s="111" t="str">
        <v>EF_jN2O</v>
      </c>
      <c r="E50" s="112" t="str">
        <v>emission factor for nitrous oxide for inorganic fertilisers</v>
      </c>
      <c r="F50" s="113"/>
      <c r="G50" s="111" t="str">
        <v>kg N2O-N/kg N applied</v>
      </c>
      <c r="H50" s="125" t="str">
        <v>Constant</v>
      </c>
      <c r="I50" s="111">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A51" s="5" t="str">
        <f>HYPERLINK("#'Constants - Fertiliser'!A1", "Constants - Fertiliser")</f>
        <v>Constants - Fertiliser</v>
      </c>
      <c r="D51" s="111" t="str">
        <v>C_N2O</v>
      </c>
      <c r="E51" s="112" t="str">
        <v>factor to convert elemental mass of nitrous oxide to molecular mass</v>
      </c>
      <c r="F51" s="113"/>
      <c r="G51" s="111" t="str">
        <v/>
      </c>
      <c r="H51" s="125" t="str">
        <v>Constant</v>
      </c>
      <c r="I51" s="111">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Fuel'!A1", "Constants - Fuel")</f>
        <v>Constants - Fuel</v>
      </c>
      <c r="D52" s="111" t="str">
        <v>j</v>
      </c>
      <c r="E52" s="112" t="str">
        <v>Production system</v>
      </c>
      <c r="F52" s="113"/>
      <c r="G52" s="111" t="str">
        <v/>
      </c>
      <c r="H52" s="123" t="str">
        <v>Input</v>
      </c>
      <c r="I52" s="111" t="str">
        <f>X_Cell_Fertiliser_ProductionSystem</f>
        <v>Crop</v>
      </c>
    </row>
    <row r="53" spans="1:19" ht="20.100000000000001" customHeight="1" x14ac:dyDescent="0.2">
      <c r="A53" s="5" t="str">
        <f>HYPERLINK("#'Constants - Scope 3'!A1", "Constants - Scope 3")</f>
        <v>Constants - Scope 3</v>
      </c>
      <c r="D53" s="111" t="str">
        <v>f</v>
      </c>
      <c r="E53" s="112" t="str">
        <v>Inorganic fertiliser type</v>
      </c>
      <c r="F53" s="113"/>
      <c r="G53" s="111" t="str">
        <v/>
      </c>
      <c r="H53" s="125" t="str">
        <v>Constant</v>
      </c>
      <c r="I53" s="111"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A54" s="5" t="str">
        <f>HYPERLINK("#'Constants - Solid Waste'!A1", "Constants - Solid Waste")</f>
        <v>Constants - Solid Waste</v>
      </c>
      <c r="D54" s="111" t="str">
        <v>ir</v>
      </c>
      <c r="E54" s="112" t="str">
        <v>irrigation method</v>
      </c>
      <c r="F54" s="113"/>
      <c r="G54" s="111" t="str">
        <v/>
      </c>
      <c r="H54" s="123" t="str">
        <v>Input</v>
      </c>
      <c r="I54" s="111" t="str">
        <f>X_Cell_Fertiliser_IrrigationMethod</f>
        <v>Drip irrigation</v>
      </c>
      <c r="M54" s="17" t="str" cm="1">
        <f t="array" ref="M54">Fertiliser_Equations_InorganicN2O.VEERG_5_1_1_2__2_EmissionFactorNonIrrigatedGrainsHighRainfall_Source()</f>
        <v>VEERG 2026: 5.1.1.2, Equation (2)</v>
      </c>
    </row>
    <row r="55" spans="1:19" ht="20.100000000000001" customHeight="1" x14ac:dyDescent="0.2">
      <c r="A55" s="5" t="str">
        <f>HYPERLINK("#'Constants - Common'!A1", "Constants - Common")</f>
        <v>Constants - Common</v>
      </c>
      <c r="D55" s="111" t="str">
        <v>z</v>
      </c>
      <c r="E55" s="112" t="str">
        <v>rainfall zone</v>
      </c>
      <c r="F55" s="113"/>
      <c r="G55" s="111" t="str">
        <v/>
      </c>
      <c r="H55" s="123" t="str">
        <v>Input</v>
      </c>
      <c r="I55" s="111" t="str">
        <f>X_Cell_Site_RainfallZone</f>
        <v>High rainfall</v>
      </c>
    </row>
    <row r="56" spans="1:19" ht="20.100000000000001" customHeight="1" x14ac:dyDescent="0.2">
      <c r="A56" s="5" t="str">
        <f>HYPERLINK("#'Acknowledgements'!A1", "Acknowledgements")</f>
        <v>Acknowledgements</v>
      </c>
      <c r="F56" s="16"/>
    </row>
    <row r="57" spans="1:19" ht="20.100000000000001" customHeight="1" x14ac:dyDescent="0.2">
      <c r="D57" s="137" t="s">
        <v>764</v>
      </c>
      <c r="F57" s="16"/>
      <c r="M57" s="75" t="s">
        <v>322</v>
      </c>
      <c r="N57" s="1" t="str" cm="1">
        <f t="array" ref="N57">Fertiliser_Equations_InorganicN2O.VEERG_5_1_1_2__2_EmissionFactorNonIrrigatedGrainsHighRainfall_Variable()</f>
        <v>EF_fjNonIrrigatedGrainsN2O</v>
      </c>
    </row>
    <row r="58" spans="1:19" ht="20.100000000000001" customHeight="1" x14ac:dyDescent="0.2">
      <c r="D58" s="138" t="s">
        <v>765</v>
      </c>
      <c r="F58" s="16"/>
      <c r="M58" s="75" t="s">
        <v>118</v>
      </c>
      <c r="N58" s="9" t="str" cm="1">
        <f t="array" ref="N58">Fertiliser_Equations_InorganicN2O.VEERG_5_1_1_2__2_EmissionFactorNonIrrigatedGrainsHighRainfall_Unit()</f>
        <v>kg N2O-N/kg N applied</v>
      </c>
    </row>
    <row r="59" spans="1:19" ht="20.100000000000001" customHeight="1" x14ac:dyDescent="0.2">
      <c r="D59" s="119" t="s">
        <v>754</v>
      </c>
      <c r="E59" s="119" t="s">
        <v>766</v>
      </c>
    </row>
    <row r="60" spans="1:19" ht="20.100000000000001" customHeight="1" x14ac:dyDescent="0.2">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1" t="str" cm="1">
        <f t="array" ref="M60:N61">_xlfn.CHOOSECOLS(Fertiliser_Equations_InorganicN2O.VEERG_5_1_1_2__2_EmissionFactorNonIrrigatedGrainsHighRainfall_Arguments(), 1, 2)</f>
        <v>N_fjNonIrrigatedGrains</v>
      </c>
      <c r="N60" s="112" t="str">
        <v>application rate of inorganic fertiliser type f in the grains crop</v>
      </c>
      <c r="O60" s="113"/>
      <c r="P60" s="111" t="str" cm="1">
        <f t="array" ref="P60:Q61">_xlfn.CHOOSECOLS(Fertiliser_Equations_InorganicN2O.VEERG_5_1_1_2__2_EmissionFactorNonIrrigatedGrainsHighRainfall_Arguments(), 3,4)</f>
        <v>kg N/ha</v>
      </c>
      <c r="Q60" s="123" t="str">
        <v>Input</v>
      </c>
      <c r="R60" s="128">
        <f>$N$35</f>
        <v>182.82499999999999</v>
      </c>
      <c r="S60" s="229"/>
    </row>
    <row r="61" spans="1:19" ht="20.100000000000001" customHeight="1" x14ac:dyDescent="0.2">
      <c r="D61" s="15" t="str">
        <v>Diammonium phosphate (DAP)</v>
      </c>
      <c r="E61" s="15" cm="1">
        <f t="array" ref="E61">Fertiliser_Equations_InorganicN2O.VEERG_5_1_1_1__1_InorganicFertiliserApplicationN2OEmissions(G20,$I$50,$I$51)</f>
        <v>0</v>
      </c>
      <c r="M61" s="111" t="str">
        <v>f</v>
      </c>
      <c r="N61" s="112" t="str">
        <v>Inorganic fertiliser type</v>
      </c>
      <c r="O61" s="113"/>
      <c r="P61" s="111" t="str">
        <v/>
      </c>
      <c r="Q61" s="125" t="str">
        <v>Constant</v>
      </c>
      <c r="R61" s="112" t="s">
        <v>762</v>
      </c>
      <c r="S61" s="124"/>
    </row>
    <row r="62" spans="1:19" ht="20.100000000000001" customHeight="1" x14ac:dyDescent="0.2">
      <c r="D62" s="15" t="str">
        <v>Urea</v>
      </c>
      <c r="E62" s="15" cm="1">
        <f t="array" ref="E62">Fertiliser_Equations_InorganicN2O.VEERG_5_1_1_1__1_InorganicFertiliserApplicationN2OEmissions(G21,$I$50,$I$51)</f>
        <v>0.12759999340000003</v>
      </c>
    </row>
    <row r="63" spans="1:19" ht="20.100000000000001" customHeight="1" x14ac:dyDescent="0.2">
      <c r="D63" s="15" t="str">
        <v>Sulphate of ammonia (SOA)</v>
      </c>
      <c r="E63" s="15" cm="1">
        <f t="array" ref="E63">Fertiliser_Equations_InorganicN2O.VEERG_5_1_1_1__1_InorganicFertiliserApplicationN2OEmissions(G22,$I$50,$I$51)</f>
        <v>0</v>
      </c>
      <c r="M63" s="75" t="s">
        <v>767</v>
      </c>
      <c r="N63" s="1" cm="1">
        <f t="array" ref="N63">Fertiliser_Equations_InorganicN2O.VEERG_5_1_1_2__2_EmissionFactorNonIrrigatedGrainsHighRainfall(R60)</f>
        <v>1.4492874999999999E-2</v>
      </c>
      <c r="O63" s="9" t="str">
        <f>N58</f>
        <v>kg N2O-N/kg N applied</v>
      </c>
    </row>
    <row r="64" spans="1:19" ht="20.100000000000001" customHeight="1" x14ac:dyDescent="0.2">
      <c r="D64" s="15" t="str">
        <v>Urea-ammonium nitrate (UAN)</v>
      </c>
      <c r="E64" s="15" cm="1">
        <f t="array" ref="E64">Fertiliser_Equations_InorganicN2O.VEERG_5_1_1_1__1_InorganicFertiliserApplicationN2OEmissions(G23,$I$50,$I$51)</f>
        <v>0</v>
      </c>
    </row>
    <row r="65" spans="1:20" ht="20.100000000000001" customHeight="1" x14ac:dyDescent="0.2">
      <c r="D65" s="15" t="str">
        <v>Ammonium nitrate (AN)</v>
      </c>
      <c r="E65" s="15" cm="1">
        <f t="array" ref="E65">Fertiliser_Equations_InorganicN2O.VEERG_5_1_1_1__1_InorganicFertiliserApplicationN2OEmissions(G24,$I$50,$I$51)</f>
        <v>0</v>
      </c>
    </row>
    <row r="66" spans="1:20" ht="20.100000000000001" customHeight="1" x14ac:dyDescent="0.2">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1:20" ht="20.100000000000001" customHeight="1" x14ac:dyDescent="0.2">
      <c r="A67" s="131" t="str">
        <f>HYPERLINK("#A1", "▲ Back to top")</f>
        <v>▲ Back to top</v>
      </c>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1:20" ht="20.100000000000001" customHeight="1" x14ac:dyDescent="0.2">
      <c r="D68" s="15" t="str">
        <v>Nitrogen - Nitrate</v>
      </c>
      <c r="E68" s="15" cm="1">
        <f t="array" ref="E68">Fertiliser_Equations_InorganicN2O.VEERG_5_1_1_1__1_InorganicFertiliserApplicationN2OEmissions(G27,$I$50,$I$51)</f>
        <v>6.0499999999999998E-3</v>
      </c>
    </row>
    <row r="69" spans="1:20" ht="20.100000000000001" customHeight="1" x14ac:dyDescent="0.2">
      <c r="D69" s="15" t="str">
        <v>Nitrogen - Generic</v>
      </c>
      <c r="E69" s="15" cm="1">
        <f t="array" ref="E69">Fertiliser_Equations_InorganicN2O.VEERG_5_1_1_1__1_InorganicFertiliserApplicationN2OEmissions(G28,$I$50,$I$51)</f>
        <v>0</v>
      </c>
    </row>
    <row r="70" spans="1:20" ht="20.100000000000001" customHeight="1" x14ac:dyDescent="0.2">
      <c r="D70" s="15" t="str">
        <v>Phosphorus - Generic</v>
      </c>
      <c r="E70" s="15" cm="1">
        <f t="array" ref="E70">Fertiliser_Equations_InorganicN2O.VEERG_5_1_1_1__1_InorganicFertiliserApplicationN2OEmissions(G29,$I$50,$I$51)</f>
        <v>0</v>
      </c>
    </row>
    <row r="71" spans="1:20" ht="20.100000000000001" customHeight="1" x14ac:dyDescent="0.2">
      <c r="D71" s="15" t="str">
        <v>Potassium - Generic</v>
      </c>
      <c r="E71" s="15" cm="1">
        <f t="array" ref="E71">Fertiliser_Equations_InorganicN2O.VEERG_5_1_1_1__1_InorganicFertiliserApplicationN2OEmissions(G30,$I$50,$I$51)</f>
        <v>0</v>
      </c>
      <c r="M71" s="75" t="s">
        <v>322</v>
      </c>
      <c r="N71" s="1" t="str" cm="1">
        <f t="array" ref="N71">Fertiliser_Equations_InorganicN2O.VEERG_5_1_1_2__3_EmissionFactorCotton_Variable()</f>
        <v>EF_fjCottonN2O</v>
      </c>
    </row>
    <row r="72" spans="1:20" ht="20.100000000000001" customHeight="1" x14ac:dyDescent="0.2">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1:20" ht="20.100000000000001" customHeight="1" x14ac:dyDescent="0.2">
      <c r="D73" s="15" t="str">
        <v>Zinc - Generic</v>
      </c>
      <c r="E73" s="15" cm="1">
        <f t="array" ref="E73">Fertiliser_Equations_InorganicN2O.VEERG_5_1_1_1__1_InorganicFertiliserApplicationN2OEmissions(G32,$I$50,$I$51)</f>
        <v>0</v>
      </c>
    </row>
    <row r="74" spans="1:20" ht="20.100000000000001" customHeight="1" x14ac:dyDescent="0.2">
      <c r="D74" s="15" t="str">
        <v>Muriate of potash (MOP)</v>
      </c>
      <c r="E74" s="15" cm="1">
        <f t="array" ref="E74">Fertiliser_Equations_InorganicN2O.VEERG_5_1_1_1__1_InorganicFertiliserApplicationN2OEmissions(G33,$I$50,$I$51)</f>
        <v>0</v>
      </c>
      <c r="M74" s="130" t="s">
        <v>768</v>
      </c>
      <c r="N74" s="130"/>
      <c r="O74" s="130"/>
      <c r="P74" s="130"/>
      <c r="Q74" s="130"/>
      <c r="R74" s="130"/>
      <c r="S74" s="130"/>
      <c r="T74" s="130"/>
    </row>
    <row r="75" spans="1:20" ht="20.100000000000001" customHeight="1" x14ac:dyDescent="0.2">
      <c r="D75" s="15" t="str">
        <v>Double superphosphate</v>
      </c>
      <c r="E75" s="15" cm="1">
        <f t="array" ref="E75">Fertiliser_Equations_InorganicN2O.VEERG_5_1_1_1__1_InorganicFertiliserApplicationN2OEmissions(G34,$I$50,$I$51)</f>
        <v>0</v>
      </c>
    </row>
    <row r="76" spans="1:20" ht="20.100000000000001" customHeight="1" x14ac:dyDescent="0.2">
      <c r="D76" s="15" t="str">
        <v>Single superphosphate (SSP)</v>
      </c>
      <c r="E76" s="15" cm="1">
        <f t="array" ref="E76">Fertiliser_Equations_InorganicN2O.VEERG_5_1_1_1__1_InorganicFertiliserApplicationN2OEmissions(G35,$I$50,$I$51)</f>
        <v>0</v>
      </c>
      <c r="M76" s="111" t="str" cm="1">
        <f t="array" ref="M76:N77">_xlfn.CHOOSECOLS(Fertiliser_Equations_InorganicN2O.VEERG_5_1_1_2__3_EmissionFactorCotton_Arguments(), 1, 2)</f>
        <v>N_fjCotton</v>
      </c>
      <c r="N76" s="112" t="str">
        <v>application rate of inorganic fertiliser type f in the cotton crop</v>
      </c>
      <c r="O76" s="113"/>
      <c r="P76" s="112" t="str" cm="1">
        <f t="array" ref="P76:Q77">_xlfn.CHOOSECOLS(Fertiliser_Equations_InorganicN2O.VEERG_5_1_1_2__3_EmissionFactorCotton_Arguments(), 3,4)</f>
        <v>kg N/ha</v>
      </c>
      <c r="Q76" s="123" t="str">
        <v>Input</v>
      </c>
      <c r="R76" s="128">
        <f>MIN(300, $N$35)</f>
        <v>182.82499999999999</v>
      </c>
      <c r="S76" s="229"/>
    </row>
    <row r="77" spans="1:20" ht="20.100000000000001" customHeight="1" x14ac:dyDescent="0.2">
      <c r="D77" s="15" t="str">
        <v>Ammonia</v>
      </c>
      <c r="E77" s="15" cm="1">
        <f t="array" ref="E77">Fertiliser_Equations_InorganicN2O.VEERG_5_1_1_1__1_InorganicFertiliserApplicationN2OEmissions(G36,$I$50,$I$51)</f>
        <v>4.5292500000000006E-2</v>
      </c>
      <c r="M77" s="111" t="str">
        <v>f</v>
      </c>
      <c r="N77" s="112" t="str">
        <v>Inorganic fertiliser type</v>
      </c>
      <c r="O77" s="113"/>
      <c r="P77" s="112" t="str">
        <v/>
      </c>
      <c r="Q77" s="125" t="str">
        <v>Constant</v>
      </c>
      <c r="R77" s="112" t="s">
        <v>762</v>
      </c>
      <c r="S77" s="124"/>
    </row>
    <row r="78" spans="1:20" ht="20.100000000000001" customHeight="1" x14ac:dyDescent="0.2">
      <c r="D78" s="15" t="str">
        <v>Calcium nitrate</v>
      </c>
      <c r="E78" s="15" cm="1">
        <f t="array" ref="E78">Fertiliser_Equations_InorganicN2O.VEERG_5_1_1_1__1_InorganicFertiliserApplicationN2OEmissions(G37,$I$50,$I$51)</f>
        <v>8.5250000000000013E-3</v>
      </c>
    </row>
    <row r="79" spans="1:20" ht="20.100000000000001" customHeight="1" x14ac:dyDescent="0.2">
      <c r="M79" s="75" t="s">
        <v>767</v>
      </c>
      <c r="N79" s="1" cm="1">
        <f t="array" ref="N79">Fertiliser_Equations_InorganicN2O.VEERG_5_1_1_2__3_EmissionFactorCotton(R76)</f>
        <v>3.231403335233797E-5</v>
      </c>
      <c r="O79" s="9" t="str">
        <f>N72</f>
        <v>kg N2O-N/kg N applied</v>
      </c>
    </row>
    <row r="80" spans="1:20" ht="20.100000000000001" customHeight="1" x14ac:dyDescent="0.2">
      <c r="D80" s="84" t="s">
        <v>769</v>
      </c>
      <c r="E80" s="85">
        <f>SUM(E60:E78)</f>
        <v>0.20110749340000006</v>
      </c>
      <c r="F80" s="94" t="str">
        <f>$E$47</f>
        <v>t N2O</v>
      </c>
    </row>
    <row r="82" spans="4:24" ht="20.100000000000001" customHeight="1" x14ac:dyDescent="0.2">
      <c r="D82" s="111" t="str" cm="1">
        <f t="array" ref="D82:E83">Common_Equations.Common_ConvertN2OToCO2e_Arguments()</f>
        <v>EN2O</v>
      </c>
      <c r="E82" s="112" t="str">
        <v>Nitrous oxide emissions (t N2O)</v>
      </c>
      <c r="F82" s="133"/>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100000000000001" customHeight="1" x14ac:dyDescent="0.2">
      <c r="D83" s="111" t="str">
        <v>GWPN2O</v>
      </c>
      <c r="E83" s="112" t="str">
        <v>Global warming potential for nitrous oxide (t CO2-e / t N2O)</v>
      </c>
      <c r="F83" s="133"/>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7" t="str" cm="1">
        <f t="array" ref="M84">Fertiliser_Equations_InorganicN2O.VEERG_5_1_1_1__1_InorganicFertiliserApplicationN2OEmissions_Source()</f>
        <v>VEERG 2026: 5.1.1.1, Equation (1)</v>
      </c>
    </row>
    <row r="85" spans="4:24" ht="20.100000000000001" customHeight="1" x14ac:dyDescent="0.2">
      <c r="D85" s="82" t="s">
        <v>382</v>
      </c>
      <c r="E85" s="82" cm="1">
        <f t="array" ref="E85">Common_Equations.Common_ConvertN2OToCO2e(G82,G83)</f>
        <v>53.293485751000013</v>
      </c>
      <c r="F85" s="88" t="str" cm="1">
        <f t="array" ref="F85">Common_Equations.Common_ConvertN2OToCO2e_Unit()</f>
        <v>t CO2e</v>
      </c>
      <c r="M85" s="110" t="s">
        <v>321</v>
      </c>
      <c r="N85" s="110" t="str" cm="1">
        <f t="array" aca="1" ref="N85" ca="1">Common_InputFunctions.Utility_DisplayFunctionName($E$60)</f>
        <v>=Fertiliser_Equations_InorganicN2O.VEERG_5_1_1_1__1_InorganicFertiliserApplicationN2OEmissions</v>
      </c>
    </row>
    <row r="89" spans="4:24" ht="20.100000000000001" customHeight="1" x14ac:dyDescent="0.2">
      <c r="M89" s="75" t="s">
        <v>322</v>
      </c>
      <c r="N89" s="1" t="str" cm="1">
        <f t="array" ref="N89">Fertiliser_Equations_InorganicN2O.VEERG_5_1_1_1__1_InorganicFertiliserApplicationN2OEmissions_Variable()</f>
        <v>E_N2O</v>
      </c>
    </row>
    <row r="90" spans="4:24" ht="20.100000000000001" customHeight="1" x14ac:dyDescent="0.2">
      <c r="M90" s="75" t="s">
        <v>118</v>
      </c>
      <c r="N90" s="9" t="str" cm="1">
        <f t="array" ref="N90">Fertiliser_Equations_InorganicN2O.VEERG_5_1_1_1__1_InorganicFertiliserApplicationN2OEmissions_Unit()</f>
        <v>t N2O</v>
      </c>
    </row>
    <row r="92" spans="4:24" ht="20.100000000000001" customHeight="1" x14ac:dyDescent="0.2">
      <c r="M92" s="111" t="str" cm="1">
        <f t="array" ref="M92:N99">_xlfn.CHOOSECOLS(Fertiliser_Equations_InorganicN2O.VEERG_5_1_1_1__1_InorganicFertiliserApplicationN2OEmissions_Arguments_Method2(), 1, 2)</f>
        <v>MN_jf</v>
      </c>
      <c r="N92" s="112" t="str">
        <v>mass of nitrogen in inorganic fertiliser type f applied to production system j</v>
      </c>
      <c r="O92" s="113"/>
      <c r="P92" s="124"/>
      <c r="Q92" s="111" t="str" cm="1">
        <f t="array" ref="Q92:R99">_xlfn.CHOOSECOLS(Fertiliser_Equations_InorganicN2O.VEERG_5_1_1_1__1_InorganicFertiliserApplicationN2OEmissions_Arguments_Method2(), 3,4)</f>
        <v>kg N</v>
      </c>
      <c r="R92" s="125" t="str">
        <v>Calculated from 5.1.1.1 (2)</v>
      </c>
      <c r="S92" s="127">
        <f>N33</f>
        <v>18282.5</v>
      </c>
    </row>
    <row r="93" spans="4:24" ht="20.100000000000001" customHeight="1" x14ac:dyDescent="0.2">
      <c r="M93" s="111" t="str">
        <v>EF_jN2O</v>
      </c>
      <c r="N93" s="112" t="str">
        <v>emission factor for nitrous oxide for inorganic fertilisers</v>
      </c>
      <c r="O93" s="113"/>
      <c r="P93" s="124"/>
      <c r="Q93" s="111" t="str">
        <v>kg N2O-N/kg N applied</v>
      </c>
      <c r="R93" s="125" t="str">
        <v>Calculated from 5.1.1.2 (1)(2)(3)</v>
      </c>
      <c r="S93" s="127">
        <f>_xlfn.XLOOKUP(TRUE,N105:N108,O105:O108)</f>
        <v>9.6783250000000015E-3</v>
      </c>
    </row>
    <row r="94" spans="4:24" ht="20.100000000000001" customHeight="1" x14ac:dyDescent="0.2">
      <c r="M94" s="111" t="str">
        <v>C_N2O</v>
      </c>
      <c r="N94" s="112" t="str">
        <v>factor to convert elemental mass of nitrous oxide to molecular mass</v>
      </c>
      <c r="O94" s="113"/>
      <c r="P94" s="124"/>
      <c r="Q94" s="111" t="str">
        <v/>
      </c>
      <c r="R94" s="125" t="str">
        <v>Constant</v>
      </c>
      <c r="S94" s="111">
        <f>Common_InputFunctions.Utility_LookupValueInTableNumber("N2O",Table_GasToMolecularConversionFactor[Gas],Table_GasToMolecularConversionFactor[Conversion factor combined])</f>
        <v>1.5714285714285714</v>
      </c>
    </row>
    <row r="95" spans="4:24" ht="20.100000000000001" customHeight="1" x14ac:dyDescent="0.2">
      <c r="M95" s="111" t="str">
        <v>j</v>
      </c>
      <c r="N95" s="112" t="str">
        <v>Production system</v>
      </c>
      <c r="O95" s="113"/>
      <c r="P95" s="124"/>
      <c r="Q95" s="111" t="str">
        <v/>
      </c>
      <c r="R95" s="123" t="str">
        <v>Input</v>
      </c>
      <c r="S95" s="111" t="str">
        <f>X_Cell_Fertiliser_ProductionSystem</f>
        <v>Crop</v>
      </c>
    </row>
    <row r="96" spans="4:24" ht="20.100000000000001" customHeight="1" x14ac:dyDescent="0.2">
      <c r="M96" s="111" t="str">
        <v>c</v>
      </c>
      <c r="N96" s="112" t="str">
        <v>Crop type</v>
      </c>
      <c r="O96" s="113"/>
      <c r="P96" s="124"/>
      <c r="Q96" s="111" t="str">
        <v/>
      </c>
      <c r="R96" s="123" t="str">
        <v>Input</v>
      </c>
      <c r="S96" s="111" t="str">
        <f>X_Cell_Fertiliser_CropType</f>
        <v>Maize</v>
      </c>
    </row>
    <row r="97" spans="1:19" ht="20.100000000000001" customHeight="1" x14ac:dyDescent="0.2">
      <c r="A97" s="131" t="str">
        <f>HYPERLINK("#A1", "▲ Back to top")</f>
        <v>▲ Back to top</v>
      </c>
      <c r="M97" s="111" t="str">
        <v>f</v>
      </c>
      <c r="N97" s="112" t="str">
        <v>Inorganic fertiliser type</v>
      </c>
      <c r="O97" s="113"/>
      <c r="P97" s="124"/>
      <c r="Q97" s="111" t="str">
        <v/>
      </c>
      <c r="R97" s="125" t="str">
        <v>Constant</v>
      </c>
      <c r="S97" s="111" t="s">
        <v>770</v>
      </c>
    </row>
    <row r="98" spans="1:19" ht="20.100000000000001" customHeight="1" x14ac:dyDescent="0.2">
      <c r="M98" s="111" t="str">
        <v>ir</v>
      </c>
      <c r="N98" s="112" t="str">
        <v>irrigation method</v>
      </c>
      <c r="O98" s="113"/>
      <c r="P98" s="124"/>
      <c r="Q98" s="111" t="str">
        <v/>
      </c>
      <c r="R98" s="123" t="str">
        <v>Input</v>
      </c>
      <c r="S98" s="111" t="str">
        <f>X_Cell_Fertiliser_IrrigationMethod</f>
        <v>Drip irrigation</v>
      </c>
    </row>
    <row r="99" spans="1:19" ht="20.100000000000001" customHeight="1" x14ac:dyDescent="0.2">
      <c r="M99" s="112" t="str">
        <v>z</v>
      </c>
      <c r="N99" s="112" t="str">
        <v>rainfall zone</v>
      </c>
      <c r="O99" s="113"/>
      <c r="P99" s="113"/>
      <c r="Q99" s="111" t="str">
        <v/>
      </c>
      <c r="R99" s="123" t="str">
        <v>Input</v>
      </c>
      <c r="S99" s="111" t="str">
        <f>X_Cell_Site_RainfallZone</f>
        <v>High rainfall</v>
      </c>
    </row>
    <row r="102" spans="1:19" ht="20.100000000000001" customHeight="1" x14ac:dyDescent="0.2">
      <c r="M102" s="137" t="s">
        <v>771</v>
      </c>
    </row>
    <row r="103" spans="1:19" ht="20.100000000000001" customHeight="1" x14ac:dyDescent="0.2">
      <c r="M103" s="138" t="s">
        <v>772</v>
      </c>
    </row>
    <row r="104" spans="1:19" ht="20.100000000000001" customHeight="1" x14ac:dyDescent="0.2">
      <c r="M104" s="119" t="s">
        <v>303</v>
      </c>
      <c r="N104" s="119" t="s">
        <v>773</v>
      </c>
      <c r="O104" s="119" t="s">
        <v>412</v>
      </c>
    </row>
    <row r="105" spans="1:19" ht="20.100000000000001" customHeight="1" x14ac:dyDescent="0.2">
      <c r="M105" s="15" t="s">
        <v>774</v>
      </c>
      <c r="N105" s="15" t="b">
        <f>IF(AND(S96="Maize", NOT(S98="Not irrigated")), TRUE)</f>
        <v>1</v>
      </c>
      <c r="O105" s="15">
        <f>N49</f>
        <v>9.6783250000000015E-3</v>
      </c>
    </row>
    <row r="106" spans="1:19" ht="20.100000000000001" customHeight="1" x14ac:dyDescent="0.2">
      <c r="M106" s="15" t="s">
        <v>775</v>
      </c>
      <c r="N106" s="15" t="b">
        <f>IF(AND(S96="Grains", S98="Not irrigated", S99="High rainfall"), TRUE)</f>
        <v>0</v>
      </c>
      <c r="O106" s="15">
        <f>N63</f>
        <v>1.4492874999999999E-2</v>
      </c>
    </row>
    <row r="107" spans="1:19" ht="20.100000000000001" customHeight="1" x14ac:dyDescent="0.2">
      <c r="M107" s="15" t="s">
        <v>776</v>
      </c>
      <c r="N107" s="15" t="b">
        <f>IF(S96="Cotton", TRUE)</f>
        <v>0</v>
      </c>
      <c r="O107" s="230">
        <f>N79</f>
        <v>3.231403335233797E-5</v>
      </c>
    </row>
    <row r="108" spans="1:19" ht="20.100000000000001" customHeight="1" x14ac:dyDescent="0.2">
      <c r="M108" s="15" t="s">
        <v>777</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19" ht="20.100000000000001" customHeight="1" x14ac:dyDescent="0.2">
      <c r="M110" s="84" t="s">
        <v>769</v>
      </c>
      <c r="N110" s="85" cm="1">
        <f t="array" ref="N110">Fertiliser_Equations_InorganicN2O.VEERG_5_1_1_1__1_InorganicFertiliserApplicationN2OEmissions(S92,S93,$S$94)</f>
        <v>0.2780548207053572</v>
      </c>
      <c r="O110" s="94" t="str">
        <f>$E$47</f>
        <v>t N2O</v>
      </c>
    </row>
    <row r="112" spans="1:19" ht="20.100000000000001" customHeight="1" x14ac:dyDescent="0.2">
      <c r="M112" s="111" t="str" cm="1">
        <f t="array" ref="M112:N113">Common_Equations.Common_ConvertN2OToCO2e_Arguments()</f>
        <v>EN2O</v>
      </c>
      <c r="N112" s="112" t="str">
        <v>Nitrous oxide emissions (t N2O)</v>
      </c>
      <c r="O112" s="133"/>
      <c r="P112" s="15">
        <f>VEERG_5_1_1_1__1_InorganicFertiliserApplicationN2OEmissions_Result_Method2</f>
        <v>0.2780548207053572</v>
      </c>
    </row>
    <row r="113" spans="13:16" ht="20.100000000000001" customHeight="1" x14ac:dyDescent="0.2">
      <c r="M113" s="111" t="str">
        <v>GWPN2O</v>
      </c>
      <c r="N113" s="112" t="str">
        <v>Global warming potential for nitrous oxide (t CO2-e / t N2O)</v>
      </c>
      <c r="O113" s="133"/>
      <c r="P113" s="15">
        <f>Common_InputFunctions.Utility_LookupValueInTableNumber("N2O",Table_GWPData[Gas],Table_GWPData[CO2-e factor])</f>
        <v>265</v>
      </c>
    </row>
    <row r="115" spans="13:16" ht="20.100000000000001" customHeight="1" x14ac:dyDescent="0.2">
      <c r="M115" s="82" t="s">
        <v>382</v>
      </c>
      <c r="N115" s="82" cm="1">
        <f t="array" ref="N115">Common_Equations.Common_ConvertN2OToCO2e(P112,P113)</f>
        <v>73.684527486919663</v>
      </c>
      <c r="O115" s="88"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128DA436-880F-4E82-8DF3-4785C9CA585A}"/>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71484-3457-4B33-A0CD-CE28A8F8F987}">
  <sheetPr>
    <tabColor rgb="FF008000"/>
  </sheetPr>
  <dimension ref="A1:U78"/>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778</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
      <c r="D6" s="17" t="str" cm="1">
        <f t="array" ref="D6">Fertiliser_Equations_InorganicCO2.VEERG_5_1_1_3__2_MassOfUreaInInorganicFertiliser_Source()</f>
        <v>VEERG 2026: 5.1.1.3, Equation (2)</v>
      </c>
    </row>
    <row r="7" spans="1:21" ht="20.100000000000001" customHeight="1" x14ac:dyDescent="0.2">
      <c r="D7" s="110" t="s">
        <v>321</v>
      </c>
      <c r="E7" s="110" t="str" cm="1">
        <f t="array" aca="1" ref="E7" ca="1">Common_InputFunctions.Utility_DisplayFunctionName(G19)</f>
        <v>=Fertiliser_Equations_InorganicCO2.VEERG_5_1_1_3__2_MassOfUreaInInorganicFertiliser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Fertiliser_Equations_InorganicCO2.VEERG_5_1_1_3__2_MassOfUreaInInorganicFertiliser_Variable()</f>
        <v>MU_jf</v>
      </c>
    </row>
    <row r="11" spans="1:21" ht="20.100000000000001" customHeight="1" x14ac:dyDescent="0.2">
      <c r="A11" s="5" t="str">
        <f>HYPERLINK("#'Input - Swine'!A1", "Swine")</f>
        <v>Swine</v>
      </c>
      <c r="D11" s="75" t="s">
        <v>118</v>
      </c>
      <c r="E11" s="9" t="str" cm="1">
        <f t="array" ref="E11">Fertiliser_Equations_InorganicCO2.VEERG_5_1_1_3__2_MassOfUreaInInorganicFertiliser_Unit()</f>
        <v>kg urea</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4">_xlfn.CHOOSECOLS(Fertiliser_Equations_InorganicCO2.VEERG_5_1_1_3__2_MassOfUreaInInorganicFertiliser_Arguments(), 1, 2)</f>
        <v>TM_jf</v>
      </c>
      <c r="E13" s="112" t="str">
        <v>total mass of inorganic fertiliser type f applied to production system j</v>
      </c>
      <c r="F13" s="124"/>
      <c r="G13" s="111" t="str" cm="1">
        <f t="array" ref="G13:H14">_xlfn.CHOOSECOLS(Fertiliser_Equations_InorganicCO2.VEERG_5_1_1_3__2_MassOfUreaInInorganicFertiliser_Arguments(), 3, 4)</f>
        <v>kg</v>
      </c>
      <c r="H13" s="123" t="str">
        <v>Input</v>
      </c>
      <c r="I13" s="115" t="str" cm="1">
        <f t="array" aca="1" ref="I13" ca="1">HYPERLINK(Common_InputFunctions.Utility_SourceHyperlink($D$16), $D$16)</f>
        <v>Table_MU_j_f</v>
      </c>
    </row>
    <row r="14" spans="1:21" ht="20.100000000000001" customHeight="1" x14ac:dyDescent="0.2">
      <c r="A14" s="5" t="str">
        <f>HYPERLINK("#'Input - Fuel'!A1", "Fuel")</f>
        <v>Fuel</v>
      </c>
      <c r="D14" s="111" t="str">
        <v>FU_f</v>
      </c>
      <c r="E14" s="112" t="str">
        <v>fraction of urea in fertiliser type f</v>
      </c>
      <c r="F14" s="124"/>
      <c r="G14" s="111" t="str">
        <v>kg urea/kg</v>
      </c>
      <c r="H14" s="125" t="str">
        <v>Lookup</v>
      </c>
      <c r="I14" s="115"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7" t="s">
        <v>779</v>
      </c>
    </row>
    <row r="17" spans="1:7" ht="20.100000000000001" customHeight="1" x14ac:dyDescent="0.2">
      <c r="A17" s="5" t="str">
        <f>HYPERLINK("#'Input - Livestock farm Inputs'!A1", "Livestock farm Inputs")</f>
        <v>Livestock farm Inputs</v>
      </c>
      <c r="D17" s="138" t="s">
        <v>780</v>
      </c>
    </row>
    <row r="18" spans="1:7" ht="20.100000000000001" customHeight="1" x14ac:dyDescent="0.2">
      <c r="A18" s="5" t="str">
        <f>HYPERLINK("#'Input - Freight'!A1", "Freight")</f>
        <v>Freight</v>
      </c>
      <c r="D18" s="119" t="s">
        <v>754</v>
      </c>
      <c r="E18" s="78" t="s">
        <v>755</v>
      </c>
      <c r="F18" s="119" t="s">
        <v>781</v>
      </c>
      <c r="G18" s="119" t="s">
        <v>782</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
      <c r="A38" s="5" t="str">
        <f>HYPERLINK("#'Calcs - Manure sent off-site'!A1", "Calcs - Manure sent off-site")</f>
        <v>Calcs - Manure sent off-site</v>
      </c>
    </row>
    <row r="39" spans="1:12" ht="20.100000000000001" customHeight="1" x14ac:dyDescent="0.2">
      <c r="A39" s="5" t="str">
        <f>HYPERLINK("#'5.1.1.1-2 Inorganic fert N2O'!A1", "5.1.1.1-2 Inorganic fert N2O")</f>
        <v>5.1.1.1-2 Inorganic fert N2O</v>
      </c>
    </row>
    <row r="40" spans="1:12" ht="20.100000000000001" customHeight="1" x14ac:dyDescent="0.2">
      <c r="A40" s="116" t="str">
        <f>HYPERLINK("#'5.1.1.3-4 Inorganic fert CO2'!A1", "5.1.1.3-4 Inorganic fert CO2")</f>
        <v>5.1.1.3-4 Inorganic fert CO2</v>
      </c>
      <c r="C40" s="82"/>
      <c r="D40" s="82"/>
      <c r="E40" s="82"/>
      <c r="F40" s="82"/>
      <c r="G40" s="82"/>
      <c r="H40" s="82"/>
      <c r="I40" s="82"/>
      <c r="J40" s="82"/>
      <c r="K40" s="82"/>
      <c r="L40" s="82"/>
    </row>
    <row r="41" spans="1:12" ht="20.100000000000001" customHeight="1" x14ac:dyDescent="0.2">
      <c r="A41" s="5" t="str">
        <f>HYPERLINK("#'5.2.1.1-2 Organic Fert N2O'!A1", "5.2.1.1-2 Organic Fert N2O")</f>
        <v>5.2.1.1-2 Organic Fert N2O</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HYPERLINK("#'5.3.1.1-2 Lime CO2'!A1", "5.3.1.1-2 Lime CO2")</f>
        <v>5.3.1.1-2 Lime CO2</v>
      </c>
      <c r="D42" s="17" t="str" cm="1">
        <f t="array" ref="D42">Fertiliser_Equations_InorganicCO2.VEERG_5_1_1_3__1_InorganicFertiliserApplicationCO2Emissions_Source()</f>
        <v>VEERG 2026: 5.1.1.3, Equation (1)</v>
      </c>
    </row>
    <row r="43" spans="1:12" ht="20.100000000000001" customHeight="1" x14ac:dyDescent="0.2">
      <c r="A43" s="5" t="str">
        <f>HYPERLINK("#'5.4.1.1-4 Atmos deposition'!A1", "5.4.1.1-4 Atmos deposition")</f>
        <v>5.4.1.1-4 Atmos deposition</v>
      </c>
      <c r="D43" s="110" t="s">
        <v>321</v>
      </c>
      <c r="E43" s="110"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HYPERLINK("#'5.5.1.1-2 Leaching and runoff'!A1", "5.5.1.1-2 Leaching and runoff")</f>
        <v>5.5.1.1-2 Leaching and runoff</v>
      </c>
    </row>
    <row r="46" spans="1:12" ht="20.100000000000001" customHeight="1" x14ac:dyDescent="0.2">
      <c r="D46" s="75" t="s">
        <v>322</v>
      </c>
      <c r="E46" s="1" t="str" cm="1">
        <f t="array" ref="E46">Fertiliser_Equations_InorganicCO2.VEERG_5_1_1_3__1_InorganicFertiliserApplicationCO2Emissions_Variable()</f>
        <v>E_CO2</v>
      </c>
    </row>
    <row r="47" spans="1:12" ht="20.100000000000001" customHeight="1" x14ac:dyDescent="0.2">
      <c r="A47" s="79" t="s">
        <v>1</v>
      </c>
      <c r="D47" s="75" t="s">
        <v>118</v>
      </c>
      <c r="E47" s="9" t="str" cm="1">
        <f t="array" ref="E47">Fertiliser_Equations_InorganicCO2.VEERG_5_1_1_3__1_InorganicFertiliserApplicationCO2Emissions_Unit()</f>
        <v>t CO2</v>
      </c>
    </row>
    <row r="48" spans="1:12" ht="20.100000000000001" customHeight="1" x14ac:dyDescent="0.2">
      <c r="A48" s="5" t="str">
        <f>HYPERLINK("#'Constants - Swine'!A1", "Constants - Swine")</f>
        <v>Constants - Swine</v>
      </c>
    </row>
    <row r="49" spans="1:9" ht="20.100000000000001" customHeight="1" x14ac:dyDescent="0.2">
      <c r="A49" s="5" t="str">
        <f>HYPERLINK("#'Constants - Common livestock'!A1", "Constants - Common Livestock")</f>
        <v>Constants - Common Livestock</v>
      </c>
      <c r="D49" s="111" t="str" cm="1">
        <f t="array" ref="D49:E53">_xlfn.CHOOSECOLS(Fertiliser_Equations_InorganicCO2.VEERG_5_1_1_3__1_InorganicFertiliserApplicationCO2Emissions_Arguments(), 1, 2)</f>
        <v>MU_jf</v>
      </c>
      <c r="E49" s="112" t="str">
        <v>mass of urea of inorganic fertiliser type f applied to production system j</v>
      </c>
      <c r="F49" s="124"/>
      <c r="G49" s="111" t="str" cm="1">
        <f t="array" ref="G49:H53">_xlfn.CHOOSECOLS(Fertiliser_Equations_InorganicCO2.VEERG_5_1_1_3__1_InorganicFertiliserApplicationCO2Emissions_Arguments(), 3,4)</f>
        <v>kg urea</v>
      </c>
      <c r="H49" s="125" t="str">
        <v>Calculated</v>
      </c>
      <c r="I49" s="115" t="str" cm="1">
        <f t="array" aca="1" ref="I49" ca="1">HYPERLINK(Common_InputFunctions.Utility_SourceHyperlink($D$16), $D$16)</f>
        <v>Table_MU_j_f</v>
      </c>
    </row>
    <row r="50" spans="1:9" ht="20.100000000000001" customHeight="1" x14ac:dyDescent="0.2">
      <c r="A50" s="5" t="str">
        <f>HYPERLINK("#'Constants - Electricity'!A1", "Constants - Electricity")</f>
        <v>Constants - Electricity</v>
      </c>
      <c r="D50" s="111" t="str">
        <v>EF_ureaCO2</v>
      </c>
      <c r="E50" s="112" t="str">
        <v>emission factor for carbon emissions from urea-based fertilisers</v>
      </c>
      <c r="F50" s="124"/>
      <c r="G50" s="111" t="str">
        <v>kg C/kg urea</v>
      </c>
      <c r="H50" s="125" t="str">
        <v>Constant</v>
      </c>
      <c r="I50" s="111">
        <f>Fertiliser_EFUreaCO2_Data</f>
        <v>0.2</v>
      </c>
    </row>
    <row r="51" spans="1:9" ht="20.100000000000001" customHeight="1" x14ac:dyDescent="0.2">
      <c r="A51" s="5" t="str">
        <f>HYPERLINK("#'Constants - Fertiliser'!A1", "Constants - Fertiliser")</f>
        <v>Constants - Fertiliser</v>
      </c>
      <c r="D51" s="111" t="str">
        <v>C_CO2</v>
      </c>
      <c r="E51" s="112" t="str">
        <v>factor to convert elemental mass of carbon to molecular mass of carbon dioxide</v>
      </c>
      <c r="F51" s="124"/>
      <c r="G51" s="111" t="str">
        <v/>
      </c>
      <c r="H51" s="125" t="str">
        <v>Constant</v>
      </c>
      <c r="I51" s="111">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Fuel'!A1", "Constants - Fuel")</f>
        <v>Constants - Fuel</v>
      </c>
      <c r="D52" s="111" t="str">
        <v>j</v>
      </c>
      <c r="E52" s="112" t="str">
        <v>Production system</v>
      </c>
      <c r="F52" s="124"/>
      <c r="G52" s="111" t="str">
        <v/>
      </c>
      <c r="H52" s="123" t="str">
        <v>Input</v>
      </c>
      <c r="I52" s="111" t="str">
        <f>X_Cell_Fertiliser_ProductionSystem</f>
        <v>Crop</v>
      </c>
    </row>
    <row r="53" spans="1:9" ht="20.100000000000001" customHeight="1" x14ac:dyDescent="0.2">
      <c r="A53" s="5" t="str">
        <f>HYPERLINK("#'Constants - Scope 3'!A1", "Constants - Scope 3")</f>
        <v>Constants - Scope 3</v>
      </c>
      <c r="D53" s="111" t="str">
        <v>f</v>
      </c>
      <c r="E53" s="112" t="str">
        <v>Inorganic fertiliser type</v>
      </c>
      <c r="F53" s="124"/>
      <c r="G53" s="111" t="str">
        <v/>
      </c>
      <c r="H53" s="125" t="str">
        <v>Lookup</v>
      </c>
      <c r="I53" s="115" t="str" cm="1">
        <f t="array" aca="1" ref="I53" ca="1">HYPERLINK(Common_InputFunctions.Utility_SourceHyperlink($D$16), $D$16)</f>
        <v>Table_MU_j_f</v>
      </c>
    </row>
    <row r="54" spans="1:9" ht="20.100000000000001" customHeight="1" x14ac:dyDescent="0.2">
      <c r="A54" s="5" t="str">
        <f>HYPERLINK("#'Constants - Solid Waste'!A1", "Constants - Solid Waste")</f>
        <v>Constants - Solid Waste</v>
      </c>
    </row>
    <row r="55" spans="1:9" ht="20.100000000000001" customHeight="1" x14ac:dyDescent="0.2">
      <c r="A55" s="5" t="str">
        <f>HYPERLINK("#'Constants - Common'!A1", "Constants - Common")</f>
        <v>Constants - Common</v>
      </c>
      <c r="D55" s="137" t="s">
        <v>783</v>
      </c>
    </row>
    <row r="56" spans="1:9" ht="20.100000000000001" customHeight="1" x14ac:dyDescent="0.2">
      <c r="A56" s="5" t="str">
        <f>HYPERLINK("#'Acknowledgements'!A1", "Acknowledgements")</f>
        <v>Acknowledgements</v>
      </c>
      <c r="D56" s="138" t="s">
        <v>784</v>
      </c>
    </row>
    <row r="57" spans="1:9" ht="20.100000000000001" customHeight="1" x14ac:dyDescent="0.2">
      <c r="D57" s="119" t="s">
        <v>754</v>
      </c>
      <c r="E57" s="119" t="s">
        <v>766</v>
      </c>
    </row>
    <row r="58" spans="1:9" ht="20.100000000000001" customHeight="1" x14ac:dyDescent="0.2">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D59" s="15" t="str">
        <v>Diammonium phosphate (DAP)</v>
      </c>
      <c r="E59" s="15" cm="1">
        <f t="array" ref="E59">Fertiliser_Equations_InorganicCO2.VEERG_5_1_1_3__1_InorganicFertiliserApplicationCO2Emissions(G20,$I$50,$I$51)</f>
        <v>0</v>
      </c>
    </row>
    <row r="60" spans="1:9" ht="20.100000000000001" customHeight="1" x14ac:dyDescent="0.2">
      <c r="D60" s="15" t="str">
        <v>Urea</v>
      </c>
      <c r="E60" s="15" cm="1">
        <f t="array" ref="E60">Fertiliser_Equations_InorganicCO2.VEERG_5_1_1_3__1_InorganicFertiliserApplicationCO2Emissions(G21,$I$50,$I$51)</f>
        <v>18.492752666666668</v>
      </c>
    </row>
    <row r="61" spans="1:9" ht="20.100000000000001" customHeight="1" x14ac:dyDescent="0.2">
      <c r="D61" s="15" t="str">
        <v>Sulphate of ammonia (SOA)</v>
      </c>
      <c r="E61" s="15" cm="1">
        <f t="array" ref="E61">Fertiliser_Equations_InorganicCO2.VEERG_5_1_1_3__1_InorganicFertiliserApplicationCO2Emissions(G22,$I$50,$I$51)</f>
        <v>0</v>
      </c>
    </row>
    <row r="62" spans="1:9" ht="20.100000000000001" customHeight="1" x14ac:dyDescent="0.2">
      <c r="D62" s="15" t="str">
        <v>Urea-ammonium nitrate (UAN)</v>
      </c>
      <c r="E62" s="15" cm="1">
        <f t="array" ref="E62">Fertiliser_Equations_InorganicCO2.VEERG_5_1_1_3__1_InorganicFertiliserApplicationCO2Emissions(G23,$I$50,$I$51)</f>
        <v>0</v>
      </c>
    </row>
    <row r="63" spans="1:9" ht="20.100000000000001" customHeight="1" x14ac:dyDescent="0.2">
      <c r="D63" s="15" t="str">
        <v>Ammonium nitrate (AN)</v>
      </c>
      <c r="E63" s="15" cm="1">
        <f t="array" ref="E63">Fertiliser_Equations_InorganicCO2.VEERG_5_1_1_3__1_InorganicFertiliserApplicationCO2Emissions(G24,$I$50,$I$51)</f>
        <v>0</v>
      </c>
    </row>
    <row r="64" spans="1:9" ht="20.100000000000001" customHeight="1" x14ac:dyDescent="0.2">
      <c r="D64" s="15" t="str">
        <v>Calcium ammonium nitrate (CAN)</v>
      </c>
      <c r="E64" s="15" cm="1">
        <f t="array" ref="E64">Fertiliser_Equations_InorganicCO2.VEERG_5_1_1_3__1_InorganicFertiliserApplicationCO2Emissions(G25,$I$50,$I$51)</f>
        <v>0</v>
      </c>
    </row>
    <row r="65" spans="1:6" ht="20.100000000000001" customHeight="1" x14ac:dyDescent="0.2">
      <c r="D65" s="15" t="str">
        <v>Nitrogen - Ammoniacal</v>
      </c>
      <c r="E65" s="15" cm="1">
        <f t="array" ref="E65">Fertiliser_Equations_InorganicCO2.VEERG_5_1_1_3__1_InorganicFertiliserApplicationCO2Emissions(G26,$I$50,$I$51)</f>
        <v>0</v>
      </c>
    </row>
    <row r="66" spans="1:6" ht="20.100000000000001" customHeight="1" x14ac:dyDescent="0.2">
      <c r="D66" s="15" t="str">
        <v>Nitrogen - Nitrate</v>
      </c>
      <c r="E66" s="15" cm="1">
        <f t="array" ref="E66">Fertiliser_Equations_InorganicCO2.VEERG_5_1_1_3__1_InorganicFertiliserApplicationCO2Emissions(G27,$I$50,$I$51)</f>
        <v>0</v>
      </c>
    </row>
    <row r="67" spans="1:6" ht="20.100000000000001" customHeight="1" x14ac:dyDescent="0.2">
      <c r="A67" s="131" t="str">
        <f>HYPERLINK("#A1", "▲ Back to top")</f>
        <v>▲ Back to top</v>
      </c>
      <c r="D67" s="15" t="str">
        <v>Nitrogen - Generic</v>
      </c>
      <c r="E67" s="15" cm="1">
        <f t="array" ref="E67">Fertiliser_Equations_InorganicCO2.VEERG_5_1_1_3__1_InorganicFertiliserApplicationCO2Emissions(G28,$I$50,$I$51)</f>
        <v>0</v>
      </c>
    </row>
    <row r="68" spans="1:6" ht="20.100000000000001" customHeight="1" x14ac:dyDescent="0.2">
      <c r="D68" s="15" t="str">
        <v>Phosphorus - Generic</v>
      </c>
      <c r="E68" s="15" cm="1">
        <f t="array" ref="E68">Fertiliser_Equations_InorganicCO2.VEERG_5_1_1_3__1_InorganicFertiliserApplicationCO2Emissions(G29,$I$50,$I$51)</f>
        <v>0</v>
      </c>
    </row>
    <row r="69" spans="1:6" ht="20.100000000000001" customHeight="1" x14ac:dyDescent="0.2">
      <c r="D69" s="15" t="str">
        <v>Potassium - Generic</v>
      </c>
      <c r="E69" s="15" cm="1">
        <f t="array" ref="E69">Fertiliser_Equations_InorganicCO2.VEERG_5_1_1_3__1_InorganicFertiliserApplicationCO2Emissions(G30,$I$50,$I$51)</f>
        <v>0</v>
      </c>
    </row>
    <row r="70" spans="1:6" ht="20.100000000000001" customHeight="1" x14ac:dyDescent="0.2">
      <c r="D70" s="15" t="str">
        <v>Sulfur - Generic</v>
      </c>
      <c r="E70" s="15" cm="1">
        <f t="array" ref="E70">Fertiliser_Equations_InorganicCO2.VEERG_5_1_1_3__1_InorganicFertiliserApplicationCO2Emissions(G31,$I$50,$I$51)</f>
        <v>0</v>
      </c>
    </row>
    <row r="71" spans="1:6" ht="20.100000000000001" customHeight="1" x14ac:dyDescent="0.2">
      <c r="D71" s="15" t="str">
        <v>Zinc - Generic</v>
      </c>
      <c r="E71" s="15" cm="1">
        <f t="array" ref="E71">Fertiliser_Equations_InorganicCO2.VEERG_5_1_1_3__1_InorganicFertiliserApplicationCO2Emissions(G32,$I$50,$I$51)</f>
        <v>0</v>
      </c>
    </row>
    <row r="72" spans="1:6" ht="20.100000000000001" customHeight="1" x14ac:dyDescent="0.2">
      <c r="D72" s="15" t="str">
        <v>Muriate of potash (MOP)</v>
      </c>
      <c r="E72" s="15" cm="1">
        <f t="array" ref="E72">Fertiliser_Equations_InorganicCO2.VEERG_5_1_1_3__1_InorganicFertiliserApplicationCO2Emissions(G33,$I$50,$I$51)</f>
        <v>0</v>
      </c>
    </row>
    <row r="73" spans="1:6" ht="20.100000000000001" customHeight="1" x14ac:dyDescent="0.2">
      <c r="D73" s="15" t="str">
        <v>Double superphosphate</v>
      </c>
      <c r="E73" s="15" cm="1">
        <f t="array" ref="E73">Fertiliser_Equations_InorganicCO2.VEERG_5_1_1_3__1_InorganicFertiliserApplicationCO2Emissions(G34,$I$50,$I$51)</f>
        <v>0</v>
      </c>
    </row>
    <row r="74" spans="1:6" ht="20.100000000000001" customHeight="1" x14ac:dyDescent="0.2">
      <c r="D74" s="15" t="str">
        <v>Single superphosphate (SSP)</v>
      </c>
      <c r="E74" s="15" cm="1">
        <f t="array" ref="E74">Fertiliser_Equations_InorganicCO2.VEERG_5_1_1_3__1_InorganicFertiliserApplicationCO2Emissions(G35,$I$50,$I$51)</f>
        <v>0</v>
      </c>
    </row>
    <row r="75" spans="1:6" ht="20.100000000000001" customHeight="1" x14ac:dyDescent="0.2">
      <c r="D75" s="15" t="str">
        <v>Ammonia</v>
      </c>
      <c r="E75" s="15" cm="1">
        <f t="array" ref="E75">Fertiliser_Equations_InorganicCO2.VEERG_5_1_1_3__1_InorganicFertiliserApplicationCO2Emissions(G36,$I$50,$I$51)</f>
        <v>0</v>
      </c>
    </row>
    <row r="76" spans="1:6" ht="20.100000000000001" customHeight="1" x14ac:dyDescent="0.2">
      <c r="D76" s="15" t="str">
        <v>Calcium nitrate</v>
      </c>
      <c r="E76" s="15" cm="1">
        <f t="array" ref="E76">Fertiliser_Equations_InorganicCO2.VEERG_5_1_1_3__1_InorganicFertiliserApplicationCO2Emissions(G37,$I$50,$I$51)</f>
        <v>0</v>
      </c>
    </row>
    <row r="78" spans="1:6" ht="20.100000000000001" customHeight="1" x14ac:dyDescent="0.2">
      <c r="D78" s="84" t="s">
        <v>785</v>
      </c>
      <c r="E78" s="85">
        <f>SUM(E58:E76)</f>
        <v>18.492752666666668</v>
      </c>
      <c r="F78" s="94" t="str">
        <f>$E$47</f>
        <v>t CO2</v>
      </c>
    </row>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5064F-D75B-4C74-AAA5-4F1015448C00}">
  <sheetPr>
    <tabColor rgb="FF008000"/>
  </sheetPr>
  <dimension ref="A1:U56"/>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786</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D6" s="17" t="str" cm="1">
        <f t="array" ref="D6">Fertiliser_Equations_OrganicN2O.VEERG_5_2_1_1__2_MassOfNitrogenInOrganicFertiliser_Source()</f>
        <v>VEERG 2026: 5.2.1.1, Equation (2)</v>
      </c>
    </row>
    <row r="7" spans="1:21" ht="20.100000000000001" customHeight="1" x14ac:dyDescent="0.2">
      <c r="D7" s="110" t="s">
        <v>321</v>
      </c>
      <c r="E7" s="110" t="str" cm="1">
        <f t="array" aca="1" ref="E7" ca="1">Common_InputFunctions.Utility_DisplayFunctionName($I$20)</f>
        <v>=Fertiliser_Equations_OrganicN2O.VEERG_5_2_1_1__2_MassOfNitrogenInOrganicFertiliser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Fertiliser_Equations_OrganicN2O.VEERG_5_2_1_1__2_MassOfNitrogenInOrganicFertiliser_Variable()</f>
        <v>MNSoil_jf</v>
      </c>
    </row>
    <row r="11" spans="1:21" ht="20.100000000000001" customHeight="1" x14ac:dyDescent="0.2">
      <c r="A11" s="5" t="str">
        <f>HYPERLINK("#'Input - Swine'!A1", "Swine")</f>
        <v>Swine</v>
      </c>
      <c r="D11" s="75" t="s">
        <v>118</v>
      </c>
      <c r="E11" s="9" t="str" cm="1">
        <f t="array" ref="E11">Fertiliser_Equations_OrganicN2O.VEERG_5_2_1_1__2_MassOfNitrogenInOrganicFertiliser_Unit()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11" t="str" cm="1">
        <f t="array" ref="D13:E15">_xlfn.CHOOSECOLS(Fertiliser_Equations_OrganicN2O.VEERG_5_2_1_1__2_MassOfNitrogenInOrganicFertiliser_Arguments(), 1, 2)</f>
        <v>M_organicjf</v>
      </c>
      <c r="E13" s="112" t="str">
        <v>mass of organic fertiliser type f applied to production system j</v>
      </c>
      <c r="F13" s="124"/>
      <c r="G13" s="127" t="str" cm="1">
        <f t="array" ref="G13:H15">_xlfn.CHOOSECOLS(Fertiliser_Equations_OrganicN2O.VEERG_5_2_1_1__2_MassOfNitrogenInOrganicFertiliser_Arguments(), 3,4)</f>
        <v>kg</v>
      </c>
      <c r="H13" s="123" t="str">
        <v>Input</v>
      </c>
      <c r="I13" s="115" t="str" cm="1">
        <f t="array" aca="1" ref="I13" ca="1">HYPERLINK(Common_InputFunctions.Utility_SourceHyperlink($D$17), $D$17)</f>
        <v>Table_MNSoil_j_f</v>
      </c>
    </row>
    <row r="14" spans="1:21" ht="20.100000000000001" customHeight="1" x14ac:dyDescent="0.2">
      <c r="A14" s="5" t="str">
        <f>HYPERLINK("#'Input - Fuel'!A1", "Fuel")</f>
        <v>Fuel</v>
      </c>
      <c r="D14" s="111" t="str">
        <v>FN_organicf</v>
      </c>
      <c r="E14" s="112" t="str">
        <v>nitrogen fraction of organic fertiliser type f</v>
      </c>
      <c r="F14" s="124"/>
      <c r="G14" s="127" t="str">
        <v>kg N/kg</v>
      </c>
      <c r="H14" s="123" t="str">
        <v>Input</v>
      </c>
      <c r="I14" s="115" t="str" cm="1">
        <f t="array" aca="1" ref="I14" ca="1">HYPERLINK(Common_InputFunctions.Utility_SourceHyperlink($D$17), $D$17)</f>
        <v>Table_MNSoil_j_f</v>
      </c>
    </row>
    <row r="15" spans="1:21" ht="20.100000000000001" customHeight="1" x14ac:dyDescent="0.2">
      <c r="A15" s="5" t="str">
        <f>HYPERLINK("#'Input - Electricity'!A1", "Electricity")</f>
        <v>Electricity</v>
      </c>
      <c r="D15" s="111" t="str">
        <v>f</v>
      </c>
      <c r="E15" s="112" t="str">
        <v>Organic fertiliser type</v>
      </c>
      <c r="F15" s="124"/>
      <c r="G15" s="127" t="str">
        <v/>
      </c>
      <c r="H15" s="123" t="str">
        <v>Input</v>
      </c>
      <c r="I15" s="115"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137" t="s">
        <v>787</v>
      </c>
    </row>
    <row r="18" spans="1:10" ht="20.100000000000001" customHeight="1" x14ac:dyDescent="0.2">
      <c r="A18" s="5" t="str">
        <f>HYPERLINK("#'Input - Freight'!A1", "Freight")</f>
        <v>Freight</v>
      </c>
      <c r="D18" s="138" t="s">
        <v>788</v>
      </c>
    </row>
    <row r="19" spans="1:10" ht="20.100000000000001" customHeight="1" x14ac:dyDescent="0.2">
      <c r="A19" s="5" t="str">
        <f>HYPERLINK("#'Input - Solid waste'!A1", "Solid waste")</f>
        <v>Solid waste</v>
      </c>
      <c r="D19" s="78" t="s">
        <v>789</v>
      </c>
      <c r="E19" s="78" t="s">
        <v>790</v>
      </c>
      <c r="F19" s="78" t="s">
        <v>682</v>
      </c>
      <c r="G19" s="231" t="s">
        <v>791</v>
      </c>
      <c r="H19" s="78" t="s">
        <v>792</v>
      </c>
      <c r="I19" s="231" t="s">
        <v>793</v>
      </c>
    </row>
    <row r="20" spans="1:10" ht="20.100000000000001" customHeight="1" x14ac:dyDescent="0.2">
      <c r="A20" s="5" t="str">
        <f>HYPERLINK("#'Input - Manure sent off-site'!A1", "Manure sent off-site")</f>
        <v>Manure sent off-site</v>
      </c>
      <c r="D20" s="15" t="str" cm="1">
        <f t="array" ref="D20:D22">Table_Input_OrganicFertiliser[Organic fertiliser type (select)]</f>
        <v>Manure - Other</v>
      </c>
      <c r="E20" s="232" cm="1">
        <f t="array" ref="E20:E22">Table_Input_OrganicFertiliser[Amount applied (kg/hectare)]</f>
        <v>10</v>
      </c>
      <c r="F20" s="232" cm="1">
        <f t="array" ref="F20:F22">Table_Input_OrganicFertiliser[Application area (ha)]</f>
        <v>100</v>
      </c>
      <c r="G20" s="15" cm="1">
        <f t="array" ref="G20:G22">Table_Input_OrganicFertiliser[Amount applied (kg/hectare)]*Table_Input_OrganicFertiliser[Application area (ha)]</f>
        <v>1000</v>
      </c>
      <c r="H20" s="233" cm="1">
        <f t="array" ref="H20:H22">Table_Input_OrganicFertiliser[Percentage of N in fertiliser]</f>
        <v>0.3</v>
      </c>
      <c r="I20" s="15" cm="1">
        <f t="array" ref="I20">Fertiliser_Equations_OrganicN2O.VEERG_5_2_1_1__2_MassOfNitrogenInOrganicFertiliser(G20,H20)</f>
        <v>300</v>
      </c>
    </row>
    <row r="21" spans="1:10" ht="20.100000000000001" customHeight="1" x14ac:dyDescent="0.2">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100000000000001" customHeight="1" x14ac:dyDescent="0.2">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100000000000001" customHeight="1" x14ac:dyDescent="0.2">
      <c r="A23" s="5" t="str">
        <f>HYPERLINK("#'Input - Fertiliser'!A1", "Fertiliser")</f>
        <v>Fertiliser</v>
      </c>
      <c r="D23" s="15"/>
      <c r="E23" s="15"/>
      <c r="F23" s="15"/>
      <c r="G23" s="15"/>
      <c r="H23" s="15"/>
      <c r="I23" s="15" cm="1">
        <f t="array" ref="I23">Fertiliser_Equations_Organic.VEERG_5_2_1_1__2_MassOfNitrogenInOrganicFertiliser(G23,H23)</f>
        <v>0</v>
      </c>
    </row>
    <row r="24" spans="1:10" ht="20.100000000000001" customHeight="1" x14ac:dyDescent="0.2">
      <c r="D24" s="15"/>
      <c r="E24" s="15"/>
      <c r="F24" s="15"/>
      <c r="G24" s="15"/>
      <c r="H24" s="15"/>
      <c r="I24" s="15" cm="1">
        <f t="array" ref="I24">Fertiliser_Equations_Organic.VEERG_5_2_1_1__2_MassOfNitrogenInOrganicFertiliser(G24,H24)</f>
        <v>0</v>
      </c>
    </row>
    <row r="25" spans="1:10" ht="20.100000000000001" customHeight="1" x14ac:dyDescent="0.2">
      <c r="D25" s="15"/>
      <c r="E25" s="15"/>
      <c r="F25" s="15"/>
      <c r="G25" s="15"/>
      <c r="H25" s="15"/>
      <c r="I25" s="15" cm="1">
        <f t="array" ref="I25">Fertiliser_Equations_Organic.VEERG_5_2_1_1__2_MassOfNitrogenInOrganicFertiliser(G25,H25)</f>
        <v>0</v>
      </c>
    </row>
    <row r="26" spans="1:10" ht="20.100000000000001" customHeight="1" x14ac:dyDescent="0.2">
      <c r="A26" s="6" t="s">
        <v>2</v>
      </c>
      <c r="D26" s="15"/>
      <c r="E26" s="15"/>
      <c r="F26" s="15"/>
      <c r="G26" s="15"/>
      <c r="H26" s="15"/>
      <c r="I26" s="15" cm="1">
        <f t="array" ref="I26">Fertiliser_Equations_Organic.VEERG_5_2_1_1__2_MassOfNitrogenInOrganicFertiliser(G26,H26)</f>
        <v>0</v>
      </c>
    </row>
    <row r="27" spans="1:10" ht="20.100000000000001" customHeight="1" x14ac:dyDescent="0.2">
      <c r="A27" s="5" t="str">
        <f>HYPERLINK("#'3.5.1.1-2 Enteric Methane'!A1", "3.5.1.1-2 Enteric Methane")</f>
        <v>3.5.1.1-2 Enteric Methane</v>
      </c>
      <c r="D27" s="15"/>
      <c r="E27" s="15"/>
      <c r="F27" s="15"/>
      <c r="G27" s="15"/>
      <c r="H27" s="15"/>
      <c r="I27" s="15" cm="1">
        <f t="array" ref="I27">Fertiliser_Equations_Organic.VEERG_5_2_1_1__2_MassOfNitrogenInOrganicFertiliser(G27,H27)</f>
        <v>0</v>
      </c>
    </row>
    <row r="28" spans="1:10" ht="20.100000000000001" customHeight="1" x14ac:dyDescent="0.2">
      <c r="A28" s="5" t="str">
        <f>HYPERLINK("#'4.5.1.1-2 Methane'!A1", "4.5.1.1-2 Manure Methane")</f>
        <v>4.5.1.1-2 Manure Methane</v>
      </c>
      <c r="D28" s="15"/>
      <c r="E28" s="15"/>
      <c r="F28" s="15"/>
      <c r="G28" s="15"/>
      <c r="H28" s="15"/>
      <c r="I28" s="15" cm="1">
        <f t="array" ref="I28">Fertiliser_Equations_Organic.VEERG_5_2_1_1__2_MassOfNitrogenInOrganicFertiliser(G28,H28)</f>
        <v>0</v>
      </c>
    </row>
    <row r="29" spans="1:10" ht="20.100000000000001" customHeight="1" x14ac:dyDescent="0.2">
      <c r="A29" s="5" t="str">
        <f>HYPERLINK("#'4.5.1.3-4 Direct N2O'!A1", "4.5.1.3-4 Manure Direct N2O")</f>
        <v>4.5.1.3-4 Manure Direct N2O</v>
      </c>
      <c r="D29" s="15"/>
      <c r="E29" s="15"/>
      <c r="F29" s="15"/>
      <c r="G29" s="15"/>
      <c r="H29" s="15"/>
      <c r="I29" s="15" cm="1">
        <f t="array" ref="I29">Fertiliser_Equations_Organic.VEERG_5_2_1_1__2_MassOfNitrogenInOrganicFertiliser(G29,H29)</f>
        <v>0</v>
      </c>
    </row>
    <row r="30" spans="1:10" ht="20.100000000000001" customHeight="1" x14ac:dyDescent="0.2">
      <c r="A30" s="5" t="str">
        <f>HYPERLINK("#'4.5.1.5-6 Atmos Dep'!A1", "4.5.1.5-6 Manure Atmos Dep")</f>
        <v>4.5.1.5-6 Manure Atmos Dep</v>
      </c>
      <c r="D30" s="15"/>
      <c r="E30" s="15"/>
      <c r="F30" s="15"/>
      <c r="G30" s="15"/>
      <c r="H30" s="15"/>
      <c r="I30" s="15" cm="1">
        <f t="array" ref="I30">Fertiliser_Equations_Organic.VEERG_5_2_1_1__2_MassOfNitrogenInOrganicFertiliser(G30,H30)</f>
        <v>0</v>
      </c>
    </row>
    <row r="31" spans="1:10" ht="20.100000000000001" customHeight="1" x14ac:dyDescent="0.2">
      <c r="A31" s="5" t="str">
        <f>HYPERLINK("#'4.5.1.7-8 Leaching and runoff'!A1", "4.5.1.7-8 Manure Leaching and runoff")</f>
        <v>4.5.1.7-8 Manure Leaching and runoff</v>
      </c>
      <c r="D31" s="158"/>
      <c r="E31" s="158"/>
      <c r="F31" s="158"/>
      <c r="G31" s="158"/>
      <c r="H31" s="158"/>
      <c r="I31" s="158"/>
      <c r="J31" s="158"/>
    </row>
    <row r="32" spans="1:10" ht="20.100000000000001" customHeight="1" x14ac:dyDescent="0.2">
      <c r="A32" s="5" t="str">
        <f>HYPERLINK("#'4.5.1.9 Manure applied to soils'!A1", "4.5.1.9 Manure applied to soils")</f>
        <v>4.5.1.9 Manure applied to soils</v>
      </c>
      <c r="D32" s="87" t="s">
        <v>794</v>
      </c>
      <c r="E32" s="87">
        <f>SUM(I20:I30)</f>
        <v>710</v>
      </c>
      <c r="F32" s="234" t="str">
        <f>$E$11</f>
        <v>kg N</v>
      </c>
      <c r="G32" s="158"/>
      <c r="H32" s="158"/>
      <c r="I32" s="158"/>
      <c r="J32" s="158"/>
    </row>
    <row r="33" spans="1:12" ht="20.100000000000001" customHeight="1" x14ac:dyDescent="0.2">
      <c r="A33" s="5" t="str">
        <f>HYPERLINK("#'8.1.1.1-2 Transport fuel'!A1", "8.1.1.1-2 Transport fuel")</f>
        <v>8.1.1.1-2 Transport fuel</v>
      </c>
    </row>
    <row r="34" spans="1:12" ht="20.100000000000001" customHeight="1" x14ac:dyDescent="0.2">
      <c r="A34" s="5" t="str">
        <f>HYPERLINK("#'8.2.1.1-2 Stationary fuel'!A1", "8.2.1.1-2 Stationary fuel")</f>
        <v>8.2.1.1-2 Stationary fuel</v>
      </c>
    </row>
    <row r="35" spans="1:12" ht="20.100000000000001" customHeight="1" x14ac:dyDescent="0.2">
      <c r="A35" s="5" t="str">
        <f>HYPERLINK("#'10.1.1-2 Solid waste treatment'!A1", "10.1.1.1-2 Solid waste")</f>
        <v>10.1.1.1-2 Solid waste</v>
      </c>
      <c r="C35" s="235"/>
      <c r="D35" s="235"/>
      <c r="E35" s="235"/>
      <c r="F35" s="235"/>
      <c r="G35" s="235"/>
      <c r="H35" s="235"/>
      <c r="I35" s="235"/>
      <c r="J35" s="235"/>
      <c r="K35" s="235"/>
      <c r="L35" s="235"/>
    </row>
    <row r="36" spans="1:12" ht="20.100000000000001" customHeight="1" x14ac:dyDescent="0.2">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HYPERLINK("#'15 Scope 3'!A1", "15 Scope 3")</f>
        <v>15 Scope 3</v>
      </c>
      <c r="D37" s="17" t="str" cm="1">
        <f t="array" ref="D37">Fertiliser_Equations_OrganicN2O.VEERG_5_2_1_1__1_OrganicFertiliserApplicationN2OEmissions_Source()</f>
        <v>VEERG 2026: 5.2.1.1, Equation (1)</v>
      </c>
    </row>
    <row r="38" spans="1:12" ht="20.100000000000001" customHeight="1" x14ac:dyDescent="0.2">
      <c r="A38" s="5" t="str">
        <f>HYPERLINK("#'Calcs - Manure sent off-site'!A1", "Calcs - Manure sent off-site")</f>
        <v>Calcs - Manure sent off-site</v>
      </c>
      <c r="D38" s="110" t="s">
        <v>321</v>
      </c>
      <c r="E38" s="110" t="str" cm="1">
        <f t="array" aca="1" ref="E38" ca="1">Common_InputFunctions.Utility_DisplayFunctionName($I$20)</f>
        <v>=Fertiliser_Equations_OrganicN2O.VEERG_5_2_1_1__2_MassOfNitrogenInOrganicFertiliser</v>
      </c>
    </row>
    <row r="39" spans="1:12" ht="20.100000000000001" customHeight="1" x14ac:dyDescent="0.2">
      <c r="A39" s="5" t="str">
        <f>HYPERLINK("#'5.1.1.1-2 Inorganic fert N2O'!A1", "5.1.1.1-2 Inorganic fert N2O")</f>
        <v>5.1.1.1-2 Inorganic fert N2O</v>
      </c>
    </row>
    <row r="40" spans="1:12" ht="20.100000000000001" customHeight="1" x14ac:dyDescent="0.2">
      <c r="A40" s="5" t="str">
        <f>HYPERLINK("#'5.1.1.3-4 Inorganic fert CO2'!A1", "5.1.1.3-4 Inorganic fert CO2")</f>
        <v>5.1.1.3-4 Inorganic fert CO2</v>
      </c>
    </row>
    <row r="41" spans="1:12" ht="20.100000000000001" customHeight="1" x14ac:dyDescent="0.2">
      <c r="A41" s="116" t="str">
        <f>HYPERLINK("#'5.2.1.1-2 Organic Fert N2O'!A1", "5.2.1.1-2 Organic Fert N2O")</f>
        <v>5.2.1.1-2 Organic Fert N2O</v>
      </c>
      <c r="D41" s="75" t="s">
        <v>322</v>
      </c>
      <c r="E41" s="1" t="str" cm="1">
        <f t="array" ref="E41">Fertiliser_Equations_OrganicN2O.VEERG_5_2_1_1__1_OrganicFertiliserApplicationN2OEmissions_Variable()</f>
        <v>E_N2O</v>
      </c>
    </row>
    <row r="42" spans="1:12" ht="20.100000000000001" customHeight="1" x14ac:dyDescent="0.2">
      <c r="A42" s="5" t="str">
        <f>HYPERLINK("#'5.3.1.1-2 Lime CO2'!A1", "5.3.1.1-2 Lime CO2")</f>
        <v>5.3.1.1-2 Lime CO2</v>
      </c>
      <c r="D42" s="75" t="s">
        <v>118</v>
      </c>
      <c r="E42" s="9" t="str" cm="1">
        <f t="array" ref="E42">Fertiliser_Equations_OrganicN2O.VEERG_5_2_1_1__1_OrganicFertiliserApplicationN2OEmissions_Unit()</f>
        <v>t N2O</v>
      </c>
    </row>
    <row r="43" spans="1:12" ht="20.100000000000001" customHeight="1" x14ac:dyDescent="0.2">
      <c r="A43" s="5" t="str">
        <f>HYPERLINK("#'5.4.1.1-4 Atmos deposition'!A1", "5.4.1.1-4 Atmos deposition")</f>
        <v>5.4.1.1-4 Atmos deposition</v>
      </c>
    </row>
    <row r="44" spans="1:12" ht="20.100000000000001" customHeight="1" x14ac:dyDescent="0.2">
      <c r="A44" s="5" t="str">
        <f>HYPERLINK("#'5.5.1.1-2 Leaching and runoff'!A1", "5.5.1.1-2 Leaching and runoff")</f>
        <v>5.5.1.1-2 Leaching and runoff</v>
      </c>
      <c r="D44" s="127" t="str" cm="1">
        <f t="array" ref="D44:E48">_xlfn.CHOOSECOLS(Fertiliser_Equations_OrganicN2O.VEERG_5_2_1_1__1_OrganicFertiliserApplicationN2OEmissions_Arguments(), 1, 2)</f>
        <v>MNSoil_jf</v>
      </c>
      <c r="E44" s="128" t="str">
        <v>mass of nitrogen in organic fertiliser type f applied to production system j</v>
      </c>
      <c r="F44" s="149"/>
      <c r="G44" s="149"/>
      <c r="H44" s="129"/>
      <c r="I44" s="127" t="str" cm="1">
        <f t="array" ref="I44:J48">_xlfn.CHOOSECOLS(Fertiliser_Equations_OrganicN2O.VEERG_5_2_1_1__1_OrganicFertiliserApplicationN2OEmissions_Arguments(), 3,4)</f>
        <v>kg N</v>
      </c>
      <c r="J44" s="125" t="str">
        <v>Calculated from 5.2.1.1 (2)</v>
      </c>
      <c r="K44" s="127">
        <f>$E$32</f>
        <v>710</v>
      </c>
    </row>
    <row r="45" spans="1:12" ht="20.100000000000001" customHeight="1" x14ac:dyDescent="0.2">
      <c r="D45" s="127" t="str">
        <v>EF_N2Oi</v>
      </c>
      <c r="E45" s="128" t="str">
        <v>emission factor for direct nitrous oxide emissions from organic fertiliser applied to soils and aquatic systems in climate zone i</v>
      </c>
      <c r="F45" s="149"/>
      <c r="G45" s="149"/>
      <c r="H45" s="129"/>
      <c r="I45" s="127" t="str">
        <v>kg N2O-N/kg N</v>
      </c>
      <c r="J45" s="125" t="str">
        <v>Lookup</v>
      </c>
      <c r="K45" s="12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
      <c r="D46" s="127" t="str">
        <v>C_N2O</v>
      </c>
      <c r="E46" s="128" t="str">
        <v>factor to convert elemental mass of nitrous oxide to molecular mass</v>
      </c>
      <c r="F46" s="149"/>
      <c r="G46" s="149"/>
      <c r="H46" s="129"/>
      <c r="I46" s="127" t="str">
        <v/>
      </c>
      <c r="J46" s="125" t="str">
        <v>Constant</v>
      </c>
      <c r="K46" s="111">
        <f>Common_InputFunctions.Utility_LookupValueInTableNumber("N2O",Table_GasToMolecularConversionFactor[Gas],Table_GasToMolecularConversionFactor[Conversion factor combined])</f>
        <v>1.5714285714285714</v>
      </c>
    </row>
    <row r="47" spans="1:12" ht="20.100000000000001" customHeight="1" x14ac:dyDescent="0.2">
      <c r="A47" s="79" t="s">
        <v>1</v>
      </c>
      <c r="D47" s="127" t="str">
        <v>j</v>
      </c>
      <c r="E47" s="128" t="str">
        <v>Production system</v>
      </c>
      <c r="F47" s="149"/>
      <c r="G47" s="149"/>
      <c r="H47" s="129"/>
      <c r="I47" s="127" t="str">
        <v/>
      </c>
      <c r="J47" s="123" t="str">
        <v>Input</v>
      </c>
      <c r="K47" s="127" t="str">
        <f>X_Cell_Fertiliser_ProductionSystem</f>
        <v>Crop</v>
      </c>
    </row>
    <row r="48" spans="1:12" ht="20.100000000000001" customHeight="1" x14ac:dyDescent="0.2">
      <c r="A48" s="5" t="str">
        <f>HYPERLINK("#'Constants - Swine'!A1", "Constants - Swine")</f>
        <v>Constants - Swine</v>
      </c>
      <c r="D48" s="127" t="str">
        <v>i</v>
      </c>
      <c r="E48" s="128" t="str">
        <v>Wet or dry climate zone</v>
      </c>
      <c r="F48" s="149"/>
      <c r="G48" s="149"/>
      <c r="H48" s="129"/>
      <c r="I48" s="127" t="str">
        <v/>
      </c>
      <c r="J48" s="123" t="str">
        <v>Input</v>
      </c>
      <c r="K48" s="127" t="str">
        <f>X_Cell_Site_WetOrDryClimateZone</f>
        <v>Dry climate zone</v>
      </c>
    </row>
    <row r="49" spans="1:7" ht="20.100000000000001" customHeight="1" x14ac:dyDescent="0.2">
      <c r="A49" s="5" t="str">
        <f>HYPERLINK("#'Constants - Common livestock'!A1", "Constants - Common Livestock")</f>
        <v>Constants - Common Livestock</v>
      </c>
    </row>
    <row r="50" spans="1:7" ht="20.100000000000001" customHeight="1" x14ac:dyDescent="0.2">
      <c r="A50" s="5" t="str">
        <f>HYPERLINK("#'Constants - Electricity'!A1", "Constants - Electricity")</f>
        <v>Constants - Electricity</v>
      </c>
      <c r="D50" s="84" t="s">
        <v>769</v>
      </c>
      <c r="E50" s="85" cm="1">
        <f t="array" ref="E50">Fertiliser_Equations_OrganicN2O.VEERG_5_2_1_1__1_OrganicFertiliserApplicationN2OEmissions(K44,K45,K46)</f>
        <v>5.5785714285714293E-3</v>
      </c>
      <c r="F50" s="94" t="str">
        <f>$E$42</f>
        <v>t N2O</v>
      </c>
    </row>
    <row r="51" spans="1:7" ht="20.100000000000001" customHeight="1" x14ac:dyDescent="0.2">
      <c r="A51" s="5" t="str">
        <f>HYPERLINK("#'Constants - Fertiliser'!A1", "Constants - Fertiliser")</f>
        <v>Constants - Fertiliser</v>
      </c>
    </row>
    <row r="52" spans="1:7" ht="20.100000000000001" customHeight="1" x14ac:dyDescent="0.2">
      <c r="A52" s="5" t="str">
        <f>HYPERLINK("#'Constants - Fuel'!A1", "Constants - Fuel")</f>
        <v>Constants - Fuel</v>
      </c>
      <c r="D52" s="111" t="str" cm="1">
        <f t="array" ref="D52:E53">Common_Equations.Common_ConvertN2OToCO2e_Arguments()</f>
        <v>EN2O</v>
      </c>
      <c r="E52" s="112" t="str">
        <v>Nitrous oxide emissions (t N2O)</v>
      </c>
      <c r="F52" s="133"/>
      <c r="G52" s="15">
        <f>VEERG_5_2_1_1__2_MassOfNitrogenInOrganicFertiliser_Result_Method1</f>
        <v>5.5785714285714293E-3</v>
      </c>
    </row>
    <row r="53" spans="1:7" ht="20.100000000000001" customHeight="1" x14ac:dyDescent="0.2">
      <c r="A53" s="5" t="str">
        <f>HYPERLINK("#'Constants - Scope 3'!A1", "Constants - Scope 3")</f>
        <v>Constants - Scope 3</v>
      </c>
      <c r="D53" s="111" t="str">
        <v>GWPN2O</v>
      </c>
      <c r="E53" s="112" t="str">
        <v>Global warming potential for nitrous oxide (t CO2-e / t N2O)</v>
      </c>
      <c r="F53" s="133"/>
      <c r="G53" s="15">
        <f>Common_InputFunctions.Utility_LookupValueInTableNumber("N2O",Table_GWPData[Gas],Table_GWPData[CO2-e factor])</f>
        <v>265</v>
      </c>
    </row>
    <row r="54" spans="1:7" ht="20.100000000000001" customHeight="1" x14ac:dyDescent="0.2">
      <c r="A54" s="5" t="str">
        <f>HYPERLINK("#'Constants - Solid Waste'!A1", "Constants - Solid Waste")</f>
        <v>Constants - Solid Waste</v>
      </c>
    </row>
    <row r="55" spans="1:7" ht="20.100000000000001" customHeight="1" x14ac:dyDescent="0.2">
      <c r="A55" s="5" t="str">
        <f>HYPERLINK("#'Constants - Common'!A1", "Constants - Common")</f>
        <v>Constants - Common</v>
      </c>
      <c r="D55" s="82" t="s">
        <v>382</v>
      </c>
      <c r="E55" s="82" cm="1">
        <f t="array" ref="E55">Common_Equations.Common_ConvertN2OToCO2e(G52,G53)</f>
        <v>1.4783214285714288</v>
      </c>
      <c r="F55" s="88" t="str" cm="1">
        <f t="array" ref="F55">Common_Equations.Common_ConvertN2OToCO2e_Unit()</f>
        <v>t CO2e</v>
      </c>
    </row>
    <row r="56" spans="1:7" ht="20.100000000000001" customHeight="1" x14ac:dyDescent="0.2">
      <c r="A56" s="5" t="str">
        <f>HYPERLINK("#'Acknowledgements'!A1", "Acknowledgements")</f>
        <v>Acknowledgements</v>
      </c>
    </row>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98B2F-F47A-4138-81CD-2810E8ADF7FC}">
  <sheetPr>
    <tabColor rgb="FF008000"/>
  </sheetPr>
  <dimension ref="A1:U56"/>
  <sheetViews>
    <sheetView showGridLines="0" zoomScaleNormal="100" workbookViewId="0">
      <pane xSplit="1" topLeftCell="B1" activePane="topRight" state="frozenSplit"/>
      <selection pane="topRight" activeCell="A97" sqref="A9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795</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
      <c r="D6" s="17" t="str" cm="1">
        <f t="array" ref="D6">Fertiliser_Equations_Lime.VEERG_5_3_1_1__1_LimeApplicationCO2Emissions_Source()</f>
        <v>VEERG 2026: 5.3.1.1, Equation (1)</v>
      </c>
    </row>
    <row r="7" spans="1:21" ht="20.100000000000001" customHeight="1" x14ac:dyDescent="0.2">
      <c r="D7" s="110" t="s">
        <v>321</v>
      </c>
      <c r="E7" s="110" t="str" cm="1">
        <f t="array" aca="1" ref="E7" ca="1">Common_InputFunctions.Utility_DisplayFunctionName(H25)</f>
        <v>=Fertiliser_Equations_Lime.VEERG_5_3_1_1__1_LimeApplicationCO2Emissions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Fertiliser_Equations_Lime.VEERG_5_3_1_1__1_LimeApplicationCO2Emissions_Variable()</f>
        <v>E_lime</v>
      </c>
    </row>
    <row r="11" spans="1:21" ht="20.100000000000001" customHeight="1" x14ac:dyDescent="0.2">
      <c r="A11" s="5" t="str">
        <f>HYPERLINK("#'Input - Swine'!A1", "Swine")</f>
        <v>Swine</v>
      </c>
      <c r="D11" s="75" t="s">
        <v>118</v>
      </c>
      <c r="E11" s="9" t="str" cm="1">
        <f t="array" ref="E11">Fertiliser_Equations_Lime.VEERG_5_3_1_1__1_LimeApplicationCO2Emissions_Unit()</f>
        <v>t CO2</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tr" cm="1">
        <f t="array" ref="D13:E20">_xlfn.CHOOSECOLS(Fertiliser_Equations_Lime.VEERG_5_3_1_1__1_LimeApplicationCO2Emissions_Arguments(), 1, 2)</f>
        <v>M_lime</v>
      </c>
      <c r="E13" s="128" t="str">
        <v>total mass of lime applied to production system</v>
      </c>
      <c r="F13" s="129"/>
      <c r="G13" s="127" t="str" cm="1">
        <f t="array" ref="G13:H20">_xlfn.CHOOSECOLS(Fertiliser_Equations_Lime.VEERG_5_3_1_1__1_LimeApplicationCO2Emissions_Arguments(), 3,4)</f>
        <v>kg</v>
      </c>
      <c r="H13" s="123" t="str">
        <v>Input</v>
      </c>
      <c r="I13" s="115" t="str" cm="1">
        <f t="array" aca="1" ref="I13" ca="1">HYPERLINK(Common_InputFunctions.Utility_SourceHyperlink($D$22), $D$22)</f>
        <v>Table_E_lime</v>
      </c>
    </row>
    <row r="14" spans="1:21" ht="20.100000000000001" customHeight="1" x14ac:dyDescent="0.2">
      <c r="A14" s="5" t="str">
        <f>HYPERLINK("#'Input - Fuel'!A1", "Fuel")</f>
        <v>Fuel</v>
      </c>
      <c r="D14" s="127" t="str">
        <v>FracLime</v>
      </c>
      <c r="E14" s="128" t="str">
        <v>fraction of lime as limestone (CaCO3)</v>
      </c>
      <c r="F14" s="129"/>
      <c r="G14" s="127" t="str">
        <v>fraction</v>
      </c>
      <c r="H14" s="123" t="str">
        <v>Input</v>
      </c>
      <c r="I14" s="115" t="str" cm="1">
        <f t="array" aca="1" ref="I14" ca="1">HYPERLINK(Common_InputFunctions.Utility_SourceHyperlink($D$22), $D$22)</f>
        <v>Table_E_lime</v>
      </c>
    </row>
    <row r="15" spans="1:21" ht="20.100000000000001" customHeight="1" x14ac:dyDescent="0.2">
      <c r="A15" s="5" t="str">
        <f>HYPERLINK("#'Input - Electricity'!A1", "Electricity")</f>
        <v>Electricity</v>
      </c>
      <c r="D15" s="127" t="str">
        <v>P_lime</v>
      </c>
      <c r="E15" s="128" t="str">
        <v>fractional purity of limestone</v>
      </c>
      <c r="F15" s="129"/>
      <c r="G15" s="127" t="str">
        <v>fraction</v>
      </c>
      <c r="H15" s="125" t="str">
        <v>Constant</v>
      </c>
      <c r="I15" s="127">
        <f>'Constants - Fertiliser'!$E$66</f>
        <v>0.9</v>
      </c>
    </row>
    <row r="16" spans="1:21" ht="20.100000000000001" customHeight="1" x14ac:dyDescent="0.2">
      <c r="A16" s="5" t="str">
        <f>HYPERLINK("#'Input - Common farm inputs'!A1", "Common farm inputs")</f>
        <v>Common farm inputs</v>
      </c>
      <c r="D16" s="127" t="str">
        <v>EF_lime</v>
      </c>
      <c r="E16" s="128" t="str">
        <v>emission factor for limestone fraction of lime</v>
      </c>
      <c r="F16" s="129"/>
      <c r="G16" s="127" t="str">
        <v>kg C/kg</v>
      </c>
      <c r="H16" s="125" t="str">
        <v>Constant</v>
      </c>
      <c r="I16" s="127">
        <f>'Constants - Fertiliser'!$F$66</f>
        <v>0.12</v>
      </c>
    </row>
    <row r="17" spans="1:9" ht="20.100000000000001" customHeight="1" x14ac:dyDescent="0.2">
      <c r="A17" s="5" t="str">
        <f>HYPERLINK("#'Input - Livestock farm Inputs'!A1", "Livestock farm Inputs")</f>
        <v>Livestock farm Inputs</v>
      </c>
      <c r="D17" s="127" t="str">
        <v>FracDol</v>
      </c>
      <c r="E17" s="128" t="str">
        <v>fraction of lime as dolomite</v>
      </c>
      <c r="F17" s="129"/>
      <c r="G17" s="127" t="str">
        <v>fraction</v>
      </c>
      <c r="H17" s="123" t="str">
        <v>Input</v>
      </c>
      <c r="I17" s="115" t="str" cm="1">
        <f t="array" aca="1" ref="I17" ca="1">HYPERLINK(Common_InputFunctions.Utility_SourceHyperlink($D$22), $D$22)</f>
        <v>Table_E_lime</v>
      </c>
    </row>
    <row r="18" spans="1:9" ht="20.100000000000001" customHeight="1" x14ac:dyDescent="0.2">
      <c r="A18" s="5" t="str">
        <f>HYPERLINK("#'Input - Freight'!A1", "Freight")</f>
        <v>Freight</v>
      </c>
      <c r="D18" s="127" t="str">
        <v>P_dol</v>
      </c>
      <c r="E18" s="128" t="str">
        <v>fractional purity of dolomite</v>
      </c>
      <c r="F18" s="129"/>
      <c r="G18" s="127" t="str">
        <v>fraction</v>
      </c>
      <c r="H18" s="125" t="str">
        <v>Constant</v>
      </c>
      <c r="I18" s="127">
        <f>'Constants - Fertiliser'!$E$67</f>
        <v>0.95</v>
      </c>
    </row>
    <row r="19" spans="1:9" ht="20.100000000000001" customHeight="1" x14ac:dyDescent="0.2">
      <c r="A19" s="5" t="str">
        <f>HYPERLINK("#'Input - Solid waste'!A1", "Solid waste")</f>
        <v>Solid waste</v>
      </c>
      <c r="D19" s="127" t="str">
        <v>EF_dol</v>
      </c>
      <c r="E19" s="128" t="str">
        <v>emission factor for dolomite fraction of lime</v>
      </c>
      <c r="F19" s="129"/>
      <c r="G19" s="127" t="str">
        <v>kg C/kg</v>
      </c>
      <c r="H19" s="125" t="str">
        <v>Constant</v>
      </c>
      <c r="I19" s="127">
        <f>'Constants - Fertiliser'!$F$67</f>
        <v>0.13</v>
      </c>
    </row>
    <row r="20" spans="1:9" ht="20.100000000000001" customHeight="1" x14ac:dyDescent="0.2">
      <c r="A20" s="5" t="str">
        <f>HYPERLINK("#'Input - Manure sent off-site'!A1", "Manure sent off-site")</f>
        <v>Manure sent off-site</v>
      </c>
      <c r="D20" s="127" t="str">
        <v>C_CO2</v>
      </c>
      <c r="E20" s="128" t="str">
        <v>factor to convert elemental mass of carbon dioxide to molecular mass</v>
      </c>
      <c r="F20" s="129"/>
      <c r="G20" s="127" t="str">
        <v/>
      </c>
      <c r="H20" s="125" t="str">
        <v>Constant</v>
      </c>
      <c r="I20" s="111">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Data quality'!A1", "Data quality")</f>
        <v>Data quality</v>
      </c>
    </row>
    <row r="22" spans="1:9" ht="20.100000000000001" customHeight="1" x14ac:dyDescent="0.2">
      <c r="A22" s="5" t="str">
        <f>HYPERLINK("#'Input - Fert Prod System'!A1", "Fert Prod System")</f>
        <v>Fert Prod System</v>
      </c>
      <c r="D22" s="137" t="s">
        <v>796</v>
      </c>
    </row>
    <row r="23" spans="1:9" ht="20.100000000000001" customHeight="1" x14ac:dyDescent="0.2">
      <c r="A23" s="5" t="str">
        <f>HYPERLINK("#'Input - Fertiliser'!A1", "Fertiliser")</f>
        <v>Fertiliser</v>
      </c>
      <c r="D23" s="138" t="s">
        <v>719</v>
      </c>
    </row>
    <row r="24" spans="1:9" ht="20.100000000000001" customHeight="1" x14ac:dyDescent="0.2">
      <c r="D24" s="78" t="s">
        <v>797</v>
      </c>
      <c r="E24" s="78" t="s">
        <v>798</v>
      </c>
      <c r="F24" s="78" t="s">
        <v>799</v>
      </c>
      <c r="G24" s="78" t="s">
        <v>800</v>
      </c>
      <c r="H24" s="119" t="s">
        <v>801</v>
      </c>
    </row>
    <row r="25" spans="1:9" ht="20.100000000000001" customHeight="1" x14ac:dyDescent="0.2">
      <c r="D25" s="15" t="str" cm="1">
        <f t="array" ref="D25:D27">Table_Input_Lime[Product]</f>
        <v>Lime product 1</v>
      </c>
      <c r="E25" s="132" cm="1">
        <f t="array" ref="E25:E27">Table_Input_Lime[Total amount applied (t)]*10^3</f>
        <v>100000</v>
      </c>
      <c r="F25" s="160" cm="1">
        <f t="array" ref="F25:F27">Table_Input_Lime[Percent Lime CaCO3]</f>
        <v>0.8</v>
      </c>
      <c r="G25" s="160" cm="1">
        <f t="array" ref="G25:G27">Table_Input_Lime[Percent Dolomite CaMg(CO3)2]</f>
        <v>0.1</v>
      </c>
      <c r="H25" s="15" cm="1">
        <f t="array" ref="H25">Fertiliser_Equations_Lime.VEERG_5_3_1_1__1_LimeApplicationCO2Emissions(E25,F25,$I$15,$I$16,G25,$I$18,$I$19,$I$20)</f>
        <v>36.208333333333329</v>
      </c>
    </row>
    <row r="26" spans="1:9" ht="20.100000000000001" customHeight="1" x14ac:dyDescent="0.2">
      <c r="A26" s="6" t="s">
        <v>2</v>
      </c>
      <c r="D26" s="15" t="str">
        <v>Lime product 2</v>
      </c>
      <c r="E26" s="15">
        <v>100000</v>
      </c>
      <c r="F26" s="15">
        <v>1</v>
      </c>
      <c r="G26" s="15">
        <v>0</v>
      </c>
      <c r="H26" s="15" cm="1">
        <f t="array" ref="H26">Fertiliser_Equations_Lime.VEERG_5_3_1_1__1_LimeApplicationCO2Emissions(E26,F26,$I$15,$I$16,G26,$I$18,$I$19,$I$20)</f>
        <v>39.6</v>
      </c>
    </row>
    <row r="27" spans="1:9" ht="20.100000000000001" customHeight="1" x14ac:dyDescent="0.2">
      <c r="A27" s="5" t="str">
        <f>HYPERLINK("#'3.5.1.1-2 Enteric Methane'!A1", "3.5.1.1-2 Enteric Methane")</f>
        <v>3.5.1.1-2 Enteric Methane</v>
      </c>
      <c r="D27" s="15" t="str">
        <v>Lime product 3</v>
      </c>
      <c r="E27" s="15">
        <v>100000</v>
      </c>
      <c r="F27" s="15">
        <v>0</v>
      </c>
      <c r="G27" s="15">
        <v>0</v>
      </c>
      <c r="H27" s="15" cm="1">
        <f t="array" ref="H27">Fertiliser_Equations_Lime.VEERG_5_3_1_1__1_LimeApplicationCO2Emissions(E27,F27,$I$15,$I$16,G27,$I$18,$I$19,$I$20)</f>
        <v>0</v>
      </c>
    </row>
    <row r="28" spans="1:9" ht="20.100000000000001" customHeight="1" x14ac:dyDescent="0.2">
      <c r="A28" s="5" t="str">
        <f>HYPERLINK("#'4.5.1.1-2 Methane'!A1", "4.5.1.1-2 Manure Methane")</f>
        <v>4.5.1.1-2 Manure Methane</v>
      </c>
      <c r="D28" s="15"/>
      <c r="E28" s="15"/>
      <c r="F28" s="15"/>
      <c r="G28" s="15"/>
      <c r="H28" s="15" cm="1">
        <f t="array" ref="H28">Fertiliser_Equations_Lime.VEERG_5_3_1_1__1_LimeApplicationCO2Emissions(E28,F28,$I$15,$I$16,G28,$I$18,$I$19,$I$20)</f>
        <v>0</v>
      </c>
    </row>
    <row r="29" spans="1:9" ht="20.100000000000001" customHeight="1" x14ac:dyDescent="0.2">
      <c r="A29" s="5" t="str">
        <f>HYPERLINK("#'4.5.1.3-4 Direct N2O'!A1", "4.5.1.3-4 Manure Direct N2O")</f>
        <v>4.5.1.3-4 Manure Direct N2O</v>
      </c>
      <c r="D29" s="15"/>
      <c r="E29" s="15"/>
      <c r="F29" s="15"/>
      <c r="G29" s="15"/>
      <c r="H29" s="15" cm="1">
        <f t="array" ref="H29">Fertiliser_Equations_Lime.VEERG_5_3_1_1__1_LimeApplicationCO2Emissions(E29,F29,$I$15,$I$16,G29,$I$18,$I$19,$I$20)</f>
        <v>0</v>
      </c>
    </row>
    <row r="30" spans="1:9" ht="20.100000000000001" customHeight="1" x14ac:dyDescent="0.2">
      <c r="A30" s="5" t="str">
        <f>HYPERLINK("#'4.5.1.5-6 Atmos Dep'!A1", "4.5.1.5-6 Manure Atmos Dep")</f>
        <v>4.5.1.5-6 Manure Atmos Dep</v>
      </c>
    </row>
    <row r="31" spans="1:9" ht="20.100000000000001" customHeight="1" x14ac:dyDescent="0.2">
      <c r="A31" s="5" t="str">
        <f>HYPERLINK("#'4.5.1.7-8 Leaching and runoff'!A1", "4.5.1.7-8 Manure Leaching and runoff")</f>
        <v>4.5.1.7-8 Manure Leaching and runoff</v>
      </c>
      <c r="D31" s="84" t="s">
        <v>802</v>
      </c>
      <c r="E31" s="85">
        <f>SUM(H25:H29)</f>
        <v>75.808333333333337</v>
      </c>
      <c r="F31" s="236" t="s">
        <v>127</v>
      </c>
    </row>
    <row r="32" spans="1:9"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116"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5" t="str">
        <f>HYPERLINK("#'Acknowledgements'!A1", "Acknowledgements")</f>
        <v>Acknowledgements</v>
      </c>
    </row>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7592-020F-480D-9A41-5D691FF1D9EB}">
  <sheetPr>
    <tabColor rgb="FF008000"/>
  </sheetPr>
  <dimension ref="A1:U151"/>
  <sheetViews>
    <sheetView showGridLines="0" zoomScaleNormal="100" workbookViewId="0">
      <pane xSplit="1" topLeftCell="B1" activePane="topRight" state="frozenSplit"/>
      <selection pane="topRight" activeCell="A67" sqref="A67"/>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803</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17" t="str" cm="1">
        <f t="array" ref="D6">Fertiliser_Equations_AtmosphericDeposition.VEERG_5_4_1_1__2_MassOfNitrogenVolatilisedFromInorganicFertiliser_Source()</f>
        <v>VEERG 2026: 5.4.1.1, Equation (2)</v>
      </c>
    </row>
    <row r="7" spans="1:21" ht="20.100000000000001" customHeight="1" x14ac:dyDescent="0.2">
      <c r="D7" s="110" t="s">
        <v>321</v>
      </c>
      <c r="E7" s="110" t="str" cm="1">
        <f t="array" aca="1" ref="E7" ca="1">Common_InputFunctions.Utility_DisplayFunctionName(H19)</f>
        <v>=Fertiliser_Equations_AtmosphericDeposition.VEERG_5_4_1_1__2_MassOfNitrogenVolatilisedFromInorganicFertiliser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Swine'!A1", "Swine")</f>
        <v>Swine</v>
      </c>
      <c r="D11" s="75" t="s">
        <v>118</v>
      </c>
      <c r="E11" s="9" t="str" cm="1">
        <f t="array" ref="E11">Fertiliser_Equations_AtmosphericDeposition.VEERG_5_4_1_1__2_MassOfNitrogenVolatilisedFromInorganicFertiliser_Unit()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Pig purchases'!A1", "Pig purchases")</f>
        <v>Pig purchases</v>
      </c>
      <c r="D13" s="127" t="str" cm="1">
        <f t="array" ref="D13:E14">_xlfn.CHOOSECOLS(Fertiliser_Equations_AtmosphericDeposition.VEERG_5_4_1_1__2_MassOfNitrogenVolatilisedFromInorganicFertiliser_Arguments(), 1, 2)</f>
        <v>MN_jf</v>
      </c>
      <c r="E13" s="128" t="str">
        <v>mass of nitrogen in inorganic fertiliser applied</v>
      </c>
      <c r="F13" s="129"/>
      <c r="G13" s="127" t="str" cm="1">
        <f t="array" ref="G13:H14">_xlfn.CHOOSECOLS(Fertiliser_Equations_AtmosphericDeposition.VEERG_5_4_1_1__2_MassOfNitrogenVolatilisedFromInorganicFertiliser_Arguments(), 3,4)</f>
        <v>kg N</v>
      </c>
      <c r="H13" s="125" t="str">
        <v>Calculated from 5.1.1.1 (2)</v>
      </c>
      <c r="I13" s="115" t="str" cm="1">
        <f t="array" aca="1" ref="I13" ca="1">HYPERLINK(Common_InputFunctions.Utility_SourceHyperlink($D$16),$D$16)</f>
        <v>Table_M_vol_inorganic_j_f</v>
      </c>
    </row>
    <row r="14" spans="1:21" ht="20.100000000000001" customHeight="1" x14ac:dyDescent="0.2">
      <c r="A14" s="5" t="str">
        <f>HYPERLINK("#'Input - Fuel'!A1", "Fuel")</f>
        <v>Fuel</v>
      </c>
      <c r="D14" s="127" t="str">
        <v>FracGASF_f</v>
      </c>
      <c r="E14" s="128" t="str">
        <v>fraction of inorganic fertiliser that volatilises</v>
      </c>
      <c r="F14" s="129"/>
      <c r="G14" s="127" t="str">
        <v>(kg NH3-N + NOx-N)/kg N</v>
      </c>
      <c r="H14" s="125" t="str">
        <v>Constant</v>
      </c>
      <c r="I14" s="115"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7" t="s">
        <v>804</v>
      </c>
    </row>
    <row r="17" spans="1:8" ht="20.100000000000001" customHeight="1" x14ac:dyDescent="0.2">
      <c r="A17" s="5" t="str">
        <f>HYPERLINK("#'Input - Livestock farm Inputs'!A1", "Livestock farm Inputs")</f>
        <v>Livestock farm Inputs</v>
      </c>
      <c r="D17" s="138" t="s">
        <v>805</v>
      </c>
    </row>
    <row r="18" spans="1:8" ht="20.100000000000001" customHeight="1" x14ac:dyDescent="0.2">
      <c r="A18" s="5" t="str">
        <f>HYPERLINK("#'Input - Freight'!A1", "Freight")</f>
        <v>Freight</v>
      </c>
      <c r="D18" s="119" t="s">
        <v>806</v>
      </c>
      <c r="E18" s="119" t="s">
        <v>807</v>
      </c>
      <c r="F18" s="119" t="s">
        <v>808</v>
      </c>
      <c r="G18" s="237" t="s">
        <v>809</v>
      </c>
      <c r="H18" s="237" t="s">
        <v>810</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100000000000001" customHeight="1" x14ac:dyDescent="0.2">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
      <c r="A27" s="5" t="str">
        <f>HYPERLINK("#'3.5.1.1-2 Enteric Methane'!A1", "3.5.1.1-2 Enteric Methane")</f>
        <v>3.5.1.1-2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
      <c r="A28" s="5" t="str">
        <f>HYPERLINK("#'4.5.1.1-2 Methane'!A1", "4.5.1.1-2 Manure Methane")</f>
        <v>4.5.1.1-2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A29" s="5" t="str">
        <f>HYPERLINK("#'4.5.1.3-4 Direct N2O'!A1", "4.5.1.3-4 Manure Direct N2O")</f>
        <v>4.5.1.3-4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5" t="str">
        <f>HYPERLINK("#'4.5.1.5-6 Atmos Dep'!A1", "4.5.1.5-6 Manure Atmos Dep")</f>
        <v>4.5.1.5-6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HYPERLINK("#'4.5.1.7-8 Leaching and runoff'!A1", "4.5.1.7-8 Manure Leaching and runoff")</f>
        <v>4.5.1.7-8 Manure Leaching and runoff</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HYPERLINK("#'4.5.1.9 Manure applied to soils'!A1", "4.5.1.9 Manure applied to soils")</f>
        <v>4.5.1.9 Manure applied to soils</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100000000000001" customHeight="1" x14ac:dyDescent="0.2">
      <c r="A37" s="5" t="str">
        <f>HYPERLINK("#'15 Scope 3'!A1", "15 Scope 3")</f>
        <v>15 Scope 3</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
      <c r="A38" s="5" t="str">
        <f>HYPERLINK("#'Calcs - Manure sent off-site'!A1", "Calcs - Manure sent off-site")</f>
        <v>Calcs - Manure sent off-site</v>
      </c>
    </row>
    <row r="39" spans="1:12" ht="20.100000000000001" customHeight="1" x14ac:dyDescent="0.2">
      <c r="A39" s="5" t="str">
        <f>HYPERLINK("#'5.1.1.1-2 Inorganic fert N2O'!A1", "5.1.1.1-2 Inorganic fert N2O")</f>
        <v>5.1.1.1-2 Inorganic fert N2O</v>
      </c>
    </row>
    <row r="40" spans="1:12" ht="20.100000000000001" customHeight="1" x14ac:dyDescent="0.2">
      <c r="A40" s="5" t="str">
        <f>HYPERLINK("#'5.1.1.3-4 Inorganic fert CO2'!A1", "5.1.1.3-4 Inorganic fert CO2")</f>
        <v>5.1.1.3-4 Inorganic fert CO2</v>
      </c>
      <c r="C40" s="235"/>
      <c r="D40" s="235"/>
      <c r="E40" s="235"/>
      <c r="F40" s="235"/>
      <c r="G40" s="235"/>
      <c r="H40" s="235"/>
      <c r="I40" s="235"/>
      <c r="J40" s="235"/>
      <c r="K40" s="235"/>
      <c r="L40" s="235"/>
    </row>
    <row r="41" spans="1:12" ht="20.100000000000001" customHeight="1" x14ac:dyDescent="0.2">
      <c r="A41" s="5" t="str">
        <f>HYPERLINK("#'5.2.1.1-2 Organic Fert N2O'!A1", "5.2.1.1-2 Organic Fert N2O")</f>
        <v>5.2.1.1-2 Organic Fert N2O</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HYPERLINK("#'5.3.1.1-2 Lime CO2'!A1", "5.3.1.1-2 Lime CO2")</f>
        <v>5.3.1.1-2 Lime CO2</v>
      </c>
      <c r="D42" s="17" t="str" cm="1">
        <f t="array" ref="D42">Fertiliser_Equations_AtmosphericDeposition.VEERG_5_4_1_1__1_InorganicFertiliserAtmosphericDepositionN2OEmissions_Source()</f>
        <v>VEERG 2026: 5.4.1.1, Equation (1)</v>
      </c>
    </row>
    <row r="43" spans="1:12" ht="20.100000000000001" customHeight="1" x14ac:dyDescent="0.2">
      <c r="A43" s="116" t="str">
        <f>HYPERLINK("#'5.4.1.1-4 Atmos deposition'!A1", "5.4.1.1-4 Atmos deposition")</f>
        <v>5.4.1.1-4 Atmos deposition</v>
      </c>
      <c r="D43" s="110" t="s">
        <v>321</v>
      </c>
      <c r="E43" s="110"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5" t="str">
        <f>HYPERLINK("#'5.5.1.1-2 Leaching and runoff'!A1", "5.5.1.1-2 Leaching and runoff")</f>
        <v>5.5.1.1-2 Leaching and runoff</v>
      </c>
    </row>
    <row r="46" spans="1:12" ht="20.100000000000001" customHeight="1" x14ac:dyDescent="0.2">
      <c r="D46" s="75" t="s">
        <v>322</v>
      </c>
      <c r="E46" s="1" t="str" cm="1">
        <f t="array" ref="E46">Fertiliser_Equations_AtmosphericDeposition.VEERG_5_4_1_1__1_InorganicFertiliserAtmosphericDepositionN2OEmissions_Variable()</f>
        <v>E_adinorganic</v>
      </c>
    </row>
    <row r="47" spans="1:12" ht="20.100000000000001" customHeight="1" x14ac:dyDescent="0.2">
      <c r="A47" s="79" t="s">
        <v>1</v>
      </c>
      <c r="D47" s="75" t="s">
        <v>118</v>
      </c>
      <c r="E47" s="9" t="str" cm="1">
        <f t="array" ref="E47">Fertiliser_Equations_AtmosphericDeposition.VEERG_5_4_1_1__1_InorganicFertiliserAtmosphericDepositionN2OEmissions_Unit()</f>
        <v>t N2O</v>
      </c>
    </row>
    <row r="48" spans="1:12" ht="20.100000000000001" customHeight="1" x14ac:dyDescent="0.2">
      <c r="A48" s="5" t="str">
        <f>HYPERLINK("#'Constants - Swine'!A1", "Constants - Swine")</f>
        <v>Constants - Swine</v>
      </c>
    </row>
    <row r="49" spans="1:10" ht="20.100000000000001" customHeight="1" x14ac:dyDescent="0.2">
      <c r="A49" s="5" t="str">
        <f>HYPERLINK("#'Constants - Common livestock'!A1", "Constants - Common Livestock")</f>
        <v>Constants - Common Livestock</v>
      </c>
      <c r="D49" s="127" t="str" cm="1">
        <f t="array" ref="D49:E54">_xlfn.CHOOSECOLS(Fertiliser_Equations_AtmosphericDeposition.VEERG_5_4_1_1__1_InorganicFertiliserAtmosphericDepositionN2OEmissions_Arguments(), 1, 2)</f>
        <v>M_volinorganicjf</v>
      </c>
      <c r="E49" s="128" t="str">
        <v>mass of nitrogen volatilised from inorganic fertiliser applied to production system</v>
      </c>
      <c r="F49" s="149"/>
      <c r="G49" s="129"/>
      <c r="H49" s="127" t="str" cm="1">
        <f t="array" ref="H49:I54">_xlfn.CHOOSECOLS(Fertiliser_Equations_AtmosphericDeposition.VEERG_5_4_1_1__1_InorganicFertiliserAtmosphericDepositionN2OEmissions_Arguments(), 3,4)</f>
        <v>kg N</v>
      </c>
      <c r="I49" s="125" t="str">
        <v>Calculated from 5.4.1.1 (2)</v>
      </c>
      <c r="J49" s="115" t="str" cm="1">
        <f t="array" aca="1" ref="J49" ca="1">HYPERLINK(Common_InputFunctions.Utility_SourceHyperlink($D$16),$D$16)</f>
        <v>Table_M_vol_inorganic_j_f</v>
      </c>
    </row>
    <row r="50" spans="1:10" ht="20.100000000000001" customHeight="1" x14ac:dyDescent="0.2">
      <c r="A50" s="5" t="str">
        <f>HYPERLINK("#'Constants - Electricity'!A1", "Constants - Electricity")</f>
        <v>Constants - Electricity</v>
      </c>
      <c r="D50" s="127" t="str">
        <v>EF_N2Oj</v>
      </c>
      <c r="E50" s="128" t="str">
        <v>emission factor for atmospheric deposition</v>
      </c>
      <c r="F50" s="149"/>
      <c r="G50" s="129"/>
      <c r="H50" s="127" t="str">
        <v>kg N2O-N/kg N</v>
      </c>
      <c r="I50" s="125" t="str">
        <v>Constant</v>
      </c>
      <c r="J50" s="12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A51" s="5" t="str">
        <f>HYPERLINK("#'Constants - Fertiliser'!A1", "Constants - Fertiliser")</f>
        <v>Constants - Fertiliser</v>
      </c>
      <c r="D51" s="127" t="str">
        <v>C_N2O</v>
      </c>
      <c r="E51" s="128" t="str">
        <v>factor to convert elemental mass of nitrous oxide to molecular mass</v>
      </c>
      <c r="F51" s="149"/>
      <c r="G51" s="129"/>
      <c r="H51" s="127" t="str">
        <v/>
      </c>
      <c r="I51" s="125" t="str">
        <v>Constant</v>
      </c>
      <c r="J51" s="111">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Fuel'!A1", "Constants - Fuel")</f>
        <v>Constants - Fuel</v>
      </c>
      <c r="D52" s="127" t="str">
        <v>j</v>
      </c>
      <c r="E52" s="128" t="str">
        <v>Production system</v>
      </c>
      <c r="F52" s="149"/>
      <c r="G52" s="129"/>
      <c r="H52" s="127" t="str">
        <v/>
      </c>
      <c r="I52" s="123" t="str">
        <v>Input</v>
      </c>
      <c r="J52" s="127" t="str">
        <f>X_Cell_Fertiliser_ProductionSystem</f>
        <v>Crop</v>
      </c>
    </row>
    <row r="53" spans="1:10" ht="20.100000000000001" customHeight="1" x14ac:dyDescent="0.2">
      <c r="A53" s="5" t="str">
        <f>HYPERLINK("#'Constants - Scope 3'!A1", "Constants - Scope 3")</f>
        <v>Constants - Scope 3</v>
      </c>
      <c r="D53" s="127" t="str">
        <v>ir</v>
      </c>
      <c r="E53" s="128" t="str">
        <v>irrigation method</v>
      </c>
      <c r="F53" s="149"/>
      <c r="G53" s="129"/>
      <c r="H53" s="127" t="str">
        <v/>
      </c>
      <c r="I53" s="123" t="str">
        <v>Input</v>
      </c>
      <c r="J53" s="127" t="str">
        <f>X_Cell_Fertiliser_IrrigationMethod</f>
        <v>Drip irrigation</v>
      </c>
    </row>
    <row r="54" spans="1:10" ht="20.100000000000001" customHeight="1" x14ac:dyDescent="0.2">
      <c r="A54" s="5" t="str">
        <f>HYPERLINK("#'Constants - Solid Waste'!A1", "Constants - Solid Waste")</f>
        <v>Constants - Solid Waste</v>
      </c>
      <c r="D54" s="127" t="str">
        <v>r</v>
      </c>
      <c r="E54" s="128" t="str">
        <v>rainfall region</v>
      </c>
      <c r="F54" s="149"/>
      <c r="G54" s="129"/>
      <c r="H54" s="127" t="str">
        <v/>
      </c>
      <c r="I54" s="123" t="str">
        <v>Input</v>
      </c>
      <c r="J54" s="127" t="str">
        <f>X_Cell_Site_RainfallZone</f>
        <v>High rainfall</v>
      </c>
    </row>
    <row r="55" spans="1:10" ht="20.100000000000001" customHeight="1" x14ac:dyDescent="0.2">
      <c r="A55" s="5" t="str">
        <f>HYPERLINK("#'Constants - Common'!A1", "Constants - Common")</f>
        <v>Constants - Common</v>
      </c>
    </row>
    <row r="56" spans="1:10" ht="20.100000000000001" customHeight="1" x14ac:dyDescent="0.2">
      <c r="A56" s="5" t="str">
        <f>HYPERLINK("#'Acknowledgements'!A1", "Acknowledgements")</f>
        <v>Acknowledgements</v>
      </c>
      <c r="D56" s="137" t="s">
        <v>811</v>
      </c>
    </row>
    <row r="57" spans="1:10" ht="20.100000000000001" customHeight="1" x14ac:dyDescent="0.2">
      <c r="D57" s="138" t="s">
        <v>812</v>
      </c>
    </row>
    <row r="58" spans="1:10" ht="20.100000000000001" customHeight="1" x14ac:dyDescent="0.2">
      <c r="D58" s="119" t="s">
        <v>806</v>
      </c>
      <c r="E58" s="237" t="s">
        <v>810</v>
      </c>
      <c r="F58" s="237" t="s">
        <v>813</v>
      </c>
    </row>
    <row r="59" spans="1:10" ht="20.100000000000001" customHeight="1" x14ac:dyDescent="0.2">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
      <c r="D61" s="15" t="str">
        <v>Urea</v>
      </c>
      <c r="E61" s="15">
        <f t="shared" si="0"/>
        <v>1739.99991</v>
      </c>
      <c r="F61" s="15" cm="1">
        <f t="array" ref="F61">Fertiliser_Equations_AtmosphericDeposition.VEERG_5_4_1_1__1_InorganicFertiliserAtmosphericDepositionN2OEmissions(E61,$J$50,$J$51)</f>
        <v>1.9139999010000002E-2</v>
      </c>
    </row>
    <row r="62" spans="1:10" ht="20.100000000000001" customHeight="1" x14ac:dyDescent="0.2">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
      <c r="D64" s="15" t="str">
        <v>Ammonium nitrate (AN)</v>
      </c>
      <c r="E64" s="15">
        <f t="shared" si="0"/>
        <v>0</v>
      </c>
      <c r="F64" s="15" cm="1">
        <f t="array" ref="F64">Fertiliser_Equations_AtmosphericDeposition.VEERG_5_4_1_1__1_InorganicFertiliserAtmosphericDepositionN2OEmissions(E64,$J$50,$J$51)</f>
        <v>0</v>
      </c>
    </row>
    <row r="65" spans="1:6" ht="20.100000000000001" customHeight="1" x14ac:dyDescent="0.2">
      <c r="D65" s="15" t="str">
        <v>Calcium ammonium nitrate (CAN)</v>
      </c>
      <c r="E65" s="15">
        <f t="shared" si="0"/>
        <v>0</v>
      </c>
      <c r="F65" s="15" cm="1">
        <f t="array" ref="F65">Fertiliser_Equations_AtmosphericDeposition.VEERG_5_4_1_1__1_InorganicFertiliserAtmosphericDepositionN2OEmissions(E65,$J$50,$J$51)</f>
        <v>0</v>
      </c>
    </row>
    <row r="66" spans="1:6" ht="20.100000000000001" customHeight="1" x14ac:dyDescent="0.2">
      <c r="D66" s="15" t="str">
        <v>Nitrogen - Ammoniacal</v>
      </c>
      <c r="E66" s="15">
        <f t="shared" si="0"/>
        <v>99.2</v>
      </c>
      <c r="F66" s="15" cm="1">
        <f t="array" ref="F66">Fertiliser_Equations_AtmosphericDeposition.VEERG_5_4_1_1__1_InorganicFertiliserAtmosphericDepositionN2OEmissions(E66,$J$50,$J$51)</f>
        <v>1.0912000000000001E-3</v>
      </c>
    </row>
    <row r="67" spans="1:6" ht="20.100000000000001" customHeight="1" x14ac:dyDescent="0.2">
      <c r="A67" s="131" t="str">
        <f>HYPERLINK("#A1", "▲ Back to top")</f>
        <v>▲ Back to top</v>
      </c>
      <c r="D67" s="15" t="str">
        <v>Nitrogen - Nitrate</v>
      </c>
      <c r="E67" s="15">
        <f t="shared" si="0"/>
        <v>5.5</v>
      </c>
      <c r="F67" s="15" cm="1">
        <f t="array" ref="F67">Fertiliser_Equations_AtmosphericDeposition.VEERG_5_4_1_1__1_InorganicFertiliserAtmosphericDepositionN2OEmissions(E67,$J$50,$J$51)</f>
        <v>6.05E-5</v>
      </c>
    </row>
    <row r="68" spans="1:6" ht="20.100000000000001" customHeight="1" x14ac:dyDescent="0.2">
      <c r="D68" s="15" t="str">
        <v>Nitrogen - Generic</v>
      </c>
      <c r="E68" s="15">
        <f t="shared" si="0"/>
        <v>0</v>
      </c>
      <c r="F68" s="15" cm="1">
        <f t="array" ref="F68">Fertiliser_Equations_AtmosphericDeposition.VEERG_5_4_1_1__1_InorganicFertiliserAtmosphericDepositionN2OEmissions(E68,$J$50,$J$51)</f>
        <v>0</v>
      </c>
    </row>
    <row r="69" spans="1:6" ht="20.100000000000001" customHeight="1" x14ac:dyDescent="0.2">
      <c r="D69" s="15" t="str">
        <v>Phosphorus - Generic</v>
      </c>
      <c r="E69" s="15">
        <f t="shared" si="0"/>
        <v>0</v>
      </c>
      <c r="F69" s="15" cm="1">
        <f t="array" ref="F69">Fertiliser_Equations_AtmosphericDeposition.VEERG_5_4_1_1__1_InorganicFertiliserAtmosphericDepositionN2OEmissions(E69,$J$50,$J$51)</f>
        <v>0</v>
      </c>
    </row>
    <row r="70" spans="1:6" ht="20.100000000000001" customHeight="1" x14ac:dyDescent="0.2">
      <c r="D70" s="15" t="str">
        <v>Potassium - Generic</v>
      </c>
      <c r="E70" s="15">
        <f t="shared" si="0"/>
        <v>0</v>
      </c>
      <c r="F70" s="15" cm="1">
        <f t="array" ref="F70">Fertiliser_Equations_AtmosphericDeposition.VEERG_5_4_1_1__1_InorganicFertiliserAtmosphericDepositionN2OEmissions(E70,$J$50,$J$51)</f>
        <v>0</v>
      </c>
    </row>
    <row r="71" spans="1:6" ht="20.100000000000001" customHeight="1" x14ac:dyDescent="0.2">
      <c r="D71" s="15" t="str">
        <v>Sulfur - Generic</v>
      </c>
      <c r="E71" s="15">
        <f t="shared" si="0"/>
        <v>0</v>
      </c>
      <c r="F71" s="15" cm="1">
        <f t="array" ref="F71">Fertiliser_Equations_AtmosphericDeposition.VEERG_5_4_1_1__1_InorganicFertiliserAtmosphericDepositionN2OEmissions(E71,$J$50,$J$51)</f>
        <v>0</v>
      </c>
    </row>
    <row r="72" spans="1:6" ht="20.100000000000001" customHeight="1" x14ac:dyDescent="0.2">
      <c r="D72" s="15" t="str">
        <v>Zinc - Generic</v>
      </c>
      <c r="E72" s="15">
        <f t="shared" si="0"/>
        <v>0</v>
      </c>
      <c r="F72" s="15" cm="1">
        <f t="array" ref="F72">Fertiliser_Equations_AtmosphericDeposition.VEERG_5_4_1_1__1_InorganicFertiliserAtmosphericDepositionN2OEmissions(E72,$J$50,$J$51)</f>
        <v>0</v>
      </c>
    </row>
    <row r="73" spans="1:6" ht="20.100000000000001" customHeight="1" x14ac:dyDescent="0.2">
      <c r="D73" s="15" t="str">
        <v>Muriate of potash (MOP)</v>
      </c>
      <c r="E73" s="15">
        <f t="shared" si="0"/>
        <v>0</v>
      </c>
      <c r="F73" s="15" cm="1">
        <f t="array" ref="F73">Fertiliser_Equations_AtmosphericDeposition.VEERG_5_4_1_1__1_InorganicFertiliserAtmosphericDepositionN2OEmissions(E73,$J$50,$J$51)</f>
        <v>0</v>
      </c>
    </row>
    <row r="74" spans="1:6" ht="20.100000000000001" customHeight="1" x14ac:dyDescent="0.2">
      <c r="D74" s="15" t="str">
        <v>Double superphosphate</v>
      </c>
      <c r="E74" s="15">
        <f t="shared" si="0"/>
        <v>0</v>
      </c>
      <c r="F74" s="15" cm="1">
        <f t="array" ref="F74">Fertiliser_Equations_AtmosphericDeposition.VEERG_5_4_1_1__1_InorganicFertiliserAtmosphericDepositionN2OEmissions(E74,$J$50,$J$51)</f>
        <v>0</v>
      </c>
    </row>
    <row r="75" spans="1:6" ht="20.100000000000001" customHeight="1" x14ac:dyDescent="0.2">
      <c r="D75" s="15" t="str">
        <v>Single superphosphate (SSP)</v>
      </c>
      <c r="E75" s="15">
        <f t="shared" si="0"/>
        <v>0</v>
      </c>
      <c r="F75" s="15" cm="1">
        <f t="array" ref="F75">Fertiliser_Equations_AtmosphericDeposition.VEERG_5_4_1_1__1_InorganicFertiliserAtmosphericDepositionN2OEmissions(E75,$J$50,$J$51)</f>
        <v>0</v>
      </c>
    </row>
    <row r="76" spans="1:6" ht="20.100000000000001" customHeight="1" x14ac:dyDescent="0.2">
      <c r="D76" s="15" t="str">
        <v>Ammonia</v>
      </c>
      <c r="E76" s="15">
        <f t="shared" si="0"/>
        <v>329.40000000000003</v>
      </c>
      <c r="F76" s="15" cm="1">
        <f t="array" ref="F76">Fertiliser_Equations_AtmosphericDeposition.VEERG_5_4_1_1__1_InorganicFertiliserAtmosphericDepositionN2OEmissions(E76,$J$50,$J$51)</f>
        <v>3.6234000000000001E-3</v>
      </c>
    </row>
    <row r="77" spans="1:6" ht="20.100000000000001" customHeight="1" x14ac:dyDescent="0.2">
      <c r="D77" s="15" t="str">
        <v>Calcium nitrate</v>
      </c>
      <c r="E77" s="15">
        <f t="shared" si="0"/>
        <v>7.75</v>
      </c>
      <c r="F77" s="15" cm="1">
        <f t="array" ref="F77">Fertiliser_Equations_AtmosphericDeposition.VEERG_5_4_1_1__1_InorganicFertiliserAtmosphericDepositionN2OEmissions(E77,$J$50,$J$51)</f>
        <v>8.5249999999999999E-5</v>
      </c>
    </row>
    <row r="79" spans="1:6" ht="20.100000000000001" customHeight="1" x14ac:dyDescent="0.2">
      <c r="D79" s="84" t="s">
        <v>814</v>
      </c>
      <c r="E79" s="85">
        <f>SUM(F59:F77)</f>
        <v>2.4000349010000002E-2</v>
      </c>
      <c r="F79" s="94" t="str">
        <f>$E$47</f>
        <v>t N2O</v>
      </c>
    </row>
    <row r="81" spans="3:12" ht="20.100000000000001" customHeight="1" x14ac:dyDescent="0.2">
      <c r="D81" s="111" t="str" cm="1">
        <f t="array" ref="D81:E82">Common_Equations.Common_ConvertN2OToCO2e_Arguments()</f>
        <v>EN2O</v>
      </c>
      <c r="E81" s="112" t="str">
        <v>Nitrous oxide emissions (t N2O)</v>
      </c>
      <c r="F81" s="133"/>
      <c r="G81" s="15">
        <f>VEERG_5_4_1_1__1_InorganicFertiliserAtmosphericDepositionN2OEmissions_Result_Method1</f>
        <v>2.4000349010000002E-2</v>
      </c>
    </row>
    <row r="82" spans="3:12" ht="20.100000000000001" customHeight="1" x14ac:dyDescent="0.2">
      <c r="D82" s="111" t="str">
        <v>GWPN2O</v>
      </c>
      <c r="E82" s="112" t="str">
        <v>Global warming potential for nitrous oxide (t CO2-e / t N2O)</v>
      </c>
      <c r="F82" s="133"/>
      <c r="G82" s="15">
        <f>Common_InputFunctions.Utility_LookupValueInTableNumber("N2O",Table_GWPData[Gas],Table_GWPData[CO2-e factor])</f>
        <v>265</v>
      </c>
    </row>
    <row r="84" spans="3:12" ht="20.100000000000001" customHeight="1" x14ac:dyDescent="0.2">
      <c r="D84" s="82" t="s">
        <v>382</v>
      </c>
      <c r="E84" s="82" cm="1">
        <f t="array" ref="E84">Common_Equations.Common_ConvertN2OToCO2e(G81,G82)</f>
        <v>6.3600924876500002</v>
      </c>
      <c r="F84" s="88" t="str" cm="1">
        <f t="array" ref="F84">Common_Equations.Common_ConvertN2OToCO2e_Unit()</f>
        <v>t CO2e</v>
      </c>
    </row>
    <row r="87" spans="3:12" ht="20.100000000000001" customHeight="1" x14ac:dyDescent="0.2">
      <c r="C87" s="235"/>
      <c r="D87" s="235"/>
      <c r="E87" s="235"/>
      <c r="F87" s="235"/>
      <c r="G87" s="235"/>
      <c r="H87" s="235"/>
      <c r="I87" s="235"/>
      <c r="J87" s="235"/>
      <c r="K87" s="235"/>
      <c r="L87" s="235"/>
    </row>
    <row r="88" spans="3: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7" t="str" cm="1">
        <f t="array" ref="D89">Fertiliser_Equations_AtmosphericDeposition.VEERG_5_4_1_3__2_MassOfNitrogenVolatilisedFromOrganicFertiliser_Source()</f>
        <v>VEERG 2026: 5.4.1.3, Equation (2)</v>
      </c>
    </row>
    <row r="90" spans="3:12" ht="20.100000000000001" customHeight="1" x14ac:dyDescent="0.2">
      <c r="D90" s="110" t="s">
        <v>321</v>
      </c>
      <c r="E90" s="110" t="str" cm="1">
        <f t="array" aca="1" ref="E90" ca="1">Common_InputFunctions.Utility_DisplayFunctionName(F102)</f>
        <v>=Fertiliser_Equations_AtmosphericDeposition.VEERG_5_4_1_3__2_MassOfNitrogenVolatilisedFromOrganicFertiliser</v>
      </c>
    </row>
    <row r="93" spans="3:12" ht="20.100000000000001" customHeight="1" x14ac:dyDescent="0.2">
      <c r="D93" s="75" t="s">
        <v>322</v>
      </c>
      <c r="E93" s="1" t="str" cm="1">
        <f t="array" ref="E93">Fertiliser_Equations_AtmosphericDeposition.VEERG_5_4_1_3__2_MassOfNitrogenVolatilisedFromOrganicFertiliser_Variable()</f>
        <v>M_volorganicjf</v>
      </c>
    </row>
    <row r="94" spans="3:12" ht="20.100000000000001" customHeight="1" x14ac:dyDescent="0.2">
      <c r="D94" s="75" t="s">
        <v>118</v>
      </c>
      <c r="E94" s="9" t="str" cm="1">
        <f t="array" ref="E94">Fertiliser_Equations_AtmosphericDeposition.VEERG_5_4_1_3__2_MassOfNitrogenVolatilisedFromOrganicFertiliser_Unit()</f>
        <v>kg N</v>
      </c>
    </row>
    <row r="96" spans="3:12" ht="20.100000000000001" customHeight="1" x14ac:dyDescent="0.2">
      <c r="D96" s="127" t="str" cm="1">
        <f t="array" ref="D96:E97">_xlfn.CHOOSECOLS(Fertiliser_Equations_AtmosphericDeposition.VEERG_5_4_1_3__2_MassOfNitrogenVolatilisedFromOrganicFertiliser_Arguments(), 1, 2)</f>
        <v>MNSoil_jf</v>
      </c>
      <c r="E96" s="127" t="str">
        <v>mass of nitrogen in organic fertiliser type f applied to production system j</v>
      </c>
      <c r="F96" s="127"/>
      <c r="G96" s="127" t="str" cm="1">
        <f t="array" ref="G96:H97">_xlfn.CHOOSECOLS(Fertiliser_Equations_AtmosphericDeposition.VEERG_5_4_1_3__2_MassOfNitrogenVolatilisedFromOrganicFertiliser_Arguments(), 3,4)</f>
        <v>kg N</v>
      </c>
      <c r="H96" s="125" t="str">
        <v>Calculated from 5.2.1.1 (2)</v>
      </c>
      <c r="I96" s="115" t="str" cm="1">
        <f t="array" aca="1" ref="I96" ca="1">HYPERLINK(Common_InputFunctions.Utility_SourceHyperlink($D$99), $D$99)</f>
        <v>Table_M_vol_organic_j_f</v>
      </c>
    </row>
    <row r="97" spans="1:9" ht="20.100000000000001" customHeight="1" x14ac:dyDescent="0.2">
      <c r="A97" s="131" t="str">
        <f>HYPERLINK("#A1", "▲ Back to top")</f>
        <v>▲ Back to top</v>
      </c>
      <c r="D97" s="127" t="str">
        <v>FracGASM_soil</v>
      </c>
      <c r="E97" s="127" t="str">
        <v>fraction of organic fertiliser N that volatilises</v>
      </c>
      <c r="F97" s="127"/>
      <c r="G97" s="127" t="str">
        <v>(kg NH3-N + NOx-N)/kg N</v>
      </c>
      <c r="H97" s="125" t="str">
        <v>Constant</v>
      </c>
      <c r="I97" s="127">
        <f>Fertiliser_FracGASMSoil_Data</f>
        <v>0.21</v>
      </c>
    </row>
    <row r="99" spans="1:9" ht="20.100000000000001" customHeight="1" x14ac:dyDescent="0.2">
      <c r="D99" s="137" t="s">
        <v>815</v>
      </c>
    </row>
    <row r="100" spans="1:9" ht="20.100000000000001" customHeight="1" x14ac:dyDescent="0.2">
      <c r="D100" s="138" t="s">
        <v>816</v>
      </c>
    </row>
    <row r="101" spans="1:9" ht="20.100000000000001" customHeight="1" x14ac:dyDescent="0.2">
      <c r="D101" s="78" t="s">
        <v>789</v>
      </c>
      <c r="E101" s="231" t="s">
        <v>793</v>
      </c>
      <c r="F101" s="231" t="s">
        <v>817</v>
      </c>
    </row>
    <row r="102" spans="1:9" ht="20.100000000000001" customHeight="1" x14ac:dyDescent="0.2">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1:9" ht="20.100000000000001" customHeight="1" x14ac:dyDescent="0.2">
      <c r="D103" s="15" t="str">
        <v>Manure - Poultry</v>
      </c>
      <c r="E103" s="15">
        <f>INDEX(Table_MNSoil_j_f,3,6)</f>
        <v>250</v>
      </c>
      <c r="F103" s="15" cm="1">
        <f t="array" ref="F103">Fertiliser_Equations_AtmosphericDeposition.VEERG_5_4_1_3__2_MassOfNitrogenVolatilisedFromOrganicFertiliser(E103,$I$97)</f>
        <v>52.5</v>
      </c>
    </row>
    <row r="104" spans="1:9" ht="20.100000000000001" customHeight="1" x14ac:dyDescent="0.2">
      <c r="D104" s="15" t="str">
        <v>Other organic fertiliser</v>
      </c>
      <c r="E104" s="15">
        <f>INDEX(Table_MNSoil_j_f,4,6)</f>
        <v>160</v>
      </c>
      <c r="F104" s="15" cm="1">
        <f t="array" ref="F104">Fertiliser_Equations_AtmosphericDeposition.VEERG_5_4_1_3__2_MassOfNitrogenVolatilisedFromOrganicFertiliser(E104,$I$97)</f>
        <v>33.6</v>
      </c>
    </row>
    <row r="105" spans="1: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1: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1: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1: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1:9" ht="20.100000000000001" customHeight="1" x14ac:dyDescent="0.2">
      <c r="D109" s="15"/>
      <c r="E109" s="15">
        <f>'5.2.1.1-2 Organic Fert N2O'!I27</f>
        <v>0</v>
      </c>
      <c r="F109" s="15" cm="1">
        <f t="array" ref="F109">Fertiliser_Equations_AtmosphericDeposition.VEERG_5_4_1_3__2_MassOfNitrogenVolatilisedFromOrganicFertiliser(E109,$I$97)</f>
        <v>0</v>
      </c>
    </row>
    <row r="110" spans="1: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1: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1: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1:12" ht="20.100000000000001" customHeight="1" x14ac:dyDescent="0.2">
      <c r="C115" s="235"/>
      <c r="D115" s="235"/>
      <c r="E115" s="235"/>
      <c r="F115" s="235"/>
      <c r="G115" s="235"/>
      <c r="H115" s="235"/>
      <c r="I115" s="235"/>
      <c r="J115" s="235"/>
      <c r="K115" s="235"/>
      <c r="L115" s="235"/>
    </row>
    <row r="116" spans="1: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
      <c r="D117" s="17" t="str" cm="1">
        <f t="array" ref="D117">Fertiliser_Equations_AtmosphericDeposition.VEERG_5_4_1_3__1_OrganicFertiliserAtmosphericDepositionN2OEmissions_Source()</f>
        <v>VEERG 2026: 5.4.1.3, Equation (1)</v>
      </c>
    </row>
    <row r="118" spans="1:12" ht="20.100000000000001" customHeight="1" x14ac:dyDescent="0.2">
      <c r="D118" s="110" t="s">
        <v>321</v>
      </c>
      <c r="E118" s="110" t="str" cm="1">
        <f t="array" aca="1" ref="E118" ca="1">Common_InputFunctions.Utility_DisplayFunctionName(F134)</f>
        <v>=Fertiliser_Equations_AtmosphericDeposition.VEERG_5_4_1_3__1_OrganicFertiliserAtmosphericDepositionN2OEmissions</v>
      </c>
    </row>
    <row r="121" spans="1:12" ht="20.100000000000001" customHeight="1" x14ac:dyDescent="0.2">
      <c r="D121" s="75" t="s">
        <v>322</v>
      </c>
      <c r="E121" s="1" t="str" cm="1">
        <f t="array" ref="E121">Fertiliser_Equations_AtmosphericDeposition.VEERG_5_4_1_3__1_OrganicFertiliserAtmosphericDepositionN2OEmissions_Variable()</f>
        <v>E_adorganic</v>
      </c>
    </row>
    <row r="122" spans="1:12" ht="20.100000000000001" customHeight="1" x14ac:dyDescent="0.2">
      <c r="D122" s="75" t="s">
        <v>118</v>
      </c>
      <c r="E122" s="9" t="str" cm="1">
        <f t="array" ref="E122">Fertiliser_Equations_AtmosphericDeposition.VEERG_5_4_1_3__1_OrganicFertiliserAtmosphericDepositionN2OEmissions_Unit()</f>
        <v>t N2O</v>
      </c>
    </row>
    <row r="124" spans="1:12" ht="20.100000000000001" customHeight="1" x14ac:dyDescent="0.2">
      <c r="D124" s="127" t="str" cm="1">
        <f t="array" ref="D124:E129">_xlfn.CHOOSECOLS(Fertiliser_Equations_AtmosphericDeposition.VEERG_5_4_1_3__1_OrganicFertiliserAtmosphericDepositionN2OEmissions_Arguments(), 1, 2)</f>
        <v>M_volorganicjf</v>
      </c>
      <c r="E124" s="128" t="str">
        <v>mass of nitrogen volatilised from organic fertiliser applied to production system</v>
      </c>
      <c r="F124" s="129"/>
      <c r="G124" s="127" t="str" cm="1">
        <f t="array" ref="G124:H129">_xlfn.CHOOSECOLS(Fertiliser_Equations_AtmosphericDeposition.VEERG_5_4_1_3__1_OrganicFertiliserAtmosphericDepositionN2OEmissions_Arguments(), 3,4)</f>
        <v>kg N</v>
      </c>
      <c r="H124" s="125" t="str">
        <v>Calculated from 5.4.1.3 (2)</v>
      </c>
      <c r="I124" s="115" t="str" cm="1">
        <f t="array" aca="1" ref="I124" ca="1">HYPERLINK(Common_InputFunctions.Utility_SourceHyperlink($D$99), $D$99)</f>
        <v>Table_M_vol_organic_j_f</v>
      </c>
    </row>
    <row r="125" spans="1:12" ht="20.100000000000001" customHeight="1" x14ac:dyDescent="0.2">
      <c r="D125" s="127" t="str">
        <v>EF_N2Oj</v>
      </c>
      <c r="E125" s="128" t="str">
        <v>emission factor for atmospheric deposition in production system j</v>
      </c>
      <c r="F125" s="129"/>
      <c r="G125" s="127" t="str">
        <v>kg N2O-N/kg N</v>
      </c>
      <c r="H125" s="125" t="str">
        <v>Constant</v>
      </c>
      <c r="I125" s="12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D126" s="127" t="str">
        <v>C_N2O</v>
      </c>
      <c r="E126" s="128" t="str">
        <v>factor to convert elemental mass of nitrous oxide to molecular mass</v>
      </c>
      <c r="F126" s="129"/>
      <c r="G126" s="127" t="str">
        <v/>
      </c>
      <c r="H126" s="125" t="str">
        <v>Constant</v>
      </c>
      <c r="I126" s="111">
        <f>Common_InputFunctions.Utility_LookupValueInTableNumber("N2O",Table_GasToMolecularConversionFactor[Gas],Table_GasToMolecularConversionFactor[Conversion factor combined])</f>
        <v>1.5714285714285714</v>
      </c>
    </row>
    <row r="127" spans="1:12" ht="20.100000000000001" customHeight="1" x14ac:dyDescent="0.2">
      <c r="A127" s="131" t="str">
        <f>HYPERLINK("#A1", "▲ Back to top")</f>
        <v>▲ Back to top</v>
      </c>
      <c r="D127" s="127" t="str">
        <v>j</v>
      </c>
      <c r="E127" s="128" t="str">
        <v>Production system</v>
      </c>
      <c r="F127" s="129"/>
      <c r="G127" s="127" t="str">
        <v/>
      </c>
      <c r="H127" s="123" t="str">
        <v>Input</v>
      </c>
      <c r="I127" s="127" t="str">
        <f>X_Cell_Fertiliser_ProductionSystem</f>
        <v>Crop</v>
      </c>
    </row>
    <row r="128" spans="1:12" ht="20.100000000000001" customHeight="1" x14ac:dyDescent="0.2">
      <c r="D128" s="127" t="str">
        <v>ir</v>
      </c>
      <c r="E128" s="128" t="str">
        <v>irrigation method</v>
      </c>
      <c r="F128" s="129"/>
      <c r="G128" s="127" t="str">
        <v/>
      </c>
      <c r="H128" s="123" t="str">
        <v>Input</v>
      </c>
      <c r="I128" s="127" t="str">
        <f>X_Cell_Fertiliser_IrrigationMethod</f>
        <v>Drip irrigation</v>
      </c>
    </row>
    <row r="129" spans="4:9" ht="20.100000000000001" customHeight="1" x14ac:dyDescent="0.2">
      <c r="D129" s="127" t="str">
        <v>r</v>
      </c>
      <c r="E129" s="128" t="str">
        <v>rainfall region</v>
      </c>
      <c r="F129" s="129"/>
      <c r="G129" s="127" t="str">
        <v/>
      </c>
      <c r="H129" s="123" t="str">
        <v>Input</v>
      </c>
      <c r="I129" s="127" t="str">
        <f>X_Cell_Site_RainfallZone</f>
        <v>High rainfall</v>
      </c>
    </row>
    <row r="131" spans="4:9" ht="20.100000000000001" customHeight="1" x14ac:dyDescent="0.2">
      <c r="D131" s="137" t="s">
        <v>818</v>
      </c>
    </row>
    <row r="132" spans="4:9" ht="20.100000000000001" customHeight="1" x14ac:dyDescent="0.2">
      <c r="D132" s="138" t="s">
        <v>819</v>
      </c>
    </row>
    <row r="133" spans="4:9" ht="20.100000000000001" customHeight="1" x14ac:dyDescent="0.2">
      <c r="D133" s="78" t="s">
        <v>789</v>
      </c>
      <c r="E133" s="231" t="s">
        <v>817</v>
      </c>
      <c r="F133" s="231" t="s">
        <v>820</v>
      </c>
    </row>
    <row r="134" spans="4:9" ht="20.100000000000001" customHeight="1" x14ac:dyDescent="0.2">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100000000000001" customHeight="1" x14ac:dyDescent="0.2">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100000000000001" customHeight="1" x14ac:dyDescent="0.2">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100000000000001" customHeight="1" x14ac:dyDescent="0.2">
      <c r="D137" s="15"/>
      <c r="E137" s="15">
        <f t="shared" si="1"/>
        <v>0</v>
      </c>
      <c r="F137" s="15" cm="1">
        <f t="array" ref="F137">Fertiliser_Equations_AtmosphericDeposition.VEERG_5_4_1_3__1_OrganicFertiliserAtmosphericDepositionN2OEmissions(E137,$I$125,$I$126)</f>
        <v>0</v>
      </c>
    </row>
    <row r="138" spans="4:9" ht="20.100000000000001" customHeight="1" x14ac:dyDescent="0.2">
      <c r="D138" s="15"/>
      <c r="E138" s="15">
        <f t="shared" si="1"/>
        <v>0</v>
      </c>
      <c r="F138" s="15" cm="1">
        <f t="array" ref="F138">Fertiliser_Equations_AtmosphericDeposition.VEERG_5_4_1_3__1_OrganicFertiliserAtmosphericDepositionN2OEmissions(E138,$I$125,$I$126)</f>
        <v>0</v>
      </c>
    </row>
    <row r="139" spans="4:9" ht="20.100000000000001" customHeight="1" x14ac:dyDescent="0.2">
      <c r="D139" s="15"/>
      <c r="E139" s="15">
        <f t="shared" si="1"/>
        <v>0</v>
      </c>
      <c r="F139" s="15" cm="1">
        <f t="array" ref="F139">Fertiliser_Equations_AtmosphericDeposition.VEERG_5_4_1_3__1_OrganicFertiliserAtmosphericDepositionN2OEmissions(E139,$I$125,$I$126)</f>
        <v>0</v>
      </c>
    </row>
    <row r="140" spans="4:9" ht="20.100000000000001" customHeight="1" x14ac:dyDescent="0.2">
      <c r="D140" s="15"/>
      <c r="E140" s="15">
        <f t="shared" si="1"/>
        <v>0</v>
      </c>
      <c r="F140" s="15" cm="1">
        <f t="array" ref="F140">Fertiliser_Equations_AtmosphericDeposition.VEERG_5_4_1_3__1_OrganicFertiliserAtmosphericDepositionN2OEmissions(E140,$I$125,$I$126)</f>
        <v>0</v>
      </c>
    </row>
    <row r="141" spans="4:9" ht="20.100000000000001" customHeight="1" x14ac:dyDescent="0.2">
      <c r="D141" s="15"/>
      <c r="E141" s="15">
        <f t="shared" si="1"/>
        <v>0</v>
      </c>
      <c r="F141" s="15" cm="1">
        <f t="array" ref="F141">Fertiliser_Equations_AtmosphericDeposition.VEERG_5_4_1_3__1_OrganicFertiliserAtmosphericDepositionN2OEmissions(E141,$I$125,$I$126)</f>
        <v>0</v>
      </c>
    </row>
    <row r="142" spans="4:9" ht="20.100000000000001" customHeight="1" x14ac:dyDescent="0.2">
      <c r="D142" s="15"/>
      <c r="E142" s="15">
        <f t="shared" si="1"/>
        <v>0</v>
      </c>
      <c r="F142" s="15" cm="1">
        <f t="array" ref="F142">Fertiliser_Equations_AtmosphericDeposition.VEERG_5_4_1_3__1_OrganicFertiliserAtmosphericDepositionN2OEmissions(E142,$I$125,$I$126)</f>
        <v>0</v>
      </c>
    </row>
    <row r="143" spans="4:9" ht="20.100000000000001" customHeight="1" x14ac:dyDescent="0.2">
      <c r="D143" s="15"/>
      <c r="E143" s="15">
        <f t="shared" si="1"/>
        <v>0</v>
      </c>
      <c r="F143" s="15" cm="1">
        <f t="array" ref="F143">Fertiliser_Equations_AtmosphericDeposition.VEERG_5_4_1_3__1_OrganicFertiliserAtmosphericDepositionN2OEmissions(E143,$I$125,$I$126)</f>
        <v>0</v>
      </c>
    </row>
    <row r="144" spans="4:9" ht="20.100000000000001" customHeight="1" x14ac:dyDescent="0.2">
      <c r="D144" s="15"/>
      <c r="E144" s="15">
        <f t="shared" si="1"/>
        <v>0</v>
      </c>
      <c r="F144" s="15" cm="1">
        <f t="array" ref="F144">Fertiliser_Equations_AtmosphericDeposition.VEERG_5_4_1_3__1_OrganicFertiliserAtmosphericDepositionN2OEmissions(E144,$I$125,$I$126)</f>
        <v>0</v>
      </c>
    </row>
    <row r="146" spans="4:7" ht="20.100000000000001" customHeight="1" x14ac:dyDescent="0.2">
      <c r="D146" s="84" t="s">
        <v>821</v>
      </c>
      <c r="E146" s="85">
        <f>SUM(F134:F144)</f>
        <v>1.6401E-3</v>
      </c>
      <c r="F146" s="94" t="str">
        <f>$E$122</f>
        <v>t N2O</v>
      </c>
    </row>
    <row r="148" spans="4:7" ht="20.100000000000001" customHeight="1" x14ac:dyDescent="0.2">
      <c r="D148" s="111" t="str" cm="1">
        <f t="array" ref="D148:E149">Common_Equations.Common_ConvertN2OToCO2e_Arguments()</f>
        <v>EN2O</v>
      </c>
      <c r="E148" s="112" t="str">
        <v>Nitrous oxide emissions (t N2O)</v>
      </c>
      <c r="F148" s="133"/>
      <c r="G148" s="15">
        <f>VEERG_5_4_1_3__1_OrganicFertiliserAtmosphericDepositionN2OEmissions_Result_Method1</f>
        <v>1.6401E-3</v>
      </c>
    </row>
    <row r="149" spans="4:7" ht="20.100000000000001" customHeight="1" x14ac:dyDescent="0.2">
      <c r="D149" s="111" t="str">
        <v>GWPN2O</v>
      </c>
      <c r="E149" s="112" t="str">
        <v>Global warming potential for nitrous oxide (t CO2-e / t N2O)</v>
      </c>
      <c r="F149" s="133"/>
      <c r="G149" s="15">
        <f>Common_InputFunctions.Utility_LookupValueInTableNumber("N2O",Table_GWPData[Gas],Table_GWPData[CO2-e factor])</f>
        <v>265</v>
      </c>
    </row>
    <row r="151" spans="4:7" ht="20.100000000000001" customHeight="1" x14ac:dyDescent="0.2">
      <c r="D151" s="82" t="s">
        <v>382</v>
      </c>
      <c r="E151" s="82" cm="1">
        <f t="array" ref="E151">Common_Equations.Common_ConvertN2OToCO2e(G148,G149)</f>
        <v>0.43462650000000003</v>
      </c>
      <c r="F151" s="88" t="str" cm="1">
        <f t="array" ref="F151">Common_Equations.Common_ConvertN2OToCO2e_Unit()</f>
        <v>t CO2e</v>
      </c>
    </row>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0A0FA-62E4-4C8B-AF37-01C48ABE5F57}">
  <sheetPr>
    <tabColor rgb="FF008000"/>
  </sheetPr>
  <dimension ref="A1:T99"/>
  <sheetViews>
    <sheetView showGridLines="0" zoomScaleNormal="100" workbookViewId="0">
      <pane xSplit="1" topLeftCell="B1" activePane="topRight" state="frozenSplit"/>
      <selection pane="topRight" activeCell="A55" sqref="A55"/>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822</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17" t="str" cm="1">
        <f t="array" ref="D6">Fertiliser_Equations_LeachingAndRunoff.VEERG_5_5_1_1__2_MassOfNitrogenLeachedFromInorganicFertiliser_Source()</f>
        <v>VEERG 2026: 5.5, Equation (2)</v>
      </c>
    </row>
    <row r="7" spans="1:20" ht="20.100000000000001" customHeight="1" x14ac:dyDescent="0.2">
      <c r="D7" s="110" t="s">
        <v>321</v>
      </c>
      <c r="E7" s="110" t="str" cm="1">
        <f t="array" aca="1" ref="E7" ca="1">Common_InputFunctions.Utility_DisplayFunctionName(F23)</f>
        <v>=Fertiliser_Equations_LeachingAndRunoff.VEERG_5_5_1_1__2_MassOfNitrogenLeachedFromInorganicFertiliser</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322</v>
      </c>
      <c r="E10" s="1" t="str" cm="1">
        <f t="array" ref="E10">Fertiliser_Equations_LeachingAndRunoff.VEERG_5_5_1_1__2_MassOfNitrogenLeachedFromInorganicFertiliser_Variable()</f>
        <v>M_leachinorganicj</v>
      </c>
    </row>
    <row r="11" spans="1:20" ht="20.100000000000001" customHeight="1" x14ac:dyDescent="0.2">
      <c r="A11" s="5" t="str">
        <f>HYPERLINK("#'Input - Swine'!A1", "Swine")</f>
        <v>Swine</v>
      </c>
      <c r="D11" s="75" t="s">
        <v>118</v>
      </c>
      <c r="E11" s="9" t="str" cm="1">
        <f t="array" ref="E11">Fertiliser_Equations_LeachingAndRunoff.VEERG_5_5_1_1__2_MassOfNitrogenLeachedFromInorganicFertiliser_Unit()</f>
        <v>kg N</v>
      </c>
    </row>
    <row r="12" spans="1:20" ht="20.100000000000001" customHeight="1" x14ac:dyDescent="0.2">
      <c r="A12" s="5" t="str">
        <f>HYPERLINK("#'Input - Livestock sales'!A1", "Livestock sales")</f>
        <v>Livestock sales</v>
      </c>
    </row>
    <row r="13" spans="1:20" ht="20.100000000000001" customHeight="1" x14ac:dyDescent="0.2">
      <c r="A13" s="5" t="str">
        <f>HYPERLINK("#'Input - Pig purchases'!A1", "Pig purchases")</f>
        <v>Pig purchases</v>
      </c>
      <c r="D13" s="127" t="str" cm="1">
        <f t="array" ref="D13:E18">_xlfn.CHOOSECOLS(Fertiliser_Equations_LeachingAndRunoff.VEERG_5_5_1_1__2_MassOfNitrogenLeachedFromInorganicFertiliser_Arguments(), 1, 2)</f>
        <v>MN_jf</v>
      </c>
      <c r="E13" s="128" t="str">
        <v>mass of nitrogen in inorganic fertiliser</v>
      </c>
      <c r="F13" s="129"/>
      <c r="G13" s="127" t="str" cm="1">
        <f t="array" ref="G13:H18">_xlfn.CHOOSECOLS(Fertiliser_Equations_LeachingAndRunoff.VEERG_5_5_1_1__2_MassOfNitrogenLeachedFromInorganicFertiliser_Arguments(), 3,4)</f>
        <v>kg N</v>
      </c>
      <c r="H13" s="125" t="str">
        <v>Calculated from 5.1.1.1 (2)</v>
      </c>
      <c r="I13" s="115" t="str" cm="1">
        <f t="array" aca="1" ref="I13" ca="1">HYPERLINK(Common_InputFunctions.Utility_SourceHyperlink(D20), D20)</f>
        <v>Table_M_leach_inorganic_j</v>
      </c>
    </row>
    <row r="14" spans="1:20" ht="20.100000000000001" customHeight="1" x14ac:dyDescent="0.2">
      <c r="A14" s="5" t="str">
        <f>HYPERLINK("#'Input - Fuel'!A1", "Fuel")</f>
        <v>Fuel</v>
      </c>
      <c r="D14" s="127" t="str">
        <v>FracWETj</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27" t="str">
        <v>FracLEACH</v>
      </c>
      <c r="E15" s="128" t="str">
        <v>fraction of N that is lost through leaching and runoff</v>
      </c>
      <c r="F15" s="129"/>
      <c r="G15" s="127" t="str">
        <v>fraction</v>
      </c>
      <c r="H15" s="125" t="str">
        <v>Constant</v>
      </c>
      <c r="I15" s="127">
        <f>Fertiliser_FracLEACH_Data</f>
        <v>0.24</v>
      </c>
    </row>
    <row r="16" spans="1:20" ht="20.100000000000001" customHeight="1" x14ac:dyDescent="0.2">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9" ht="20.100000000000001" customHeight="1" x14ac:dyDescent="0.2">
      <c r="A17" s="5" t="str">
        <f>HYPERLINK("#'Input - Livestock farm Inputs'!A1", "Livestock farm Inputs")</f>
        <v>Livestock farm Inputs</v>
      </c>
      <c r="D17" s="127" t="str">
        <v>j</v>
      </c>
      <c r="E17" s="128" t="str">
        <v>production system</v>
      </c>
      <c r="F17" s="129"/>
      <c r="G17" s="127" t="str">
        <v/>
      </c>
      <c r="H17" s="123" t="str">
        <v>Input</v>
      </c>
      <c r="I17" s="127" t="str">
        <f>X_Cell_Fertiliser_ProductionSystem</f>
        <v>Crop</v>
      </c>
    </row>
    <row r="18" spans="1:9" ht="20.100000000000001" customHeight="1" x14ac:dyDescent="0.2">
      <c r="A18" s="5" t="str">
        <f>HYPERLINK("#'Input - Freight'!A1", "Freight")</f>
        <v>Freight</v>
      </c>
      <c r="D18" s="127" t="str">
        <v>ir</v>
      </c>
      <c r="E18" s="128" t="str">
        <v>irrigation method</v>
      </c>
      <c r="F18" s="129"/>
      <c r="G18" s="127" t="str">
        <v/>
      </c>
      <c r="H18" s="123" t="str">
        <v>Input</v>
      </c>
      <c r="I18" s="127" t="str">
        <f>X_Cell_Fertiliser_IrrigationMethod</f>
        <v>Drip irrigation</v>
      </c>
    </row>
    <row r="19" spans="1:9" ht="20.100000000000001" customHeight="1" x14ac:dyDescent="0.2">
      <c r="A19" s="5" t="str">
        <f>HYPERLINK("#'Input - Solid waste'!A1", "Solid waste")</f>
        <v>Solid waste</v>
      </c>
    </row>
    <row r="20" spans="1:9" ht="20.100000000000001" customHeight="1" x14ac:dyDescent="0.2">
      <c r="A20" s="5" t="str">
        <f>HYPERLINK("#'Input - Manure sent off-site'!A1", "Manure sent off-site")</f>
        <v>Manure sent off-site</v>
      </c>
      <c r="D20" s="137" t="s">
        <v>823</v>
      </c>
    </row>
    <row r="21" spans="1:9" ht="20.100000000000001" customHeight="1" x14ac:dyDescent="0.2">
      <c r="A21" s="5" t="str">
        <f>HYPERLINK("#'Input - Data quality'!A1", "Data quality")</f>
        <v>Data quality</v>
      </c>
      <c r="D21" s="138" t="s">
        <v>824</v>
      </c>
    </row>
    <row r="22" spans="1:9" ht="20.100000000000001" customHeight="1" x14ac:dyDescent="0.2">
      <c r="A22" s="5" t="str">
        <f>HYPERLINK("#'Input - Fert Prod System'!A1", "Fert Prod System")</f>
        <v>Fert Prod System</v>
      </c>
      <c r="D22" s="119" t="s">
        <v>754</v>
      </c>
      <c r="E22" s="119" t="s">
        <v>807</v>
      </c>
      <c r="F22" s="119" t="s">
        <v>825</v>
      </c>
    </row>
    <row r="23" spans="1:9" ht="20.100000000000001" customHeight="1" x14ac:dyDescent="0.2">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D25" s="15" t="str">
        <v>Urea</v>
      </c>
      <c r="E25" s="15">
        <f>INDEX(Table_MN_j_f,4,4)</f>
        <v>11599.999400000001</v>
      </c>
      <c r="F25" s="15" cm="1">
        <f t="array" ref="F25">Fertiliser_Equations_LeachingAndRunoff.VEERG_5_5_1_1__2_MassOfNitrogenLeachedFromInorganicFertiliser(E25, $I$14, $I$15)</f>
        <v>0</v>
      </c>
    </row>
    <row r="26" spans="1:9" ht="20.100000000000001" customHeight="1" x14ac:dyDescent="0.2">
      <c r="A26" s="6" t="s">
        <v>2</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HYPERLINK("#'3.5.1.1-2 Enteric Methane'!A1", "3.5.1.1-2 Enteric Methane")</f>
        <v>3.5.1.1-2 Enteric Methane</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A28" s="5" t="str">
        <f>HYPERLINK("#'4.5.1.1-2 Methane'!A1", "4.5.1.1-2 Manure Methane")</f>
        <v>4.5.1.1-2 Manure Methane</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A29" s="5" t="str">
        <f>HYPERLINK("#'4.5.1.3-4 Direct N2O'!A1", "4.5.1.3-4 Manure Direct N2O")</f>
        <v>4.5.1.3-4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5" t="str">
        <f>HYPERLINK("#'4.5.1.5-6 Atmos Dep'!A1", "4.5.1.5-6 Manure Atmos Dep")</f>
        <v>4.5.1.5-6 Manure Atmos Dep</v>
      </c>
      <c r="D30" s="15" t="str">
        <v>Nitrogen - Ammoniacal</v>
      </c>
      <c r="E30" s="15">
        <f>INDEX(Table_MN_j_f,9,4)</f>
        <v>1240</v>
      </c>
      <c r="F30" s="15" cm="1">
        <f t="array" ref="F30">Fertiliser_Equations_LeachingAndRunoff.VEERG_5_5_1_1__2_MassOfNitrogenLeachedFromInorganicFertiliser(E30, $I$14, $I$15)</f>
        <v>0</v>
      </c>
    </row>
    <row r="31" spans="1:9" ht="20.100000000000001" customHeight="1" x14ac:dyDescent="0.2">
      <c r="A31" s="5" t="str">
        <f>HYPERLINK("#'4.5.1.7-8 Leaching and runoff'!A1", "4.5.1.7-8 Manure Leaching and runoff")</f>
        <v>4.5.1.7-8 Manure Leaching and runoff</v>
      </c>
      <c r="D31" s="15" t="str">
        <v>Nitrogen - Nitrate</v>
      </c>
      <c r="E31" s="15">
        <f>INDEX(Table_MN_j_f,10,4)</f>
        <v>550</v>
      </c>
      <c r="F31" s="15" cm="1">
        <f t="array" ref="F31">Fertiliser_Equations_LeachingAndRunoff.VEERG_5_5_1_1__2_MassOfNitrogenLeachedFromInorganicFertiliser(E31, $I$14, $I$15)</f>
        <v>0</v>
      </c>
    </row>
    <row r="32" spans="1:9" ht="20.100000000000001" customHeight="1" x14ac:dyDescent="0.2">
      <c r="A32" s="5" t="str">
        <f>HYPERLINK("#'4.5.1.9 Manure applied to soils'!A1", "4.5.1.9 Manure applied to soils")</f>
        <v>4.5.1.9 Manure applied to soils</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A38" s="5" t="str">
        <f>HYPERLINK("#'Calcs - Manure sent off-site'!A1", "Calcs - Manure sent off-site")</f>
        <v>Calcs - Manure sent off-site</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A39" s="5" t="str">
        <f>HYPERLINK("#'5.1.1.1-2 Inorganic fert N2O'!A1", "5.1.1.1-2 Inorganic fert N2O")</f>
        <v>5.1.1.1-2 Inorganic fert N2O</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5" t="str">
        <f>HYPERLINK("#'5.1.1.3-4 Inorganic fert CO2'!A1", "5.1.1.3-4 Inorganic fert CO2")</f>
        <v>5.1.1.3-4 Inorganic fert CO2</v>
      </c>
      <c r="D40" s="15" t="str">
        <v>Ammonia</v>
      </c>
      <c r="E40" s="15">
        <f>INDEX(Table_MN_j_f,19,4)</f>
        <v>4117.5</v>
      </c>
      <c r="F40" s="15" cm="1">
        <f t="array" ref="F40">Fertiliser_Equations_LeachingAndRunoff.VEERG_5_5_1_1__2_MassOfNitrogenLeachedFromInorganicFertiliser(E40, $I$14, $I$15)</f>
        <v>0</v>
      </c>
    </row>
    <row r="41" spans="1:11" ht="20.100000000000001" customHeight="1" x14ac:dyDescent="0.2">
      <c r="A41" s="5" t="str">
        <f>HYPERLINK("#'5.2.1.1-2 Organic Fert N2O'!A1", "5.2.1.1-2 Organic Fert N2O")</f>
        <v>5.2.1.1-2 Organic Fert N2O</v>
      </c>
      <c r="D41" s="15" t="str">
        <v>Calcium nitrate</v>
      </c>
      <c r="E41" s="15">
        <f>INDEX(Table_MN_j_f,20,4)</f>
        <v>775</v>
      </c>
      <c r="F41" s="15" cm="1">
        <f t="array" ref="F41">Fertiliser_Equations_LeachingAndRunoff.VEERG_5_5_1_1__2_MassOfNitrogenLeachedFromInorganicFertiliser(E41, $I$14, $I$15)</f>
        <v>0</v>
      </c>
    </row>
    <row r="42" spans="1:11" ht="20.100000000000001" customHeight="1" x14ac:dyDescent="0.2">
      <c r="A42" s="5" t="str">
        <f>HYPERLINK("#'5.3.1.1-2 Lime CO2'!A1", "5.3.1.1-2 Lime CO2")</f>
        <v>5.3.1.1-2 Lime CO2</v>
      </c>
    </row>
    <row r="43" spans="1:11" ht="20.100000000000001" customHeight="1" x14ac:dyDescent="0.2">
      <c r="A43" s="5" t="str">
        <f>HYPERLINK("#'5.4.1.1-4 Atmos deposition'!A1", "5.4.1.1-4 Atmos deposition")</f>
        <v>5.4.1.1-4 Atmos deposition</v>
      </c>
      <c r="D43" s="87" t="s">
        <v>826</v>
      </c>
      <c r="E43" s="82">
        <f>SUM(F23:F41)</f>
        <v>0</v>
      </c>
      <c r="F43" s="88" t="str">
        <f>$E$11</f>
        <v>kg N</v>
      </c>
    </row>
    <row r="44" spans="1:11" ht="20.100000000000001" customHeight="1" x14ac:dyDescent="0.2">
      <c r="A44" s="116" t="str">
        <f>HYPERLINK("#'5.5.1.1-2 Leaching and runoff'!A1", "5.5.1.1-2 Leaching and runoff")</f>
        <v>5.5.1.1-2 Leaching and runoff</v>
      </c>
    </row>
    <row r="45" spans="1:11" ht="20.100000000000001" customHeight="1" x14ac:dyDescent="0.2">
      <c r="C45" s="238"/>
      <c r="D45" s="238"/>
      <c r="E45" s="238"/>
      <c r="F45" s="238"/>
      <c r="G45" s="238"/>
      <c r="H45" s="238"/>
      <c r="I45" s="238"/>
      <c r="J45" s="238"/>
      <c r="K45" s="238"/>
    </row>
    <row r="47" spans="1:11" ht="20.100000000000001" customHeight="1" x14ac:dyDescent="0.2">
      <c r="A47" s="79" t="s">
        <v>1</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A48" s="5" t="str">
        <f>HYPERLINK("#'Constants - Swine'!A1", "Constants - Swine")</f>
        <v>Constants - Swine</v>
      </c>
      <c r="D48" s="17" t="str" cm="1">
        <f t="array" ref="D48">Fertiliser_Equations_LeachingAndRunoff.VEERG_5_5_1_1__3_MassOfNitrogenLeachedFromOrganicFertiliser_Source()</f>
        <v>VEERG 2026: 5.5, Equation (3)</v>
      </c>
    </row>
    <row r="49" spans="1:9" ht="20.100000000000001" customHeight="1" x14ac:dyDescent="0.2">
      <c r="A49" s="5" t="str">
        <f>HYPERLINK("#'Constants - Common livestock'!A1", "Constants - Common Livestock")</f>
        <v>Constants - Common Livestock</v>
      </c>
      <c r="D49" s="110" t="s">
        <v>321</v>
      </c>
      <c r="E49" s="110" t="str" cm="1">
        <f t="array" aca="1" ref="E49" ca="1">Common_InputFunctions.Utility_DisplayFunctionName(F65)</f>
        <v>=Fertiliser_Equations_LeachingAndRunoff.VEERG_5_5_1_1__3_MassOfNitrogenLeachedFromOrganicFertiliser</v>
      </c>
    </row>
    <row r="50" spans="1:9" ht="20.100000000000001" customHeight="1" x14ac:dyDescent="0.2">
      <c r="A50" s="5" t="str">
        <f>HYPERLINK("#'Constants - Electricity'!A1", "Constants - Electricity")</f>
        <v>Constants - Electricity</v>
      </c>
    </row>
    <row r="51" spans="1:9" ht="20.100000000000001" customHeight="1" x14ac:dyDescent="0.2">
      <c r="A51" s="5" t="str">
        <f>HYPERLINK("#'Constants - Fertiliser'!A1", "Constants - Fertiliser")</f>
        <v>Constants - Fertiliser</v>
      </c>
    </row>
    <row r="52" spans="1:9" ht="20.100000000000001" customHeight="1" x14ac:dyDescent="0.2">
      <c r="A52" s="5" t="str">
        <f>HYPERLINK("#'Constants - Fuel'!A1", "Constants - Fuel")</f>
        <v>Constants - Fuel</v>
      </c>
      <c r="D52" s="75" t="s">
        <v>322</v>
      </c>
      <c r="E52" s="1" t="str" cm="1">
        <f t="array" ref="E52">Fertiliser_Equations_LeachingAndRunoff.VEERG_5_5_1_1__3_MassOfNitrogenLeachedFromOrganicFertiliser_Variable()</f>
        <v>M_leachorganicj</v>
      </c>
    </row>
    <row r="53" spans="1:9" ht="20.100000000000001" customHeight="1" x14ac:dyDescent="0.2">
      <c r="A53" s="5" t="str">
        <f>HYPERLINK("#'Constants - Scope 3'!A1", "Constants - Scope 3")</f>
        <v>Constants - Scope 3</v>
      </c>
      <c r="D53" s="75" t="s">
        <v>118</v>
      </c>
      <c r="E53" s="9" t="str" cm="1">
        <f t="array" ref="E53">Fertiliser_Equations_LeachingAndRunoff.VEERG_5_5_1_1__3_MassOfNitrogenLeachedFromOrganicFertiliser_Unit()</f>
        <v>kg N</v>
      </c>
    </row>
    <row r="54" spans="1:9" ht="20.100000000000001" customHeight="1" x14ac:dyDescent="0.2">
      <c r="A54" s="5" t="str">
        <f>HYPERLINK("#'Constants - Solid Waste'!A1", "Constants - Solid Waste")</f>
        <v>Constants - Solid Waste</v>
      </c>
    </row>
    <row r="55" spans="1:9" ht="20.100000000000001" customHeight="1" x14ac:dyDescent="0.2">
      <c r="A55" s="5" t="str">
        <f>HYPERLINK("#'Constants - Common'!A1", "Constants - Common")</f>
        <v>Constants - Common</v>
      </c>
      <c r="D55" s="127" t="str" cm="1">
        <f t="array" ref="D55:E60">_xlfn.CHOOSECOLS(Fertiliser_Equations_LeachingAndRunoff.VEERG_5_5_1_1__3_MassOfNitrogenLeachedFromOrganicFertiliser_Arguments(), 1, 2)</f>
        <v>MNSoil_jf</v>
      </c>
      <c r="E55" s="128" t="str">
        <v>mass of nitrogen in organic fertiliser</v>
      </c>
      <c r="F55" s="129"/>
      <c r="G55" s="127" t="str" cm="1">
        <f t="array" ref="G55:H60">_xlfn.CHOOSECOLS(Fertiliser_Equations_LeachingAndRunoff.VEERG_5_5_1_1__3_MassOfNitrogenLeachedFromOrganicFertiliser_Arguments(), 3,4)</f>
        <v>kg N</v>
      </c>
      <c r="H55" s="125" t="str">
        <v>Calculated from 5.2.1.1 (2)</v>
      </c>
      <c r="I55" s="115" t="str" cm="1">
        <f t="array" aca="1" ref="I55" ca="1">HYPERLINK(Common_InputFunctions.Utility_SourceHyperlink(D62), D62)</f>
        <v>Table_M_leach_organic_j</v>
      </c>
    </row>
    <row r="56" spans="1:9" ht="20.100000000000001" customHeight="1" x14ac:dyDescent="0.2">
      <c r="A56" s="5" t="str">
        <f>HYPERLINK("#'Acknowledgements'!A1", "Acknowledgements")</f>
        <v>Acknowledgements</v>
      </c>
      <c r="D56" s="127" t="str">
        <v>FracWETj</v>
      </c>
      <c r="E56" s="128" t="str">
        <v>fraction of N available for leaching and runoff</v>
      </c>
      <c r="F56" s="129"/>
      <c r="G56" s="127" t="str">
        <v>fraction</v>
      </c>
      <c r="H56" s="125" t="str">
        <v>Constant</v>
      </c>
      <c r="I56" s="127">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D57" s="127" t="str">
        <v>FracLEACH</v>
      </c>
      <c r="E57" s="128" t="str">
        <v>fraction of N that is lost through leaching and runoff</v>
      </c>
      <c r="F57" s="129"/>
      <c r="G57" s="127" t="str">
        <v>fraction</v>
      </c>
      <c r="H57" s="125" t="str">
        <v>Constant</v>
      </c>
      <c r="I57" s="127">
        <f>Fertiliser_FracLEACH_Data</f>
        <v>0.24</v>
      </c>
    </row>
    <row r="58" spans="1:9" ht="20.100000000000001" customHeight="1" x14ac:dyDescent="0.2">
      <c r="D58" s="127" t="str">
        <v>z</v>
      </c>
      <c r="E58" s="128" t="str">
        <v>location in leaching zone</v>
      </c>
      <c r="F58" s="129"/>
      <c r="G58" s="127" t="str">
        <v/>
      </c>
      <c r="H58" s="123" t="str">
        <v>Input</v>
      </c>
      <c r="I58" s="127" t="str">
        <f>X_Cell_Site_LeachingZone</f>
        <v>NO - Not in leaching zone</v>
      </c>
    </row>
    <row r="59" spans="1:9" ht="20.100000000000001" customHeight="1" x14ac:dyDescent="0.2">
      <c r="D59" s="127" t="str">
        <v>j</v>
      </c>
      <c r="E59" s="128" t="str">
        <v>production system</v>
      </c>
      <c r="F59" s="129"/>
      <c r="G59" s="127" t="str">
        <v/>
      </c>
      <c r="H59" s="123" t="str">
        <v>Input</v>
      </c>
      <c r="I59" s="127" t="str">
        <f>X_Cell_Fertiliser_ProductionSystem</f>
        <v>Crop</v>
      </c>
    </row>
    <row r="60" spans="1:9" ht="20.100000000000001" customHeight="1" x14ac:dyDescent="0.2">
      <c r="D60" s="127" t="str">
        <v>ir</v>
      </c>
      <c r="E60" s="128" t="str">
        <v>irrigation method</v>
      </c>
      <c r="F60" s="129"/>
      <c r="G60" s="127" t="str">
        <v/>
      </c>
      <c r="H60" s="123" t="str">
        <v>Input</v>
      </c>
      <c r="I60" s="127" t="str">
        <f>X_Cell_Fertiliser_IrrigationMethod</f>
        <v>Drip irrigation</v>
      </c>
    </row>
    <row r="62" spans="1:9" ht="20.100000000000001" customHeight="1" x14ac:dyDescent="0.2">
      <c r="D62" s="137" t="s">
        <v>827</v>
      </c>
    </row>
    <row r="63" spans="1:9" ht="20.100000000000001" customHeight="1" x14ac:dyDescent="0.2">
      <c r="D63" s="138" t="s">
        <v>828</v>
      </c>
    </row>
    <row r="64" spans="1:9" ht="20.100000000000001" customHeight="1" x14ac:dyDescent="0.2">
      <c r="D64" s="78" t="s">
        <v>789</v>
      </c>
      <c r="E64" s="239" t="s">
        <v>793</v>
      </c>
      <c r="F64" s="119" t="s">
        <v>829</v>
      </c>
    </row>
    <row r="65" spans="1:11" ht="20.100000000000001" customHeight="1" x14ac:dyDescent="0.2">
      <c r="D65" s="15" t="str">
        <f>INDEX(Table_MNSoil_j_f,2,1)</f>
        <v>Manure - Other</v>
      </c>
      <c r="E65" s="15">
        <f>INDEX(Table_MNSoil_j_f,2,6)</f>
        <v>300</v>
      </c>
      <c r="F65" s="15" cm="1">
        <f t="array" ref="F65">Fertiliser_Equations_LeachingAndRunoff.VEERG_5_5_1_1__3_MassOfNitrogenLeachedFromOrganicFertiliser(E65,$I$56, $I$57)</f>
        <v>0</v>
      </c>
    </row>
    <row r="66" spans="1:11" ht="20.100000000000001" customHeight="1" x14ac:dyDescent="0.2">
      <c r="D66" s="15" t="str">
        <f>INDEX(Table_MNSoil_j_f,3,1)</f>
        <v>Manure - Poultry</v>
      </c>
      <c r="E66" s="15">
        <f>INDEX(Table_MNSoil_j_f,3,6)</f>
        <v>250</v>
      </c>
      <c r="F66" s="15" cm="1">
        <f t="array" ref="F66">Fertiliser_Equations_LeachingAndRunoff.VEERG_5_5_1_1__3_MassOfNitrogenLeachedFromOrganicFertiliser(E66,$I$56, $I$57)</f>
        <v>0</v>
      </c>
    </row>
    <row r="67" spans="1:11" ht="20.100000000000001" customHeight="1" x14ac:dyDescent="0.2">
      <c r="A67" s="131" t="str">
        <f>HYPERLINK("#A1", "▲ Back to top")</f>
        <v>▲ Back to top</v>
      </c>
      <c r="D67" s="15" t="str">
        <f>INDEX(Table_MNSoil_j_f,4,1)</f>
        <v>Other organic fertiliser</v>
      </c>
      <c r="E67" s="15">
        <f>INDEX(Table_MNSoil_j_f,4,6)</f>
        <v>160</v>
      </c>
      <c r="F67" s="15" cm="1">
        <f t="array" ref="F67">Fertiliser_Equations_LeachingAndRunoff.VEERG_5_5_1_1__3_MassOfNitrogenLeachedFromOrganicFertiliser(E67,$I$56, $I$57)</f>
        <v>0</v>
      </c>
    </row>
    <row r="68" spans="1:11" ht="20.100000000000001" customHeight="1" x14ac:dyDescent="0.2">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1:11" ht="20.100000000000001" customHeight="1" x14ac:dyDescent="0.2">
      <c r="D77" s="87" t="s">
        <v>830</v>
      </c>
      <c r="E77" s="82">
        <f>SUM(F65:F75)</f>
        <v>0</v>
      </c>
      <c r="F77" s="88" t="str">
        <f>$E$53</f>
        <v>kg N</v>
      </c>
    </row>
    <row r="79" spans="1:11" ht="20.100000000000001" customHeight="1" x14ac:dyDescent="0.2">
      <c r="C79" s="238"/>
      <c r="D79" s="238"/>
      <c r="E79" s="238"/>
      <c r="F79" s="238"/>
      <c r="G79" s="238"/>
      <c r="H79" s="238"/>
      <c r="I79" s="238"/>
      <c r="J79" s="238"/>
      <c r="K79" s="238"/>
    </row>
    <row r="81" spans="4: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7" t="str" cm="1">
        <f t="array" ref="D82">Fertiliser_Equations_LeachingAndRunoff.VEERG_5_5_1_1__1_FertiliserLeachingAndRunoffN2OEmissions_Source()</f>
        <v>VEERG 2026: 5.5, Equation (1)</v>
      </c>
    </row>
    <row r="83" spans="4:10" ht="20.100000000000001" customHeight="1" x14ac:dyDescent="0.2">
      <c r="D83" s="110" t="s">
        <v>321</v>
      </c>
      <c r="E83" s="110"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75" t="s">
        <v>322</v>
      </c>
      <c r="E86" s="1" t="str" cm="1">
        <f t="array" ref="E86">Fertiliser_Equations_LeachingAndRunoff.VEERG_5_5_1_1__1_FertiliserLeachingAndRunoffN2OEmissions_Variable()</f>
        <v>E_fertleach</v>
      </c>
    </row>
    <row r="87" spans="4:10" ht="20.100000000000001" customHeight="1" x14ac:dyDescent="0.2">
      <c r="D87" s="75" t="s">
        <v>118</v>
      </c>
      <c r="E87" s="9" t="str" cm="1">
        <f t="array" ref="E87">Fertiliser_Equations_LeachingAndRunoff.VEERG_5_5_1_1__1_FertiliserLeachingAndRunoffN2OEmissions_Unit()</f>
        <v>t N2O</v>
      </c>
    </row>
    <row r="89" spans="4:10" ht="20.100000000000001" customHeight="1" x14ac:dyDescent="0.2">
      <c r="D89" s="127" t="str" cm="1">
        <f t="array" ref="D89:E92">_xlfn.CHOOSECOLS(Fertiliser_Equations_LeachingAndRunoff.VEERG_5_5_1_1__1_FertiliserLeachingAndRunoffN2OEmissions_Arguments(), 1, 2)</f>
        <v>M_leachinorganicj</v>
      </c>
      <c r="E89" s="128" t="str">
        <v>mass of nitrogen lost through leaching and runoff from inorganic fertiliser application in production system j</v>
      </c>
      <c r="F89" s="149"/>
      <c r="G89" s="129"/>
      <c r="H89" s="127" t="str" cm="1">
        <f t="array" ref="H89:I92">_xlfn.CHOOSECOLS(Fertiliser_Equations_LeachingAndRunoff.VEERG_5_5_1_1__1_FertiliserLeachingAndRunoffN2OEmissions_Arguments(), 3,4)</f>
        <v>kg N</v>
      </c>
      <c r="I89" s="125" t="str">
        <v>Calculated from 5.5.1.1 (2)</v>
      </c>
      <c r="J89" s="127">
        <f>$E$43</f>
        <v>0</v>
      </c>
    </row>
    <row r="90" spans="4:10" ht="20.100000000000001" customHeight="1" x14ac:dyDescent="0.2">
      <c r="D90" s="127" t="str">
        <v>M_leachorganicj</v>
      </c>
      <c r="E90" s="128" t="str">
        <v>mass of nitrogen lost through leaching and runoff from organic fertiliser application</v>
      </c>
      <c r="F90" s="149"/>
      <c r="G90" s="129"/>
      <c r="H90" s="127" t="str">
        <v>kg N</v>
      </c>
      <c r="I90" s="125" t="str">
        <v>Calculated from 5.5.1.1 (3)</v>
      </c>
      <c r="J90" s="127">
        <f>$E$77</f>
        <v>0</v>
      </c>
    </row>
    <row r="91" spans="4:10" ht="20.100000000000001" customHeight="1" x14ac:dyDescent="0.2">
      <c r="D91" s="127" t="str">
        <v>EF_leach</v>
      </c>
      <c r="E91" s="128" t="str">
        <v>emission factor for nitrogen leaching and runoff</v>
      </c>
      <c r="F91" s="149"/>
      <c r="G91" s="129"/>
      <c r="H91" s="127" t="str">
        <v>kg N2O-N/kg N</v>
      </c>
      <c r="I91" s="125" t="str">
        <v>Constant</v>
      </c>
      <c r="J91" s="127">
        <f>Fertiliser_EFLeach_Data</f>
        <v>1.0999999999999999E-2</v>
      </c>
    </row>
    <row r="92" spans="4:10" ht="20.100000000000001" customHeight="1" x14ac:dyDescent="0.2">
      <c r="D92" s="127" t="str">
        <v>C_N2O</v>
      </c>
      <c r="E92" s="128" t="str">
        <v>factor to convert elemental mass of nitrous oxide to molecular mass</v>
      </c>
      <c r="F92" s="149"/>
      <c r="G92" s="129"/>
      <c r="H92" s="127" t="str">
        <v/>
      </c>
      <c r="I92" s="125" t="str">
        <v>Constant</v>
      </c>
      <c r="J92" s="111">
        <f>Common_InputFunctions.Utility_LookupValueInTableNumber("N2O",Table_GasToMolecularConversionFactor[Gas],Table_GasToMolecularConversionFactor[Conversion factor combined])</f>
        <v>1.5714285714285714</v>
      </c>
    </row>
    <row r="94" spans="4:10" ht="20.100000000000001" customHeight="1" x14ac:dyDescent="0.2">
      <c r="D94" s="84" t="s">
        <v>831</v>
      </c>
      <c r="E94" s="85" cm="1">
        <f t="array" ref="E94">Fertiliser_Equations_LeachingAndRunoff.VEERG_5_5_1_1__1_FertiliserLeachingAndRunoffN2OEmissions(J89,J90,J91,J92)</f>
        <v>0</v>
      </c>
      <c r="F94" s="94" t="str">
        <f>$E$87</f>
        <v>t N2O</v>
      </c>
    </row>
    <row r="96" spans="4:10" ht="20.100000000000001" customHeight="1" x14ac:dyDescent="0.2">
      <c r="D96" s="111" t="str" cm="1">
        <f t="array" ref="D96:E97">Common_Equations.Common_ConvertN2OToCO2e_Arguments()</f>
        <v>EN2O</v>
      </c>
      <c r="E96" s="112" t="str">
        <v>Nitrous oxide emissions (t N2O)</v>
      </c>
      <c r="F96" s="133"/>
      <c r="G96" s="15">
        <f>VEERG_5_5_1_1__1_FertiliserLeachingAndRunoffN2OEmissions_Result_Method1</f>
        <v>0</v>
      </c>
    </row>
    <row r="97" spans="1:7" ht="20.100000000000001" customHeight="1" x14ac:dyDescent="0.2">
      <c r="A97" s="131" t="str">
        <f>HYPERLINK("#A1", "▲ Back to top")</f>
        <v>▲ Back to top</v>
      </c>
      <c r="D97" s="111" t="str">
        <v>GWPN2O</v>
      </c>
      <c r="E97" s="112" t="str">
        <v>Global warming potential for nitrous oxide (t CO2-e / t N2O)</v>
      </c>
      <c r="F97" s="133"/>
      <c r="G97" s="15">
        <f>Common_InputFunctions.Utility_LookupValueInTableNumber("N2O",Table_GWPData[Gas],Table_GWPData[CO2-e factor])</f>
        <v>265</v>
      </c>
    </row>
    <row r="99" spans="1:7" ht="20.100000000000001" customHeight="1" x14ac:dyDescent="0.2">
      <c r="D99" s="82" t="s">
        <v>382</v>
      </c>
      <c r="E99" s="82" cm="1">
        <f t="array" ref="E99">Common_Equations.Common_ConvertN2OToCO2e(G96,G97)</f>
        <v>0</v>
      </c>
      <c r="F99" s="88" t="str" cm="1">
        <f t="array" ref="F99">Common_Equations.Common_ConvertN2OToCO2e_Unit()</f>
        <v>t CO2e</v>
      </c>
    </row>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52B26-424F-4904-95F5-C4EC41610120}">
  <dimension ref="A1:A56"/>
  <sheetViews>
    <sheetView zoomScaleNormal="100" workbookViewId="0">
      <pane xSplit="1" topLeftCell="B1" activePane="topRight" state="frozenSplit"/>
      <selection pane="topRight" activeCell="A4" sqref="A4"/>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Swine'!A1", "Swine")</f>
        <v>Swine</v>
      </c>
    </row>
    <row r="12" spans="1:1" ht="20.100000000000001" customHeight="1" x14ac:dyDescent="0.2">
      <c r="A12" s="5" t="str">
        <f>HYPERLINK("#'Input - Livestock sales'!A1", "Livestock sales")</f>
        <v>Livestock sales</v>
      </c>
    </row>
    <row r="13" spans="1:1" ht="20.100000000000001" customHeight="1" x14ac:dyDescent="0.2">
      <c r="A13" s="5" t="str">
        <f>HYPERLINK("#'Input - Pig purchases'!A1", "Pig purchases")</f>
        <v>Pig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HYPERLINK("#'3.5.1.1-2 Enteric Methane'!A1", "3.5.1.1-2 Enteric Methane")</f>
        <v>3.5.1.1-2 Enteric Methane</v>
      </c>
    </row>
    <row r="28" spans="1:1" ht="20.100000000000001" customHeight="1" x14ac:dyDescent="0.2">
      <c r="A28" s="5" t="str">
        <f>HYPERLINK("#'4.5.1.1-2 Methane'!A1", "4.5.1.1-2 Manure Methane")</f>
        <v>4.5.1.1-2 Manure Methane</v>
      </c>
    </row>
    <row r="29" spans="1:1" ht="20.100000000000001" customHeight="1" x14ac:dyDescent="0.2">
      <c r="A29" s="5" t="str">
        <f>HYPERLINK("#'4.5.1.3-4 Direct N2O'!A1", "4.5.1.3-4 Manure Direct N2O")</f>
        <v>4.5.1.3-4 Manure Direct N2O</v>
      </c>
    </row>
    <row r="30" spans="1:1" ht="20.100000000000001" customHeight="1" x14ac:dyDescent="0.2">
      <c r="A30" s="5" t="str">
        <f>HYPERLINK("#'4.5.1.5-6 Atmos Dep'!A1", "4.5.1.5-6 Manure Atmos Dep")</f>
        <v>4.5.1.5-6 Manure Atmos Dep</v>
      </c>
    </row>
    <row r="31" spans="1:1" ht="20.100000000000001" customHeight="1" x14ac:dyDescent="0.2">
      <c r="A31" s="5" t="str">
        <f>HYPERLINK("#'4.5.1.7-8 Leaching and runoff'!A1", "4.5.1.7-8 Manure Leaching and runoff")</f>
        <v>4.5.1.7-8 Manure Leaching and runoff</v>
      </c>
    </row>
    <row r="32" spans="1:1" ht="20.100000000000001" customHeight="1" x14ac:dyDescent="0.2">
      <c r="A32" s="5" t="str">
        <f>HYPERLINK("#'4.5.1.9 Manure applied to soils'!A1", "4.5.1.9 Manure applied to soils")</f>
        <v>4.5.1.9 Manure applied to soils</v>
      </c>
    </row>
    <row r="33" spans="1:1" ht="20.100000000000001" customHeight="1" x14ac:dyDescent="0.2">
      <c r="A33" s="5" t="str">
        <f>HYPERLINK("#'8.1.1.1-2 Transport fuel'!A1", "8.1.1.1-2 Transport fuel")</f>
        <v>8.1.1.1-2 Transport fuel</v>
      </c>
    </row>
    <row r="34" spans="1:1" ht="20.100000000000001" customHeight="1" x14ac:dyDescent="0.2">
      <c r="A34" s="5" t="str">
        <f>HYPERLINK("#'8.2.1.1-2 Stationary fuel'!A1", "8.2.1.1-2 Stationary fuel")</f>
        <v>8.2.1.1-2 Stationary fuel</v>
      </c>
    </row>
    <row r="35" spans="1:1" ht="20.100000000000001" customHeight="1" x14ac:dyDescent="0.2">
      <c r="A35" s="5" t="str">
        <f>HYPERLINK("#'10.1.1-2 Solid waste treatment'!A1", "10.1.1.1-2 Solid waste")</f>
        <v>10.1.1.1-2 Solid waste</v>
      </c>
    </row>
    <row r="36" spans="1:1" ht="20.100000000000001" customHeight="1" x14ac:dyDescent="0.2">
      <c r="A36" s="5" t="str">
        <f>HYPERLINK("#'14.1.1-2 Purchased electricity'!A1", "14.1.1-2 Purchased electricity")</f>
        <v>14.1.1-2 Purchased electricity</v>
      </c>
    </row>
    <row r="37" spans="1:1" ht="20.100000000000001" customHeight="1" x14ac:dyDescent="0.2">
      <c r="A37" s="5" t="str">
        <f>HYPERLINK("#'15 Scope 3'!A1", "15 Scope 3")</f>
        <v>15 Scope 3</v>
      </c>
    </row>
    <row r="38" spans="1:1" ht="20.100000000000001" customHeight="1" x14ac:dyDescent="0.2">
      <c r="A38" s="5" t="str">
        <f>HYPERLINK("#'Calcs - Manure sent off-site'!A1", "Calcs - Manure sent off-site")</f>
        <v>Calcs - Manure sent off-site</v>
      </c>
    </row>
    <row r="39" spans="1:1" ht="20.100000000000001" customHeight="1" x14ac:dyDescent="0.2">
      <c r="A39" s="5" t="str">
        <f>HYPERLINK("#'5.1.1.1-2 Inorganic fert N2O'!A1", "5.1.1.1-2 Inorganic fert N2O")</f>
        <v>5.1.1.1-2 Inorganic fert N2O</v>
      </c>
    </row>
    <row r="40" spans="1:1" ht="20.100000000000001" customHeight="1" x14ac:dyDescent="0.2">
      <c r="A40" s="5" t="str">
        <f>HYPERLINK("#'5.1.1.3-4 Inorganic fert CO2'!A1", "5.1.1.3-4 Inorganic fert CO2")</f>
        <v>5.1.1.3-4 Inorganic fert CO2</v>
      </c>
    </row>
    <row r="41" spans="1:1" ht="20.100000000000001" customHeight="1" x14ac:dyDescent="0.2">
      <c r="A41" s="5" t="str">
        <f>HYPERLINK("#'5.2.1.1-2 Organic Fert N2O'!A1", "5.2.1.1-2 Organic Fert N2O")</f>
        <v>5.2.1.1-2 Organic Fert N2O</v>
      </c>
    </row>
    <row r="42" spans="1:1" ht="20.100000000000001" customHeight="1" x14ac:dyDescent="0.2">
      <c r="A42" s="5" t="str">
        <f>HYPERLINK("#'5.3.1.1-2 Lime CO2'!A1", "5.3.1.1-2 Lime CO2")</f>
        <v>5.3.1.1-2 Lime CO2</v>
      </c>
    </row>
    <row r="43" spans="1:1" ht="20.100000000000001" customHeight="1" x14ac:dyDescent="0.2">
      <c r="A43" s="5" t="str">
        <f>HYPERLINK("#'5.4.1.1-4 Atmos deposition'!A1", "5.4.1.1-4 Atmos deposition")</f>
        <v>5.4.1.1-4 Atmos deposition</v>
      </c>
    </row>
    <row r="44" spans="1:1" ht="20.100000000000001" customHeight="1" x14ac:dyDescent="0.2">
      <c r="A44" s="5" t="str">
        <f>HYPERLINK("#'5.5.1.1-2 Leaching and runoff'!A1", "5.5.1.1-2 Leaching and runoff")</f>
        <v>5.5.1.1-2 Leaching and runoff</v>
      </c>
    </row>
    <row r="47" spans="1:1" ht="20.100000000000001" customHeight="1" x14ac:dyDescent="0.2">
      <c r="A47" s="79" t="s">
        <v>1</v>
      </c>
    </row>
    <row r="48" spans="1:1" ht="20.100000000000001" customHeight="1" x14ac:dyDescent="0.2">
      <c r="A48" s="5" t="str">
        <f>HYPERLINK("#'Constants - Swine'!A1", "Constants - Swine")</f>
        <v>Constants - Swine</v>
      </c>
    </row>
    <row r="49" spans="1:1" ht="20.100000000000001" customHeight="1" x14ac:dyDescent="0.2">
      <c r="A49" s="5" t="str">
        <f>HYPERLINK("#'Constants - Common livestock'!A1", "Constants - Common Livestock")</f>
        <v>Constants - Common Livestock</v>
      </c>
    </row>
    <row r="50" spans="1:1" ht="20.100000000000001" customHeight="1" x14ac:dyDescent="0.2">
      <c r="A50" s="5" t="str">
        <f>HYPERLINK("#'Constants - Electricity'!A1", "Constants - Electricity")</f>
        <v>Constants - Electricity</v>
      </c>
    </row>
    <row r="51" spans="1:1" ht="20.100000000000001" customHeight="1" x14ac:dyDescent="0.2">
      <c r="A51" s="5" t="str">
        <f>HYPERLINK("#'Constants - Fertiliser'!A1", "Constants - Fertiliser")</f>
        <v>Constants - Fertiliser</v>
      </c>
    </row>
    <row r="52" spans="1:1" ht="20.100000000000001" customHeight="1" x14ac:dyDescent="0.2">
      <c r="A52" s="5" t="str">
        <f>HYPERLINK("#'Constants - Fuel'!A1", "Constants - Fuel")</f>
        <v>Constants - Fuel</v>
      </c>
    </row>
    <row r="53" spans="1:1" ht="20.100000000000001" customHeight="1" x14ac:dyDescent="0.2">
      <c r="A53" s="5" t="str">
        <f>HYPERLINK("#'Constants - Scope 3'!A1", "Constants - Scope 3")</f>
        <v>Constants - Scope 3</v>
      </c>
    </row>
    <row r="54" spans="1:1" ht="20.100000000000001" customHeight="1" x14ac:dyDescent="0.2">
      <c r="A54" s="5" t="str">
        <f>HYPERLINK("#'Constants - Solid Waste'!A1", "Constants - Solid Waste")</f>
        <v>Constants - Solid Waste</v>
      </c>
    </row>
    <row r="55" spans="1:1" ht="20.100000000000001" customHeight="1" x14ac:dyDescent="0.2">
      <c r="A55" s="5" t="str">
        <f>HYPERLINK("#'Constants - Common'!A1", "Constants - Common")</f>
        <v>Constants - Common</v>
      </c>
    </row>
    <row r="56" spans="1:1" ht="20.100000000000001" customHeight="1" x14ac:dyDescent="0.2">
      <c r="A56"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229</vt:i4>
      </vt:variant>
    </vt:vector>
  </HeadingPairs>
  <TitlesOfParts>
    <vt:vector size="274" baseType="lpstr">
      <vt:lpstr>Home</vt:lpstr>
      <vt:lpstr>Results - Activity period</vt:lpstr>
      <vt:lpstr>Results - Product EI</vt:lpstr>
      <vt:lpstr>Input - Enterprise</vt:lpstr>
      <vt:lpstr>Input - Site</vt:lpstr>
      <vt:lpstr>Input - Swine</vt:lpstr>
      <vt:lpstr>Input - Livestock sales</vt:lpstr>
      <vt:lpstr>Input - Pig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3.5.1.1-2 Enteric Methane</vt:lpstr>
      <vt:lpstr>4.5.1.1-2 Methane</vt:lpstr>
      <vt:lpstr>4.5.1.3-4 Direct N2O</vt:lpstr>
      <vt:lpstr>4.5.1.5-6 Atmos Dep</vt:lpstr>
      <vt:lpstr>4.5.1.7-8 Leaching and runoff</vt:lpstr>
      <vt:lpstr>4.5.1.9 Manure applied to soils</vt:lpstr>
      <vt:lpstr>8.1.1.1-2 Transport fuel</vt:lpstr>
      <vt:lpstr>8.2.1.1-2 Stationary fuel</vt:lpstr>
      <vt:lpstr>10.1.1-2 Solid waste treatment</vt:lpstr>
      <vt:lpstr>14.1.1-2 Purchased electricity</vt:lpstr>
      <vt:lpstr>15 Scope 3</vt:lpstr>
      <vt:lpstr>Calcs - Manure sent off-site</vt:lpstr>
      <vt:lpstr>Constants - Swine</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M1_Table_E_N2O_leach</vt:lpstr>
      <vt:lpstr>M1_Table_MN_j_m5_T1</vt:lpstr>
      <vt:lpstr>M1_Table_MN_leach_j_m5</vt:lpstr>
      <vt:lpstr>M1_Table_MN_leach_j_m5_Consumer_1</vt:lpstr>
      <vt:lpstr>M2_Table_E_N2O_leach</vt:lpstr>
      <vt:lpstr>M2_Table_FertApplications</vt:lpstr>
      <vt:lpstr>M2_Table_MN_j_m5_T1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SourceData_Swine_FracLEACH_DrylotMMS_Data</vt:lpstr>
      <vt:lpstr>SourceData_Swine_MegajoulesPerKilogramMethane_Data</vt:lpstr>
      <vt:lpstr>SourceData_Swine_MethaneVolatileSolidsEmissionsPotential_Data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VEERG_3_5_1_1__1_TotalAnnualMethaneFromEntericFermentation_Result_Method1</vt:lpstr>
      <vt:lpstr>VEERG_3_5_1_1__1_TotalAnnualMethaneFromEntericFermentation_Result_Method2</vt:lpstr>
      <vt:lpstr>VEERG_4_5_1_1__1_TotalAnnualMethaneEmissions_Result_Method1</vt:lpstr>
      <vt:lpstr>VEERG_4_5_1_1__1_TotalAnnualMethaneEmissions_Result_Method2</vt:lpstr>
      <vt:lpstr>VEERG_4_5_1_3__1_TotalAnnualDirectNitrousOxideEmissionsFromMMS_Result_Method1</vt:lpstr>
      <vt:lpstr>VEERG_4_5_1_3__1_TotalAnnualDirectNitrousOxideEmissionsFromMMS_Result_Method2</vt:lpstr>
      <vt:lpstr>VEERG_4_5_1_5__1_AnnualAtmosphericDepositionEmissionsFromMMS_Result_Method1</vt:lpstr>
      <vt:lpstr>VEERG_4_5_1_5__1_AnnualAtmosphericDepositionEmissionsFromMMS_Result_Method2</vt:lpstr>
      <vt:lpstr>VEERG_4_5_1_7__1_AnnualEmissionsFromLeachingAndRunoffFromMMS_Result_Method1</vt:lpstr>
      <vt:lpstr>VEERG_4_5_1_7__1_AnnualEmissionsFromLeachingAndRunoffFromMMS_Result_Method2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X_Cell_TotalElegibleRECsForElectricityProducedOnSite</vt:lpstr>
      <vt:lpstr>X_Cell_TotalElegibleVoluntarilySurrenderedRECs</vt:lpstr>
      <vt:lpstr>X_Table_Result_ActivityPeriodEmissions_RowsToCols</vt:lpstr>
      <vt:lpstr>X_Table_Result_CarbonRemovalsFromPlantings_RowsToCols</vt:lpstr>
      <vt:lpstr>X_Table_Swine_FeedIntake_Method1</vt:lpstr>
      <vt:lpstr>X_Table_Swine_FeedIntake_Method2</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2026-09-03T23:52:47Z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2026-09-02T18:44:33; rename=True resize=True rowheights=True scope=all</vt:lpwstr>
  </property>
</Properties>
</file>