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49.xml" ContentType="application/vnd.openxmlformats-officedocument.drawingml.chart+xml"/>
  <Override PartName="/xl/charts/chart448.xml" ContentType="application/vnd.openxmlformats-officedocument.drawingml.chart+xml"/>
  <Override PartName="/xl/charts/chart447.xml" ContentType="application/vnd.openxmlformats-officedocument.drawingml.chart+xml"/>
  <Override PartName="/xl/charts/chart446.xml" ContentType="application/vnd.openxmlformats-officedocument.drawingml.chart+xml"/>
  <Override PartName="/xl/charts/chart445.xml" ContentType="application/vnd.openxmlformats-officedocument.drawingml.chart+xml"/>
  <Override PartName="/xl/charts/chart444.xml" ContentType="application/vnd.openxmlformats-officedocument.drawingml.chart+xml"/>
  <Override PartName="/xl/charts/chart443.xml" ContentType="application/vnd.openxmlformats-officedocument.drawingml.chart+xml"/>
  <Override PartName="/xl/charts/chart442.xml" ContentType="application/vnd.openxmlformats-officedocument.drawingml.chart+xml"/>
  <Override PartName="/xl/charts/chart441.xml" ContentType="application/vnd.openxmlformats-officedocument.drawingml.chart+xml"/>
  <Override PartName="/xl/charts/chart440.xml" ContentType="application/vnd.openxmlformats-officedocument.drawingml.chart+xml"/>
  <Override PartName="/xl/charts/chart439.xml" ContentType="application/vnd.openxmlformats-officedocument.drawingml.chart+xml"/>
  <Override PartName="/xl/charts/chart438.xml" ContentType="application/vnd.openxmlformats-officedocument.drawingml.chart+xml"/>
  <Override PartName="/xl/charts/chart437.xml" ContentType="application/vnd.openxmlformats-officedocument.drawingml.chart+xml"/>
  <Override PartName="/xl/charts/chart436.xml" ContentType="application/vnd.openxmlformats-officedocument.drawingml.chart+xml"/>
  <Override PartName="/xl/charts/chart435.xml" ContentType="application/vnd.openxmlformats-officedocument.drawingml.chart+xml"/>
  <Override PartName="/xl/charts/chart434.xml" ContentType="application/vnd.openxmlformats-officedocument.drawingml.chart+xml"/>
  <Override PartName="/xl/charts/chart433.xml" ContentType="application/vnd.openxmlformats-officedocument.drawingml.chart+xml"/>
  <Override PartName="/xl/charts/chart432.xml" ContentType="application/vnd.openxmlformats-officedocument.drawingml.chart+xml"/>
  <Override PartName="/xl/charts/chart431.xml" ContentType="application/vnd.openxmlformats-officedocument.drawingml.chart+xml"/>
  <Override PartName="/xl/charts/chart420.xml" ContentType="application/vnd.openxmlformats-officedocument.drawingml.chart+xml"/>
  <Override PartName="/xl/charts/chart419.xml" ContentType="application/vnd.openxmlformats-officedocument.drawingml.chart+xml"/>
  <Override PartName="/xl/charts/chart426.xml" ContentType="application/vnd.openxmlformats-officedocument.drawingml.chart+xml"/>
  <Override PartName="/xl/charts/chart418.xml" ContentType="application/vnd.openxmlformats-officedocument.drawingml.chart+xml"/>
  <Override PartName="/xl/charts/chart425.xml" ContentType="application/vnd.openxmlformats-officedocument.drawingml.chart+xml"/>
  <Override PartName="/xl/charts/chart417.xml" ContentType="application/vnd.openxmlformats-officedocument.drawingml.chart+xml"/>
  <Override PartName="/xl/charts/chart424.xml" ContentType="application/vnd.openxmlformats-officedocument.drawingml.chart+xml"/>
  <Override PartName="/xl/charts/chart415.xml" ContentType="application/vnd.openxmlformats-officedocument.drawingml.chart+xml"/>
  <Override PartName="/xl/charts/chart422.xml" ContentType="application/vnd.openxmlformats-officedocument.drawingml.chart+xml"/>
  <Override PartName="/xl/charts/chart416.xml" ContentType="application/vnd.openxmlformats-officedocument.drawingml.chart+xml"/>
  <Override PartName="/xl/charts/chart423.xml" ContentType="application/vnd.openxmlformats-officedocument.drawingml.chart+xml"/>
  <Override PartName="/xl/charts/chart430.xml" ContentType="application/vnd.openxmlformats-officedocument.drawingml.chart+xml"/>
  <Override PartName="/xl/charts/chart421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base-pie" sheetId="1" state="visible" r:id="rId2"/>
    <sheet name="con-pie" sheetId="2" state="visible" r:id="rId3"/>
    <sheet name="pro-pie" sheetId="3" state="visible" r:id="rId4"/>
    <sheet name="VG Investment v2.0" sheetId="4" state="visible" r:id="rId5"/>
    <sheet name="VG Cost v2.0" sheetId="5" state="visible" r:id="rId6"/>
    <sheet name="HG Investment v2.0" sheetId="6" state="visible" r:id="rId7"/>
    <sheet name="HG Cost v2.0" sheetId="7" state="visible" r:id="rId8"/>
    <sheet name="Storage Investment v2.0" sheetId="8" state="visible" r:id="rId9"/>
    <sheet name="Storage Cost (2)" sheetId="9" state="visible" r:id="rId10"/>
    <sheet name="Grid Sensitivity" sheetId="10" state="visible" r:id="rId11"/>
    <sheet name="storage sensitivity" sheetId="11" state="visible" r:id="rId12"/>
    <sheet name="100% System v2.0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<sst xmlns="http://schemas.openxmlformats.org/spreadsheetml/2006/main" count="359" uniqueCount="66">
  <si>
    <t xml:space="preserve">Offshore NDE</t>
  </si>
  <si>
    <t xml:space="preserve">Base NDE</t>
  </si>
  <si>
    <t xml:space="preserve">Offshore</t>
  </si>
  <si>
    <t xml:space="preserve">Onshore NDE</t>
  </si>
  <si>
    <t xml:space="preserve">Onshore</t>
  </si>
  <si>
    <t xml:space="preserve">Solar PV NDE</t>
  </si>
  <si>
    <t xml:space="preserve">CHP</t>
  </si>
  <si>
    <t xml:space="preserve">CHP NDE</t>
  </si>
  <si>
    <t xml:space="preserve">PV</t>
  </si>
  <si>
    <t xml:space="preserve">Hydro RoR NDE</t>
  </si>
  <si>
    <t xml:space="preserve">Hydro</t>
  </si>
  <si>
    <t xml:space="preserve">Total</t>
  </si>
  <si>
    <t xml:space="preserve">Solar PV SDE</t>
  </si>
  <si>
    <t xml:space="preserve">Onshore SDE</t>
  </si>
  <si>
    <t xml:space="preserve">Base SDE</t>
  </si>
  <si>
    <t xml:space="preserve">CHP SDE</t>
  </si>
  <si>
    <t xml:space="preserve">Hydro RoR SDE</t>
  </si>
  <si>
    <t xml:space="preserve">GSHP NDE</t>
  </si>
  <si>
    <t xml:space="preserve">Base NDE Heat</t>
  </si>
  <si>
    <t xml:space="preserve">ASHP NDE</t>
  </si>
  <si>
    <t xml:space="preserve">GSHP SDE</t>
  </si>
  <si>
    <t xml:space="preserve">Base SDE Heat</t>
  </si>
  <si>
    <t xml:space="preserve">ASHP SDE</t>
  </si>
  <si>
    <t xml:space="preserve">Onshore Wind</t>
  </si>
  <si>
    <t xml:space="preserve">Scenario</t>
  </si>
  <si>
    <t xml:space="preserve">NDE Capacity</t>
  </si>
  <si>
    <t xml:space="preserve">SDE Capacity</t>
  </si>
  <si>
    <t xml:space="preserve">NDE Investment</t>
  </si>
  <si>
    <t xml:space="preserve">SDE Investment</t>
  </si>
  <si>
    <t xml:space="preserve">Base</t>
  </si>
  <si>
    <t xml:space="preserve">Conservative</t>
  </si>
  <si>
    <t xml:space="preserve">Progressive</t>
  </si>
  <si>
    <t xml:space="preserve">Offshore Wind</t>
  </si>
  <si>
    <t xml:space="preserve">Solar PV</t>
  </si>
  <si>
    <t xml:space="preserve">Hydro RoR</t>
  </si>
  <si>
    <t xml:space="preserve">Annual Cost</t>
  </si>
  <si>
    <t xml:space="preserve">Base NDE </t>
  </si>
  <si>
    <t xml:space="preserve">Con NDE </t>
  </si>
  <si>
    <t xml:space="preserve">Con SDE</t>
  </si>
  <si>
    <t xml:space="preserve">Pro NDE </t>
  </si>
  <si>
    <t xml:space="preserve">Pro SDE</t>
  </si>
  <si>
    <t xml:space="preserve">GSHP</t>
  </si>
  <si>
    <t xml:space="preserve">ASHP</t>
  </si>
  <si>
    <t xml:space="preserve">TES</t>
  </si>
  <si>
    <t xml:space="preserve">Heat Pump</t>
  </si>
  <si>
    <t xml:space="preserve">NDE Power</t>
  </si>
  <si>
    <t xml:space="preserve">SDE Power</t>
  </si>
  <si>
    <t xml:space="preserve">NDE Energy</t>
  </si>
  <si>
    <t xml:space="preserve">SDE Energy</t>
  </si>
  <si>
    <t xml:space="preserve">Li-ion</t>
  </si>
  <si>
    <t xml:space="preserve">Redox</t>
  </si>
  <si>
    <t xml:space="preserve">ACAES</t>
  </si>
  <si>
    <t xml:space="preserve">Energy</t>
  </si>
  <si>
    <t xml:space="preserve">Grid Capacity</t>
  </si>
  <si>
    <t xml:space="preserve">Heat Pump </t>
  </si>
  <si>
    <t xml:space="preserve">NDE to SDE</t>
  </si>
  <si>
    <t xml:space="preserve">SDE to NDE</t>
  </si>
  <si>
    <t xml:space="preserve">Storage Expansion</t>
  </si>
  <si>
    <t xml:space="preserve">MWh</t>
  </si>
  <si>
    <t xml:space="preserve">TWh</t>
  </si>
  <si>
    <t xml:space="preserve">P</t>
  </si>
  <si>
    <t xml:space="preserve">B</t>
  </si>
  <si>
    <t xml:space="preserve">Wind Onshore</t>
  </si>
  <si>
    <t xml:space="preserve">Wind Offshore</t>
  </si>
  <si>
    <t xml:space="preserve">Con</t>
  </si>
  <si>
    <t xml:space="preserve">Pro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</si>
</sst>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0.00"/>
    <numFmt numFmtId="167" formatCode="0"/>
    <numFmt numFmtId="168" formatCode="0\ ;[RED]\-0\ "/>
    <numFmt numFmtId="169" formatCode="0%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</font>
    <font>
      <sz val="10"/>
      <color rgb="FF000000"/>
      <name val="Calibri"/>
      <family val="2"/>
    </font>
    <font>
      <sz val="10.5"/>
      <color rgb="FF000000"/>
      <name val="Arial"/>
      <family val="2"/>
    </font>
    <font>
      <sz val="12"/>
      <color rgb="FF000000"/>
      <name val="Calibri"/>
      <family val="2"/>
    </font>
    <font>
      <sz val="14.4"/>
      <color rgb="FF000000"/>
      <name val="Arial"/>
      <family val="2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E181E"/>
      <name val="Arial"/>
      <family val="2"/>
      <charset val="1"/>
    </font>
    <font>
      <sz val="11"/>
      <color rgb="FF000000"/>
      <name val="Arial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66FFFF"/>
      <rgbColor rgb="FF800000"/>
      <rgbColor rgb="FF008000"/>
      <rgbColor rgb="FF000080"/>
      <rgbColor rgb="FF806000"/>
      <rgbColor rgb="FF800080"/>
      <rgbColor rgb="FF00B050"/>
      <rgbColor rgb="FFB4C7E7"/>
      <rgbColor rgb="FF808080"/>
      <rgbColor rgb="FFA5A5A5"/>
      <rgbColor rgb="FF7030A0"/>
      <rgbColor rgb="FFF2F2F2"/>
      <rgbColor rgb="FFE7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7EE5F6"/>
      <rgbColor rgb="FFFF99CC"/>
      <rgbColor rgb="FFCC99FF"/>
      <rgbColor rgb="FFFFCC99"/>
      <rgbColor rgb="FF4472C4"/>
      <rgbColor rgb="FF5B9BD5"/>
      <rgbColor rgb="FF99CC00"/>
      <rgbColor rgb="FFFFC000"/>
      <rgbColor rgb="FFFF9900"/>
      <rgbColor rgb="FFED7D31"/>
      <rgbColor rgb="FF595959"/>
      <rgbColor rgb="FF8B8B8B"/>
      <rgbColor rgb="FF203864"/>
      <rgbColor rgb="FF548235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64768493879723"/>
          <c:y val="0.212779865991175"/>
          <c:w val="0.774015433741352"/>
          <c:h val="0.759356103938552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1"/>
          <c:dPt>
            <c:idx val="0"/>
            <c:explosion val="1"/>
            <c:spPr>
              <a:solidFill>
                <a:srgbClr val="20386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explosion val="1"/>
            <c:spPr>
              <a:solidFill>
                <a:srgbClr val="00b0f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explosion val="1"/>
            <c:spPr>
              <a:solidFill>
                <a:srgbClr val="ffff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explosion val="1"/>
            <c:spPr>
              <a:solidFill>
                <a:srgbClr val="54823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explosion val="1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.00%" sourceLinked="1"/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3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4"/>
              <c:dLblPos val="outEnd"/>
              <c:showLegendKey val="0"/>
              <c:showVal val="0"/>
              <c:showCatName val="1"/>
              <c:showSerName val="0"/>
              <c:showPercent val="1"/>
            </c:dLbl>
            <c:dLblPos val="outEnd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'base-pie'!$B$2:$B$6</c:f>
              <c:strCache>
                <c:ptCount val="5"/>
                <c:pt idx="0">
                  <c:v>Offshore NDE</c:v>
                </c:pt>
                <c:pt idx="1">
                  <c:v>Onshore NDE</c:v>
                </c:pt>
                <c:pt idx="2">
                  <c:v>Solar PV NDE</c:v>
                </c:pt>
                <c:pt idx="3">
                  <c:v>CHP NDE</c:v>
                </c:pt>
                <c:pt idx="4">
                  <c:v>Hydro RoR NDE</c:v>
                </c:pt>
              </c:strCache>
            </c:strRef>
          </c:cat>
          <c:val>
            <c:numRef>
              <c:f>'base-pie'!$C$2:$C$6</c:f>
              <c:numCache>
                <c:formatCode>General</c:formatCode>
                <c:ptCount val="5"/>
                <c:pt idx="0">
                  <c:v>0.470357704500637</c:v>
                </c:pt>
                <c:pt idx="1">
                  <c:v>0.387384239035471</c:v>
                </c:pt>
                <c:pt idx="2">
                  <c:v>0.0434337635106463</c:v>
                </c:pt>
                <c:pt idx="3">
                  <c:v>0.0978258156311625</c:v>
                </c:pt>
                <c:pt idx="4">
                  <c:v>0.000998477322083822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ayout>
        <c:manualLayout>
          <c:xMode val="edge"/>
          <c:yMode val="edge"/>
          <c:x val="0.748336881319851"/>
          <c:y val="0"/>
          <c:w val="0.251613332446278"/>
          <c:h val="0.23322709814497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64768493879723"/>
          <c:y val="0.212779865991175"/>
          <c:w val="0.774015433741352"/>
          <c:h val="0.759356103938552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ffff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00b0f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54823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66ffff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.00%" sourceLinked="1"/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3"/>
              <c:dLblPos val="outEnd"/>
              <c:showLegendKey val="0"/>
              <c:showVal val="0"/>
              <c:showCatName val="1"/>
              <c:showSerName val="0"/>
              <c:showPercent val="1"/>
            </c:dLbl>
            <c:dLblPos val="outEnd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'base-pie'!$B$22:$B$25</c:f>
              <c:strCache>
                <c:ptCount val="4"/>
                <c:pt idx="0">
                  <c:v>Solar PV SDE</c:v>
                </c:pt>
                <c:pt idx="1">
                  <c:v>Onshore SDE</c:v>
                </c:pt>
                <c:pt idx="2">
                  <c:v>CHP SDE</c:v>
                </c:pt>
                <c:pt idx="3">
                  <c:v>Hydro RoR SDE</c:v>
                </c:pt>
              </c:strCache>
            </c:strRef>
          </c:cat>
          <c:val>
            <c:numRef>
              <c:f>'base-pie'!$C$22:$C$25</c:f>
              <c:numCache>
                <c:formatCode>General</c:formatCode>
                <c:ptCount val="4"/>
                <c:pt idx="0">
                  <c:v>0.495520850578518</c:v>
                </c:pt>
                <c:pt idx="1">
                  <c:v>0.364181520519471</c:v>
                </c:pt>
                <c:pt idx="2">
                  <c:v>0.113514706693891</c:v>
                </c:pt>
                <c:pt idx="3">
                  <c:v>0.0267829222081195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ayout>
        <c:manualLayout>
          <c:xMode val="edge"/>
          <c:yMode val="edge"/>
          <c:x val="0.750133049494412"/>
          <c:y val="0"/>
          <c:w val="0.249817044774133"/>
          <c:h val="0.188199722154123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64768493879723"/>
          <c:y val="0.21278680493182"/>
          <c:w val="0.774015433741352"/>
          <c:h val="0.759369641544868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7ee5f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54823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.00%" sourceLinked="1"/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</c:dLbl>
            <c:dLblPos val="outEnd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'base-pie'!$B$41:$B$43</c:f>
              <c:strCache>
                <c:ptCount val="3"/>
                <c:pt idx="0">
                  <c:v>GSHP NDE</c:v>
                </c:pt>
                <c:pt idx="1">
                  <c:v>ASHP NDE</c:v>
                </c:pt>
                <c:pt idx="2">
                  <c:v>CHP NDE</c:v>
                </c:pt>
              </c:strCache>
            </c:strRef>
          </c:cat>
          <c:val>
            <c:numRef>
              <c:f>'base-pie'!$C$41:$C$43</c:f>
              <c:numCache>
                <c:formatCode>General</c:formatCode>
                <c:ptCount val="3"/>
                <c:pt idx="0">
                  <c:v>0.547314996725606</c:v>
                </c:pt>
                <c:pt idx="1">
                  <c:v>0.131876227897839</c:v>
                </c:pt>
                <c:pt idx="2">
                  <c:v>0.320808775376555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ayout>
        <c:manualLayout>
          <c:xMode val="edge"/>
          <c:yMode val="edge"/>
          <c:x val="0.808209153805215"/>
          <c:y val="0"/>
          <c:w val="0.191737076708137"/>
          <c:h val="0.143067123958844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64768493879723"/>
          <c:y val="0.212769431743958"/>
          <c:w val="0.774015433741352"/>
          <c:h val="0.759389288047028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7ee5f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54823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.00%" sourceLinked="1"/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</c:dLbl>
            <c:dLblPos val="outEnd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'base-pie'!$B$68:$B$70</c:f>
              <c:strCache>
                <c:ptCount val="3"/>
                <c:pt idx="0">
                  <c:v>GSHP SDE</c:v>
                </c:pt>
                <c:pt idx="1">
                  <c:v>ASHP SDE</c:v>
                </c:pt>
                <c:pt idx="2">
                  <c:v>CHP SDE</c:v>
                </c:pt>
              </c:strCache>
            </c:strRef>
          </c:cat>
          <c:val>
            <c:numRef>
              <c:f>'base-pie'!$C$68:$C$70</c:f>
              <c:numCache>
                <c:formatCode>General</c:formatCode>
                <c:ptCount val="3"/>
                <c:pt idx="0">
                  <c:v>0.860687129859697</c:v>
                </c:pt>
                <c:pt idx="1">
                  <c:v>0.0251648700655744</c:v>
                </c:pt>
                <c:pt idx="2">
                  <c:v>0.114148000074729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ayout>
        <c:manualLayout>
          <c:xMode val="edge"/>
          <c:yMode val="edge"/>
          <c:x val="0.80993879723257"/>
          <c:y val="0"/>
          <c:w val="0.190007318209035"/>
          <c:h val="0.143055442149098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64780801716048"/>
          <c:y val="0.212737355066375"/>
          <c:w val="0.77403137149752"/>
          <c:h val="0.759368173416233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20386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00b0f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ffff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54823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.00%" sourceLinked="1"/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3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4"/>
              <c:dLblPos val="outEnd"/>
              <c:showLegendKey val="0"/>
              <c:showVal val="0"/>
              <c:showCatName val="1"/>
              <c:showSerName val="0"/>
              <c:showPercent val="1"/>
            </c:dLbl>
            <c:dLblPos val="outEnd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'con-pie'!$B$2:$B$6</c:f>
              <c:strCache>
                <c:ptCount val="5"/>
                <c:pt idx="0">
                  <c:v>Offshore NDE</c:v>
                </c:pt>
                <c:pt idx="1">
                  <c:v>Onshore NDE</c:v>
                </c:pt>
                <c:pt idx="2">
                  <c:v>Solar PV NDE</c:v>
                </c:pt>
                <c:pt idx="3">
                  <c:v>CHP NDE</c:v>
                </c:pt>
                <c:pt idx="4">
                  <c:v>Hydro RoR NDE</c:v>
                </c:pt>
              </c:strCache>
            </c:strRef>
          </c:cat>
          <c:val>
            <c:numRef>
              <c:f>'con-pie'!$C$2:$C$6</c:f>
              <c:numCache>
                <c:formatCode>General</c:formatCode>
                <c:ptCount val="5"/>
                <c:pt idx="0">
                  <c:v>0.491718288382731</c:v>
                </c:pt>
                <c:pt idx="1">
                  <c:v>0.295797198132088</c:v>
                </c:pt>
                <c:pt idx="2">
                  <c:v>0.129553035356905</c:v>
                </c:pt>
                <c:pt idx="3">
                  <c:v>0.0821690650910131</c:v>
                </c:pt>
                <c:pt idx="4">
                  <c:v>0.000762413037262937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ayout>
        <c:manualLayout>
          <c:xMode val="edge"/>
          <c:yMode val="edge"/>
          <c:x val="0.746413728381821"/>
          <c:y val="0"/>
          <c:w val="0.253536233827177"/>
          <c:h val="0.239811780522645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64780801716048"/>
          <c:y val="0.212737355066375"/>
          <c:w val="0.77403137149752"/>
          <c:h val="0.759368173416233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ffff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00b0f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54823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66ffff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.00%" sourceLinked="1"/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3"/>
              <c:dLblPos val="outEnd"/>
              <c:showLegendKey val="0"/>
              <c:showVal val="0"/>
              <c:showCatName val="1"/>
              <c:showSerName val="0"/>
              <c:showPercent val="1"/>
            </c:dLbl>
            <c:dLblPos val="outEnd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'con-pie'!$B$22:$B$25</c:f>
              <c:strCache>
                <c:ptCount val="4"/>
                <c:pt idx="0">
                  <c:v>Solar PV SDE</c:v>
                </c:pt>
                <c:pt idx="1">
                  <c:v>Onshore SDE</c:v>
                </c:pt>
                <c:pt idx="2">
                  <c:v>CHP SDE</c:v>
                </c:pt>
                <c:pt idx="3">
                  <c:v>Hydro RoR SDE</c:v>
                </c:pt>
              </c:strCache>
            </c:strRef>
          </c:cat>
          <c:val>
            <c:numRef>
              <c:f>'con-pie'!$C$22:$C$25</c:f>
              <c:numCache>
                <c:formatCode>General</c:formatCode>
                <c:ptCount val="4"/>
                <c:pt idx="0">
                  <c:v>0.490004547521601</c:v>
                </c:pt>
                <c:pt idx="1">
                  <c:v>0.36012733060482</c:v>
                </c:pt>
                <c:pt idx="2">
                  <c:v>0.123383356070941</c:v>
                </c:pt>
                <c:pt idx="3">
                  <c:v>0.0264847658026376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ayout>
        <c:manualLayout>
          <c:xMode val="edge"/>
          <c:yMode val="edge"/>
          <c:x val="0.7482236224695"/>
          <c:y val="0"/>
          <c:w val="0.251726218408527"/>
          <c:h val="0.193513150155449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64780801716048"/>
          <c:y val="0.212724827702135"/>
          <c:w val="0.77403137149752"/>
          <c:h val="0.759371322911414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7ee5f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54823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.00%" sourceLinked="1"/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</c:dLbl>
            <c:dLblPos val="outEnd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'con-pie'!$B$41:$B$43</c:f>
              <c:strCache>
                <c:ptCount val="3"/>
                <c:pt idx="0">
                  <c:v>GSHP NDE</c:v>
                </c:pt>
                <c:pt idx="1">
                  <c:v>ASHP NDE</c:v>
                </c:pt>
                <c:pt idx="2">
                  <c:v>CHP NDE</c:v>
                </c:pt>
              </c:strCache>
            </c:strRef>
          </c:cat>
          <c:val>
            <c:numRef>
              <c:f>'con-pie'!$C$41:$C$43</c:f>
              <c:numCache>
                <c:formatCode>General</c:formatCode>
                <c:ptCount val="3"/>
                <c:pt idx="0">
                  <c:v>0.513541255428346</c:v>
                </c:pt>
                <c:pt idx="1">
                  <c:v>0.146071851559416</c:v>
                </c:pt>
                <c:pt idx="2">
                  <c:v>0.340386893012238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ayout>
        <c:manualLayout>
          <c:xMode val="edge"/>
          <c:yMode val="edge"/>
          <c:x val="0.806743531304464"/>
          <c:y val="0"/>
          <c:w val="0.193202386538848"/>
          <c:h val="0.147264016138522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64780801716048"/>
          <c:y val="0.212737355066375"/>
          <c:w val="0.77403137149752"/>
          <c:h val="0.759368173416233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7ee5f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54823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.00%" sourceLinked="1"/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</c:dLbl>
            <c:dLblPos val="outEnd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'con-pie'!$B$68:$B$70</c:f>
              <c:strCache>
                <c:ptCount val="3"/>
                <c:pt idx="0">
                  <c:v>GSHP SDE</c:v>
                </c:pt>
                <c:pt idx="1">
                  <c:v>ASHP SDE</c:v>
                </c:pt>
                <c:pt idx="2">
                  <c:v>CHP SDE</c:v>
                </c:pt>
              </c:strCache>
            </c:strRef>
          </c:cat>
          <c:val>
            <c:numRef>
              <c:f>'con-pie'!$C$68:$C$70</c:f>
              <c:numCache>
                <c:formatCode>General</c:formatCode>
                <c:ptCount val="3"/>
                <c:pt idx="0">
                  <c:v>0.857766617319116</c:v>
                </c:pt>
                <c:pt idx="1">
                  <c:v>0.0153664524108465</c:v>
                </c:pt>
                <c:pt idx="2">
                  <c:v>0.126866930270037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ayout>
        <c:manualLayout>
          <c:xMode val="edge"/>
          <c:yMode val="edge"/>
          <c:x val="0.808486392277785"/>
          <c:y val="0"/>
          <c:w val="0.191459408728297"/>
          <c:h val="0.147214519788253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64780801716048"/>
          <c:y val="0.212724827702135"/>
          <c:w val="0.77403137149752"/>
          <c:h val="0.759371322911414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20386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00b0f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ffff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54823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.00%" sourceLinked="1"/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3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4"/>
              <c:dLblPos val="outEnd"/>
              <c:showLegendKey val="0"/>
              <c:showVal val="0"/>
              <c:showCatName val="1"/>
              <c:showSerName val="0"/>
              <c:showPercent val="1"/>
            </c:dLbl>
            <c:dLblPos val="outEnd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'pro-pie'!$B$2:$B$6</c:f>
              <c:strCache>
                <c:ptCount val="5"/>
                <c:pt idx="0">
                  <c:v>Offshore NDE</c:v>
                </c:pt>
                <c:pt idx="1">
                  <c:v>Onshore NDE</c:v>
                </c:pt>
                <c:pt idx="2">
                  <c:v>Solar PV NDE</c:v>
                </c:pt>
                <c:pt idx="3">
                  <c:v>CHP NDE</c:v>
                </c:pt>
                <c:pt idx="4">
                  <c:v>Hydro RoR NDE</c:v>
                </c:pt>
              </c:strCache>
            </c:strRef>
          </c:cat>
          <c:val>
            <c:numRef>
              <c:f>'pro-pie'!$C$2:$C$6</c:f>
              <c:numCache>
                <c:formatCode>General</c:formatCode>
                <c:ptCount val="5"/>
                <c:pt idx="0">
                  <c:v>0.337076031185447</c:v>
                </c:pt>
                <c:pt idx="1">
                  <c:v>0.517058705937229</c:v>
                </c:pt>
                <c:pt idx="2">
                  <c:v>0.0270207236622909</c:v>
                </c:pt>
                <c:pt idx="3">
                  <c:v>0.117511827813687</c:v>
                </c:pt>
                <c:pt idx="4">
                  <c:v>0.00133271140134604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ayout>
        <c:manualLayout>
          <c:xMode val="edge"/>
          <c:yMode val="edge"/>
          <c:x val="0.746413728381821"/>
          <c:y val="0"/>
          <c:w val="0.253536233827177"/>
          <c:h val="0.239892409851223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64780801716048"/>
          <c:y val="0.212724827702135"/>
          <c:w val="0.77403137149752"/>
          <c:h val="0.759371322911414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ffff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00b0f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54823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66ffff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.00%" sourceLinked="1"/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3"/>
              <c:dLblPos val="outEnd"/>
              <c:showLegendKey val="0"/>
              <c:showVal val="0"/>
              <c:showCatName val="1"/>
              <c:showSerName val="0"/>
              <c:showPercent val="1"/>
            </c:dLbl>
            <c:dLblPos val="outEnd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'pro-pie'!$B$22:$B$25</c:f>
              <c:strCache>
                <c:ptCount val="4"/>
                <c:pt idx="0">
                  <c:v>Solar PV SDE</c:v>
                </c:pt>
                <c:pt idx="1">
                  <c:v>Onshore SDE</c:v>
                </c:pt>
                <c:pt idx="2">
                  <c:v>CHP SDE</c:v>
                </c:pt>
                <c:pt idx="3">
                  <c:v>Hydro RoR SDE</c:v>
                </c:pt>
              </c:strCache>
            </c:strRef>
          </c:cat>
          <c:val>
            <c:numRef>
              <c:f>'pro-pie'!$C$22:$C$25</c:f>
              <c:numCache>
                <c:formatCode>General</c:formatCode>
                <c:ptCount val="4"/>
                <c:pt idx="0">
                  <c:v>0.482416904449757</c:v>
                </c:pt>
                <c:pt idx="1">
                  <c:v>0.381699699236523</c:v>
                </c:pt>
                <c:pt idx="2">
                  <c:v>0.107812138505437</c:v>
                </c:pt>
                <c:pt idx="3">
                  <c:v>0.0280712578082826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ayout>
        <c:manualLayout>
          <c:xMode val="edge"/>
          <c:yMode val="edge"/>
          <c:x val="0.7482236224695"/>
          <c:y val="0"/>
          <c:w val="0.251726218408527"/>
          <c:h val="0.193578212994873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64780801716048"/>
          <c:y val="0.212737355066375"/>
          <c:w val="0.77403137149752"/>
          <c:h val="0.759368173416233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7ee5f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54823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.00%" sourceLinked="1"/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</c:dLbl>
            <c:dLblPos val="outEnd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'pro-pie'!$B$41:$B$43</c:f>
              <c:strCache>
                <c:ptCount val="3"/>
                <c:pt idx="0">
                  <c:v>GSHP NDE</c:v>
                </c:pt>
                <c:pt idx="1">
                  <c:v>ASHP NDE</c:v>
                </c:pt>
                <c:pt idx="2">
                  <c:v>CHP NDE</c:v>
                </c:pt>
              </c:strCache>
            </c:strRef>
          </c:cat>
          <c:val>
            <c:numRef>
              <c:f>'pro-pie'!$C$41:$C$43</c:f>
              <c:numCache>
                <c:formatCode>General</c:formatCode>
                <c:ptCount val="3"/>
                <c:pt idx="0">
                  <c:v>0.547896651431769</c:v>
                </c:pt>
                <c:pt idx="1">
                  <c:v>0.123122843018375</c:v>
                </c:pt>
                <c:pt idx="2">
                  <c:v>0.328980505549855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ayout>
        <c:manualLayout>
          <c:xMode val="edge"/>
          <c:yMode val="edge"/>
          <c:x val="0.806743531304464"/>
          <c:y val="0"/>
          <c:w val="0.193202386538848"/>
          <c:h val="0.147214519788253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64780801716048"/>
          <c:y val="0.212737355066375"/>
          <c:w val="0.77403137149752"/>
          <c:h val="0.759368173416233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7ee5f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54823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.00%" sourceLinked="1"/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</c:dLbl>
            <c:dLblPos val="outEnd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'pro-pie'!$B$68:$B$70</c:f>
              <c:strCache>
                <c:ptCount val="3"/>
                <c:pt idx="0">
                  <c:v>GSHP SDE</c:v>
                </c:pt>
                <c:pt idx="1">
                  <c:v>ASHP SDE</c:v>
                </c:pt>
                <c:pt idx="2">
                  <c:v>CHP SDE</c:v>
                </c:pt>
              </c:strCache>
            </c:strRef>
          </c:cat>
          <c:val>
            <c:numRef>
              <c:f>'pro-pie'!$C$68:$C$70</c:f>
              <c:numCache>
                <c:formatCode>General</c:formatCode>
                <c:ptCount val="3"/>
                <c:pt idx="0">
                  <c:v>0.846651910386628</c:v>
                </c:pt>
                <c:pt idx="1">
                  <c:v>0.0466064003640802</c:v>
                </c:pt>
                <c:pt idx="2">
                  <c:v>0.106741689249292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ayout>
        <c:manualLayout>
          <c:xMode val="edge"/>
          <c:yMode val="edge"/>
          <c:x val="0.808486392277785"/>
          <c:y val="0"/>
          <c:w val="0.191459408728297"/>
          <c:h val="0.147214519788253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40" spc="-1" strike="noStrike">
                <a:solidFill>
                  <a:srgbClr val="000000"/>
                </a:solidFill>
                <a:latin typeface="Arial"/>
              </a:defRPr>
            </a:pPr>
            <a:r>
              <a:rPr b="0" sz="1440" spc="-1" strike="noStrike">
                <a:solidFill>
                  <a:srgbClr val="000000"/>
                </a:solidFill>
                <a:latin typeface="Arial"/>
              </a:rPr>
              <a:t>Onshore Wind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'VG Investment v2.0'!$C$1</c:f>
              <c:strCache>
                <c:ptCount val="1"/>
                <c:pt idx="0">
                  <c:v>NDE Capacity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'VG Investment v2.0'!$A$2:$B$4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Base</c:v>
                </c:pt>
                <c:pt idx="4">
                  <c:v>Conservative</c:v>
                </c:pt>
                <c:pt idx="5">
                  <c:v>Progressive</c:v>
                </c:pt>
              </c:strCache>
            </c:strRef>
          </c:cat>
          <c:val>
            <c:numRef>
              <c:f>'VG Investment v2.0'!$C$2:$C$4</c:f>
              <c:numCache>
                <c:formatCode>General</c:formatCode>
                <c:ptCount val="3"/>
                <c:pt idx="0">
                  <c:v>22.12</c:v>
                </c:pt>
                <c:pt idx="1">
                  <c:v>22.12</c:v>
                </c:pt>
                <c:pt idx="2">
                  <c:v>22.12</c:v>
                </c:pt>
              </c:numCache>
            </c:numRef>
          </c:val>
        </c:ser>
        <c:ser>
          <c:idx val="1"/>
          <c:order val="1"/>
          <c:tx>
            <c:strRef>
              <c:f>'VG Investment v2.0'!$D$1</c:f>
              <c:strCache>
                <c:ptCount val="1"/>
                <c:pt idx="0">
                  <c:v>SDE Capacity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'VG Investment v2.0'!$A$2:$B$4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Base</c:v>
                </c:pt>
                <c:pt idx="4">
                  <c:v>Conservative</c:v>
                </c:pt>
                <c:pt idx="5">
                  <c:v>Progressive</c:v>
                </c:pt>
              </c:strCache>
            </c:strRef>
          </c:cat>
          <c:val>
            <c:numRef>
              <c:f>'VG Investment v2.0'!$D$2:$D$4</c:f>
              <c:numCache>
                <c:formatCode>General</c:formatCode>
                <c:ptCount val="3"/>
                <c:pt idx="0">
                  <c:v>31.791</c:v>
                </c:pt>
                <c:pt idx="1">
                  <c:v>31.791</c:v>
                </c:pt>
                <c:pt idx="2">
                  <c:v>31.791</c:v>
                </c:pt>
              </c:numCache>
            </c:numRef>
          </c:val>
        </c:ser>
        <c:ser>
          <c:idx val="2"/>
          <c:order val="2"/>
          <c:tx>
            <c:strRef>
              <c:f>'VG Investment v2.0'!$E$1</c:f>
              <c:strCache>
                <c:ptCount val="1"/>
                <c:pt idx="0">
                  <c:v>NDE Investment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'VG Investment v2.0'!$A$2:$B$4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Base</c:v>
                </c:pt>
                <c:pt idx="4">
                  <c:v>Conservative</c:v>
                </c:pt>
                <c:pt idx="5">
                  <c:v>Progressive</c:v>
                </c:pt>
              </c:strCache>
            </c:strRef>
          </c:cat>
          <c:val>
            <c:numRef>
              <c:f>'VG Investment v2.0'!$E$2:$E$4</c:f>
              <c:numCache>
                <c:formatCode>General</c:formatCode>
                <c:ptCount val="3"/>
                <c:pt idx="0">
                  <c:v>49.88</c:v>
                </c:pt>
                <c:pt idx="1">
                  <c:v>49.88</c:v>
                </c:pt>
                <c:pt idx="2">
                  <c:v>49.88</c:v>
                </c:pt>
              </c:numCache>
            </c:numRef>
          </c:val>
        </c:ser>
        <c:ser>
          <c:idx val="3"/>
          <c:order val="3"/>
          <c:tx>
            <c:strRef>
              <c:f>'VG Investment v2.0'!$F$1</c:f>
              <c:strCache>
                <c:ptCount val="1"/>
                <c:pt idx="0">
                  <c:v>SDE Investment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'VG Investment v2.0'!$A$2:$B$4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Base</c:v>
                </c:pt>
                <c:pt idx="4">
                  <c:v>Conservative</c:v>
                </c:pt>
                <c:pt idx="5">
                  <c:v>Progressive</c:v>
                </c:pt>
              </c:strCache>
            </c:strRef>
          </c:cat>
          <c:val>
            <c:numRef>
              <c:f>'VG Investment v2.0'!$F$2:$F$4</c:f>
              <c:numCache>
                <c:formatCode>General</c:formatCode>
                <c:ptCount val="3"/>
                <c:pt idx="0">
                  <c:v>118.809</c:v>
                </c:pt>
                <c:pt idx="1">
                  <c:v>118.809</c:v>
                </c:pt>
                <c:pt idx="2">
                  <c:v>118.809</c:v>
                </c:pt>
              </c:numCache>
            </c:numRef>
          </c:val>
        </c:ser>
        <c:gapWidth val="150"/>
        <c:overlap val="100"/>
        <c:axId val="81898511"/>
        <c:axId val="14939329"/>
      </c:barChart>
      <c:catAx>
        <c:axId val="8189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939329"/>
        <c:crosses val="autoZero"/>
        <c:auto val="1"/>
        <c:lblAlgn val="ctr"/>
        <c:lblOffset val="100"/>
      </c:catAx>
      <c:valAx>
        <c:axId val="14939329"/>
        <c:scaling>
          <c:orientation val="minMax"/>
        </c:scaling>
        <c:delete val="0"/>
        <c:axPos val="l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Capacity &amp; Investment [GWel]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898511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40" spc="-1" strike="noStrike">
                <a:solidFill>
                  <a:srgbClr val="000000"/>
                </a:solidFill>
                <a:latin typeface="Arial"/>
              </a:defRPr>
            </a:pPr>
            <a:r>
              <a:rPr b="0" sz="1440" spc="-1" strike="noStrike">
                <a:solidFill>
                  <a:srgbClr val="000000"/>
                </a:solidFill>
                <a:latin typeface="Arial"/>
              </a:rPr>
              <a:t>Offshore Wind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'VG Investment v2.0'!$C$6</c:f>
              <c:strCache>
                <c:ptCount val="1"/>
                <c:pt idx="0">
                  <c:v>NDE Capacity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'VG Investment v2.0'!$A$7:$B$9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Base</c:v>
                </c:pt>
                <c:pt idx="4">
                  <c:v>Conservative</c:v>
                </c:pt>
                <c:pt idx="5">
                  <c:v>Progressive</c:v>
                </c:pt>
              </c:strCache>
            </c:strRef>
          </c:cat>
          <c:val>
            <c:numRef>
              <c:f>'VG Investment v2.0'!$C$7:$C$9</c:f>
              <c:numCache>
                <c:formatCode>General</c:formatCode>
                <c:ptCount val="3"/>
                <c:pt idx="0">
                  <c:v>6.658</c:v>
                </c:pt>
                <c:pt idx="1">
                  <c:v>6.658</c:v>
                </c:pt>
                <c:pt idx="2">
                  <c:v>6.658</c:v>
                </c:pt>
              </c:numCache>
            </c:numRef>
          </c:val>
        </c:ser>
        <c:ser>
          <c:idx val="1"/>
          <c:order val="1"/>
          <c:tx>
            <c:strRef>
              <c:f>'VG Investment v2.0'!$D$6</c:f>
              <c:strCache>
                <c:ptCount val="1"/>
                <c:pt idx="0">
                  <c:v>NDE Investment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'VG Investment v2.0'!$A$7:$B$9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Base</c:v>
                </c:pt>
                <c:pt idx="4">
                  <c:v>Conservative</c:v>
                </c:pt>
                <c:pt idx="5">
                  <c:v>Progressive</c:v>
                </c:pt>
              </c:strCache>
            </c:strRef>
          </c:cat>
          <c:val>
            <c:numRef>
              <c:f>'VG Investment v2.0'!$D$7:$D$9</c:f>
              <c:numCache>
                <c:formatCode>General</c:formatCode>
                <c:ptCount val="3"/>
                <c:pt idx="0">
                  <c:v>54.4</c:v>
                </c:pt>
                <c:pt idx="1">
                  <c:v>76.942</c:v>
                </c:pt>
                <c:pt idx="2">
                  <c:v>26.13</c:v>
                </c:pt>
              </c:numCache>
            </c:numRef>
          </c:val>
        </c:ser>
        <c:gapWidth val="150"/>
        <c:overlap val="100"/>
        <c:axId val="84891811"/>
        <c:axId val="63387130"/>
      </c:barChart>
      <c:catAx>
        <c:axId val="848918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387130"/>
        <c:crosses val="autoZero"/>
        <c:auto val="1"/>
        <c:lblAlgn val="ctr"/>
        <c:lblOffset val="100"/>
      </c:catAx>
      <c:valAx>
        <c:axId val="63387130"/>
        <c:scaling>
          <c:orientation val="minMax"/>
          <c:max val="100"/>
        </c:scaling>
        <c:delete val="0"/>
        <c:axPos val="l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Capacity &amp; Investment [GWel]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891811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40" spc="-1" strike="noStrike">
                <a:solidFill>
                  <a:srgbClr val="000000"/>
                </a:solidFill>
                <a:latin typeface="Arial"/>
              </a:defRPr>
            </a:pPr>
            <a:r>
              <a:rPr b="0" sz="1440" spc="-1" strike="noStrike">
                <a:solidFill>
                  <a:srgbClr val="000000"/>
                </a:solidFill>
                <a:latin typeface="Arial"/>
              </a:rPr>
              <a:t>Solar PV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'VG Investment v2.0'!$C$11</c:f>
              <c:strCache>
                <c:ptCount val="1"/>
                <c:pt idx="0">
                  <c:v>NDE Capacity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4472c4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4472c4"/>
              </a:solidFill>
              <a:ln>
                <a:noFill/>
              </a:ln>
            </c:spPr>
          </c:dPt>
          <c:dLbls>
            <c:numFmt formatCode="0.00" sourceLinked="1"/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'VG Investment v2.0'!$A$12:$B$14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Base</c:v>
                </c:pt>
                <c:pt idx="4">
                  <c:v>Conservative</c:v>
                </c:pt>
                <c:pt idx="5">
                  <c:v>Progressive</c:v>
                </c:pt>
              </c:strCache>
            </c:strRef>
          </c:cat>
          <c:val>
            <c:numRef>
              <c:f>'VG Investment v2.0'!$C$12:$C$14</c:f>
              <c:numCache>
                <c:formatCode>General</c:formatCode>
                <c:ptCount val="3"/>
                <c:pt idx="0">
                  <c:v>7.564</c:v>
                </c:pt>
                <c:pt idx="1">
                  <c:v>7.564</c:v>
                </c:pt>
                <c:pt idx="2">
                  <c:v>7.564</c:v>
                </c:pt>
              </c:numCache>
            </c:numRef>
          </c:val>
        </c:ser>
        <c:ser>
          <c:idx val="1"/>
          <c:order val="1"/>
          <c:tx>
            <c:strRef>
              <c:f>'VG Investment v2.0'!$D$11</c:f>
              <c:strCache>
                <c:ptCount val="1"/>
                <c:pt idx="0">
                  <c:v>SDE Capacity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'VG Investment v2.0'!$A$12:$B$14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Base</c:v>
                </c:pt>
                <c:pt idx="4">
                  <c:v>Conservative</c:v>
                </c:pt>
                <c:pt idx="5">
                  <c:v>Progressive</c:v>
                </c:pt>
              </c:strCache>
            </c:strRef>
          </c:cat>
          <c:val>
            <c:numRef>
              <c:f>'VG Investment v2.0'!$D$12:$D$14</c:f>
              <c:numCache>
                <c:formatCode>General</c:formatCode>
                <c:ptCount val="3"/>
                <c:pt idx="0">
                  <c:v>37.664</c:v>
                </c:pt>
                <c:pt idx="1">
                  <c:v>37.664</c:v>
                </c:pt>
                <c:pt idx="2">
                  <c:v>37.664</c:v>
                </c:pt>
              </c:numCache>
            </c:numRef>
          </c:val>
        </c:ser>
        <c:ser>
          <c:idx val="2"/>
          <c:order val="2"/>
          <c:tx>
            <c:strRef>
              <c:f>'VG Investment v2.0'!$E$11</c:f>
              <c:strCache>
                <c:ptCount val="1"/>
                <c:pt idx="0">
                  <c:v>NDE Investment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'VG Investment v2.0'!$A$12:$B$14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Base</c:v>
                </c:pt>
                <c:pt idx="4">
                  <c:v>Conservative</c:v>
                </c:pt>
                <c:pt idx="5">
                  <c:v>Progressive</c:v>
                </c:pt>
              </c:strCache>
            </c:strRef>
          </c:cat>
          <c:val>
            <c:numRef>
              <c:f>'VG Investment v2.0'!$E$12:$E$14</c:f>
              <c:numCache>
                <c:formatCode>General</c:formatCode>
                <c:ptCount val="3"/>
                <c:pt idx="0">
                  <c:v>8.65</c:v>
                </c:pt>
                <c:pt idx="1">
                  <c:v>55.774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'VG Investment v2.0'!$F$11</c:f>
              <c:strCache>
                <c:ptCount val="1"/>
                <c:pt idx="0">
                  <c:v>SDE Investment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'VG Investment v2.0'!$A$12:$B$14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Base</c:v>
                </c:pt>
                <c:pt idx="4">
                  <c:v>Conservative</c:v>
                </c:pt>
                <c:pt idx="5">
                  <c:v>Progressive</c:v>
                </c:pt>
              </c:strCache>
            </c:strRef>
          </c:cat>
          <c:val>
            <c:numRef>
              <c:f>'VG Investment v2.0'!$F$12:$F$14</c:f>
              <c:numCache>
                <c:formatCode>General</c:formatCode>
                <c:ptCount val="3"/>
                <c:pt idx="0">
                  <c:v>188.066</c:v>
                </c:pt>
                <c:pt idx="1">
                  <c:v>188.066</c:v>
                </c:pt>
                <c:pt idx="2">
                  <c:v>172</c:v>
                </c:pt>
              </c:numCache>
            </c:numRef>
          </c:val>
        </c:ser>
        <c:gapWidth val="150"/>
        <c:overlap val="100"/>
        <c:axId val="93301840"/>
        <c:axId val="89798371"/>
      </c:barChart>
      <c:catAx>
        <c:axId val="933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9798371"/>
        <c:crosses val="autoZero"/>
        <c:auto val="1"/>
        <c:lblAlgn val="ctr"/>
        <c:lblOffset val="100"/>
      </c:catAx>
      <c:valAx>
        <c:axId val="89798371"/>
        <c:scaling>
          <c:orientation val="minMax"/>
          <c:max val="300"/>
        </c:scaling>
        <c:delete val="0"/>
        <c:axPos val="l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Capacity &amp; Investment [GWel]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301840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40" spc="-1" strike="noStrike">
                <a:solidFill>
                  <a:srgbClr val="000000"/>
                </a:solidFill>
                <a:latin typeface="Arial"/>
              </a:defRPr>
            </a:pPr>
            <a:r>
              <a:rPr b="0" sz="1440" spc="-1" strike="noStrike">
                <a:solidFill>
                  <a:srgbClr val="000000"/>
                </a:solidFill>
                <a:latin typeface="Arial"/>
              </a:rPr>
              <a:t>Hydro RoR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'VG Investment v2.0'!$C$16</c:f>
              <c:strCache>
                <c:ptCount val="1"/>
                <c:pt idx="0">
                  <c:v>NDE Capacity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4472c4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4472c4"/>
              </a:solidFill>
              <a:ln>
                <a:noFill/>
              </a:ln>
            </c:spPr>
          </c:dPt>
          <c:dLbls>
            <c:numFmt formatCode="0.00" sourceLinked="1"/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'VG Investment v2.0'!$A$17:$B$19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Base</c:v>
                </c:pt>
                <c:pt idx="4">
                  <c:v>Conservative</c:v>
                </c:pt>
                <c:pt idx="5">
                  <c:v>Progressive</c:v>
                </c:pt>
              </c:strCache>
            </c:strRef>
          </c:cat>
          <c:val>
            <c:numRef>
              <c:f>'VG Investment v2.0'!$C$17:$C$19</c:f>
              <c:numCache>
                <c:formatCode>General</c:formatCode>
                <c:ptCount val="3"/>
                <c:pt idx="0">
                  <c:v>0.0921</c:v>
                </c:pt>
                <c:pt idx="1">
                  <c:v>0.0921</c:v>
                </c:pt>
                <c:pt idx="2">
                  <c:v>0.0921</c:v>
                </c:pt>
              </c:numCache>
            </c:numRef>
          </c:val>
        </c:ser>
        <c:ser>
          <c:idx val="1"/>
          <c:order val="1"/>
          <c:tx>
            <c:strRef>
              <c:f>'VG Investment v2.0'!$D$16</c:f>
              <c:strCache>
                <c:ptCount val="1"/>
                <c:pt idx="0">
                  <c:v>SDE Capacity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'VG Investment v2.0'!$A$17:$B$19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Base</c:v>
                </c:pt>
                <c:pt idx="4">
                  <c:v>Conservative</c:v>
                </c:pt>
                <c:pt idx="5">
                  <c:v>Progressive</c:v>
                </c:pt>
              </c:strCache>
            </c:strRef>
          </c:cat>
          <c:val>
            <c:numRef>
              <c:f>'VG Investment v2.0'!$D$17:$D$19</c:f>
              <c:numCache>
                <c:formatCode>General</c:formatCode>
                <c:ptCount val="3"/>
                <c:pt idx="0">
                  <c:v>4.198</c:v>
                </c:pt>
                <c:pt idx="1">
                  <c:v>4.198</c:v>
                </c:pt>
                <c:pt idx="2">
                  <c:v>4.198</c:v>
                </c:pt>
              </c:numCache>
            </c:numRef>
          </c:val>
        </c:ser>
        <c:ser>
          <c:idx val="2"/>
          <c:order val="2"/>
          <c:tx>
            <c:strRef>
              <c:f>'VG Investment v2.0'!$E$16</c:f>
              <c:strCache>
                <c:ptCount val="1"/>
                <c:pt idx="0">
                  <c:v>NDE Investment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'VG Investment v2.0'!$A$17:$B$19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Base</c:v>
                </c:pt>
                <c:pt idx="4">
                  <c:v>Conservative</c:v>
                </c:pt>
                <c:pt idx="5">
                  <c:v>Progressive</c:v>
                </c:pt>
              </c:strCache>
            </c:strRef>
          </c:cat>
          <c:val>
            <c:numRef>
              <c:f>'VG Investment v2.0'!$E$17:$E$19</c:f>
              <c:numCache>
                <c:formatCode>General</c:formatCode>
                <c:ptCount val="3"/>
                <c:pt idx="0">
                  <c:v>0.0559</c:v>
                </c:pt>
                <c:pt idx="1">
                  <c:v>0.0559</c:v>
                </c:pt>
                <c:pt idx="2">
                  <c:v>0.0559</c:v>
                </c:pt>
              </c:numCache>
            </c:numRef>
          </c:val>
        </c:ser>
        <c:ser>
          <c:idx val="3"/>
          <c:order val="3"/>
          <c:tx>
            <c:strRef>
              <c:f>'VG Investment v2.0'!$F$16</c:f>
              <c:strCache>
                <c:ptCount val="1"/>
                <c:pt idx="0">
                  <c:v>SDE Investment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'VG Investment v2.0'!$A$17:$B$19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Base</c:v>
                </c:pt>
                <c:pt idx="4">
                  <c:v>Conservative</c:v>
                </c:pt>
                <c:pt idx="5">
                  <c:v>Progressive</c:v>
                </c:pt>
              </c:strCache>
            </c:strRef>
          </c:cat>
          <c:val>
            <c:numRef>
              <c:f>'VG Investment v2.0'!$F$17:$F$19</c:f>
              <c:numCache>
                <c:formatCode>General</c:formatCode>
                <c:ptCount val="3"/>
                <c:pt idx="0">
                  <c:v>1.099</c:v>
                </c:pt>
                <c:pt idx="1">
                  <c:v>1.099</c:v>
                </c:pt>
                <c:pt idx="2">
                  <c:v>1.099</c:v>
                </c:pt>
              </c:numCache>
            </c:numRef>
          </c:val>
        </c:ser>
        <c:gapWidth val="150"/>
        <c:overlap val="100"/>
        <c:axId val="43379940"/>
        <c:axId val="6552577"/>
      </c:barChart>
      <c:catAx>
        <c:axId val="433799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52577"/>
        <c:crosses val="autoZero"/>
        <c:auto val="1"/>
        <c:lblAlgn val="ctr"/>
        <c:lblOffset val="100"/>
      </c:catAx>
      <c:valAx>
        <c:axId val="6552577"/>
        <c:scaling>
          <c:orientation val="minMax"/>
          <c:max val="6"/>
          <c:min val="0"/>
        </c:scaling>
        <c:delete val="0"/>
        <c:axPos val="l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Capacity &amp; Investment [GWel]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379940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'VG Cost v2.0'!$C$1</c:f>
              <c:strCache>
                <c:ptCount val="1"/>
                <c:pt idx="0">
                  <c:v>NDE Investment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dLbls>
            <c:numFmt formatCode="0\ ;[RED]\-0\ 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'VG Cost v2.0'!$A$2:$B$19</c:f>
              <c:strCache>
                <c:ptCount val="36"/>
                <c:pt idx="0">
                  <c:v>Onshore Wind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Offshore Wind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Solar PV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Hydro RoR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Base</c:v>
                </c:pt>
                <c:pt idx="19">
                  <c:v>Conservative</c:v>
                </c:pt>
                <c:pt idx="20">
                  <c:v>Progressive</c:v>
                </c:pt>
                <c:pt idx="21">
                  <c:v/>
                </c:pt>
                <c:pt idx="22">
                  <c:v/>
                </c:pt>
                <c:pt idx="23">
                  <c:v>Base</c:v>
                </c:pt>
                <c:pt idx="24">
                  <c:v>Conservative</c:v>
                </c:pt>
                <c:pt idx="25">
                  <c:v>Progressive</c:v>
                </c:pt>
                <c:pt idx="26">
                  <c:v/>
                </c:pt>
                <c:pt idx="27">
                  <c:v/>
                </c:pt>
                <c:pt idx="28">
                  <c:v>Base</c:v>
                </c:pt>
                <c:pt idx="29">
                  <c:v>Conservative</c:v>
                </c:pt>
                <c:pt idx="30">
                  <c:v>Progressive</c:v>
                </c:pt>
                <c:pt idx="31">
                  <c:v/>
                </c:pt>
                <c:pt idx="32">
                  <c:v/>
                </c:pt>
                <c:pt idx="33">
                  <c:v>Base</c:v>
                </c:pt>
                <c:pt idx="34">
                  <c:v>Conservative</c:v>
                </c:pt>
                <c:pt idx="35">
                  <c:v>Progressive</c:v>
                </c:pt>
              </c:strCache>
            </c:strRef>
          </c:cat>
          <c:val>
            <c:numRef>
              <c:f>'VG Cost v2.0'!$C$2:$C$19</c:f>
              <c:numCache>
                <c:formatCode>General</c:formatCode>
                <c:ptCount val="18"/>
                <c:pt idx="0">
                  <c:v>53.621</c:v>
                </c:pt>
                <c:pt idx="1">
                  <c:v>53.621</c:v>
                </c:pt>
                <c:pt idx="2">
                  <c:v>53.621</c:v>
                </c:pt>
                <c:pt idx="3">
                  <c:v/>
                </c:pt>
                <c:pt idx="4">
                  <c:v/>
                </c:pt>
                <c:pt idx="5">
                  <c:v>113.8592</c:v>
                </c:pt>
                <c:pt idx="6">
                  <c:v>161.03542</c:v>
                </c:pt>
                <c:pt idx="7">
                  <c:v>54.69009</c:v>
                </c:pt>
                <c:pt idx="8">
                  <c:v/>
                </c:pt>
                <c:pt idx="9">
                  <c:v/>
                </c:pt>
                <c:pt idx="10">
                  <c:v>3.67625</c:v>
                </c:pt>
                <c:pt idx="11">
                  <c:v>23.70225</c:v>
                </c:pt>
                <c:pt idx="12">
                  <c:v>0</c:v>
                </c:pt>
                <c:pt idx="13">
                  <c:v/>
                </c:pt>
                <c:pt idx="14">
                  <c:v/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</c:numCache>
            </c:numRef>
          </c:val>
        </c:ser>
        <c:ser>
          <c:idx val="1"/>
          <c:order val="1"/>
          <c:tx>
            <c:strRef>
              <c:f>'VG Cost v2.0'!$D$1</c:f>
              <c:strCache>
                <c:ptCount val="1"/>
                <c:pt idx="0">
                  <c:v>SDE Investment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Lbls>
            <c:numFmt formatCode="0\ ;[RED]\-0\ 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'VG Cost v2.0'!$A$2:$B$19</c:f>
              <c:strCache>
                <c:ptCount val="36"/>
                <c:pt idx="0">
                  <c:v>Onshore Wind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Offshore Wind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Solar PV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Hydro RoR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Base</c:v>
                </c:pt>
                <c:pt idx="19">
                  <c:v>Conservative</c:v>
                </c:pt>
                <c:pt idx="20">
                  <c:v>Progressive</c:v>
                </c:pt>
                <c:pt idx="21">
                  <c:v/>
                </c:pt>
                <c:pt idx="22">
                  <c:v/>
                </c:pt>
                <c:pt idx="23">
                  <c:v>Base</c:v>
                </c:pt>
                <c:pt idx="24">
                  <c:v>Conservative</c:v>
                </c:pt>
                <c:pt idx="25">
                  <c:v>Progressive</c:v>
                </c:pt>
                <c:pt idx="26">
                  <c:v/>
                </c:pt>
                <c:pt idx="27">
                  <c:v/>
                </c:pt>
                <c:pt idx="28">
                  <c:v>Base</c:v>
                </c:pt>
                <c:pt idx="29">
                  <c:v>Conservative</c:v>
                </c:pt>
                <c:pt idx="30">
                  <c:v>Progressive</c:v>
                </c:pt>
                <c:pt idx="31">
                  <c:v/>
                </c:pt>
                <c:pt idx="32">
                  <c:v/>
                </c:pt>
                <c:pt idx="33">
                  <c:v>Base</c:v>
                </c:pt>
                <c:pt idx="34">
                  <c:v>Conservative</c:v>
                </c:pt>
                <c:pt idx="35">
                  <c:v>Progressive</c:v>
                </c:pt>
              </c:strCache>
            </c:strRef>
          </c:cat>
          <c:val>
            <c:numRef>
              <c:f>'VG Cost v2.0'!$D$2:$D$19</c:f>
              <c:numCache>
                <c:formatCode>General</c:formatCode>
                <c:ptCount val="18"/>
                <c:pt idx="0">
                  <c:v>127.72075</c:v>
                </c:pt>
                <c:pt idx="1">
                  <c:v>127.72075</c:v>
                </c:pt>
                <c:pt idx="2">
                  <c:v>127.72075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79.92975</c:v>
                </c:pt>
                <c:pt idx="11">
                  <c:v>79.92975</c:v>
                </c:pt>
                <c:pt idx="12">
                  <c:v>73.1</c:v>
                </c:pt>
                <c:pt idx="13">
                  <c:v/>
                </c:pt>
                <c:pt idx="14">
                  <c:v/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</c:numCache>
            </c:numRef>
          </c:val>
        </c:ser>
        <c:gapWidth val="150"/>
        <c:overlap val="100"/>
        <c:axId val="15815069"/>
        <c:axId val="49740383"/>
      </c:barChart>
      <c:scatterChart>
        <c:scatterStyle val="lineMarker"/>
        <c:varyColors val="0"/>
        <c:ser>
          <c:idx val="2"/>
          <c:order val="2"/>
          <c:tx>
            <c:strRef>
              <c:f>'VG Cost v2.0'!$E$1</c:f>
              <c:strCache>
                <c:ptCount val="1"/>
                <c:pt idx="0">
                  <c:v>Annual Cost</c:v>
                </c:pt>
              </c:strCache>
            </c:strRef>
          </c:tx>
          <c:spPr>
            <a:solidFill>
              <a:srgbClr val="7030a0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</c:spPr>
          </c:marker>
          <c:dLbls>
            <c:numFmt formatCode="General" sourceLinked="1"/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xVal>
            <c:numRef>
              <c:f>'VG Cost v2.0'!$A$2:$B$19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'VG Cost v2.0'!$E$2:$E$19</c:f>
              <c:numCache>
                <c:formatCode>General</c:formatCode>
                <c:ptCount val="18"/>
                <c:pt idx="0">
                  <c:v>9.84</c:v>
                </c:pt>
                <c:pt idx="1">
                  <c:v>9.84</c:v>
                </c:pt>
                <c:pt idx="2">
                  <c:v>9.84</c:v>
                </c:pt>
                <c:pt idx="3">
                  <c:v/>
                </c:pt>
                <c:pt idx="4">
                  <c:v/>
                </c:pt>
                <c:pt idx="5">
                  <c:v>7.92</c:v>
                </c:pt>
                <c:pt idx="6">
                  <c:v>11.2</c:v>
                </c:pt>
                <c:pt idx="7">
                  <c:v>3.8</c:v>
                </c:pt>
                <c:pt idx="8">
                  <c:v/>
                </c:pt>
                <c:pt idx="9">
                  <c:v/>
                </c:pt>
                <c:pt idx="10">
                  <c:v>4.33</c:v>
                </c:pt>
                <c:pt idx="11">
                  <c:v>5.37</c:v>
                </c:pt>
                <c:pt idx="12">
                  <c:v>3.79</c:v>
                </c:pt>
                <c:pt idx="13">
                  <c:v/>
                </c:pt>
                <c:pt idx="14">
                  <c:v/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</c:numCache>
            </c:numRef>
          </c:yVal>
          <c:smooth val="0"/>
        </c:ser>
        <c:axId val="20365249"/>
        <c:axId val="78533183"/>
      </c:scatterChart>
      <c:catAx>
        <c:axId val="1581506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740383"/>
        <c:crosses val="autoZero"/>
        <c:auto val="1"/>
        <c:lblAlgn val="ctr"/>
        <c:lblOffset val="100"/>
      </c:catAx>
      <c:valAx>
        <c:axId val="497403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Total Investment Cost [bn €]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\ ;[RED]\-0\ 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815069"/>
        <c:crosses val="autoZero"/>
      </c:valAx>
      <c:catAx>
        <c:axId val="20365249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533183"/>
        <c:crosses val="autoZero"/>
        <c:auto val="1"/>
        <c:lblAlgn val="ctr"/>
        <c:lblOffset val="100"/>
      </c:catAx>
      <c:valAx>
        <c:axId val="78533183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Annual Investment Cost [bn €/yr]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365249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  <a:r>
              <a:rPr b="0" sz="1200" spc="-1" strike="noStrike">
                <a:solidFill>
                  <a:srgbClr val="000000"/>
                </a:solidFill>
                <a:latin typeface="Arial"/>
              </a:rPr>
              <a:t>Total Investment Cost for All Volatile Generators in Germany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'VG Cost v2.0'!$K$1</c:f>
              <c:strCache>
                <c:ptCount val="1"/>
                <c:pt idx="0">
                  <c:v>NDE Investment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'VG Cost v2.0'!$J$2:$J$4</c:f>
              <c:strCache>
                <c:ptCount val="3"/>
                <c:pt idx="0">
                  <c:v>Base</c:v>
                </c:pt>
                <c:pt idx="1">
                  <c:v>Conservative</c:v>
                </c:pt>
                <c:pt idx="2">
                  <c:v>Progressive</c:v>
                </c:pt>
              </c:strCache>
            </c:strRef>
          </c:cat>
          <c:val>
            <c:numRef>
              <c:f>'VG Cost v2.0'!$K$2:$K$4</c:f>
              <c:numCache>
                <c:formatCode>General</c:formatCode>
                <c:ptCount val="3"/>
                <c:pt idx="0">
                  <c:v>171.33645</c:v>
                </c:pt>
                <c:pt idx="1">
                  <c:v>238.53867</c:v>
                </c:pt>
                <c:pt idx="2">
                  <c:v>108.49109</c:v>
                </c:pt>
              </c:numCache>
            </c:numRef>
          </c:val>
        </c:ser>
        <c:ser>
          <c:idx val="1"/>
          <c:order val="1"/>
          <c:tx>
            <c:strRef>
              <c:f>'VG Cost v2.0'!$L$1</c:f>
              <c:strCache>
                <c:ptCount val="1"/>
                <c:pt idx="0">
                  <c:v>SDE Investment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'VG Cost v2.0'!$J$2:$J$4</c:f>
              <c:strCache>
                <c:ptCount val="3"/>
                <c:pt idx="0">
                  <c:v>Base</c:v>
                </c:pt>
                <c:pt idx="1">
                  <c:v>Conservative</c:v>
                </c:pt>
                <c:pt idx="2">
                  <c:v>Progressive</c:v>
                </c:pt>
              </c:strCache>
            </c:strRef>
          </c:cat>
          <c:val>
            <c:numRef>
              <c:f>'VG Cost v2.0'!$L$2:$L$4</c:f>
              <c:numCache>
                <c:formatCode>General</c:formatCode>
                <c:ptCount val="3"/>
                <c:pt idx="0">
                  <c:v>210.9505</c:v>
                </c:pt>
                <c:pt idx="1">
                  <c:v>210.9505</c:v>
                </c:pt>
                <c:pt idx="2">
                  <c:v>204.12075</c:v>
                </c:pt>
              </c:numCache>
            </c:numRef>
          </c:val>
        </c:ser>
        <c:gapWidth val="150"/>
        <c:overlap val="100"/>
        <c:axId val="30643456"/>
        <c:axId val="35121923"/>
      </c:barChart>
      <c:scatterChart>
        <c:scatterStyle val="lineMarker"/>
        <c:varyColors val="0"/>
        <c:ser>
          <c:idx val="2"/>
          <c:order val="2"/>
          <c:tx>
            <c:strRef>
              <c:f>'VG Cost v2.0'!$M$1</c:f>
              <c:strCache>
                <c:ptCount val="1"/>
                <c:pt idx="0">
                  <c:v>Annual Cost</c:v>
                </c:pt>
              </c:strCache>
            </c:strRef>
          </c:tx>
          <c:spPr>
            <a:solidFill>
              <a:srgbClr val="7030a0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</c:spPr>
          </c:marker>
          <c:dLbls>
            <c:numFmt formatCode="General" sourceLinked="1"/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xVal>
            <c:numRef>
              <c:f>'VG Cost v2.0'!$J$2:$J$4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'VG Cost v2.0'!$M$2:$M$4</c:f>
              <c:numCache>
                <c:formatCode>General</c:formatCode>
                <c:ptCount val="3"/>
                <c:pt idx="0">
                  <c:v>22.28</c:v>
                </c:pt>
                <c:pt idx="1">
                  <c:v>26.6</c:v>
                </c:pt>
                <c:pt idx="2">
                  <c:v>17.62</c:v>
                </c:pt>
              </c:numCache>
            </c:numRef>
          </c:yVal>
          <c:smooth val="0"/>
        </c:ser>
        <c:axId val="10186596"/>
        <c:axId val="23276403"/>
      </c:scatterChart>
      <c:catAx>
        <c:axId val="306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121923"/>
        <c:crosses val="autoZero"/>
        <c:auto val="1"/>
        <c:lblAlgn val="ctr"/>
        <c:lblOffset val="100"/>
      </c:catAx>
      <c:valAx>
        <c:axId val="351219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Total Investment Cost [bn €]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643456"/>
        <c:crosses val="autoZero"/>
      </c:valAx>
      <c:catAx>
        <c:axId val="10186596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276403"/>
        <c:crosses val="autoZero"/>
        <c:auto val="1"/>
        <c:lblAlgn val="ctr"/>
        <c:lblOffset val="100"/>
      </c:catAx>
      <c:valAx>
        <c:axId val="23276403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Annual Investment Cost [bn €/yr]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186596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40" spc="-1" strike="noStrike">
                <a:solidFill>
                  <a:srgbClr val="000000"/>
                </a:solidFill>
                <a:latin typeface="Arial"/>
              </a:defRPr>
            </a:pPr>
            <a:r>
              <a:rPr b="0" sz="1440" spc="-1" strike="noStrike">
                <a:solidFill>
                  <a:srgbClr val="000000"/>
                </a:solidFill>
                <a:latin typeface="Arial"/>
              </a:rPr>
              <a:t>CHP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'HG Investment v2.0'!$C$1</c:f>
              <c:strCache>
                <c:ptCount val="1"/>
                <c:pt idx="0">
                  <c:v>NDE Capacity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'HG Investment v2.0'!$A$2:$B$4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Base</c:v>
                </c:pt>
                <c:pt idx="4">
                  <c:v>Conservative</c:v>
                </c:pt>
                <c:pt idx="5">
                  <c:v>Progressive</c:v>
                </c:pt>
              </c:strCache>
            </c:strRef>
          </c:cat>
          <c:val>
            <c:numRef>
              <c:f>'HG Investment v2.0'!$C$2:$C$4</c:f>
              <c:numCache>
                <c:formatCode>General</c:formatCode>
                <c:ptCount val="3"/>
                <c:pt idx="0">
                  <c:v>4.74</c:v>
                </c:pt>
                <c:pt idx="1">
                  <c:v>4.74</c:v>
                </c:pt>
                <c:pt idx="2">
                  <c:v>4.74</c:v>
                </c:pt>
              </c:numCache>
            </c:numRef>
          </c:val>
        </c:ser>
        <c:ser>
          <c:idx val="1"/>
          <c:order val="1"/>
          <c:tx>
            <c:strRef>
              <c:f>'HG Investment v2.0'!$D$1</c:f>
              <c:strCache>
                <c:ptCount val="1"/>
                <c:pt idx="0">
                  <c:v>SDE Capacity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'HG Investment v2.0'!$A$2:$B$4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Base</c:v>
                </c:pt>
                <c:pt idx="4">
                  <c:v>Conservative</c:v>
                </c:pt>
                <c:pt idx="5">
                  <c:v>Progressive</c:v>
                </c:pt>
              </c:strCache>
            </c:strRef>
          </c:cat>
          <c:val>
            <c:numRef>
              <c:f>'HG Investment v2.0'!$D$2:$D$4</c:f>
              <c:numCache>
                <c:formatCode>General</c:formatCode>
                <c:ptCount val="3"/>
                <c:pt idx="0">
                  <c:v>8.86</c:v>
                </c:pt>
                <c:pt idx="1">
                  <c:v>8.86</c:v>
                </c:pt>
                <c:pt idx="2">
                  <c:v>8.86</c:v>
                </c:pt>
              </c:numCache>
            </c:numRef>
          </c:val>
        </c:ser>
        <c:ser>
          <c:idx val="2"/>
          <c:order val="2"/>
          <c:tx>
            <c:strRef>
              <c:f>'HG Investment v2.0'!$E$1</c:f>
              <c:strCache>
                <c:ptCount val="1"/>
                <c:pt idx="0">
                  <c:v>NDE Investment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'HG Investment v2.0'!$A$2:$B$4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Base</c:v>
                </c:pt>
                <c:pt idx="4">
                  <c:v>Conservative</c:v>
                </c:pt>
                <c:pt idx="5">
                  <c:v>Progressive</c:v>
                </c:pt>
              </c:strCache>
            </c:strRef>
          </c:cat>
          <c:val>
            <c:numRef>
              <c:f>'HG Investment v2.0'!$E$2:$E$4</c:f>
              <c:numCache>
                <c:formatCode>General</c:formatCode>
                <c:ptCount val="3"/>
                <c:pt idx="0">
                  <c:v>11.97</c:v>
                </c:pt>
                <c:pt idx="1">
                  <c:v>20.06</c:v>
                </c:pt>
                <c:pt idx="2">
                  <c:v>10.26</c:v>
                </c:pt>
              </c:numCache>
            </c:numRef>
          </c:val>
        </c:ser>
        <c:ser>
          <c:idx val="3"/>
          <c:order val="3"/>
          <c:tx>
            <c:strRef>
              <c:f>'HG Investment v2.0'!$F$1</c:f>
              <c:strCache>
                <c:ptCount val="1"/>
                <c:pt idx="0">
                  <c:v>SDE Investment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'HG Investment v2.0'!$A$2:$B$4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Base</c:v>
                </c:pt>
                <c:pt idx="4">
                  <c:v>Conservative</c:v>
                </c:pt>
                <c:pt idx="5">
                  <c:v>Progressive</c:v>
                </c:pt>
              </c:strCache>
            </c:strRef>
          </c:cat>
          <c:val>
            <c:numRef>
              <c:f>'HG Investment v2.0'!$F$2:$F$4</c:f>
              <c:numCache>
                <c:formatCode>General</c:formatCode>
                <c:ptCount val="3"/>
                <c:pt idx="0">
                  <c:v>56.64</c:v>
                </c:pt>
                <c:pt idx="1">
                  <c:v>53.56</c:v>
                </c:pt>
                <c:pt idx="2">
                  <c:v>48</c:v>
                </c:pt>
              </c:numCache>
            </c:numRef>
          </c:val>
        </c:ser>
        <c:gapWidth val="150"/>
        <c:overlap val="100"/>
        <c:axId val="58422596"/>
        <c:axId val="84274543"/>
      </c:barChart>
      <c:catAx>
        <c:axId val="584225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274543"/>
        <c:crosses val="autoZero"/>
        <c:auto val="1"/>
        <c:lblAlgn val="ctr"/>
        <c:lblOffset val="100"/>
      </c:catAx>
      <c:valAx>
        <c:axId val="84274543"/>
        <c:scaling>
          <c:orientation val="minMax"/>
        </c:scaling>
        <c:delete val="0"/>
        <c:axPos val="l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Capacity &amp; Investment [GW]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422596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40" spc="-1" strike="noStrike">
                <a:solidFill>
                  <a:srgbClr val="000000"/>
                </a:solidFill>
                <a:latin typeface="Arial"/>
              </a:defRPr>
            </a:pPr>
            <a:r>
              <a:rPr b="0" sz="1440" spc="-1" strike="noStrike">
                <a:solidFill>
                  <a:srgbClr val="000000"/>
                </a:solidFill>
                <a:latin typeface="Arial"/>
              </a:rPr>
              <a:t>Heat Pump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'HG Investment v2.0'!$C$21</c:f>
              <c:strCache>
                <c:ptCount val="1"/>
                <c:pt idx="0">
                  <c:v>NDE Investment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'HG Investment v2.0'!$A$22:$B$24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Base</c:v>
                </c:pt>
                <c:pt idx="4">
                  <c:v>Conservative</c:v>
                </c:pt>
                <c:pt idx="5">
                  <c:v>Progressive</c:v>
                </c:pt>
              </c:strCache>
            </c:strRef>
          </c:cat>
          <c:val>
            <c:numRef>
              <c:f>'HG Investment v2.0'!$C$22:$C$24</c:f>
              <c:numCache>
                <c:formatCode>General</c:formatCode>
                <c:ptCount val="3"/>
                <c:pt idx="0">
                  <c:v>29.65</c:v>
                </c:pt>
                <c:pt idx="1">
                  <c:v>32.98</c:v>
                </c:pt>
                <c:pt idx="2">
                  <c:v>26.13</c:v>
                </c:pt>
              </c:numCache>
            </c:numRef>
          </c:val>
        </c:ser>
        <c:ser>
          <c:idx val="1"/>
          <c:order val="1"/>
          <c:tx>
            <c:strRef>
              <c:f>'HG Investment v2.0'!$D$21</c:f>
              <c:strCache>
                <c:ptCount val="1"/>
                <c:pt idx="0">
                  <c:v>SDE Investment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'HG Investment v2.0'!$A$22:$B$24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Base</c:v>
                </c:pt>
                <c:pt idx="4">
                  <c:v>Conservative</c:v>
                </c:pt>
                <c:pt idx="5">
                  <c:v>Progressive</c:v>
                </c:pt>
              </c:strCache>
            </c:strRef>
          </c:cat>
          <c:val>
            <c:numRef>
              <c:f>'HG Investment v2.0'!$D$22:$D$24</c:f>
              <c:numCache>
                <c:formatCode>General</c:formatCode>
                <c:ptCount val="3"/>
                <c:pt idx="0">
                  <c:v>143.76</c:v>
                </c:pt>
                <c:pt idx="1">
                  <c:v>148.88</c:v>
                </c:pt>
                <c:pt idx="2">
                  <c:v>128.8</c:v>
                </c:pt>
              </c:numCache>
            </c:numRef>
          </c:val>
        </c:ser>
        <c:gapWidth val="150"/>
        <c:overlap val="100"/>
        <c:axId val="40513216"/>
        <c:axId val="2007143"/>
      </c:barChart>
      <c:catAx>
        <c:axId val="4051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07143"/>
        <c:crosses val="autoZero"/>
        <c:auto val="1"/>
        <c:lblAlgn val="ctr"/>
        <c:lblOffset val="100"/>
      </c:catAx>
      <c:valAx>
        <c:axId val="2007143"/>
        <c:scaling>
          <c:orientation val="minMax"/>
        </c:scaling>
        <c:delete val="0"/>
        <c:axPos val="l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Investment [GWth]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513216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'HG Cost v2.0'!$C$1</c:f>
              <c:strCache>
                <c:ptCount val="1"/>
                <c:pt idx="0">
                  <c:v>NDE Investment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dLbls>
            <c:numFmt formatCode="0\ ;[RED]\-0\ 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'HG Cost v2.0'!$A$2:$B$8</c:f>
              <c:strCache>
                <c:ptCount val="14"/>
                <c:pt idx="0">
                  <c:v>CHP</c:v>
                </c:pt>
                <c:pt idx="1">
                  <c:v/>
                </c:pt>
                <c:pt idx="2">
                  <c:v/>
                </c:pt>
                <c:pt idx="3">
                  <c:v>Heat Pump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Base</c:v>
                </c:pt>
                <c:pt idx="8">
                  <c:v>Conservative</c:v>
                </c:pt>
                <c:pt idx="9">
                  <c:v>Progressive</c:v>
                </c:pt>
                <c:pt idx="10">
                  <c:v/>
                </c:pt>
                <c:pt idx="11">
                  <c:v>Base</c:v>
                </c:pt>
                <c:pt idx="12">
                  <c:v>Conservative</c:v>
                </c:pt>
                <c:pt idx="13">
                  <c:v>Progressive</c:v>
                </c:pt>
              </c:strCache>
            </c:strRef>
          </c:cat>
          <c:val>
            <c:numRef>
              <c:f>'HG Cost v2.0'!$C$2:$C$8</c:f>
              <c:numCache>
                <c:formatCode>General</c:formatCode>
                <c:ptCount val="7"/>
                <c:pt idx="0">
                  <c:v>23.35347</c:v>
                </c:pt>
                <c:pt idx="1">
                  <c:v>39.13706</c:v>
                </c:pt>
                <c:pt idx="2">
                  <c:v>20.01726</c:v>
                </c:pt>
                <c:pt idx="3">
                  <c:v/>
                </c:pt>
                <c:pt idx="4">
                  <c:v>37.2785</c:v>
                </c:pt>
                <c:pt idx="5">
                  <c:v>41.1565</c:v>
                </c:pt>
                <c:pt idx="6">
                  <c:v>32.662</c:v>
                </c:pt>
              </c:numCache>
            </c:numRef>
          </c:val>
        </c:ser>
        <c:ser>
          <c:idx val="1"/>
          <c:order val="1"/>
          <c:tx>
            <c:strRef>
              <c:f>'HG Cost v2.0'!$D$1</c:f>
              <c:strCache>
                <c:ptCount val="1"/>
                <c:pt idx="0">
                  <c:v>SDE Investment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Lbls>
            <c:numFmt formatCode="0\ ;[RED]\-0\ 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'HG Cost v2.0'!$A$2:$B$8</c:f>
              <c:strCache>
                <c:ptCount val="14"/>
                <c:pt idx="0">
                  <c:v>CHP</c:v>
                </c:pt>
                <c:pt idx="1">
                  <c:v/>
                </c:pt>
                <c:pt idx="2">
                  <c:v/>
                </c:pt>
                <c:pt idx="3">
                  <c:v>Heat Pump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Base</c:v>
                </c:pt>
                <c:pt idx="8">
                  <c:v>Conservative</c:v>
                </c:pt>
                <c:pt idx="9">
                  <c:v>Progressive</c:v>
                </c:pt>
                <c:pt idx="10">
                  <c:v/>
                </c:pt>
                <c:pt idx="11">
                  <c:v>Base</c:v>
                </c:pt>
                <c:pt idx="12">
                  <c:v>Conservative</c:v>
                </c:pt>
                <c:pt idx="13">
                  <c:v>Progressive</c:v>
                </c:pt>
              </c:strCache>
            </c:strRef>
          </c:cat>
          <c:val>
            <c:numRef>
              <c:f>'HG Cost v2.0'!$D$2:$D$8</c:f>
              <c:numCache>
                <c:formatCode>General</c:formatCode>
                <c:ptCount val="7"/>
                <c:pt idx="0">
                  <c:v>110.50464</c:v>
                </c:pt>
                <c:pt idx="1">
                  <c:v>104.49556</c:v>
                </c:pt>
                <c:pt idx="2">
                  <c:v>93.648</c:v>
                </c:pt>
                <c:pt idx="3">
                  <c:v/>
                </c:pt>
                <c:pt idx="4">
                  <c:v>192.878</c:v>
                </c:pt>
                <c:pt idx="5">
                  <c:v>201.068</c:v>
                </c:pt>
                <c:pt idx="6">
                  <c:v>170.233</c:v>
                </c:pt>
              </c:numCache>
            </c:numRef>
          </c:val>
        </c:ser>
        <c:gapWidth val="150"/>
        <c:overlap val="100"/>
        <c:axId val="2162036"/>
        <c:axId val="54269360"/>
      </c:barChart>
      <c:scatterChart>
        <c:scatterStyle val="lineMarker"/>
        <c:varyColors val="0"/>
        <c:ser>
          <c:idx val="2"/>
          <c:order val="2"/>
          <c:tx>
            <c:strRef>
              <c:f>'HG Cost v2.0'!$E$1</c:f>
              <c:strCache>
                <c:ptCount val="1"/>
                <c:pt idx="0">
                  <c:v>Annual Cost</c:v>
                </c:pt>
              </c:strCache>
            </c:strRef>
          </c:tx>
          <c:spPr>
            <a:solidFill>
              <a:srgbClr val="7030a0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</c:spPr>
          </c:marker>
          <c:dLbls>
            <c:numFmt formatCode="General" sourceLinked="1"/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xVal>
            <c:numRef>
              <c:f>'HG Cost v2.0'!$A$2:$B$8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'HG Cost v2.0'!$E$2:$E$8</c:f>
              <c:numCache>
                <c:formatCode>General</c:formatCode>
                <c:ptCount val="7"/>
                <c:pt idx="0">
                  <c:v>8.71</c:v>
                </c:pt>
                <c:pt idx="1">
                  <c:v>9.34</c:v>
                </c:pt>
                <c:pt idx="2">
                  <c:v>7.39</c:v>
                </c:pt>
                <c:pt idx="3">
                  <c:v/>
                </c:pt>
                <c:pt idx="4">
                  <c:v>18.47</c:v>
                </c:pt>
                <c:pt idx="5">
                  <c:v>19.44</c:v>
                </c:pt>
                <c:pt idx="6">
                  <c:v>16.28</c:v>
                </c:pt>
              </c:numCache>
            </c:numRef>
          </c:yVal>
          <c:smooth val="0"/>
        </c:ser>
        <c:axId val="64724757"/>
        <c:axId val="69441342"/>
      </c:scatterChart>
      <c:catAx>
        <c:axId val="21620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4269360"/>
        <c:crosses val="autoZero"/>
        <c:auto val="1"/>
        <c:lblAlgn val="ctr"/>
        <c:lblOffset val="100"/>
      </c:catAx>
      <c:valAx>
        <c:axId val="54269360"/>
        <c:scaling>
          <c:orientation val="minMax"/>
          <c:max val="2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Total Investment Cost [bn €]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\ ;[RED]\-0\ 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62036"/>
        <c:crosses val="autoZero"/>
      </c:valAx>
      <c:catAx>
        <c:axId val="64724757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441342"/>
        <c:crosses val="autoZero"/>
        <c:auto val="1"/>
        <c:lblAlgn val="ctr"/>
        <c:lblOffset val="100"/>
      </c:catAx>
      <c:valAx>
        <c:axId val="6944134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Annual Investment Cost [bn €/yr]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724757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  <a:r>
              <a:rPr b="0" sz="1200" spc="-1" strike="noStrike">
                <a:solidFill>
                  <a:srgbClr val="000000"/>
                </a:solidFill>
                <a:latin typeface="Arial"/>
              </a:rPr>
              <a:t>Total Investment Cost for CHP &amp; Heat Pump in Germany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'HG Cost v2.0'!$K$1</c:f>
              <c:strCache>
                <c:ptCount val="1"/>
                <c:pt idx="0">
                  <c:v>NDE Investment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'HG Cost v2.0'!$J$2:$J$4</c:f>
              <c:strCache>
                <c:ptCount val="3"/>
                <c:pt idx="0">
                  <c:v>Base</c:v>
                </c:pt>
                <c:pt idx="1">
                  <c:v>Conservative</c:v>
                </c:pt>
                <c:pt idx="2">
                  <c:v>Progressive</c:v>
                </c:pt>
              </c:strCache>
            </c:strRef>
          </c:cat>
          <c:val>
            <c:numRef>
              <c:f>'HG Cost v2.0'!$K$2:$K$4</c:f>
              <c:numCache>
                <c:formatCode>General</c:formatCode>
                <c:ptCount val="3"/>
                <c:pt idx="0">
                  <c:v>60.63197</c:v>
                </c:pt>
                <c:pt idx="1">
                  <c:v>80.29356</c:v>
                </c:pt>
                <c:pt idx="2">
                  <c:v>52.67926</c:v>
                </c:pt>
              </c:numCache>
            </c:numRef>
          </c:val>
        </c:ser>
        <c:ser>
          <c:idx val="1"/>
          <c:order val="1"/>
          <c:tx>
            <c:strRef>
              <c:f>'HG Cost v2.0'!$L$1</c:f>
              <c:strCache>
                <c:ptCount val="1"/>
                <c:pt idx="0">
                  <c:v>SDE Investment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'HG Cost v2.0'!$J$2:$J$4</c:f>
              <c:strCache>
                <c:ptCount val="3"/>
                <c:pt idx="0">
                  <c:v>Base</c:v>
                </c:pt>
                <c:pt idx="1">
                  <c:v>Conservative</c:v>
                </c:pt>
                <c:pt idx="2">
                  <c:v>Progressive</c:v>
                </c:pt>
              </c:strCache>
            </c:strRef>
          </c:cat>
          <c:val>
            <c:numRef>
              <c:f>'HG Cost v2.0'!$L$2:$L$4</c:f>
              <c:numCache>
                <c:formatCode>General</c:formatCode>
                <c:ptCount val="3"/>
                <c:pt idx="0">
                  <c:v>303.38264</c:v>
                </c:pt>
                <c:pt idx="1">
                  <c:v>305.56356</c:v>
                </c:pt>
                <c:pt idx="2">
                  <c:v>263.881</c:v>
                </c:pt>
              </c:numCache>
            </c:numRef>
          </c:val>
        </c:ser>
        <c:gapWidth val="150"/>
        <c:overlap val="100"/>
        <c:axId val="47527098"/>
        <c:axId val="61450023"/>
      </c:barChart>
      <c:scatterChart>
        <c:scatterStyle val="lineMarker"/>
        <c:varyColors val="0"/>
        <c:ser>
          <c:idx val="2"/>
          <c:order val="2"/>
          <c:tx>
            <c:strRef>
              <c:f>'HG Cost v2.0'!$M$1</c:f>
              <c:strCache>
                <c:ptCount val="1"/>
                <c:pt idx="0">
                  <c:v>Annual Cost</c:v>
                </c:pt>
              </c:strCache>
            </c:strRef>
          </c:tx>
          <c:spPr>
            <a:solidFill>
              <a:srgbClr val="7030a0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</c:spPr>
          </c:marker>
          <c:dLbls>
            <c:numFmt formatCode="General" sourceLinked="1"/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xVal>
            <c:numRef>
              <c:f>'HG Cost v2.0'!$J$2:$J$4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'HG Cost v2.0'!$M$2:$M$4</c:f>
              <c:numCache>
                <c:formatCode>General</c:formatCode>
                <c:ptCount val="3"/>
                <c:pt idx="0">
                  <c:v>27.18</c:v>
                </c:pt>
                <c:pt idx="1">
                  <c:v>28.78</c:v>
                </c:pt>
                <c:pt idx="2">
                  <c:v>23.67</c:v>
                </c:pt>
              </c:numCache>
            </c:numRef>
          </c:yVal>
          <c:smooth val="0"/>
        </c:ser>
        <c:axId val="31712819"/>
        <c:axId val="20449952"/>
      </c:scatterChart>
      <c:catAx>
        <c:axId val="475270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450023"/>
        <c:crosses val="autoZero"/>
        <c:auto val="1"/>
        <c:lblAlgn val="ctr"/>
        <c:lblOffset val="100"/>
      </c:catAx>
      <c:valAx>
        <c:axId val="614500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Total Investment Cost [bn €]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527098"/>
        <c:crosses val="autoZero"/>
      </c:valAx>
      <c:catAx>
        <c:axId val="31712819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449952"/>
        <c:crosses val="autoZero"/>
        <c:auto val="1"/>
        <c:lblAlgn val="ctr"/>
        <c:lblOffset val="100"/>
      </c:catAx>
      <c:valAx>
        <c:axId val="2044995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Annual Investment Cost [bn €/yr]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712819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40" spc="-1" strike="noStrike">
                <a:solidFill>
                  <a:srgbClr val="000000"/>
                </a:solidFill>
                <a:latin typeface="Arial"/>
              </a:defRPr>
            </a:pPr>
            <a:r>
              <a:rPr b="0" sz="1440" spc="-1" strike="noStrike">
                <a:solidFill>
                  <a:srgbClr val="000000"/>
                </a:solidFill>
                <a:latin typeface="Arial"/>
              </a:rPr>
              <a:t>Li-ion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'Storage Investment v2.0'!$C$2</c:f>
              <c:strCache>
                <c:ptCount val="1"/>
                <c:pt idx="0">
                  <c:v>NDE Power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'Storage Investment v2.0'!$B$3:$B$5</c:f>
              <c:strCache>
                <c:ptCount val="3"/>
                <c:pt idx="0">
                  <c:v>Base</c:v>
                </c:pt>
                <c:pt idx="1">
                  <c:v>Conservative</c:v>
                </c:pt>
                <c:pt idx="2">
                  <c:v>Progressive</c:v>
                </c:pt>
              </c:strCache>
            </c:strRef>
          </c:cat>
          <c:val>
            <c:numRef>
              <c:f>'Storage Investment v2.0'!$C$3:$C$5</c:f>
              <c:numCache>
                <c:formatCode>General</c:formatCode>
                <c:ptCount val="3"/>
                <c:pt idx="0">
                  <c:v>2.82</c:v>
                </c:pt>
                <c:pt idx="1">
                  <c:v>2.82</c:v>
                </c:pt>
                <c:pt idx="2">
                  <c:v>2.82</c:v>
                </c:pt>
              </c:numCache>
            </c:numRef>
          </c:val>
        </c:ser>
        <c:ser>
          <c:idx val="1"/>
          <c:order val="1"/>
          <c:tx>
            <c:strRef>
              <c:f>'Storage Investment v2.0'!$D$2</c:f>
              <c:strCache>
                <c:ptCount val="1"/>
                <c:pt idx="0">
                  <c:v>SDE Power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'Storage Investment v2.0'!$B$3:$B$5</c:f>
              <c:strCache>
                <c:ptCount val="3"/>
                <c:pt idx="0">
                  <c:v>Base</c:v>
                </c:pt>
                <c:pt idx="1">
                  <c:v>Conservative</c:v>
                </c:pt>
                <c:pt idx="2">
                  <c:v>Progressive</c:v>
                </c:pt>
              </c:strCache>
            </c:strRef>
          </c:cat>
          <c:val>
            <c:numRef>
              <c:f>'Storage Investment v2.0'!$D$3:$D$5</c:f>
              <c:numCache>
                <c:formatCode>General</c:formatCode>
                <c:ptCount val="3"/>
                <c:pt idx="0">
                  <c:v>12.83</c:v>
                </c:pt>
                <c:pt idx="1">
                  <c:v>12.83</c:v>
                </c:pt>
                <c:pt idx="2">
                  <c:v>12.83</c:v>
                </c:pt>
              </c:numCache>
            </c:numRef>
          </c:val>
        </c:ser>
        <c:gapWidth val="150"/>
        <c:overlap val="100"/>
        <c:axId val="21982040"/>
        <c:axId val="15445211"/>
      </c:barChart>
      <c:scatterChart>
        <c:scatterStyle val="lineMarker"/>
        <c:varyColors val="0"/>
        <c:ser>
          <c:idx val="2"/>
          <c:order val="2"/>
          <c:tx>
            <c:strRef>
              <c:f>'Storage Investment v2.0'!$E$2</c:f>
              <c:strCache>
                <c:ptCount val="1"/>
                <c:pt idx="0">
                  <c:v>NDE Energy</c:v>
                </c:pt>
              </c:strCache>
            </c:strRef>
          </c:tx>
          <c:spPr>
            <a:solidFill>
              <a:srgbClr val="7030a0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xVal>
            <c:numRef>
              <c:f>'Storage Investment v2.0'!$B$3:$B$5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'Storage Investment v2.0'!$E$3:$E$5</c:f>
              <c:numCache>
                <c:formatCode>General</c:formatCode>
                <c:ptCount val="3"/>
                <c:pt idx="0">
                  <c:v>18.32</c:v>
                </c:pt>
                <c:pt idx="1">
                  <c:v>18.32</c:v>
                </c:pt>
                <c:pt idx="2">
                  <c:v>18.32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'Storage Investment v2.0'!$F$2</c:f>
              <c:strCache>
                <c:ptCount val="1"/>
                <c:pt idx="0">
                  <c:v>SDE Energy</c:v>
                </c:pt>
              </c:strCache>
            </c:strRef>
          </c:tx>
          <c:spPr>
            <a:solidFill>
              <a:srgbClr val="7030a0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xVal>
            <c:numRef>
              <c:f>'Storage Investment v2.0'!$B$3:$B$5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'Storage Investment v2.0'!$F$3:$F$5</c:f>
              <c:numCache>
                <c:formatCode>General</c:formatCode>
                <c:ptCount val="3"/>
                <c:pt idx="0">
                  <c:v>83.42</c:v>
                </c:pt>
                <c:pt idx="1">
                  <c:v>83.42</c:v>
                </c:pt>
                <c:pt idx="2">
                  <c:v>83.42</c:v>
                </c:pt>
              </c:numCache>
            </c:numRef>
          </c:yVal>
          <c:smooth val="0"/>
        </c:ser>
        <c:axId val="64472366"/>
        <c:axId val="68697402"/>
      </c:scatterChart>
      <c:catAx>
        <c:axId val="2198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445211"/>
        <c:crosses val="autoZero"/>
        <c:auto val="1"/>
        <c:lblAlgn val="ctr"/>
        <c:lblOffset val="100"/>
      </c:catAx>
      <c:valAx>
        <c:axId val="15445211"/>
        <c:scaling>
          <c:orientation val="minMax"/>
          <c:max val="20"/>
        </c:scaling>
        <c:delete val="0"/>
        <c:axPos val="l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 Power [GWel]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982040"/>
        <c:crosses val="autoZero"/>
      </c:valAx>
      <c:catAx>
        <c:axId val="64472366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697402"/>
        <c:crosses val="autoZero"/>
        <c:auto val="1"/>
        <c:lblAlgn val="ctr"/>
        <c:lblOffset val="100"/>
      </c:catAx>
      <c:valAx>
        <c:axId val="68697402"/>
        <c:scaling>
          <c:orientation val="minMax"/>
          <c:max val="100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Energy [GWhel]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472366"/>
        <c:crosses val="max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40" spc="-1" strike="noStrike">
                <a:solidFill>
                  <a:srgbClr val="000000"/>
                </a:solidFill>
                <a:latin typeface="Arial"/>
              </a:defRPr>
            </a:pPr>
            <a:r>
              <a:rPr b="0" sz="1440" spc="-1" strike="noStrike">
                <a:solidFill>
                  <a:srgbClr val="000000"/>
                </a:solidFill>
                <a:latin typeface="Arial"/>
              </a:rPr>
              <a:t>Redox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'Storage Investment v2.0'!$C$6</c:f>
              <c:strCache>
                <c:ptCount val="1"/>
                <c:pt idx="0">
                  <c:v>NDE Power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'Storage Investment v2.0'!$B$7:$B$9</c:f>
              <c:strCache>
                <c:ptCount val="3"/>
                <c:pt idx="0">
                  <c:v>Base</c:v>
                </c:pt>
                <c:pt idx="1">
                  <c:v>Conservative</c:v>
                </c:pt>
                <c:pt idx="2">
                  <c:v>Progressive</c:v>
                </c:pt>
              </c:strCache>
            </c:strRef>
          </c:cat>
          <c:val>
            <c:numRef>
              <c:f>'Storage Investment v2.0'!$C$7:$C$9</c:f>
              <c:numCache>
                <c:formatCode>General</c:formatCode>
                <c:ptCount val="3"/>
                <c:pt idx="0">
                  <c:v>0.17</c:v>
                </c:pt>
                <c:pt idx="1">
                  <c:v/>
                </c:pt>
                <c:pt idx="2">
                  <c:v>0.17</c:v>
                </c:pt>
              </c:numCache>
            </c:numRef>
          </c:val>
        </c:ser>
        <c:ser>
          <c:idx val="1"/>
          <c:order val="1"/>
          <c:tx>
            <c:strRef>
              <c:f>'Storage Investment v2.0'!$D$6</c:f>
              <c:strCache>
                <c:ptCount val="1"/>
                <c:pt idx="0">
                  <c:v>SDE Power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ffc000"/>
              </a:solidFill>
              <a:ln>
                <a:noFill/>
              </a:ln>
            </c:spPr>
          </c:dPt>
          <c:dLbls>
            <c:numFmt formatCode="0.00" sourceLinked="1"/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'Storage Investment v2.0'!$B$7:$B$9</c:f>
              <c:strCache>
                <c:ptCount val="3"/>
                <c:pt idx="0">
                  <c:v>Base</c:v>
                </c:pt>
                <c:pt idx="1">
                  <c:v>Conservative</c:v>
                </c:pt>
                <c:pt idx="2">
                  <c:v>Progressive</c:v>
                </c:pt>
              </c:strCache>
            </c:strRef>
          </c:cat>
          <c:val>
            <c:numRef>
              <c:f>'Storage Investment v2.0'!$D$7:$D$9</c:f>
              <c:numCache>
                <c:formatCode>General</c:formatCode>
                <c:ptCount val="3"/>
                <c:pt idx="0">
                  <c:v>0.76</c:v>
                </c:pt>
                <c:pt idx="1">
                  <c:v/>
                </c:pt>
                <c:pt idx="2">
                  <c:v>0.76</c:v>
                </c:pt>
              </c:numCache>
            </c:numRef>
          </c:val>
        </c:ser>
        <c:gapWidth val="150"/>
        <c:overlap val="100"/>
        <c:axId val="75199824"/>
        <c:axId val="75625393"/>
      </c:barChart>
      <c:scatterChart>
        <c:scatterStyle val="lineMarker"/>
        <c:varyColors val="0"/>
        <c:ser>
          <c:idx val="2"/>
          <c:order val="2"/>
          <c:tx>
            <c:strRef>
              <c:f>'Storage Investment v2.0'!$E$6</c:f>
              <c:strCache>
                <c:ptCount val="1"/>
                <c:pt idx="0">
                  <c:v>NDE Energy</c:v>
                </c:pt>
              </c:strCache>
            </c:strRef>
          </c:tx>
          <c:spPr>
            <a:solidFill>
              <a:srgbClr val="7030a0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</c:spPr>
          </c:marker>
          <c:dLbls>
            <c:numFmt formatCode="0.00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xVal>
            <c:numRef>
              <c:f>'Storage Investment v2.0'!$B$7:$B$9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'Storage Investment v2.0'!$E$7:$E$9</c:f>
              <c:numCache>
                <c:formatCode>General</c:formatCode>
                <c:ptCount val="3"/>
                <c:pt idx="0">
                  <c:v>0.56</c:v>
                </c:pt>
                <c:pt idx="1">
                  <c:v>0</c:v>
                </c:pt>
                <c:pt idx="2">
                  <c:v>0.56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'Storage Investment v2.0'!$F$6</c:f>
              <c:strCache>
                <c:ptCount val="1"/>
                <c:pt idx="0">
                  <c:v>SDE Energy</c:v>
                </c:pt>
              </c:strCache>
            </c:strRef>
          </c:tx>
          <c:spPr>
            <a:solidFill>
              <a:srgbClr val="7030a0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</c:spPr>
          </c:marker>
          <c:dLbls>
            <c:numFmt formatCode="0.00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xVal>
            <c:numRef>
              <c:f>'Storage Investment v2.0'!$B$7:$B$9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'Storage Investment v2.0'!$F$7:$F$9</c:f>
              <c:numCache>
                <c:formatCode>General</c:formatCode>
                <c:ptCount val="3"/>
                <c:pt idx="0">
                  <c:v>2.52</c:v>
                </c:pt>
                <c:pt idx="1">
                  <c:v>0</c:v>
                </c:pt>
                <c:pt idx="2">
                  <c:v>2.52</c:v>
                </c:pt>
              </c:numCache>
            </c:numRef>
          </c:yVal>
          <c:smooth val="0"/>
        </c:ser>
        <c:axId val="9584487"/>
        <c:axId val="58264220"/>
      </c:scatterChart>
      <c:catAx>
        <c:axId val="7519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625393"/>
        <c:crosses val="autoZero"/>
        <c:auto val="1"/>
        <c:lblAlgn val="ctr"/>
        <c:lblOffset val="100"/>
      </c:catAx>
      <c:valAx>
        <c:axId val="75625393"/>
        <c:scaling>
          <c:orientation val="minMax"/>
          <c:max val="5"/>
        </c:scaling>
        <c:delete val="0"/>
        <c:axPos val="l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 Power [GWel]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199824"/>
        <c:crosses val="autoZero"/>
        <c:majorUnit val="1"/>
      </c:valAx>
      <c:catAx>
        <c:axId val="9584487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264220"/>
        <c:crosses val="autoZero"/>
        <c:auto val="1"/>
        <c:lblAlgn val="ctr"/>
        <c:lblOffset val="100"/>
      </c:catAx>
      <c:valAx>
        <c:axId val="58264220"/>
        <c:scaling>
          <c:orientation val="minMax"/>
          <c:max val="5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Energy [GWhel]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84487"/>
        <c:crosses val="max"/>
        <c:majorUnit val="1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40" spc="-1" strike="noStrike">
                <a:solidFill>
                  <a:srgbClr val="000000"/>
                </a:solidFill>
                <a:latin typeface="Arial"/>
              </a:defRPr>
            </a:pPr>
            <a:r>
              <a:rPr b="0" sz="1440" spc="-1" strike="noStrike">
                <a:solidFill>
                  <a:srgbClr val="000000"/>
                </a:solidFill>
                <a:latin typeface="Arial"/>
              </a:rPr>
              <a:t>ACAES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'Storage Investment v2.0'!$C$10</c:f>
              <c:strCache>
                <c:ptCount val="1"/>
                <c:pt idx="0">
                  <c:v>NDE Power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'Storage Investment v2.0'!$B$11:$B$13</c:f>
              <c:strCache>
                <c:ptCount val="3"/>
                <c:pt idx="0">
                  <c:v>Base</c:v>
                </c:pt>
                <c:pt idx="1">
                  <c:v>Conservative</c:v>
                </c:pt>
                <c:pt idx="2">
                  <c:v>Progressive</c:v>
                </c:pt>
              </c:strCache>
            </c:strRef>
          </c:cat>
          <c:val>
            <c:numRef>
              <c:f>'Storage Investment v2.0'!$C$11:$C$13</c:f>
              <c:numCache>
                <c:formatCode>General</c:formatCode>
                <c:ptCount val="3"/>
                <c:pt idx="0">
                  <c:v>0.15</c:v>
                </c:pt>
                <c:pt idx="1">
                  <c:v/>
                </c:pt>
                <c:pt idx="2">
                  <c:v>0.51</c:v>
                </c:pt>
              </c:numCache>
            </c:numRef>
          </c:val>
        </c:ser>
        <c:gapWidth val="150"/>
        <c:overlap val="0"/>
        <c:axId val="99742021"/>
        <c:axId val="88199867"/>
      </c:barChart>
      <c:scatterChart>
        <c:scatterStyle val="lineMarker"/>
        <c:varyColors val="0"/>
        <c:ser>
          <c:idx val="1"/>
          <c:order val="1"/>
          <c:tx>
            <c:strRef>
              <c:f>'Storage Investment v2.0'!$D$10</c:f>
              <c:strCache>
                <c:ptCount val="1"/>
                <c:pt idx="0">
                  <c:v>NDE Energy</c:v>
                </c:pt>
              </c:strCache>
            </c:strRef>
          </c:tx>
          <c:spPr>
            <a:solidFill>
              <a:srgbClr val="7030a0"/>
            </a:solidFill>
            <a:ln w="19080">
              <a:noFill/>
            </a:ln>
          </c:spPr>
          <c:marker>
            <c:symbol val="triangle"/>
            <c:size val="5"/>
            <c:spPr>
              <a:solidFill>
                <a:srgbClr val="7030a0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xVal>
            <c:numRef>
              <c:f>'Storage Investment v2.0'!$B$11:$B$13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'Storage Investment v2.0'!$D$11:$D$13</c:f>
              <c:numCache>
                <c:formatCode>General</c:formatCode>
                <c:ptCount val="3"/>
                <c:pt idx="0">
                  <c:v>2.5</c:v>
                </c:pt>
                <c:pt idx="1">
                  <c:v/>
                </c:pt>
                <c:pt idx="2">
                  <c:v>5</c:v>
                </c:pt>
              </c:numCache>
            </c:numRef>
          </c:yVal>
          <c:smooth val="0"/>
        </c:ser>
        <c:axId val="98264341"/>
        <c:axId val="49361888"/>
      </c:scatterChart>
      <c:catAx>
        <c:axId val="997420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199867"/>
        <c:crosses val="autoZero"/>
        <c:auto val="1"/>
        <c:lblAlgn val="ctr"/>
        <c:lblOffset val="100"/>
      </c:catAx>
      <c:valAx>
        <c:axId val="88199867"/>
        <c:scaling>
          <c:orientation val="minMax"/>
          <c:max val="5"/>
        </c:scaling>
        <c:delete val="0"/>
        <c:axPos val="l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 Power [GWel]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742021"/>
        <c:crosses val="autoZero"/>
        <c:majorUnit val="1"/>
      </c:valAx>
      <c:catAx>
        <c:axId val="9826434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361888"/>
        <c:crosses val="autoZero"/>
        <c:auto val="1"/>
        <c:lblAlgn val="ctr"/>
        <c:lblOffset val="100"/>
      </c:catAx>
      <c:valAx>
        <c:axId val="49361888"/>
        <c:scaling>
          <c:orientation val="minMax"/>
          <c:max val="5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Energy [GWhel]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264341"/>
        <c:crosses val="max"/>
        <c:majorUnit val="1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40" spc="-1" strike="noStrike">
                <a:solidFill>
                  <a:srgbClr val="000000"/>
                </a:solidFill>
                <a:latin typeface="Arial"/>
              </a:defRPr>
            </a:pPr>
            <a:r>
              <a:rPr b="0" sz="1440" spc="-1" strike="noStrike">
                <a:solidFill>
                  <a:srgbClr val="000000"/>
                </a:solidFill>
                <a:latin typeface="Arial"/>
              </a:rPr>
              <a:t>TES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'Storage Investment v2.0'!$C$14</c:f>
              <c:strCache>
                <c:ptCount val="1"/>
                <c:pt idx="0">
                  <c:v>NDE Power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'Storage Investment v2.0'!$B$15:$B$17</c:f>
              <c:strCache>
                <c:ptCount val="3"/>
                <c:pt idx="0">
                  <c:v>Base</c:v>
                </c:pt>
                <c:pt idx="1">
                  <c:v>Conservative</c:v>
                </c:pt>
                <c:pt idx="2">
                  <c:v>Progressive</c:v>
                </c:pt>
              </c:strCache>
            </c:strRef>
          </c:cat>
          <c:val>
            <c:numRef>
              <c:f>'Storage Investment v2.0'!$C$15:$C$17</c:f>
              <c:numCache>
                <c:formatCode>General</c:formatCode>
                <c:ptCount val="3"/>
                <c:pt idx="0">
                  <c:v>1.35</c:v>
                </c:pt>
                <c:pt idx="1">
                  <c:v>0.9</c:v>
                </c:pt>
                <c:pt idx="2">
                  <c:v>1.8</c:v>
                </c:pt>
              </c:numCache>
            </c:numRef>
          </c:val>
        </c:ser>
        <c:ser>
          <c:idx val="1"/>
          <c:order val="1"/>
          <c:tx>
            <c:strRef>
              <c:f>'Storage Investment v2.0'!$D$14</c:f>
              <c:strCache>
                <c:ptCount val="1"/>
                <c:pt idx="0">
                  <c:v>SDE Power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ffc000"/>
              </a:solidFill>
              <a:ln>
                <a:noFill/>
              </a:ln>
            </c:spPr>
          </c:dPt>
          <c:dLbls>
            <c:numFmt formatCode="0.00" sourceLinked="1"/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'Storage Investment v2.0'!$B$15:$B$17</c:f>
              <c:strCache>
                <c:ptCount val="3"/>
                <c:pt idx="0">
                  <c:v>Base</c:v>
                </c:pt>
                <c:pt idx="1">
                  <c:v>Conservative</c:v>
                </c:pt>
                <c:pt idx="2">
                  <c:v>Progressive</c:v>
                </c:pt>
              </c:strCache>
            </c:strRef>
          </c:cat>
          <c:val>
            <c:numRef>
              <c:f>'Storage Investment v2.0'!$D$15:$D$17</c:f>
              <c:numCache>
                <c:formatCode>General</c:formatCode>
                <c:ptCount val="3"/>
                <c:pt idx="0">
                  <c:v>6.15</c:v>
                </c:pt>
                <c:pt idx="1">
                  <c:v>4.1</c:v>
                </c:pt>
                <c:pt idx="2">
                  <c:v>8.2</c:v>
                </c:pt>
              </c:numCache>
            </c:numRef>
          </c:val>
        </c:ser>
        <c:gapWidth val="150"/>
        <c:overlap val="100"/>
        <c:axId val="45160391"/>
        <c:axId val="41993696"/>
      </c:barChart>
      <c:scatterChart>
        <c:scatterStyle val="lineMarker"/>
        <c:varyColors val="0"/>
        <c:ser>
          <c:idx val="2"/>
          <c:order val="2"/>
          <c:tx>
            <c:strRef>
              <c:f>'Storage Investment v2.0'!$E$14</c:f>
              <c:strCache>
                <c:ptCount val="1"/>
                <c:pt idx="0">
                  <c:v>NDE Energy</c:v>
                </c:pt>
              </c:strCache>
            </c:strRef>
          </c:tx>
          <c:spPr>
            <a:solidFill>
              <a:srgbClr val="7030a0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xVal>
            <c:numRef>
              <c:f>'Storage Investment v2.0'!$B$15:$B$17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'Storage Investment v2.0'!$E$15:$E$17</c:f>
              <c:numCache>
                <c:formatCode>General</c:formatCode>
                <c:ptCount val="3"/>
                <c:pt idx="0">
                  <c:v>97.2</c:v>
                </c:pt>
                <c:pt idx="1">
                  <c:v>64.8</c:v>
                </c:pt>
                <c:pt idx="2">
                  <c:v>129.6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'Storage Investment v2.0'!$F$14</c:f>
              <c:strCache>
                <c:ptCount val="1"/>
                <c:pt idx="0">
                  <c:v>SDE Energy</c:v>
                </c:pt>
              </c:strCache>
            </c:strRef>
          </c:tx>
          <c:spPr>
            <a:solidFill>
              <a:srgbClr val="7030a0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xVal>
            <c:numRef>
              <c:f>'Storage Investment v2.0'!$B$15:$B$17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'Storage Investment v2.0'!$F$15:$F$17</c:f>
              <c:numCache>
                <c:formatCode>General</c:formatCode>
                <c:ptCount val="3"/>
                <c:pt idx="0">
                  <c:v>442.8</c:v>
                </c:pt>
                <c:pt idx="1">
                  <c:v>295.2</c:v>
                </c:pt>
                <c:pt idx="2">
                  <c:v>590.4</c:v>
                </c:pt>
              </c:numCache>
            </c:numRef>
          </c:yVal>
          <c:smooth val="0"/>
        </c:ser>
        <c:axId val="83204989"/>
        <c:axId val="28342843"/>
      </c:scatterChart>
      <c:catAx>
        <c:axId val="45160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993696"/>
        <c:crosses val="autoZero"/>
        <c:auto val="1"/>
        <c:lblAlgn val="ctr"/>
        <c:lblOffset val="100"/>
      </c:catAx>
      <c:valAx>
        <c:axId val="41993696"/>
        <c:scaling>
          <c:orientation val="minMax"/>
          <c:max val="20"/>
        </c:scaling>
        <c:delete val="0"/>
        <c:axPos val="l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 Power [GWth]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160391"/>
        <c:crosses val="autoZero"/>
      </c:valAx>
      <c:catAx>
        <c:axId val="83204989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342843"/>
        <c:crosses val="autoZero"/>
        <c:auto val="1"/>
        <c:lblAlgn val="ctr"/>
        <c:lblOffset val="100"/>
      </c:catAx>
      <c:valAx>
        <c:axId val="28342843"/>
        <c:scaling>
          <c:orientation val="minMax"/>
          <c:max val="750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Energy [GWhth]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204989"/>
        <c:crosses val="max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'Storage Cost (2)'!$C$1</c:f>
              <c:strCache>
                <c:ptCount val="1"/>
                <c:pt idx="0">
                  <c:v>NDE Investment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dLbls>
            <c:numFmt formatCode="0\ ;[RED]\-0\ 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'Storage Cost (2)'!$A$2:$B$19</c:f>
              <c:strCache>
                <c:ptCount val="36"/>
                <c:pt idx="0">
                  <c:v>Li-ion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Redox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ACAES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TES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Base</c:v>
                </c:pt>
                <c:pt idx="19">
                  <c:v>Conservative</c:v>
                </c:pt>
                <c:pt idx="20">
                  <c:v>Progressive</c:v>
                </c:pt>
                <c:pt idx="21">
                  <c:v/>
                </c:pt>
                <c:pt idx="22">
                  <c:v/>
                </c:pt>
                <c:pt idx="23">
                  <c:v>Base</c:v>
                </c:pt>
                <c:pt idx="24">
                  <c:v>Conservative</c:v>
                </c:pt>
                <c:pt idx="25">
                  <c:v>Progressive</c:v>
                </c:pt>
                <c:pt idx="26">
                  <c:v/>
                </c:pt>
                <c:pt idx="27">
                  <c:v/>
                </c:pt>
                <c:pt idx="28">
                  <c:v>Base</c:v>
                </c:pt>
                <c:pt idx="29">
                  <c:v>Conservative</c:v>
                </c:pt>
                <c:pt idx="30">
                  <c:v>Progressive</c:v>
                </c:pt>
                <c:pt idx="31">
                  <c:v/>
                </c:pt>
                <c:pt idx="32">
                  <c:v/>
                </c:pt>
                <c:pt idx="33">
                  <c:v>Base</c:v>
                </c:pt>
                <c:pt idx="34">
                  <c:v>Conservative</c:v>
                </c:pt>
                <c:pt idx="35">
                  <c:v>Progressive</c:v>
                </c:pt>
              </c:strCache>
            </c:strRef>
          </c:cat>
          <c:val>
            <c:numRef>
              <c:f>'Storage Cost (2)'!$C$2:$C$19</c:f>
              <c:numCache>
                <c:formatCode>General</c:formatCode>
                <c:ptCount val="18"/>
                <c:pt idx="0">
                  <c:v>3.52454</c:v>
                </c:pt>
                <c:pt idx="1">
                  <c:v>3.52454</c:v>
                </c:pt>
                <c:pt idx="2">
                  <c:v>3.52454</c:v>
                </c:pt>
                <c:pt idx="3">
                  <c:v/>
                </c:pt>
                <c:pt idx="4">
                  <c:v/>
                </c:pt>
                <c:pt idx="5">
                  <c:v>0.1412</c:v>
                </c:pt>
                <c:pt idx="6">
                  <c:v/>
                </c:pt>
                <c:pt idx="7">
                  <c:v>0.1412</c:v>
                </c:pt>
                <c:pt idx="8">
                  <c:v/>
                </c:pt>
                <c:pt idx="9">
                  <c:v/>
                </c:pt>
                <c:pt idx="10">
                  <c:v>0.2125</c:v>
                </c:pt>
                <c:pt idx="11">
                  <c:v/>
                </c:pt>
                <c:pt idx="12">
                  <c:v>0.5825</c:v>
                </c:pt>
                <c:pt idx="13">
                  <c:v/>
                </c:pt>
                <c:pt idx="14">
                  <c:v/>
                </c:pt>
                <c:pt idx="15">
                  <c:v>3.7301472</c:v>
                </c:pt>
                <c:pt idx="16">
                  <c:v>2.4867648</c:v>
                </c:pt>
                <c:pt idx="17">
                  <c:v>4.9735296</c:v>
                </c:pt>
              </c:numCache>
            </c:numRef>
          </c:val>
        </c:ser>
        <c:ser>
          <c:idx val="1"/>
          <c:order val="1"/>
          <c:tx>
            <c:strRef>
              <c:f>'Storage Cost (2)'!$D$1</c:f>
              <c:strCache>
                <c:ptCount val="1"/>
                <c:pt idx="0">
                  <c:v>SDE Investment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Lbls>
            <c:numFmt formatCode="0\ ;[RED]\-0\ 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'Storage Cost (2)'!$A$2:$B$19</c:f>
              <c:strCache>
                <c:ptCount val="36"/>
                <c:pt idx="0">
                  <c:v>Li-ion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Redox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ACAES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TES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Base</c:v>
                </c:pt>
                <c:pt idx="19">
                  <c:v>Conservative</c:v>
                </c:pt>
                <c:pt idx="20">
                  <c:v>Progressive</c:v>
                </c:pt>
                <c:pt idx="21">
                  <c:v/>
                </c:pt>
                <c:pt idx="22">
                  <c:v/>
                </c:pt>
                <c:pt idx="23">
                  <c:v>Base</c:v>
                </c:pt>
                <c:pt idx="24">
                  <c:v>Conservative</c:v>
                </c:pt>
                <c:pt idx="25">
                  <c:v>Progressive</c:v>
                </c:pt>
                <c:pt idx="26">
                  <c:v/>
                </c:pt>
                <c:pt idx="27">
                  <c:v/>
                </c:pt>
                <c:pt idx="28">
                  <c:v>Base</c:v>
                </c:pt>
                <c:pt idx="29">
                  <c:v>Conservative</c:v>
                </c:pt>
                <c:pt idx="30">
                  <c:v>Progressive</c:v>
                </c:pt>
                <c:pt idx="31">
                  <c:v/>
                </c:pt>
                <c:pt idx="32">
                  <c:v/>
                </c:pt>
                <c:pt idx="33">
                  <c:v>Base</c:v>
                </c:pt>
                <c:pt idx="34">
                  <c:v>Conservative</c:v>
                </c:pt>
                <c:pt idx="35">
                  <c:v>Progressive</c:v>
                </c:pt>
              </c:strCache>
            </c:strRef>
          </c:cat>
          <c:val>
            <c:numRef>
              <c:f>'Storage Cost (2)'!$D$2:$D$19</c:f>
              <c:numCache>
                <c:formatCode>General</c:formatCode>
                <c:ptCount val="18"/>
                <c:pt idx="0">
                  <c:v>16.04859</c:v>
                </c:pt>
                <c:pt idx="1">
                  <c:v>16.04859</c:v>
                </c:pt>
                <c:pt idx="2">
                  <c:v>16.04859</c:v>
                </c:pt>
                <c:pt idx="3">
                  <c:v/>
                </c:pt>
                <c:pt idx="4">
                  <c:v/>
                </c:pt>
                <c:pt idx="5">
                  <c:v>0.6324</c:v>
                </c:pt>
                <c:pt idx="6">
                  <c:v/>
                </c:pt>
                <c:pt idx="7">
                  <c:v>0.6324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16.9928928</c:v>
                </c:pt>
                <c:pt idx="16">
                  <c:v>11.3285952</c:v>
                </c:pt>
                <c:pt idx="17">
                  <c:v>22.6571904</c:v>
                </c:pt>
              </c:numCache>
            </c:numRef>
          </c:val>
        </c:ser>
        <c:gapWidth val="150"/>
        <c:overlap val="100"/>
        <c:axId val="3896025"/>
        <c:axId val="77533060"/>
      </c:barChart>
      <c:scatterChart>
        <c:scatterStyle val="lineMarker"/>
        <c:varyColors val="0"/>
        <c:ser>
          <c:idx val="2"/>
          <c:order val="2"/>
          <c:tx>
            <c:strRef>
              <c:f>'Storage Cost (2)'!$E$1</c:f>
              <c:strCache>
                <c:ptCount val="1"/>
                <c:pt idx="0">
                  <c:v>Annual Cost</c:v>
                </c:pt>
              </c:strCache>
            </c:strRef>
          </c:tx>
          <c:spPr>
            <a:solidFill>
              <a:srgbClr val="7030a0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</c:spPr>
          </c:marker>
          <c:dLbls>
            <c:numFmt formatCode="General" sourceLinked="1"/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xVal>
            <c:numRef>
              <c:f>'Storage Cost (2)'!$A$2:$B$19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'Storage Cost (2)'!$E$2:$E$19</c:f>
              <c:numCache>
                <c:formatCode>General</c:formatCode>
                <c:ptCount val="18"/>
                <c:pt idx="0">
                  <c:v>1.57</c:v>
                </c:pt>
                <c:pt idx="1">
                  <c:v>1.57</c:v>
                </c:pt>
                <c:pt idx="2">
                  <c:v>1.57</c:v>
                </c:pt>
                <c:pt idx="3">
                  <c:v/>
                </c:pt>
                <c:pt idx="4">
                  <c:v/>
                </c:pt>
                <c:pt idx="5">
                  <c:v>0.05</c:v>
                </c:pt>
                <c:pt idx="6">
                  <c:v/>
                </c:pt>
                <c:pt idx="7">
                  <c:v>0.05</c:v>
                </c:pt>
                <c:pt idx="8">
                  <c:v/>
                </c:pt>
                <c:pt idx="9">
                  <c:v/>
                </c:pt>
                <c:pt idx="10">
                  <c:v>0.01</c:v>
                </c:pt>
                <c:pt idx="11">
                  <c:v/>
                </c:pt>
                <c:pt idx="12">
                  <c:v>0.03</c:v>
                </c:pt>
                <c:pt idx="13">
                  <c:v/>
                </c:pt>
                <c:pt idx="14">
                  <c:v/>
                </c:pt>
                <c:pt idx="15">
                  <c:v>1.66</c:v>
                </c:pt>
                <c:pt idx="16">
                  <c:v>1.1</c:v>
                </c:pt>
                <c:pt idx="17">
                  <c:v>2.21</c:v>
                </c:pt>
              </c:numCache>
            </c:numRef>
          </c:yVal>
          <c:smooth val="0"/>
        </c:ser>
        <c:axId val="87860945"/>
        <c:axId val="8648787"/>
      </c:scatterChart>
      <c:catAx>
        <c:axId val="38960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533060"/>
        <c:crosses val="autoZero"/>
        <c:auto val="1"/>
        <c:lblAlgn val="ctr"/>
        <c:lblOffset val="100"/>
      </c:catAx>
      <c:valAx>
        <c:axId val="77533060"/>
        <c:scaling>
          <c:orientation val="minMax"/>
          <c:max val="2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Total Investment Cost [bn €]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\ ;[RED]\-0\ 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896025"/>
        <c:crosses val="autoZero"/>
      </c:valAx>
      <c:catAx>
        <c:axId val="87860945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48787"/>
        <c:crosses val="autoZero"/>
        <c:auto val="1"/>
        <c:lblAlgn val="ctr"/>
        <c:lblOffset val="100"/>
      </c:catAx>
      <c:valAx>
        <c:axId val="8648787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Annual Investment Cost [bn €/yr]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860945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  <a:r>
              <a:rPr b="0" sz="1200" spc="-1" strike="noStrike">
                <a:solidFill>
                  <a:srgbClr val="000000"/>
                </a:solidFill>
                <a:latin typeface="Arial"/>
              </a:rPr>
              <a:t>Total Investment Cost for All Storages in Germany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'Storage Cost (2)'!$K$1</c:f>
              <c:strCache>
                <c:ptCount val="1"/>
                <c:pt idx="0">
                  <c:v>NDE Investment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'Storage Cost (2)'!$J$2:$J$4</c:f>
              <c:strCache>
                <c:ptCount val="3"/>
                <c:pt idx="0">
                  <c:v>Base</c:v>
                </c:pt>
                <c:pt idx="1">
                  <c:v>Conservative</c:v>
                </c:pt>
                <c:pt idx="2">
                  <c:v>Progressive</c:v>
                </c:pt>
              </c:strCache>
            </c:strRef>
          </c:cat>
          <c:val>
            <c:numRef>
              <c:f>'Storage Cost (2)'!$K$2:$K$4</c:f>
              <c:numCache>
                <c:formatCode>General</c:formatCode>
                <c:ptCount val="3"/>
                <c:pt idx="0">
                  <c:v>7.6083872</c:v>
                </c:pt>
                <c:pt idx="1">
                  <c:v>6.0113048</c:v>
                </c:pt>
                <c:pt idx="2">
                  <c:v>9.2217696</c:v>
                </c:pt>
              </c:numCache>
            </c:numRef>
          </c:val>
        </c:ser>
        <c:ser>
          <c:idx val="1"/>
          <c:order val="1"/>
          <c:tx>
            <c:strRef>
              <c:f>'Storage Cost (2)'!$L$1</c:f>
              <c:strCache>
                <c:ptCount val="1"/>
                <c:pt idx="0">
                  <c:v>SDE Investment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'Storage Cost (2)'!$J$2:$J$4</c:f>
              <c:strCache>
                <c:ptCount val="3"/>
                <c:pt idx="0">
                  <c:v>Base</c:v>
                </c:pt>
                <c:pt idx="1">
                  <c:v>Conservative</c:v>
                </c:pt>
                <c:pt idx="2">
                  <c:v>Progressive</c:v>
                </c:pt>
              </c:strCache>
            </c:strRef>
          </c:cat>
          <c:val>
            <c:numRef>
              <c:f>'Storage Cost (2)'!$L$2:$L$4</c:f>
              <c:numCache>
                <c:formatCode>General</c:formatCode>
                <c:ptCount val="3"/>
                <c:pt idx="0">
                  <c:v>33.0414828</c:v>
                </c:pt>
                <c:pt idx="1">
                  <c:v>27.3771852</c:v>
                </c:pt>
                <c:pt idx="2">
                  <c:v>38.7057804</c:v>
                </c:pt>
              </c:numCache>
            </c:numRef>
          </c:val>
        </c:ser>
        <c:gapWidth val="150"/>
        <c:overlap val="100"/>
        <c:axId val="34371910"/>
        <c:axId val="35570441"/>
      </c:barChart>
      <c:scatterChart>
        <c:scatterStyle val="lineMarker"/>
        <c:varyColors val="0"/>
        <c:ser>
          <c:idx val="2"/>
          <c:order val="2"/>
          <c:tx>
            <c:strRef>
              <c:f>'Storage Cost (2)'!$M$1</c:f>
              <c:strCache>
                <c:ptCount val="1"/>
                <c:pt idx="0">
                  <c:v>Annual Cost</c:v>
                </c:pt>
              </c:strCache>
            </c:strRef>
          </c:tx>
          <c:spPr>
            <a:solidFill>
              <a:srgbClr val="7030a0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</c:spPr>
          </c:marker>
          <c:dLbls>
            <c:numFmt formatCode="General" sourceLinked="1"/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xVal>
            <c:numRef>
              <c:f>'Storage Cost (2)'!$J$2:$J$4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'Storage Cost (2)'!$M$2:$M$4</c:f>
              <c:numCache>
                <c:formatCode>General</c:formatCode>
                <c:ptCount val="3"/>
                <c:pt idx="0">
                  <c:v>3.29</c:v>
                </c:pt>
                <c:pt idx="1">
                  <c:v>2.67</c:v>
                </c:pt>
                <c:pt idx="2">
                  <c:v>3.86</c:v>
                </c:pt>
              </c:numCache>
            </c:numRef>
          </c:yVal>
          <c:smooth val="0"/>
        </c:ser>
        <c:axId val="31051341"/>
        <c:axId val="18918341"/>
      </c:scatterChart>
      <c:catAx>
        <c:axId val="343719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570441"/>
        <c:crosses val="autoZero"/>
        <c:auto val="1"/>
        <c:lblAlgn val="ctr"/>
        <c:lblOffset val="100"/>
      </c:catAx>
      <c:valAx>
        <c:axId val="35570441"/>
        <c:scaling>
          <c:orientation val="minMax"/>
          <c:max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Total Investment Cost [bn €]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4371910"/>
        <c:crosses val="autoZero"/>
      </c:valAx>
      <c:catAx>
        <c:axId val="31051341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918341"/>
        <c:crosses val="autoZero"/>
        <c:auto val="1"/>
        <c:lblAlgn val="ctr"/>
        <c:lblOffset val="100"/>
      </c:catAx>
      <c:valAx>
        <c:axId val="18918341"/>
        <c:scaling>
          <c:orientation val="minMax"/>
          <c:max val="5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Annual Investment Cost [bn €/yr]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051341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'Grid Sensitivity'!$B$12</c:f>
              <c:strCache>
                <c:ptCount val="1"/>
                <c:pt idx="0">
                  <c:v>NDE to SDE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'Grid Sensitivity'!$A$13:$A$19</c:f>
              <c:strCache>
                <c:ptCount val="7"/>
                <c:pt idx="0">
                  <c:v>25</c:v>
                </c:pt>
                <c:pt idx="1">
                  <c:v>27.5</c:v>
                </c:pt>
                <c:pt idx="2">
                  <c:v>30</c:v>
                </c:pt>
                <c:pt idx="3">
                  <c:v>32.5</c:v>
                </c:pt>
                <c:pt idx="4">
                  <c:v>35</c:v>
                </c:pt>
                <c:pt idx="5">
                  <c:v>37.5</c:v>
                </c:pt>
                <c:pt idx="6">
                  <c:v>40</c:v>
                </c:pt>
              </c:strCache>
            </c:strRef>
          </c:cat>
          <c:val>
            <c:numRef>
              <c:f>'Grid Sensitivity'!$B$13:$B$19</c:f>
              <c:numCache>
                <c:formatCode>General</c:formatCode>
                <c:ptCount val="7"/>
                <c:pt idx="0">
                  <c:v>119.64</c:v>
                </c:pt>
                <c:pt idx="1">
                  <c:v>120.06</c:v>
                </c:pt>
                <c:pt idx="2">
                  <c:v>120.55</c:v>
                </c:pt>
                <c:pt idx="3">
                  <c:v>121.12</c:v>
                </c:pt>
                <c:pt idx="4">
                  <c:v>121.85</c:v>
                </c:pt>
                <c:pt idx="5">
                  <c:v>122.32</c:v>
                </c:pt>
                <c:pt idx="6">
                  <c:v>122.72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719016"/>
        <c:axId val="64179157"/>
      </c:lineChart>
      <c:lineChart>
        <c:grouping val="standard"/>
        <c:varyColors val="0"/>
        <c:ser>
          <c:idx val="1"/>
          <c:order val="1"/>
          <c:tx>
            <c:strRef>
              <c:f>'Grid Sensitivity'!$C$12</c:f>
              <c:strCache>
                <c:ptCount val="1"/>
                <c:pt idx="0">
                  <c:v>SDE to NDE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'Grid Sensitivity'!$A$13:$A$19</c:f>
              <c:strCache>
                <c:ptCount val="7"/>
                <c:pt idx="0">
                  <c:v>25</c:v>
                </c:pt>
                <c:pt idx="1">
                  <c:v>27.5</c:v>
                </c:pt>
                <c:pt idx="2">
                  <c:v>30</c:v>
                </c:pt>
                <c:pt idx="3">
                  <c:v>32.5</c:v>
                </c:pt>
                <c:pt idx="4">
                  <c:v>35</c:v>
                </c:pt>
                <c:pt idx="5">
                  <c:v>37.5</c:v>
                </c:pt>
                <c:pt idx="6">
                  <c:v>40</c:v>
                </c:pt>
              </c:strCache>
            </c:strRef>
          </c:cat>
          <c:val>
            <c:numRef>
              <c:f>'Grid Sensitivity'!$C$13:$C$19</c:f>
              <c:numCache>
                <c:formatCode>General</c:formatCode>
                <c:ptCount val="7"/>
                <c:pt idx="0">
                  <c:v>0.21</c:v>
                </c:pt>
                <c:pt idx="1">
                  <c:v>0.22</c:v>
                </c:pt>
                <c:pt idx="2">
                  <c:v>0.66</c:v>
                </c:pt>
                <c:pt idx="3">
                  <c:v>1.9</c:v>
                </c:pt>
                <c:pt idx="4">
                  <c:v>4.19</c:v>
                </c:pt>
                <c:pt idx="5">
                  <c:v>5.63</c:v>
                </c:pt>
                <c:pt idx="6">
                  <c:v>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961033"/>
        <c:axId val="44430686"/>
      </c:lineChart>
      <c:catAx>
        <c:axId val="407190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Grid Capacity [GWel]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179157"/>
        <c:crosses val="autoZero"/>
        <c:auto val="1"/>
        <c:lblAlgn val="ctr"/>
        <c:lblOffset val="100"/>
      </c:catAx>
      <c:valAx>
        <c:axId val="64179157"/>
        <c:scaling>
          <c:orientation val="minMax"/>
          <c:min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Electricity from NDE to SDE [TWhel]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e7e6e6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719016"/>
        <c:crosses val="autoZero"/>
        <c:crossBetween val="midCat"/>
      </c:valAx>
      <c:catAx>
        <c:axId val="5696103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430686"/>
        <c:crosses val="autoZero"/>
        <c:auto val="1"/>
        <c:lblAlgn val="ctr"/>
        <c:lblOffset val="100"/>
      </c:catAx>
      <c:valAx>
        <c:axId val="44430686"/>
        <c:scaling>
          <c:orientation val="minMax"/>
          <c:max val="10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Electricity from SDE to NDE [TWhel]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961033"/>
        <c:crosses val="max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'Grid Sensitivity'!$B$2</c:f>
              <c:strCache>
                <c:ptCount val="1"/>
                <c:pt idx="0">
                  <c:v>Onshore Wind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'Grid Sensitivity'!$A$3:$A$9</c:f>
              <c:strCache>
                <c:ptCount val="7"/>
                <c:pt idx="0">
                  <c:v>25</c:v>
                </c:pt>
                <c:pt idx="1">
                  <c:v>27.5</c:v>
                </c:pt>
                <c:pt idx="2">
                  <c:v>30</c:v>
                </c:pt>
                <c:pt idx="3">
                  <c:v>32.5</c:v>
                </c:pt>
                <c:pt idx="4">
                  <c:v>35</c:v>
                </c:pt>
                <c:pt idx="5">
                  <c:v>37.5</c:v>
                </c:pt>
                <c:pt idx="6">
                  <c:v>40</c:v>
                </c:pt>
              </c:strCache>
            </c:strRef>
          </c:cat>
          <c:val>
            <c:numRef>
              <c:f>'Grid Sensitivity'!$B$3:$B$9</c:f>
              <c:numCache>
                <c:formatCode>General</c:formatCode>
                <c:ptCount val="7"/>
                <c:pt idx="0">
                  <c:v>168.689</c:v>
                </c:pt>
                <c:pt idx="1">
                  <c:v>168.689</c:v>
                </c:pt>
                <c:pt idx="2">
                  <c:v>168.689</c:v>
                </c:pt>
                <c:pt idx="3">
                  <c:v>168.689</c:v>
                </c:pt>
                <c:pt idx="4">
                  <c:v>168.689</c:v>
                </c:pt>
                <c:pt idx="5">
                  <c:v>168.689</c:v>
                </c:pt>
                <c:pt idx="6">
                  <c:v>168.689</c:v>
                </c:pt>
              </c:numCache>
            </c:numRef>
          </c:val>
        </c:ser>
        <c:ser>
          <c:idx val="1"/>
          <c:order val="1"/>
          <c:tx>
            <c:strRef>
              <c:f>'Grid Sensitivity'!$E$2</c:f>
              <c:strCache>
                <c:ptCount val="1"/>
                <c:pt idx="0">
                  <c:v>Hydro RoR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'Grid Sensitivity'!$A$3:$A$9</c:f>
              <c:strCache>
                <c:ptCount val="7"/>
                <c:pt idx="0">
                  <c:v>25</c:v>
                </c:pt>
                <c:pt idx="1">
                  <c:v>27.5</c:v>
                </c:pt>
                <c:pt idx="2">
                  <c:v>30</c:v>
                </c:pt>
                <c:pt idx="3">
                  <c:v>32.5</c:v>
                </c:pt>
                <c:pt idx="4">
                  <c:v>35</c:v>
                </c:pt>
                <c:pt idx="5">
                  <c:v>37.5</c:v>
                </c:pt>
                <c:pt idx="6">
                  <c:v>40</c:v>
                </c:pt>
              </c:strCache>
            </c:strRef>
          </c:cat>
          <c:val>
            <c:numRef>
              <c:f>'Grid Sensitivity'!$E$3:$E$9</c:f>
              <c:numCache>
                <c:formatCode>General</c:formatCode>
                <c:ptCount val="7"/>
                <c:pt idx="0">
                  <c:v>1.16</c:v>
                </c:pt>
                <c:pt idx="1">
                  <c:v>1.16</c:v>
                </c:pt>
                <c:pt idx="2">
                  <c:v>1.16</c:v>
                </c:pt>
                <c:pt idx="3">
                  <c:v>1.16</c:v>
                </c:pt>
                <c:pt idx="4">
                  <c:v>1.16</c:v>
                </c:pt>
                <c:pt idx="5">
                  <c:v>1.16</c:v>
                </c:pt>
                <c:pt idx="6">
                  <c:v>1.16</c:v>
                </c:pt>
              </c:numCache>
            </c:numRef>
          </c:val>
        </c:ser>
        <c:gapWidth val="150"/>
        <c:overlap val="0"/>
        <c:axId val="1403978"/>
        <c:axId val="2451517"/>
      </c:barChart>
      <c:lineChart>
        <c:grouping val="standard"/>
        <c:varyColors val="0"/>
        <c:ser>
          <c:idx val="2"/>
          <c:order val="2"/>
          <c:tx>
            <c:strRef>
              <c:f>'Grid Sensitivity'!$C$2</c:f>
              <c:strCache>
                <c:ptCount val="1"/>
                <c:pt idx="0">
                  <c:v>Offshore Wind</c:v>
                </c:pt>
              </c:strCache>
            </c:strRef>
          </c:tx>
          <c:spPr>
            <a:solidFill>
              <a:srgbClr val="203864"/>
            </a:solidFill>
            <a:ln w="19080">
              <a:solidFill>
                <a:srgbClr val="203864"/>
              </a:solidFill>
              <a:round/>
            </a:ln>
          </c:spPr>
          <c:marker>
            <c:symbol val="circle"/>
            <c:size val="5"/>
            <c:spPr>
              <a:solidFill>
                <a:srgbClr val="203864"/>
              </a:solidFill>
            </c:spPr>
          </c:marker>
          <c:dLbls>
            <c:numFmt formatCode="0.00" sourceLinked="1"/>
            <c:dLblPos val="b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'Grid Sensitivity'!$A$3:$A$9</c:f>
              <c:strCache>
                <c:ptCount val="7"/>
                <c:pt idx="0">
                  <c:v>25</c:v>
                </c:pt>
                <c:pt idx="1">
                  <c:v>27.5</c:v>
                </c:pt>
                <c:pt idx="2">
                  <c:v>30</c:v>
                </c:pt>
                <c:pt idx="3">
                  <c:v>32.5</c:v>
                </c:pt>
                <c:pt idx="4">
                  <c:v>35</c:v>
                </c:pt>
                <c:pt idx="5">
                  <c:v>37.5</c:v>
                </c:pt>
                <c:pt idx="6">
                  <c:v>40</c:v>
                </c:pt>
              </c:strCache>
            </c:strRef>
          </c:cat>
          <c:val>
            <c:numRef>
              <c:f>'Grid Sensitivity'!$C$3:$C$9</c:f>
              <c:numCache>
                <c:formatCode>General</c:formatCode>
                <c:ptCount val="7"/>
                <c:pt idx="0">
                  <c:v>59.747</c:v>
                </c:pt>
                <c:pt idx="1">
                  <c:v>54.651</c:v>
                </c:pt>
                <c:pt idx="2">
                  <c:v>53.672</c:v>
                </c:pt>
                <c:pt idx="3">
                  <c:v>53.293</c:v>
                </c:pt>
                <c:pt idx="4">
                  <c:v>52.524</c:v>
                </c:pt>
                <c:pt idx="5">
                  <c:v>51.85</c:v>
                </c:pt>
                <c:pt idx="6">
                  <c:v>50.678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'Grid Sensitivity'!$D$2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ff00"/>
            </a:solidFill>
            <a:ln w="28440">
              <a:solidFill>
                <a:srgbClr val="ffff00"/>
              </a:solidFill>
              <a:round/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dLbls>
            <c:numFmt formatCode="0.00" sourceLinked="1"/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'Grid Sensitivity'!$A$3:$A$9</c:f>
              <c:strCache>
                <c:ptCount val="7"/>
                <c:pt idx="0">
                  <c:v>25</c:v>
                </c:pt>
                <c:pt idx="1">
                  <c:v>27.5</c:v>
                </c:pt>
                <c:pt idx="2">
                  <c:v>30</c:v>
                </c:pt>
                <c:pt idx="3">
                  <c:v>32.5</c:v>
                </c:pt>
                <c:pt idx="4">
                  <c:v>35</c:v>
                </c:pt>
                <c:pt idx="5">
                  <c:v>37.5</c:v>
                </c:pt>
                <c:pt idx="6">
                  <c:v>40</c:v>
                </c:pt>
              </c:strCache>
            </c:strRef>
          </c:cat>
          <c:val>
            <c:numRef>
              <c:f>'Grid Sensitivity'!$D$3:$D$9</c:f>
              <c:numCache>
                <c:formatCode>General</c:formatCode>
                <c:ptCount val="7"/>
                <c:pt idx="0">
                  <c:v>241.223</c:v>
                </c:pt>
                <c:pt idx="1">
                  <c:v>227.695</c:v>
                </c:pt>
                <c:pt idx="2">
                  <c:v>213.007</c:v>
                </c:pt>
                <c:pt idx="3">
                  <c:v>203.455</c:v>
                </c:pt>
                <c:pt idx="4">
                  <c:v>194.47</c:v>
                </c:pt>
                <c:pt idx="5">
                  <c:v>188.9</c:v>
                </c:pt>
                <c:pt idx="6">
                  <c:v>188.066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'Grid Sensitivity'!$F$2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rgbClr val="548235"/>
            </a:solidFill>
            <a:ln w="28440">
              <a:solidFill>
                <a:srgbClr val="548235"/>
              </a:solidFill>
              <a:round/>
            </a:ln>
          </c:spPr>
          <c:marker>
            <c:symbol val="circle"/>
            <c:size val="5"/>
            <c:spPr>
              <a:solidFill>
                <a:srgbClr val="548235"/>
              </a:solidFill>
            </c:spPr>
          </c:marker>
          <c:dLbls>
            <c:numFmt formatCode="0.00" sourceLinked="1"/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'Grid Sensitivity'!$A$3:$A$9</c:f>
              <c:strCache>
                <c:ptCount val="7"/>
                <c:pt idx="0">
                  <c:v>25</c:v>
                </c:pt>
                <c:pt idx="1">
                  <c:v>27.5</c:v>
                </c:pt>
                <c:pt idx="2">
                  <c:v>30</c:v>
                </c:pt>
                <c:pt idx="3">
                  <c:v>32.5</c:v>
                </c:pt>
                <c:pt idx="4">
                  <c:v>35</c:v>
                </c:pt>
                <c:pt idx="5">
                  <c:v>37.5</c:v>
                </c:pt>
                <c:pt idx="6">
                  <c:v>40</c:v>
                </c:pt>
              </c:strCache>
            </c:strRef>
          </c:cat>
          <c:val>
            <c:numRef>
              <c:f>'Grid Sensitivity'!$F$3:$F$9</c:f>
              <c:numCache>
                <c:formatCode>General</c:formatCode>
                <c:ptCount val="7"/>
                <c:pt idx="0">
                  <c:v>66.971</c:v>
                </c:pt>
                <c:pt idx="1">
                  <c:v>67.413</c:v>
                </c:pt>
                <c:pt idx="2">
                  <c:v>67.621</c:v>
                </c:pt>
                <c:pt idx="3">
                  <c:v>67.683</c:v>
                </c:pt>
                <c:pt idx="4">
                  <c:v>67.942</c:v>
                </c:pt>
                <c:pt idx="5">
                  <c:v>68.17</c:v>
                </c:pt>
                <c:pt idx="6">
                  <c:v>68.3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'Grid Sensitivity'!$G$2</c:f>
              <c:strCache>
                <c:ptCount val="1"/>
                <c:pt idx="0">
                  <c:v>Heat Pump 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0.00" sourceLinked="1"/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'Grid Sensitivity'!$A$3:$A$9</c:f>
              <c:strCache>
                <c:ptCount val="7"/>
                <c:pt idx="0">
                  <c:v>25</c:v>
                </c:pt>
                <c:pt idx="1">
                  <c:v>27.5</c:v>
                </c:pt>
                <c:pt idx="2">
                  <c:v>30</c:v>
                </c:pt>
                <c:pt idx="3">
                  <c:v>32.5</c:v>
                </c:pt>
                <c:pt idx="4">
                  <c:v>35</c:v>
                </c:pt>
                <c:pt idx="5">
                  <c:v>37.5</c:v>
                </c:pt>
                <c:pt idx="6">
                  <c:v>40</c:v>
                </c:pt>
              </c:strCache>
            </c:strRef>
          </c:cat>
          <c:val>
            <c:numRef>
              <c:f>'Grid Sensitivity'!$G$3:$G$9</c:f>
              <c:numCache>
                <c:formatCode>General</c:formatCode>
                <c:ptCount val="7"/>
                <c:pt idx="0">
                  <c:v>180.369</c:v>
                </c:pt>
                <c:pt idx="1">
                  <c:v>178.629</c:v>
                </c:pt>
                <c:pt idx="2">
                  <c:v>175.128</c:v>
                </c:pt>
                <c:pt idx="3">
                  <c:v>171.855</c:v>
                </c:pt>
                <c:pt idx="4">
                  <c:v>171.567</c:v>
                </c:pt>
                <c:pt idx="5">
                  <c:v>171.34</c:v>
                </c:pt>
                <c:pt idx="6">
                  <c:v>171.209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075928"/>
        <c:axId val="89369850"/>
      </c:lineChart>
      <c:catAx>
        <c:axId val="14039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Grid Capacity [GWel]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51517"/>
        <c:crosses val="autoZero"/>
        <c:auto val="1"/>
        <c:lblAlgn val="ctr"/>
        <c:lblOffset val="100"/>
      </c:catAx>
      <c:valAx>
        <c:axId val="2451517"/>
        <c:scaling>
          <c:orientation val="minMax"/>
          <c:max val="2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Investment [GWel/GWth]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03978"/>
        <c:crosses val="autoZero"/>
      </c:valAx>
      <c:catAx>
        <c:axId val="26075928"/>
        <c:scaling>
          <c:orientation val="minMax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Grid Capacity [GWel]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9369850"/>
        <c:crosses val="autoZero"/>
        <c:auto val="1"/>
        <c:lblAlgn val="ctr"/>
        <c:lblOffset val="100"/>
      </c:catAx>
      <c:valAx>
        <c:axId val="89369850"/>
        <c:scaling>
          <c:orientation val="minMax"/>
          <c:max val="250"/>
        </c:scaling>
        <c:delete val="1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Investment [GWel/GWth]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075928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ndard"/>
        <c:ser>
          <c:idx val="0"/>
          <c:order val="0"/>
          <c:tx>
            <c:strRef>
              <c:f>'Grid Sensitivity'!$F$64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e699"/>
            </a:solidFill>
            <a:ln>
              <a:noFill/>
            </a:ln>
          </c:spP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'Grid Sensitivity'!$A$65:$A$71</c:f>
              <c:strCach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'Grid Sensitivity'!$F$65:$F$71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1"/>
          <c:order val="1"/>
          <c:tx>
            <c:strRef>
              <c:f>'Grid Sensitivity'!$C$64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b4c7e7"/>
            </a:solidFill>
            <a:ln>
              <a:noFill/>
            </a:ln>
          </c:spP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'Grid Sensitivity'!$A$65:$A$71</c:f>
              <c:strCach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'Grid Sensitivity'!$C$66:$C$71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axId val="55645321"/>
        <c:axId val="85107515"/>
      </c:areaChart>
      <c:lineChart>
        <c:grouping val="standard"/>
        <c:varyColors val="0"/>
        <c:ser>
          <c:idx val="2"/>
          <c:order val="2"/>
          <c:tx>
            <c:strRef>
              <c:f>'Grid Sensitivity'!$B$64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030a0"/>
            </a:solidFill>
            <a:ln w="19080">
              <a:solidFill>
                <a:srgbClr val="7030a0"/>
              </a:solidFill>
              <a:round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numFmt formatCode="General" sourceLinked="1"/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'Grid Sensitivity'!$A$65:$A$71</c:f>
              <c:strCach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'Grid Sensitivity'!$B$65:$B$71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'Grid Sensitivity'!$D$64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06000"/>
            </a:solidFill>
            <a:ln w="19080">
              <a:solidFill>
                <a:srgbClr val="806000"/>
              </a:solidFill>
              <a:round/>
            </a:ln>
          </c:spPr>
          <c:marker>
            <c:symbol val="circle"/>
            <c:size val="5"/>
            <c:spPr>
              <a:solidFill>
                <a:srgbClr val="806000"/>
              </a:solidFill>
            </c:spPr>
          </c:marker>
          <c:dLbls>
            <c:numFmt formatCode="General" sourceLinked="1"/>
            <c:dLblPos val="b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'Grid Sensitivity'!$A$65:$A$71</c:f>
              <c:strCach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'Grid Sensitivity'!$D$65:$D$71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456260"/>
        <c:axId val="27960780"/>
      </c:lineChart>
      <c:catAx>
        <c:axId val="556453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Grid Capacity [GWel]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107515"/>
        <c:crosses val="autoZero"/>
        <c:auto val="1"/>
        <c:lblAlgn val="ctr"/>
        <c:lblOffset val="100"/>
      </c:catAx>
      <c:valAx>
        <c:axId val="851075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Investment [GWel/GWhel]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645321"/>
        <c:crosses val="autoZero"/>
      </c:valAx>
      <c:catAx>
        <c:axId val="53456260"/>
        <c:scaling>
          <c:orientation val="minMax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Grid Capacity [GWel]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960780"/>
        <c:crosses val="autoZero"/>
        <c:auto val="1"/>
        <c:lblAlgn val="ctr"/>
        <c:lblOffset val="100"/>
      </c:catAx>
      <c:valAx>
        <c:axId val="27960780"/>
        <c:scaling>
          <c:orientation val="minMax"/>
        </c:scaling>
        <c:delete val="1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Investment [GWel/GWhel]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456260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'storage sensitivity'!$B$9</c:f>
              <c:strCache>
                <c:ptCount val="1"/>
                <c:pt idx="0">
                  <c:v>NDE to SDE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'storage sensitivity'!$A$10:$A$15</c:f>
              <c:strCache>
                <c:ptCount val="6"/>
                <c:pt idx="0">
                  <c:v>0%</c:v>
                </c:pt>
                <c:pt idx="1">
                  <c:v>20%</c:v>
                </c:pt>
                <c:pt idx="2">
                  <c:v>40%</c:v>
                </c:pt>
                <c:pt idx="3">
                  <c:v>60%</c:v>
                </c:pt>
                <c:pt idx="4">
                  <c:v>80%</c:v>
                </c:pt>
                <c:pt idx="5">
                  <c:v>100%</c:v>
                </c:pt>
              </c:strCache>
            </c:strRef>
          </c:cat>
          <c:val>
            <c:numRef>
              <c:f>'storage sensitivity'!$B$10:$B$15</c:f>
              <c:numCache>
                <c:formatCode>General</c:formatCode>
                <c:ptCount val="6"/>
                <c:pt idx="0">
                  <c:v>113.88</c:v>
                </c:pt>
                <c:pt idx="1">
                  <c:v>112.53</c:v>
                </c:pt>
                <c:pt idx="2">
                  <c:v>111.18</c:v>
                </c:pt>
                <c:pt idx="3">
                  <c:v>108.34</c:v>
                </c:pt>
                <c:pt idx="4">
                  <c:v>105.63</c:v>
                </c:pt>
                <c:pt idx="5">
                  <c:v>102.77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298664"/>
        <c:axId val="15854930"/>
      </c:lineChart>
      <c:lineChart>
        <c:grouping val="standard"/>
        <c:varyColors val="0"/>
        <c:ser>
          <c:idx val="1"/>
          <c:order val="1"/>
          <c:tx>
            <c:strRef>
              <c:f>'storage sensitivity'!$C$9</c:f>
              <c:strCache>
                <c:ptCount val="1"/>
                <c:pt idx="0">
                  <c:v>SDE to NDE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'storage sensitivity'!$A$10:$A$15</c:f>
              <c:strCache>
                <c:ptCount val="6"/>
                <c:pt idx="0">
                  <c:v>0%</c:v>
                </c:pt>
                <c:pt idx="1">
                  <c:v>20%</c:v>
                </c:pt>
                <c:pt idx="2">
                  <c:v>40%</c:v>
                </c:pt>
                <c:pt idx="3">
                  <c:v>60%</c:v>
                </c:pt>
                <c:pt idx="4">
                  <c:v>80%</c:v>
                </c:pt>
                <c:pt idx="5">
                  <c:v>100%</c:v>
                </c:pt>
              </c:strCache>
            </c:strRef>
          </c:cat>
          <c:val>
            <c:numRef>
              <c:f>'storage sensitivity'!$C$10:$C$15</c:f>
              <c:numCache>
                <c:formatCode>General</c:formatCode>
                <c:ptCount val="6"/>
                <c:pt idx="0">
                  <c:v>0.05</c:v>
                </c:pt>
                <c:pt idx="1">
                  <c:v>0.23</c:v>
                </c:pt>
                <c:pt idx="2">
                  <c:v>0.19</c:v>
                </c:pt>
                <c:pt idx="3">
                  <c:v>0.12</c:v>
                </c:pt>
                <c:pt idx="4">
                  <c:v>0.14</c:v>
                </c:pt>
                <c:pt idx="5">
                  <c:v>0.14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658240"/>
        <c:axId val="90112879"/>
      </c:lineChart>
      <c:catAx>
        <c:axId val="272986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Storage Expansion [%]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854930"/>
        <c:crosses val="autoZero"/>
        <c:auto val="1"/>
        <c:lblAlgn val="ctr"/>
        <c:lblOffset val="100"/>
      </c:catAx>
      <c:valAx>
        <c:axId val="15854930"/>
        <c:scaling>
          <c:orientation val="minMax"/>
          <c:max val="125"/>
          <c:min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Electricity from NDE to SDE [TWhel]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e7e6e6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298664"/>
        <c:crosses val="autoZero"/>
        <c:crossBetween val="midCat"/>
      </c:valAx>
      <c:catAx>
        <c:axId val="27658240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112879"/>
        <c:crosses val="autoZero"/>
        <c:auto val="1"/>
        <c:lblAlgn val="ctr"/>
        <c:lblOffset val="100"/>
      </c:catAx>
      <c:valAx>
        <c:axId val="90112879"/>
        <c:scaling>
          <c:orientation val="minMax"/>
          <c:max val="10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Electricity from SDE to NDE [TWhel]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658240"/>
        <c:crosses val="max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'storage sensitivity'!$B$1</c:f>
              <c:strCache>
                <c:ptCount val="1"/>
                <c:pt idx="0">
                  <c:v>Onshore Wind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'storage sensitivity'!$A$2:$A$7</c:f>
              <c:strCache>
                <c:ptCount val="6"/>
                <c:pt idx="0">
                  <c:v>0%</c:v>
                </c:pt>
                <c:pt idx="1">
                  <c:v>20%</c:v>
                </c:pt>
                <c:pt idx="2">
                  <c:v>40%</c:v>
                </c:pt>
                <c:pt idx="3">
                  <c:v>60%</c:v>
                </c:pt>
                <c:pt idx="4">
                  <c:v>80%</c:v>
                </c:pt>
                <c:pt idx="5">
                  <c:v>100%</c:v>
                </c:pt>
              </c:strCache>
            </c:strRef>
          </c:cat>
          <c:val>
            <c:numRef>
              <c:f>'storage sensitivity'!$B$2:$B$7</c:f>
              <c:numCache>
                <c:formatCode>General</c:formatCode>
                <c:ptCount val="6"/>
                <c:pt idx="0">
                  <c:v>168.689</c:v>
                </c:pt>
                <c:pt idx="1">
                  <c:v>168.689</c:v>
                </c:pt>
                <c:pt idx="2">
                  <c:v>168.689</c:v>
                </c:pt>
                <c:pt idx="3">
                  <c:v>168.689</c:v>
                </c:pt>
                <c:pt idx="4">
                  <c:v>168.689</c:v>
                </c:pt>
                <c:pt idx="5">
                  <c:v>168.689</c:v>
                </c:pt>
              </c:numCache>
            </c:numRef>
          </c:val>
        </c:ser>
        <c:ser>
          <c:idx val="1"/>
          <c:order val="1"/>
          <c:tx>
            <c:strRef>
              <c:f>'storage sensitivity'!$C$1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ff00"/>
            </a:solidFill>
            <a:ln w="19080"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'storage sensitivity'!$A$2:$A$7</c:f>
              <c:strCache>
                <c:ptCount val="6"/>
                <c:pt idx="0">
                  <c:v>0%</c:v>
                </c:pt>
                <c:pt idx="1">
                  <c:v>20%</c:v>
                </c:pt>
                <c:pt idx="2">
                  <c:v>40%</c:v>
                </c:pt>
                <c:pt idx="3">
                  <c:v>60%</c:v>
                </c:pt>
                <c:pt idx="4">
                  <c:v>80%</c:v>
                </c:pt>
                <c:pt idx="5">
                  <c:v>100%</c:v>
                </c:pt>
              </c:strCache>
            </c:strRef>
          </c:cat>
          <c:val>
            <c:numRef>
              <c:f>'storage sensitivity'!$C$2:$C$7</c:f>
              <c:numCache>
                <c:formatCode>General</c:formatCode>
                <c:ptCount val="6"/>
                <c:pt idx="0">
                  <c:v>243.84</c:v>
                </c:pt>
                <c:pt idx="1">
                  <c:v>243.84</c:v>
                </c:pt>
                <c:pt idx="2">
                  <c:v>243.84</c:v>
                </c:pt>
                <c:pt idx="3">
                  <c:v>243.84</c:v>
                </c:pt>
                <c:pt idx="4">
                  <c:v>243.84</c:v>
                </c:pt>
                <c:pt idx="5">
                  <c:v>243.71</c:v>
                </c:pt>
              </c:numCache>
            </c:numRef>
          </c:val>
        </c:ser>
        <c:ser>
          <c:idx val="2"/>
          <c:order val="2"/>
          <c:tx>
            <c:strRef>
              <c:f>'storage sensitivity'!$D$1</c:f>
              <c:strCache>
                <c:ptCount val="1"/>
                <c:pt idx="0">
                  <c:v>Hydro RoR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'storage sensitivity'!$A$2:$A$7</c:f>
              <c:strCache>
                <c:ptCount val="6"/>
                <c:pt idx="0">
                  <c:v>0%</c:v>
                </c:pt>
                <c:pt idx="1">
                  <c:v>20%</c:v>
                </c:pt>
                <c:pt idx="2">
                  <c:v>40%</c:v>
                </c:pt>
                <c:pt idx="3">
                  <c:v>60%</c:v>
                </c:pt>
                <c:pt idx="4">
                  <c:v>80%</c:v>
                </c:pt>
                <c:pt idx="5">
                  <c:v>100%</c:v>
                </c:pt>
              </c:strCache>
            </c:strRef>
          </c:cat>
          <c:val>
            <c:numRef>
              <c:f>'storage sensitivity'!$D$2:$D$7</c:f>
              <c:numCache>
                <c:formatCode>General</c:formatCode>
                <c:ptCount val="6"/>
                <c:pt idx="0">
                  <c:v>1.16</c:v>
                </c:pt>
                <c:pt idx="1">
                  <c:v>1.16</c:v>
                </c:pt>
                <c:pt idx="2">
                  <c:v>1.16</c:v>
                </c:pt>
                <c:pt idx="3">
                  <c:v>1.16</c:v>
                </c:pt>
                <c:pt idx="4">
                  <c:v>1.16</c:v>
                </c:pt>
                <c:pt idx="5">
                  <c:v>1.16</c:v>
                </c:pt>
              </c:numCache>
            </c:numRef>
          </c:val>
        </c:ser>
        <c:gapWidth val="150"/>
        <c:overlap val="0"/>
        <c:axId val="87550422"/>
        <c:axId val="16034106"/>
      </c:barChart>
      <c:lineChart>
        <c:grouping val="standard"/>
        <c:varyColors val="0"/>
        <c:ser>
          <c:idx val="3"/>
          <c:order val="3"/>
          <c:tx>
            <c:strRef>
              <c:f>'storage sensitivity'!$E$1</c:f>
              <c:strCache>
                <c:ptCount val="1"/>
                <c:pt idx="0">
                  <c:v>Offshore Wind</c:v>
                </c:pt>
              </c:strCache>
            </c:strRef>
          </c:tx>
          <c:spPr>
            <a:solidFill>
              <a:srgbClr val="203864"/>
            </a:solidFill>
            <a:ln w="28440">
              <a:solidFill>
                <a:srgbClr val="203864"/>
              </a:solidFill>
              <a:round/>
            </a:ln>
          </c:spPr>
          <c:marker>
            <c:symbol val="circle"/>
            <c:size val="5"/>
            <c:spPr>
              <a:solidFill>
                <a:srgbClr val="203864"/>
              </a:solidFill>
            </c:spPr>
          </c:marker>
          <c:dLbls>
            <c:numFmt formatCode="0.00" sourceLinked="1"/>
            <c:dLblPos val="b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'storage sensitivity'!$A$2:$A$7</c:f>
              <c:strCache>
                <c:ptCount val="6"/>
                <c:pt idx="0">
                  <c:v>0%</c:v>
                </c:pt>
                <c:pt idx="1">
                  <c:v>20%</c:v>
                </c:pt>
                <c:pt idx="2">
                  <c:v>40%</c:v>
                </c:pt>
                <c:pt idx="3">
                  <c:v>60%</c:v>
                </c:pt>
                <c:pt idx="4">
                  <c:v>80%</c:v>
                </c:pt>
                <c:pt idx="5">
                  <c:v>100%</c:v>
                </c:pt>
              </c:strCache>
            </c:strRef>
          </c:cat>
          <c:val>
            <c:numRef>
              <c:f>'storage sensitivity'!$E$2:$E$7</c:f>
              <c:numCache>
                <c:formatCode>General</c:formatCode>
                <c:ptCount val="6"/>
                <c:pt idx="0">
                  <c:v>55.53</c:v>
                </c:pt>
                <c:pt idx="1">
                  <c:v>54.83</c:v>
                </c:pt>
                <c:pt idx="2">
                  <c:v>53.95</c:v>
                </c:pt>
                <c:pt idx="3">
                  <c:v>44.12</c:v>
                </c:pt>
                <c:pt idx="4">
                  <c:v>35.68</c:v>
                </c:pt>
                <c:pt idx="5">
                  <c:v>29.1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'storage sensitivity'!$F$1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rgbClr val="548235"/>
            </a:solidFill>
            <a:ln w="28440">
              <a:solidFill>
                <a:srgbClr val="548235"/>
              </a:solidFill>
              <a:round/>
            </a:ln>
          </c:spPr>
          <c:marker>
            <c:symbol val="circle"/>
            <c:size val="5"/>
            <c:spPr>
              <a:solidFill>
                <a:srgbClr val="548235"/>
              </a:solidFill>
            </c:spPr>
          </c:marker>
          <c:dLbls>
            <c:numFmt formatCode="0.00" sourceLinked="1"/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'storage sensitivity'!$A$2:$A$7</c:f>
              <c:strCache>
                <c:ptCount val="6"/>
                <c:pt idx="0">
                  <c:v>0%</c:v>
                </c:pt>
                <c:pt idx="1">
                  <c:v>20%</c:v>
                </c:pt>
                <c:pt idx="2">
                  <c:v>40%</c:v>
                </c:pt>
                <c:pt idx="3">
                  <c:v>60%</c:v>
                </c:pt>
                <c:pt idx="4">
                  <c:v>80%</c:v>
                </c:pt>
                <c:pt idx="5">
                  <c:v>100%</c:v>
                </c:pt>
              </c:strCache>
            </c:strRef>
          </c:cat>
          <c:val>
            <c:numRef>
              <c:f>'storage sensitivity'!$F$2:$F$7</c:f>
              <c:numCache>
                <c:formatCode>General</c:formatCode>
                <c:ptCount val="6"/>
                <c:pt idx="0">
                  <c:v>62.5</c:v>
                </c:pt>
                <c:pt idx="1">
                  <c:v>61.55</c:v>
                </c:pt>
                <c:pt idx="2">
                  <c:v>60.49</c:v>
                </c:pt>
                <c:pt idx="3">
                  <c:v>58.78</c:v>
                </c:pt>
                <c:pt idx="4">
                  <c:v>56.54</c:v>
                </c:pt>
                <c:pt idx="5">
                  <c:v>54.32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'storage sensitivity'!$G$1</c:f>
              <c:strCache>
                <c:ptCount val="1"/>
                <c:pt idx="0">
                  <c:v>Heat Pump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0.00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'storage sensitivity'!$A$2:$A$7</c:f>
              <c:strCache>
                <c:ptCount val="6"/>
                <c:pt idx="0">
                  <c:v>0%</c:v>
                </c:pt>
                <c:pt idx="1">
                  <c:v>20%</c:v>
                </c:pt>
                <c:pt idx="2">
                  <c:v>40%</c:v>
                </c:pt>
                <c:pt idx="3">
                  <c:v>60%</c:v>
                </c:pt>
                <c:pt idx="4">
                  <c:v>80%</c:v>
                </c:pt>
                <c:pt idx="5">
                  <c:v>100%</c:v>
                </c:pt>
              </c:strCache>
            </c:strRef>
          </c:cat>
          <c:val>
            <c:numRef>
              <c:f>'storage sensitivity'!$G$2:$G$7</c:f>
              <c:numCache>
                <c:formatCode>General</c:formatCode>
                <c:ptCount val="6"/>
                <c:pt idx="0">
                  <c:v>189.87</c:v>
                </c:pt>
                <c:pt idx="1">
                  <c:v>188.44</c:v>
                </c:pt>
                <c:pt idx="2">
                  <c:v>186.84</c:v>
                </c:pt>
                <c:pt idx="3">
                  <c:v>181.7</c:v>
                </c:pt>
                <c:pt idx="4">
                  <c:v>178.84</c:v>
                </c:pt>
                <c:pt idx="5">
                  <c:v>177.39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305063"/>
        <c:axId val="46033896"/>
      </c:lineChart>
      <c:catAx>
        <c:axId val="875504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Storage Expansion [%]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034106"/>
        <c:crosses val="autoZero"/>
        <c:auto val="1"/>
        <c:lblAlgn val="ctr"/>
        <c:lblOffset val="100"/>
      </c:catAx>
      <c:valAx>
        <c:axId val="16034106"/>
        <c:scaling>
          <c:orientation val="minMax"/>
          <c:max val="2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Investment [GWel/GWth]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550422"/>
        <c:crosses val="autoZero"/>
      </c:valAx>
      <c:catAx>
        <c:axId val="89305063"/>
        <c:scaling>
          <c:orientation val="minMax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Storage Expansion [%]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033896"/>
        <c:crosses val="autoZero"/>
        <c:auto val="1"/>
        <c:lblAlgn val="ctr"/>
        <c:lblOffset val="100"/>
      </c:catAx>
      <c:valAx>
        <c:axId val="46033896"/>
        <c:scaling>
          <c:orientation val="minMax"/>
          <c:max val="250"/>
        </c:scaling>
        <c:delete val="1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Investment [GWel/GWth]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9305063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'100% System v2.0'!$F$2</c:f>
              <c:strCache>
                <c:ptCount val="1"/>
                <c:pt idx="0">
                  <c:v>Onshore Wind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'100% System v2.0'!$G$1:$I$1</c:f>
              <c:strCache>
                <c:ptCount val="3"/>
                <c:pt idx="0">
                  <c:v>Base</c:v>
                </c:pt>
                <c:pt idx="1">
                  <c:v>Conservative</c:v>
                </c:pt>
                <c:pt idx="2">
                  <c:v>Progressive</c:v>
                </c:pt>
              </c:strCache>
            </c:strRef>
          </c:cat>
          <c:val>
            <c:numRef>
              <c:f>'100% System v2.0'!$G$2:$I$2</c:f>
              <c:numCache>
                <c:formatCode>General</c:formatCode>
                <c:ptCount val="3"/>
                <c:pt idx="0">
                  <c:v>353.1735392</c:v>
                </c:pt>
                <c:pt idx="1">
                  <c:v>353.173539</c:v>
                </c:pt>
                <c:pt idx="2">
                  <c:v>353.173539</c:v>
                </c:pt>
              </c:numCache>
            </c:numRef>
          </c:val>
        </c:ser>
        <c:ser>
          <c:idx val="1"/>
          <c:order val="1"/>
          <c:tx>
            <c:strRef>
              <c:f>'100% System v2.0'!$F$3</c:f>
              <c:strCache>
                <c:ptCount val="1"/>
                <c:pt idx="0">
                  <c:v>Offshore Wind</c:v>
                </c:pt>
              </c:strCache>
            </c:strRef>
          </c:tx>
          <c:spPr>
            <a:solidFill>
              <a:srgbClr val="203864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'100% System v2.0'!$G$1:$I$1</c:f>
              <c:strCache>
                <c:ptCount val="3"/>
                <c:pt idx="0">
                  <c:v>Base</c:v>
                </c:pt>
                <c:pt idx="1">
                  <c:v>Conservative</c:v>
                </c:pt>
                <c:pt idx="2">
                  <c:v>Progressive</c:v>
                </c:pt>
              </c:strCache>
            </c:strRef>
          </c:cat>
          <c:val>
            <c:numRef>
              <c:f>'100% System v2.0'!$G$3:$I$3</c:f>
              <c:numCache>
                <c:formatCode>General</c:formatCode>
                <c:ptCount val="3"/>
                <c:pt idx="0">
                  <c:v>188.436532</c:v>
                </c:pt>
                <c:pt idx="1">
                  <c:v>257.979902</c:v>
                </c:pt>
                <c:pt idx="2">
                  <c:v>101.176521</c:v>
                </c:pt>
              </c:numCache>
            </c:numRef>
          </c:val>
        </c:ser>
        <c:ser>
          <c:idx val="2"/>
          <c:order val="2"/>
          <c:tx>
            <c:strRef>
              <c:f>'100% System v2.0'!$F$4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'100% System v2.0'!$G$1:$I$1</c:f>
              <c:strCache>
                <c:ptCount val="3"/>
                <c:pt idx="0">
                  <c:v>Base</c:v>
                </c:pt>
                <c:pt idx="1">
                  <c:v>Conservative</c:v>
                </c:pt>
                <c:pt idx="2">
                  <c:v>Progressive</c:v>
                </c:pt>
              </c:strCache>
            </c:strRef>
          </c:cat>
          <c:val>
            <c:numRef>
              <c:f>'100% System v2.0'!$G$4:$I$4</c:f>
              <c:numCache>
                <c:formatCode>General</c:formatCode>
                <c:ptCount val="3"/>
                <c:pt idx="0">
                  <c:v>286.78261</c:v>
                </c:pt>
                <c:pt idx="1">
                  <c:v>337.351564</c:v>
                </c:pt>
                <c:pt idx="2">
                  <c:v>258.337379</c:v>
                </c:pt>
              </c:numCache>
            </c:numRef>
          </c:val>
        </c:ser>
        <c:ser>
          <c:idx val="3"/>
          <c:order val="3"/>
          <c:tx>
            <c:strRef>
              <c:f>'100% System v2.0'!$F$5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'100% System v2.0'!$G$1:$I$1</c:f>
              <c:strCache>
                <c:ptCount val="3"/>
                <c:pt idx="0">
                  <c:v>Base</c:v>
                </c:pt>
                <c:pt idx="1">
                  <c:v>Conservative</c:v>
                </c:pt>
                <c:pt idx="2">
                  <c:v>Progressive</c:v>
                </c:pt>
              </c:strCache>
            </c:strRef>
          </c:cat>
          <c:val>
            <c:numRef>
              <c:f>'100% System v2.0'!$G$5:$I$5</c:f>
              <c:numCache>
                <c:formatCode>General</c:formatCode>
                <c:ptCount val="3"/>
                <c:pt idx="0">
                  <c:v>100.909724</c:v>
                </c:pt>
                <c:pt idx="1">
                  <c:v>110.946877</c:v>
                </c:pt>
                <c:pt idx="2">
                  <c:v>91.195138</c:v>
                </c:pt>
              </c:numCache>
            </c:numRef>
          </c:val>
        </c:ser>
        <c:ser>
          <c:idx val="4"/>
          <c:order val="4"/>
          <c:tx>
            <c:strRef>
              <c:f>'100% System v2.0'!$F$6</c:f>
              <c:strCache>
                <c:ptCount val="1"/>
                <c:pt idx="0">
                  <c:v>Hydro RoR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'100% System v2.0'!$G$1:$I$1</c:f>
              <c:strCache>
                <c:ptCount val="3"/>
                <c:pt idx="0">
                  <c:v>Base</c:v>
                </c:pt>
                <c:pt idx="1">
                  <c:v>Conservative</c:v>
                </c:pt>
                <c:pt idx="2">
                  <c:v>Progressive</c:v>
                </c:pt>
              </c:strCache>
            </c:strRef>
          </c:cat>
          <c:val>
            <c:numRef>
              <c:f>'100% System v2.0'!$G$6:$I$6</c:f>
              <c:numCache>
                <c:formatCode>General</c:formatCode>
                <c:ptCount val="3"/>
                <c:pt idx="0">
                  <c:v>14.970093</c:v>
                </c:pt>
                <c:pt idx="1">
                  <c:v>14.970093</c:v>
                </c:pt>
                <c:pt idx="2">
                  <c:v>14.970093</c:v>
                </c:pt>
              </c:numCache>
            </c:numRef>
          </c:val>
        </c:ser>
        <c:gapWidth val="150"/>
        <c:overlap val="100"/>
        <c:axId val="54062658"/>
        <c:axId val="88326337"/>
      </c:barChart>
      <c:catAx>
        <c:axId val="540626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326337"/>
        <c:crosses val="autoZero"/>
        <c:auto val="1"/>
        <c:lblAlgn val="ctr"/>
        <c:lblOffset val="100"/>
      </c:catAx>
      <c:valAx>
        <c:axId val="883263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Electricity Generation [TWhel]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4062658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'100% System v2.0'!$F$32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'100% System v2.0'!$G$31:$I$31</c:f>
              <c:strCache>
                <c:ptCount val="3"/>
                <c:pt idx="0">
                  <c:v>Base</c:v>
                </c:pt>
                <c:pt idx="1">
                  <c:v>Conservative</c:v>
                </c:pt>
                <c:pt idx="2">
                  <c:v>Progressive</c:v>
                </c:pt>
              </c:strCache>
            </c:strRef>
          </c:cat>
          <c:val>
            <c:numRef>
              <c:f>'100% System v2.0'!$G$32:$I$32</c:f>
              <c:numCache>
                <c:formatCode>General</c:formatCode>
                <c:ptCount val="3"/>
                <c:pt idx="0">
                  <c:v>100.296483</c:v>
                </c:pt>
                <c:pt idx="1">
                  <c:v>110.810511</c:v>
                </c:pt>
                <c:pt idx="2">
                  <c:v>86.879355</c:v>
                </c:pt>
              </c:numCache>
            </c:numRef>
          </c:val>
        </c:ser>
        <c:ser>
          <c:idx val="1"/>
          <c:order val="1"/>
          <c:tx>
            <c:strRef>
              <c:f>'100% System v2.0'!$F$33</c:f>
              <c:strCache>
                <c:ptCount val="1"/>
                <c:pt idx="0">
                  <c:v>GSHP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'100% System v2.0'!$G$31:$I$31</c:f>
              <c:strCache>
                <c:ptCount val="3"/>
                <c:pt idx="0">
                  <c:v>Base</c:v>
                </c:pt>
                <c:pt idx="1">
                  <c:v>Conservative</c:v>
                </c:pt>
                <c:pt idx="2">
                  <c:v>Progressive</c:v>
                </c:pt>
              </c:strCache>
            </c:strRef>
          </c:cat>
          <c:val>
            <c:numRef>
              <c:f>'100% System v2.0'!$G$33:$I$33</c:f>
              <c:numCache>
                <c:formatCode>General</c:formatCode>
                <c:ptCount val="3"/>
                <c:pt idx="0">
                  <c:v>527.562031</c:v>
                </c:pt>
                <c:pt idx="1">
                  <c:v>522.771604</c:v>
                </c:pt>
                <c:pt idx="2">
                  <c:v>468.02711</c:v>
                </c:pt>
              </c:numCache>
            </c:numRef>
          </c:val>
        </c:ser>
        <c:ser>
          <c:idx val="2"/>
          <c:order val="2"/>
          <c:tx>
            <c:strRef>
              <c:f>'100% System v2.0'!$F$34</c:f>
              <c:strCache>
                <c:ptCount val="1"/>
                <c:pt idx="0">
                  <c:v>ASHP</c:v>
                </c:pt>
              </c:strCache>
            </c:strRef>
          </c:tx>
          <c:spPr>
            <a:solidFill>
              <a:srgbClr val="7ee5f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'100% System v2.0'!$G$31:$I$31</c:f>
              <c:strCache>
                <c:ptCount val="3"/>
                <c:pt idx="0">
                  <c:v>Base</c:v>
                </c:pt>
                <c:pt idx="1">
                  <c:v>Conservative</c:v>
                </c:pt>
                <c:pt idx="2">
                  <c:v>Progressive</c:v>
                </c:pt>
              </c:strCache>
            </c:strRef>
          </c:cat>
          <c:val>
            <c:numRef>
              <c:f>'100% System v2.0'!$G$34:$I$34</c:f>
              <c:numCache>
                <c:formatCode>General</c:formatCode>
                <c:ptCount val="3"/>
                <c:pt idx="0">
                  <c:v>29.582961</c:v>
                </c:pt>
                <c:pt idx="1">
                  <c:v>26.708311</c:v>
                </c:pt>
                <c:pt idx="2">
                  <c:v>35.736005</c:v>
                </c:pt>
              </c:numCache>
            </c:numRef>
          </c:val>
        </c:ser>
        <c:gapWidth val="150"/>
        <c:overlap val="100"/>
        <c:axId val="47975611"/>
        <c:axId val="58525564"/>
      </c:barChart>
      <c:catAx>
        <c:axId val="479756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525564"/>
        <c:crosses val="autoZero"/>
        <c:auto val="1"/>
        <c:lblAlgn val="ctr"/>
        <c:lblOffset val="100"/>
      </c:catAx>
      <c:valAx>
        <c:axId val="58525564"/>
        <c:scaling>
          <c:orientation val="minMax"/>
          <c:max val="8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Heat Generation [TWhth]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975611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15.xml"/><Relationship Id="rId2" Type="http://schemas.openxmlformats.org/officeDocument/2006/relationships/chart" Target="../charts/chart416.xml"/><Relationship Id="rId3" Type="http://schemas.openxmlformats.org/officeDocument/2006/relationships/chart" Target="../charts/chart417.xml"/><Relationship Id="rId4" Type="http://schemas.openxmlformats.org/officeDocument/2006/relationships/chart" Target="../charts/chart418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443.xml"/><Relationship Id="rId2" Type="http://schemas.openxmlformats.org/officeDocument/2006/relationships/chart" Target="../charts/chart444.xml"/><Relationship Id="rId3" Type="http://schemas.openxmlformats.org/officeDocument/2006/relationships/chart" Target="../charts/chart445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446.xml"/><Relationship Id="rId2" Type="http://schemas.openxmlformats.org/officeDocument/2006/relationships/chart" Target="../charts/chart447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448.xml"/><Relationship Id="rId2" Type="http://schemas.openxmlformats.org/officeDocument/2006/relationships/chart" Target="../charts/chart44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19.xml"/><Relationship Id="rId2" Type="http://schemas.openxmlformats.org/officeDocument/2006/relationships/chart" Target="../charts/chart420.xml"/><Relationship Id="rId3" Type="http://schemas.openxmlformats.org/officeDocument/2006/relationships/chart" Target="../charts/chart421.xml"/><Relationship Id="rId4" Type="http://schemas.openxmlformats.org/officeDocument/2006/relationships/chart" Target="../charts/chart42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23.xml"/><Relationship Id="rId2" Type="http://schemas.openxmlformats.org/officeDocument/2006/relationships/chart" Target="../charts/chart424.xml"/><Relationship Id="rId3" Type="http://schemas.openxmlformats.org/officeDocument/2006/relationships/chart" Target="../charts/chart425.xml"/><Relationship Id="rId4" Type="http://schemas.openxmlformats.org/officeDocument/2006/relationships/chart" Target="../charts/chart42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27.xml"/><Relationship Id="rId2" Type="http://schemas.openxmlformats.org/officeDocument/2006/relationships/chart" Target="../charts/chart428.xml"/><Relationship Id="rId3" Type="http://schemas.openxmlformats.org/officeDocument/2006/relationships/chart" Target="../charts/chart429.xml"/><Relationship Id="rId4" Type="http://schemas.openxmlformats.org/officeDocument/2006/relationships/chart" Target="../charts/chart43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31.xml"/><Relationship Id="rId2" Type="http://schemas.openxmlformats.org/officeDocument/2006/relationships/chart" Target="../charts/chart43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33.xml"/><Relationship Id="rId2" Type="http://schemas.openxmlformats.org/officeDocument/2006/relationships/chart" Target="../charts/chart43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35.xml"/><Relationship Id="rId2" Type="http://schemas.openxmlformats.org/officeDocument/2006/relationships/chart" Target="../charts/chart436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437.xml"/><Relationship Id="rId2" Type="http://schemas.openxmlformats.org/officeDocument/2006/relationships/chart" Target="../charts/chart438.xml"/><Relationship Id="rId3" Type="http://schemas.openxmlformats.org/officeDocument/2006/relationships/chart" Target="../charts/chart439.xml"/><Relationship Id="rId4" Type="http://schemas.openxmlformats.org/officeDocument/2006/relationships/chart" Target="../charts/chart440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441.xml"/><Relationship Id="rId2" Type="http://schemas.openxmlformats.org/officeDocument/2006/relationships/chart" Target="../charts/chart44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42480</xdr:colOff>
      <xdr:row>1</xdr:row>
      <xdr:rowOff>113760</xdr:rowOff>
    </xdr:from>
    <xdr:to>
      <xdr:col>23</xdr:col>
      <xdr:colOff>12960</xdr:colOff>
      <xdr:row>28</xdr:row>
      <xdr:rowOff>146880</xdr:rowOff>
    </xdr:to>
    <xdr:graphicFrame>
      <xdr:nvGraphicFramePr>
        <xdr:cNvPr id="0" name="Chart 1"/>
        <xdr:cNvGraphicFramePr/>
      </xdr:nvGraphicFramePr>
      <xdr:xfrm>
        <a:off x="9342360" y="275400"/>
        <a:ext cx="5411160" cy="440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163800</xdr:colOff>
      <xdr:row>30</xdr:row>
      <xdr:rowOff>117000</xdr:rowOff>
    </xdr:from>
    <xdr:to>
      <xdr:col>23</xdr:col>
      <xdr:colOff>134280</xdr:colOff>
      <xdr:row>57</xdr:row>
      <xdr:rowOff>150120</xdr:rowOff>
    </xdr:to>
    <xdr:graphicFrame>
      <xdr:nvGraphicFramePr>
        <xdr:cNvPr id="1" name="Chart 1"/>
        <xdr:cNvGraphicFramePr/>
      </xdr:nvGraphicFramePr>
      <xdr:xfrm>
        <a:off x="9463680" y="4974480"/>
        <a:ext cx="5411160" cy="440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442440</xdr:colOff>
      <xdr:row>61</xdr:row>
      <xdr:rowOff>15480</xdr:rowOff>
    </xdr:from>
    <xdr:to>
      <xdr:col>23</xdr:col>
      <xdr:colOff>412920</xdr:colOff>
      <xdr:row>88</xdr:row>
      <xdr:rowOff>52200</xdr:rowOff>
    </xdr:to>
    <xdr:graphicFrame>
      <xdr:nvGraphicFramePr>
        <xdr:cNvPr id="2" name="Chart 1"/>
        <xdr:cNvGraphicFramePr/>
      </xdr:nvGraphicFramePr>
      <xdr:xfrm>
        <a:off x="9742320" y="9892800"/>
        <a:ext cx="5411160" cy="440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17280</xdr:colOff>
      <xdr:row>90</xdr:row>
      <xdr:rowOff>153720</xdr:rowOff>
    </xdr:from>
    <xdr:to>
      <xdr:col>23</xdr:col>
      <xdr:colOff>592560</xdr:colOff>
      <xdr:row>118</xdr:row>
      <xdr:rowOff>28800</xdr:rowOff>
    </xdr:to>
    <xdr:graphicFrame>
      <xdr:nvGraphicFramePr>
        <xdr:cNvPr id="3" name="Chart 1"/>
        <xdr:cNvGraphicFramePr/>
      </xdr:nvGraphicFramePr>
      <xdr:xfrm>
        <a:off x="9921960" y="14726880"/>
        <a:ext cx="5411160" cy="440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442440</xdr:colOff>
      <xdr:row>28</xdr:row>
      <xdr:rowOff>103320</xdr:rowOff>
    </xdr:from>
    <xdr:to>
      <xdr:col>14</xdr:col>
      <xdr:colOff>179640</xdr:colOff>
      <xdr:row>62</xdr:row>
      <xdr:rowOff>105480</xdr:rowOff>
    </xdr:to>
    <xdr:graphicFrame>
      <xdr:nvGraphicFramePr>
        <xdr:cNvPr id="28" name="Chart 4"/>
        <xdr:cNvGraphicFramePr/>
      </xdr:nvGraphicFramePr>
      <xdr:xfrm>
        <a:off x="6278400" y="4649040"/>
        <a:ext cx="5453640" cy="550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399240</xdr:colOff>
      <xdr:row>0</xdr:row>
      <xdr:rowOff>117360</xdr:rowOff>
    </xdr:from>
    <xdr:to>
      <xdr:col>14</xdr:col>
      <xdr:colOff>143280</xdr:colOff>
      <xdr:row>26</xdr:row>
      <xdr:rowOff>107280</xdr:rowOff>
    </xdr:to>
    <xdr:graphicFrame>
      <xdr:nvGraphicFramePr>
        <xdr:cNvPr id="29" name="Chart 6"/>
        <xdr:cNvGraphicFramePr/>
      </xdr:nvGraphicFramePr>
      <xdr:xfrm>
        <a:off x="6235200" y="117360"/>
        <a:ext cx="5460480" cy="421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593640</xdr:colOff>
      <xdr:row>72</xdr:row>
      <xdr:rowOff>26280</xdr:rowOff>
    </xdr:from>
    <xdr:to>
      <xdr:col>8</xdr:col>
      <xdr:colOff>515160</xdr:colOff>
      <xdr:row>92</xdr:row>
      <xdr:rowOff>91080</xdr:rowOff>
    </xdr:to>
    <xdr:graphicFrame>
      <xdr:nvGraphicFramePr>
        <xdr:cNvPr id="30" name="Chart 9"/>
        <xdr:cNvGraphicFramePr/>
      </xdr:nvGraphicFramePr>
      <xdr:xfrm>
        <a:off x="1450080" y="11696760"/>
        <a:ext cx="5717880" cy="330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492480</xdr:colOff>
      <xdr:row>37</xdr:row>
      <xdr:rowOff>124920</xdr:rowOff>
    </xdr:from>
    <xdr:to>
      <xdr:col>16</xdr:col>
      <xdr:colOff>378720</xdr:colOff>
      <xdr:row>72</xdr:row>
      <xdr:rowOff>33840</xdr:rowOff>
    </xdr:to>
    <xdr:graphicFrame>
      <xdr:nvGraphicFramePr>
        <xdr:cNvPr id="31" name="Chart 4"/>
        <xdr:cNvGraphicFramePr/>
      </xdr:nvGraphicFramePr>
      <xdr:xfrm>
        <a:off x="6055560" y="6116040"/>
        <a:ext cx="5395320" cy="557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372960</xdr:colOff>
      <xdr:row>0</xdr:row>
      <xdr:rowOff>104760</xdr:rowOff>
    </xdr:from>
    <xdr:to>
      <xdr:col>16</xdr:col>
      <xdr:colOff>290160</xdr:colOff>
      <xdr:row>35</xdr:row>
      <xdr:rowOff>8640</xdr:rowOff>
    </xdr:to>
    <xdr:graphicFrame>
      <xdr:nvGraphicFramePr>
        <xdr:cNvPr id="32" name="Chart 6"/>
        <xdr:cNvGraphicFramePr/>
      </xdr:nvGraphicFramePr>
      <xdr:xfrm>
        <a:off x="5936040" y="104760"/>
        <a:ext cx="5426280" cy="557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578160</xdr:colOff>
      <xdr:row>0</xdr:row>
      <xdr:rowOff>107640</xdr:rowOff>
    </xdr:from>
    <xdr:to>
      <xdr:col>21</xdr:col>
      <xdr:colOff>476280</xdr:colOff>
      <xdr:row>34</xdr:row>
      <xdr:rowOff>110160</xdr:rowOff>
    </xdr:to>
    <xdr:graphicFrame>
      <xdr:nvGraphicFramePr>
        <xdr:cNvPr id="33" name="Chart 3"/>
        <xdr:cNvGraphicFramePr/>
      </xdr:nvGraphicFramePr>
      <xdr:xfrm>
        <a:off x="8433000" y="107640"/>
        <a:ext cx="5407200" cy="550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30600</xdr:colOff>
      <xdr:row>38</xdr:row>
      <xdr:rowOff>46080</xdr:rowOff>
    </xdr:from>
    <xdr:to>
      <xdr:col>21</xdr:col>
      <xdr:colOff>541800</xdr:colOff>
      <xdr:row>72</xdr:row>
      <xdr:rowOff>40680</xdr:rowOff>
    </xdr:to>
    <xdr:graphicFrame>
      <xdr:nvGraphicFramePr>
        <xdr:cNvPr id="34" name="Chart 4"/>
        <xdr:cNvGraphicFramePr/>
      </xdr:nvGraphicFramePr>
      <xdr:xfrm>
        <a:off x="8497440" y="6199200"/>
        <a:ext cx="5408280" cy="550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261720</xdr:colOff>
      <xdr:row>1</xdr:row>
      <xdr:rowOff>9720</xdr:rowOff>
    </xdr:from>
    <xdr:to>
      <xdr:col>12</xdr:col>
      <xdr:colOff>191160</xdr:colOff>
      <xdr:row>27</xdr:row>
      <xdr:rowOff>83880</xdr:rowOff>
    </xdr:to>
    <xdr:graphicFrame>
      <xdr:nvGraphicFramePr>
        <xdr:cNvPr id="4" name="Chart 1"/>
        <xdr:cNvGraphicFramePr/>
      </xdr:nvGraphicFramePr>
      <xdr:xfrm>
        <a:off x="2912040" y="171360"/>
        <a:ext cx="5370120" cy="428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313200</xdr:colOff>
      <xdr:row>29</xdr:row>
      <xdr:rowOff>45360</xdr:rowOff>
    </xdr:from>
    <xdr:to>
      <xdr:col>12</xdr:col>
      <xdr:colOff>242640</xdr:colOff>
      <xdr:row>55</xdr:row>
      <xdr:rowOff>119520</xdr:rowOff>
    </xdr:to>
    <xdr:graphicFrame>
      <xdr:nvGraphicFramePr>
        <xdr:cNvPr id="5" name="Chart 1"/>
        <xdr:cNvGraphicFramePr/>
      </xdr:nvGraphicFramePr>
      <xdr:xfrm>
        <a:off x="2963520" y="4740840"/>
        <a:ext cx="5370120" cy="428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269280</xdr:colOff>
      <xdr:row>58</xdr:row>
      <xdr:rowOff>10440</xdr:rowOff>
    </xdr:from>
    <xdr:to>
      <xdr:col>12</xdr:col>
      <xdr:colOff>198720</xdr:colOff>
      <xdr:row>84</xdr:row>
      <xdr:rowOff>83160</xdr:rowOff>
    </xdr:to>
    <xdr:graphicFrame>
      <xdr:nvGraphicFramePr>
        <xdr:cNvPr id="6" name="Chart 1"/>
        <xdr:cNvGraphicFramePr/>
      </xdr:nvGraphicFramePr>
      <xdr:xfrm>
        <a:off x="2919600" y="9401760"/>
        <a:ext cx="5370120" cy="428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106200</xdr:colOff>
      <xdr:row>87</xdr:row>
      <xdr:rowOff>36360</xdr:rowOff>
    </xdr:from>
    <xdr:to>
      <xdr:col>12</xdr:col>
      <xdr:colOff>35640</xdr:colOff>
      <xdr:row>113</xdr:row>
      <xdr:rowOff>110520</xdr:rowOff>
    </xdr:to>
    <xdr:graphicFrame>
      <xdr:nvGraphicFramePr>
        <xdr:cNvPr id="7" name="Chart 1"/>
        <xdr:cNvGraphicFramePr/>
      </xdr:nvGraphicFramePr>
      <xdr:xfrm>
        <a:off x="2756520" y="14123520"/>
        <a:ext cx="5370120" cy="428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261720</xdr:colOff>
      <xdr:row>0</xdr:row>
      <xdr:rowOff>136800</xdr:rowOff>
    </xdr:from>
    <xdr:to>
      <xdr:col>12</xdr:col>
      <xdr:colOff>191160</xdr:colOff>
      <xdr:row>27</xdr:row>
      <xdr:rowOff>47880</xdr:rowOff>
    </xdr:to>
    <xdr:graphicFrame>
      <xdr:nvGraphicFramePr>
        <xdr:cNvPr id="8" name="Chart 1"/>
        <xdr:cNvGraphicFramePr/>
      </xdr:nvGraphicFramePr>
      <xdr:xfrm>
        <a:off x="2912040" y="136800"/>
        <a:ext cx="5370120" cy="428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399240</xdr:colOff>
      <xdr:row>37</xdr:row>
      <xdr:rowOff>154080</xdr:rowOff>
    </xdr:from>
    <xdr:to>
      <xdr:col>12</xdr:col>
      <xdr:colOff>328680</xdr:colOff>
      <xdr:row>64</xdr:row>
      <xdr:rowOff>65160</xdr:rowOff>
    </xdr:to>
    <xdr:graphicFrame>
      <xdr:nvGraphicFramePr>
        <xdr:cNvPr id="9" name="Chart 1"/>
        <xdr:cNvGraphicFramePr/>
      </xdr:nvGraphicFramePr>
      <xdr:xfrm>
        <a:off x="3049560" y="6145200"/>
        <a:ext cx="5370120" cy="428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30240</xdr:colOff>
      <xdr:row>68</xdr:row>
      <xdr:rowOff>14040</xdr:rowOff>
    </xdr:from>
    <xdr:to>
      <xdr:col>12</xdr:col>
      <xdr:colOff>564120</xdr:colOff>
      <xdr:row>94</xdr:row>
      <xdr:rowOff>88200</xdr:rowOff>
    </xdr:to>
    <xdr:graphicFrame>
      <xdr:nvGraphicFramePr>
        <xdr:cNvPr id="10" name="Chart 1"/>
        <xdr:cNvGraphicFramePr/>
      </xdr:nvGraphicFramePr>
      <xdr:xfrm>
        <a:off x="3285000" y="11024640"/>
        <a:ext cx="5370120" cy="428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38160</xdr:colOff>
      <xdr:row>97</xdr:row>
      <xdr:rowOff>95040</xdr:rowOff>
    </xdr:from>
    <xdr:to>
      <xdr:col>12</xdr:col>
      <xdr:colOff>572040</xdr:colOff>
      <xdr:row>124</xdr:row>
      <xdr:rowOff>7200</xdr:rowOff>
    </xdr:to>
    <xdr:graphicFrame>
      <xdr:nvGraphicFramePr>
        <xdr:cNvPr id="11" name="Chart 1"/>
        <xdr:cNvGraphicFramePr/>
      </xdr:nvGraphicFramePr>
      <xdr:xfrm>
        <a:off x="3292920" y="15801480"/>
        <a:ext cx="5370120" cy="428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543240</xdr:colOff>
      <xdr:row>1</xdr:row>
      <xdr:rowOff>70200</xdr:rowOff>
    </xdr:from>
    <xdr:to>
      <xdr:col>24</xdr:col>
      <xdr:colOff>456480</xdr:colOff>
      <xdr:row>34</xdr:row>
      <xdr:rowOff>21600</xdr:rowOff>
    </xdr:to>
    <xdr:graphicFrame>
      <xdr:nvGraphicFramePr>
        <xdr:cNvPr id="12" name="Chart 4"/>
        <xdr:cNvGraphicFramePr/>
      </xdr:nvGraphicFramePr>
      <xdr:xfrm>
        <a:off x="11700000" y="231840"/>
        <a:ext cx="5353920" cy="529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508320</xdr:colOff>
      <xdr:row>37</xdr:row>
      <xdr:rowOff>127080</xdr:rowOff>
    </xdr:from>
    <xdr:to>
      <xdr:col>24</xdr:col>
      <xdr:colOff>421560</xdr:colOff>
      <xdr:row>70</xdr:row>
      <xdr:rowOff>78480</xdr:rowOff>
    </xdr:to>
    <xdr:graphicFrame>
      <xdr:nvGraphicFramePr>
        <xdr:cNvPr id="13" name="Chart 5"/>
        <xdr:cNvGraphicFramePr/>
      </xdr:nvGraphicFramePr>
      <xdr:xfrm>
        <a:off x="11665080" y="6118200"/>
        <a:ext cx="5353920" cy="529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572040</xdr:colOff>
      <xdr:row>75</xdr:row>
      <xdr:rowOff>0</xdr:rowOff>
    </xdr:from>
    <xdr:to>
      <xdr:col>24</xdr:col>
      <xdr:colOff>485280</xdr:colOff>
      <xdr:row>107</xdr:row>
      <xdr:rowOff>116640</xdr:rowOff>
    </xdr:to>
    <xdr:graphicFrame>
      <xdr:nvGraphicFramePr>
        <xdr:cNvPr id="14" name="Chart 6"/>
        <xdr:cNvGraphicFramePr/>
      </xdr:nvGraphicFramePr>
      <xdr:xfrm>
        <a:off x="11728800" y="12144240"/>
        <a:ext cx="5353920" cy="529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527400</xdr:colOff>
      <xdr:row>109</xdr:row>
      <xdr:rowOff>127080</xdr:rowOff>
    </xdr:from>
    <xdr:to>
      <xdr:col>24</xdr:col>
      <xdr:colOff>440640</xdr:colOff>
      <xdr:row>142</xdr:row>
      <xdr:rowOff>78480</xdr:rowOff>
    </xdr:to>
    <xdr:graphicFrame>
      <xdr:nvGraphicFramePr>
        <xdr:cNvPr id="15" name="Chart 8"/>
        <xdr:cNvGraphicFramePr/>
      </xdr:nvGraphicFramePr>
      <xdr:xfrm>
        <a:off x="11684160" y="17776800"/>
        <a:ext cx="5353920" cy="529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44640</xdr:colOff>
      <xdr:row>13</xdr:row>
      <xdr:rowOff>80280</xdr:rowOff>
    </xdr:from>
    <xdr:to>
      <xdr:col>15</xdr:col>
      <xdr:colOff>13680</xdr:colOff>
      <xdr:row>47</xdr:row>
      <xdr:rowOff>75960</xdr:rowOff>
    </xdr:to>
    <xdr:graphicFrame>
      <xdr:nvGraphicFramePr>
        <xdr:cNvPr id="16" name="Chart 8"/>
        <xdr:cNvGraphicFramePr/>
      </xdr:nvGraphicFramePr>
      <xdr:xfrm>
        <a:off x="5627880" y="2185200"/>
        <a:ext cx="5847840" cy="550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38880</xdr:colOff>
      <xdr:row>49</xdr:row>
      <xdr:rowOff>142200</xdr:rowOff>
    </xdr:from>
    <xdr:to>
      <xdr:col>14</xdr:col>
      <xdr:colOff>572760</xdr:colOff>
      <xdr:row>82</xdr:row>
      <xdr:rowOff>153360</xdr:rowOff>
    </xdr:to>
    <xdr:graphicFrame>
      <xdr:nvGraphicFramePr>
        <xdr:cNvPr id="17" name="Chart 9"/>
        <xdr:cNvGraphicFramePr/>
      </xdr:nvGraphicFramePr>
      <xdr:xfrm>
        <a:off x="5622120" y="8076240"/>
        <a:ext cx="5808240" cy="535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9720</xdr:colOff>
      <xdr:row>0</xdr:row>
      <xdr:rowOff>44280</xdr:rowOff>
    </xdr:from>
    <xdr:to>
      <xdr:col>15</xdr:col>
      <xdr:colOff>582840</xdr:colOff>
      <xdr:row>34</xdr:row>
      <xdr:rowOff>46800</xdr:rowOff>
    </xdr:to>
    <xdr:graphicFrame>
      <xdr:nvGraphicFramePr>
        <xdr:cNvPr id="18" name="Chart 1"/>
        <xdr:cNvGraphicFramePr/>
      </xdr:nvGraphicFramePr>
      <xdr:xfrm>
        <a:off x="5981040" y="44280"/>
        <a:ext cx="5409360" cy="551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278640</xdr:colOff>
      <xdr:row>0</xdr:row>
      <xdr:rowOff>64800</xdr:rowOff>
    </xdr:from>
    <xdr:to>
      <xdr:col>25</xdr:col>
      <xdr:colOff>249120</xdr:colOff>
      <xdr:row>34</xdr:row>
      <xdr:rowOff>67680</xdr:rowOff>
    </xdr:to>
    <xdr:graphicFrame>
      <xdr:nvGraphicFramePr>
        <xdr:cNvPr id="19" name="Chart 2"/>
        <xdr:cNvGraphicFramePr/>
      </xdr:nvGraphicFramePr>
      <xdr:xfrm>
        <a:off x="11690640" y="64800"/>
        <a:ext cx="5411160" cy="551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29160</xdr:colOff>
      <xdr:row>5</xdr:row>
      <xdr:rowOff>152640</xdr:rowOff>
    </xdr:from>
    <xdr:to>
      <xdr:col>17</xdr:col>
      <xdr:colOff>603720</xdr:colOff>
      <xdr:row>39</xdr:row>
      <xdr:rowOff>150120</xdr:rowOff>
    </xdr:to>
    <xdr:graphicFrame>
      <xdr:nvGraphicFramePr>
        <xdr:cNvPr id="20" name="Chart 8"/>
        <xdr:cNvGraphicFramePr/>
      </xdr:nvGraphicFramePr>
      <xdr:xfrm>
        <a:off x="7920000" y="965160"/>
        <a:ext cx="6409800" cy="551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55800</xdr:colOff>
      <xdr:row>41</xdr:row>
      <xdr:rowOff>146160</xdr:rowOff>
    </xdr:from>
    <xdr:to>
      <xdr:col>18</xdr:col>
      <xdr:colOff>344520</xdr:colOff>
      <xdr:row>74</xdr:row>
      <xdr:rowOff>50040</xdr:rowOff>
    </xdr:to>
    <xdr:graphicFrame>
      <xdr:nvGraphicFramePr>
        <xdr:cNvPr id="21" name="Chart 9"/>
        <xdr:cNvGraphicFramePr/>
      </xdr:nvGraphicFramePr>
      <xdr:xfrm>
        <a:off x="7946640" y="6801480"/>
        <a:ext cx="6728400" cy="524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1</xdr:row>
      <xdr:rowOff>360</xdr:rowOff>
    </xdr:from>
    <xdr:to>
      <xdr:col>15</xdr:col>
      <xdr:colOff>573480</xdr:colOff>
      <xdr:row>35</xdr:row>
      <xdr:rowOff>2160</xdr:rowOff>
    </xdr:to>
    <xdr:graphicFrame>
      <xdr:nvGraphicFramePr>
        <xdr:cNvPr id="22" name="Chart 4"/>
        <xdr:cNvGraphicFramePr/>
      </xdr:nvGraphicFramePr>
      <xdr:xfrm>
        <a:off x="5794920" y="162720"/>
        <a:ext cx="5409720" cy="55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234360</xdr:colOff>
      <xdr:row>1</xdr:row>
      <xdr:rowOff>26640</xdr:rowOff>
    </xdr:from>
    <xdr:to>
      <xdr:col>25</xdr:col>
      <xdr:colOff>204840</xdr:colOff>
      <xdr:row>35</xdr:row>
      <xdr:rowOff>28440</xdr:rowOff>
    </xdr:to>
    <xdr:graphicFrame>
      <xdr:nvGraphicFramePr>
        <xdr:cNvPr id="23" name="Chart 4"/>
        <xdr:cNvGraphicFramePr/>
      </xdr:nvGraphicFramePr>
      <xdr:xfrm>
        <a:off x="11469960" y="189000"/>
        <a:ext cx="5411160" cy="55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13320</xdr:colOff>
      <xdr:row>37</xdr:row>
      <xdr:rowOff>121680</xdr:rowOff>
    </xdr:from>
    <xdr:to>
      <xdr:col>15</xdr:col>
      <xdr:colOff>586800</xdr:colOff>
      <xdr:row>71</xdr:row>
      <xdr:rowOff>123480</xdr:rowOff>
    </xdr:to>
    <xdr:graphicFrame>
      <xdr:nvGraphicFramePr>
        <xdr:cNvPr id="24" name="Chart 4"/>
        <xdr:cNvGraphicFramePr/>
      </xdr:nvGraphicFramePr>
      <xdr:xfrm>
        <a:off x="5808240" y="6136200"/>
        <a:ext cx="5409720" cy="551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269640</xdr:colOff>
      <xdr:row>37</xdr:row>
      <xdr:rowOff>12240</xdr:rowOff>
    </xdr:from>
    <xdr:to>
      <xdr:col>25</xdr:col>
      <xdr:colOff>240120</xdr:colOff>
      <xdr:row>71</xdr:row>
      <xdr:rowOff>14040</xdr:rowOff>
    </xdr:to>
    <xdr:graphicFrame>
      <xdr:nvGraphicFramePr>
        <xdr:cNvPr id="25" name="Chart 4"/>
        <xdr:cNvGraphicFramePr/>
      </xdr:nvGraphicFramePr>
      <xdr:xfrm>
        <a:off x="11505240" y="6026760"/>
        <a:ext cx="5411160" cy="551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529920</xdr:colOff>
      <xdr:row>5</xdr:row>
      <xdr:rowOff>134280</xdr:rowOff>
    </xdr:from>
    <xdr:to>
      <xdr:col>17</xdr:col>
      <xdr:colOff>498960</xdr:colOff>
      <xdr:row>39</xdr:row>
      <xdr:rowOff>129960</xdr:rowOff>
    </xdr:to>
    <xdr:graphicFrame>
      <xdr:nvGraphicFramePr>
        <xdr:cNvPr id="26" name="Chart 8"/>
        <xdr:cNvGraphicFramePr/>
      </xdr:nvGraphicFramePr>
      <xdr:xfrm>
        <a:off x="5779440" y="943560"/>
        <a:ext cx="5409720" cy="550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529560</xdr:colOff>
      <xdr:row>42</xdr:row>
      <xdr:rowOff>45720</xdr:rowOff>
    </xdr:from>
    <xdr:to>
      <xdr:col>17</xdr:col>
      <xdr:colOff>498600</xdr:colOff>
      <xdr:row>76</xdr:row>
      <xdr:rowOff>47520</xdr:rowOff>
    </xdr:to>
    <xdr:graphicFrame>
      <xdr:nvGraphicFramePr>
        <xdr:cNvPr id="27" name="Chart 9"/>
        <xdr:cNvGraphicFramePr/>
      </xdr:nvGraphicFramePr>
      <xdr:xfrm>
        <a:off x="5779080" y="6846480"/>
        <a:ext cx="5409720" cy="550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70"/>
  <sheetViews>
    <sheetView showFormulas="false" showGridLines="true" showRowColHeaders="true" showZeros="true" rightToLeft="false" tabSelected="false" showOutlineSymbols="true" defaultGridColor="true" view="normal" topLeftCell="A26" colorId="64" zoomScale="75" zoomScaleNormal="75" zoomScalePageLayoutView="100" workbookViewId="0">
      <selection pane="topLeft" activeCell="AF43" activeCellId="0" sqref="AF43"/>
    </sheetView>
  </sheetViews>
  <sheetFormatPr defaultRowHeight="12.75" zeroHeight="false" outlineLevelRow="0" outlineLevelCol="0"/>
  <cols>
    <col collapsed="false" customWidth="true" hidden="false" outlineLevel="0" max="1" min="1" style="0" width="15.86"/>
    <col collapsed="false" customWidth="true" hidden="false" outlineLevel="0" max="2" min="2" style="0" width="13.14"/>
    <col collapsed="false" customWidth="true" hidden="false" outlineLevel="0" max="1025" min="3" style="0" width="8.57"/>
  </cols>
  <sheetData>
    <row r="2" customFormat="false" ht="12.75" hidden="false" customHeight="false" outlineLevel="0" collapsed="false">
      <c r="B2" s="0" t="s">
        <v>0</v>
      </c>
      <c r="C2" s="1" t="n">
        <f aca="false">M2/M7</f>
        <v>0.470357704500637</v>
      </c>
      <c r="K2" s="0" t="s">
        <v>1</v>
      </c>
      <c r="L2" s="0" t="s">
        <v>2</v>
      </c>
      <c r="M2" s="0" t="n">
        <v>188.43</v>
      </c>
    </row>
    <row r="3" customFormat="false" ht="12.75" hidden="false" customHeight="false" outlineLevel="0" collapsed="false">
      <c r="B3" s="0" t="s">
        <v>3</v>
      </c>
      <c r="C3" s="1" t="n">
        <f aca="false">M3/M7</f>
        <v>0.387384239035471</v>
      </c>
      <c r="L3" s="0" t="s">
        <v>4</v>
      </c>
      <c r="M3" s="0" t="n">
        <v>155.19</v>
      </c>
    </row>
    <row r="4" customFormat="false" ht="12.75" hidden="false" customHeight="false" outlineLevel="0" collapsed="false">
      <c r="A4" s="0" t="s">
        <v>1</v>
      </c>
      <c r="B4" s="0" t="s">
        <v>5</v>
      </c>
      <c r="C4" s="1" t="n">
        <f aca="false">M5/M7</f>
        <v>0.0434337635106463</v>
      </c>
      <c r="L4" s="0" t="s">
        <v>6</v>
      </c>
      <c r="M4" s="0" t="n">
        <v>39.19</v>
      </c>
    </row>
    <row r="5" customFormat="false" ht="12.75" hidden="false" customHeight="false" outlineLevel="0" collapsed="false">
      <c r="B5" s="0" t="s">
        <v>7</v>
      </c>
      <c r="C5" s="1" t="n">
        <f aca="false">M4/M7</f>
        <v>0.0978258156311625</v>
      </c>
      <c r="L5" s="0" t="s">
        <v>8</v>
      </c>
      <c r="M5" s="0" t="n">
        <v>17.4</v>
      </c>
    </row>
    <row r="6" customFormat="false" ht="12.75" hidden="false" customHeight="false" outlineLevel="0" collapsed="false">
      <c r="B6" s="0" t="s">
        <v>9</v>
      </c>
      <c r="C6" s="1" t="n">
        <f aca="false">M6/M7</f>
        <v>0.000998477322083822</v>
      </c>
      <c r="L6" s="0" t="s">
        <v>10</v>
      </c>
      <c r="M6" s="0" t="n">
        <v>0.4</v>
      </c>
    </row>
    <row r="7" customFormat="false" ht="12.75" hidden="false" customHeight="false" outlineLevel="0" collapsed="false">
      <c r="L7" s="0" t="s">
        <v>11</v>
      </c>
      <c r="M7" s="0" t="n">
        <f aca="false">SUM(M2:M6)</f>
        <v>400.61</v>
      </c>
    </row>
    <row r="22" customFormat="false" ht="12.75" hidden="false" customHeight="false" outlineLevel="0" collapsed="false">
      <c r="B22" s="0" t="s">
        <v>12</v>
      </c>
      <c r="C22" s="1" t="n">
        <f aca="false">M26/M28</f>
        <v>0.495520850578518</v>
      </c>
    </row>
    <row r="23" customFormat="false" ht="12.75" hidden="false" customHeight="false" outlineLevel="0" collapsed="false">
      <c r="B23" s="0" t="s">
        <v>13</v>
      </c>
      <c r="C23" s="1" t="n">
        <f aca="false">M24/M28</f>
        <v>0.364181520519471</v>
      </c>
      <c r="K23" s="2" t="s">
        <v>14</v>
      </c>
      <c r="L23" s="2"/>
      <c r="M23" s="2"/>
    </row>
    <row r="24" customFormat="false" ht="12.75" hidden="false" customHeight="false" outlineLevel="0" collapsed="false">
      <c r="A24" s="0" t="s">
        <v>14</v>
      </c>
      <c r="B24" s="0" t="s">
        <v>15</v>
      </c>
      <c r="C24" s="1" t="n">
        <f aca="false">M25/M28</f>
        <v>0.113514706693891</v>
      </c>
      <c r="K24" s="2"/>
      <c r="L24" s="2" t="s">
        <v>4</v>
      </c>
      <c r="M24" s="2" t="n">
        <v>197.98</v>
      </c>
    </row>
    <row r="25" customFormat="false" ht="12.75" hidden="false" customHeight="false" outlineLevel="0" collapsed="false">
      <c r="B25" s="0" t="s">
        <v>16</v>
      </c>
      <c r="C25" s="1" t="n">
        <f aca="false">M27/M28</f>
        <v>0.0267829222081195</v>
      </c>
      <c r="K25" s="2"/>
      <c r="L25" s="2" t="s">
        <v>6</v>
      </c>
      <c r="M25" s="2" t="n">
        <v>61.71</v>
      </c>
    </row>
    <row r="26" customFormat="false" ht="12.75" hidden="false" customHeight="false" outlineLevel="0" collapsed="false">
      <c r="C26" s="1"/>
      <c r="K26" s="2"/>
      <c r="L26" s="2" t="s">
        <v>8</v>
      </c>
      <c r="M26" s="2" t="n">
        <v>269.38</v>
      </c>
    </row>
    <row r="27" customFormat="false" ht="12.75" hidden="false" customHeight="false" outlineLevel="0" collapsed="false">
      <c r="K27" s="2"/>
      <c r="L27" s="2" t="s">
        <v>10</v>
      </c>
      <c r="M27" s="2" t="n">
        <v>14.56</v>
      </c>
    </row>
    <row r="28" customFormat="false" ht="12.75" hidden="false" customHeight="false" outlineLevel="0" collapsed="false">
      <c r="K28" s="2"/>
      <c r="L28" s="2" t="s">
        <v>11</v>
      </c>
      <c r="M28" s="2" t="n">
        <f aca="false">SUM(M23:M27)</f>
        <v>543.63</v>
      </c>
    </row>
    <row r="41" customFormat="false" ht="12.75" hidden="false" customHeight="false" outlineLevel="0" collapsed="false">
      <c r="B41" s="0" t="s">
        <v>17</v>
      </c>
      <c r="C41" s="1" t="n">
        <f aca="false">66.86/(66.86+39.19+16.11)</f>
        <v>0.547314996725606</v>
      </c>
    </row>
    <row r="42" customFormat="false" ht="12.75" hidden="false" customHeight="false" outlineLevel="0" collapsed="false">
      <c r="A42" s="0" t="s">
        <v>18</v>
      </c>
      <c r="B42" s="0" t="s">
        <v>19</v>
      </c>
      <c r="C42" s="1" t="n">
        <f aca="false">16.11/(66.86+39.19+16.11)</f>
        <v>0.131876227897839</v>
      </c>
    </row>
    <row r="43" customFormat="false" ht="12.75" hidden="false" customHeight="false" outlineLevel="0" collapsed="false">
      <c r="B43" s="0" t="s">
        <v>7</v>
      </c>
      <c r="C43" s="1" t="n">
        <f aca="false">39.19/(66.86+39.19+16.11)</f>
        <v>0.320808775376555</v>
      </c>
    </row>
    <row r="44" customFormat="false" ht="12.75" hidden="false" customHeight="false" outlineLevel="0" collapsed="false">
      <c r="C44" s="1"/>
    </row>
    <row r="68" customFormat="false" ht="12.75" hidden="false" customHeight="false" outlineLevel="0" collapsed="false">
      <c r="B68" s="0" t="s">
        <v>20</v>
      </c>
      <c r="C68" s="1" t="n">
        <f aca="false">460.7/(460.7+61.1+13.47)</f>
        <v>0.860687129859697</v>
      </c>
    </row>
    <row r="69" customFormat="false" ht="12.75" hidden="false" customHeight="false" outlineLevel="0" collapsed="false">
      <c r="A69" s="0" t="s">
        <v>21</v>
      </c>
      <c r="B69" s="0" t="s">
        <v>22</v>
      </c>
      <c r="C69" s="1" t="n">
        <f aca="false">13.47/(460.7+61.1+13.47)</f>
        <v>0.0251648700655744</v>
      </c>
    </row>
    <row r="70" customFormat="false" ht="12.75" hidden="false" customHeight="false" outlineLevel="0" collapsed="false">
      <c r="B70" s="0" t="s">
        <v>15</v>
      </c>
      <c r="C70" s="1" t="n">
        <f aca="false">61.1/(460.7+61.1+13.47)</f>
        <v>0.114148000074729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T40" activeCellId="0" sqref="T40"/>
    </sheetView>
  </sheetViews>
  <sheetFormatPr defaultRowHeight="12.7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1.14"/>
    <col collapsed="false" customWidth="true" hidden="false" outlineLevel="0" max="3" min="3" style="2" width="11.14"/>
    <col collapsed="false" customWidth="true" hidden="false" outlineLevel="0" max="5" min="5" style="2" width="8.71"/>
    <col collapsed="false" customWidth="true" hidden="false" outlineLevel="0" max="6" min="6" style="0" width="14.01"/>
    <col collapsed="false" customWidth="true" hidden="false" outlineLevel="0" max="7" min="7" style="2" width="14.01"/>
  </cols>
  <sheetData>
    <row r="1" customFormat="false" ht="12.8" hidden="false" customHeight="false" outlineLevel="0" collapsed="false">
      <c r="A1" s="2"/>
      <c r="B1" s="2"/>
      <c r="D1" s="2"/>
      <c r="F1" s="2"/>
      <c r="H1" s="2"/>
      <c r="I1" s="2"/>
      <c r="J1" s="2"/>
      <c r="K1" s="2"/>
      <c r="P1" s="2"/>
      <c r="Q1" s="12"/>
      <c r="R1" s="12"/>
      <c r="S1" s="12"/>
    </row>
    <row r="2" customFormat="false" ht="12.8" hidden="false" customHeight="false" outlineLevel="0" collapsed="false">
      <c r="A2" s="2" t="s">
        <v>53</v>
      </c>
      <c r="B2" s="2" t="s">
        <v>23</v>
      </c>
      <c r="C2" s="2" t="s">
        <v>32</v>
      </c>
      <c r="D2" s="2" t="s">
        <v>33</v>
      </c>
      <c r="E2" s="2" t="s">
        <v>34</v>
      </c>
      <c r="F2" s="2" t="s">
        <v>6</v>
      </c>
      <c r="G2" s="2" t="s">
        <v>54</v>
      </c>
      <c r="H2" s="2"/>
      <c r="I2" s="2"/>
      <c r="J2" s="2"/>
      <c r="K2" s="2"/>
      <c r="P2" s="2"/>
      <c r="Q2" s="2"/>
      <c r="R2" s="2"/>
      <c r="S2" s="2"/>
    </row>
    <row r="3" customFormat="false" ht="12.8" hidden="false" customHeight="false" outlineLevel="0" collapsed="false">
      <c r="A3" s="2" t="n">
        <v>25</v>
      </c>
      <c r="B3" s="12" t="n">
        <f aca="false">168689/1000</f>
        <v>168.689</v>
      </c>
      <c r="C3" s="12" t="n">
        <f aca="false">59747/1000</f>
        <v>59.747</v>
      </c>
      <c r="D3" s="3" t="n">
        <f aca="false">241223/1000</f>
        <v>241.223</v>
      </c>
      <c r="E3" s="12" t="n">
        <v>1.16</v>
      </c>
      <c r="F3" s="12" t="n">
        <f aca="false">66971/1000</f>
        <v>66.971</v>
      </c>
      <c r="G3" s="12" t="n">
        <f aca="false">180369/1000</f>
        <v>180.369</v>
      </c>
      <c r="H3" s="3"/>
      <c r="I3" s="2"/>
      <c r="J3" s="2"/>
      <c r="K3" s="2"/>
      <c r="P3" s="2"/>
      <c r="Q3" s="2"/>
      <c r="R3" s="2"/>
      <c r="S3" s="2"/>
    </row>
    <row r="4" customFormat="false" ht="12.8" hidden="false" customHeight="false" outlineLevel="0" collapsed="false">
      <c r="A4" s="2" t="n">
        <v>27.5</v>
      </c>
      <c r="B4" s="12" t="n">
        <f aca="false">168689/1000</f>
        <v>168.689</v>
      </c>
      <c r="C4" s="12" t="n">
        <f aca="false">54651/1000</f>
        <v>54.651</v>
      </c>
      <c r="D4" s="3" t="n">
        <f aca="false">227695/1000</f>
        <v>227.695</v>
      </c>
      <c r="E4" s="12" t="n">
        <v>1.16</v>
      </c>
      <c r="F4" s="12" t="n">
        <f aca="false">67413/1000</f>
        <v>67.413</v>
      </c>
      <c r="G4" s="12" t="n">
        <f aca="false">178629/1000</f>
        <v>178.629</v>
      </c>
      <c r="H4" s="3"/>
      <c r="P4" s="2"/>
      <c r="Q4" s="2"/>
      <c r="R4" s="2"/>
      <c r="S4" s="2"/>
    </row>
    <row r="5" customFormat="false" ht="12.8" hidden="false" customHeight="false" outlineLevel="0" collapsed="false">
      <c r="A5" s="2" t="n">
        <v>30</v>
      </c>
      <c r="B5" s="12" t="n">
        <f aca="false">168689/1000</f>
        <v>168.689</v>
      </c>
      <c r="C5" s="12" t="n">
        <f aca="false">53672/1000</f>
        <v>53.672</v>
      </c>
      <c r="D5" s="3" t="n">
        <f aca="false">213007/1000</f>
        <v>213.007</v>
      </c>
      <c r="E5" s="12" t="n">
        <v>1.16</v>
      </c>
      <c r="F5" s="12" t="n">
        <f aca="false">67621/1000</f>
        <v>67.621</v>
      </c>
      <c r="G5" s="12" t="n">
        <f aca="false">175128/1000</f>
        <v>175.128</v>
      </c>
      <c r="H5" s="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customFormat="false" ht="12.8" hidden="false" customHeight="false" outlineLevel="0" collapsed="false">
      <c r="A6" s="2" t="n">
        <v>32.5</v>
      </c>
      <c r="B6" s="12" t="n">
        <f aca="false">168689/1000</f>
        <v>168.689</v>
      </c>
      <c r="C6" s="12" t="n">
        <f aca="false">53293/1000</f>
        <v>53.293</v>
      </c>
      <c r="D6" s="3" t="n">
        <f aca="false">203455/1000</f>
        <v>203.455</v>
      </c>
      <c r="E6" s="12" t="n">
        <v>1.16</v>
      </c>
      <c r="F6" s="12" t="n">
        <f aca="false">67683/1000</f>
        <v>67.683</v>
      </c>
      <c r="G6" s="12" t="n">
        <f aca="false">171855/1000</f>
        <v>171.855</v>
      </c>
      <c r="H6" s="3"/>
      <c r="I6" s="14"/>
      <c r="J6" s="14"/>
      <c r="K6" s="14"/>
      <c r="L6" s="14"/>
      <c r="M6" s="14"/>
      <c r="N6" s="13"/>
      <c r="O6" s="13"/>
      <c r="P6" s="13"/>
      <c r="Q6" s="13"/>
      <c r="R6" s="13"/>
      <c r="S6" s="13"/>
      <c r="T6" s="13"/>
    </row>
    <row r="7" customFormat="false" ht="12.8" hidden="false" customHeight="false" outlineLevel="0" collapsed="false">
      <c r="A7" s="2" t="n">
        <v>35</v>
      </c>
      <c r="B7" s="12" t="n">
        <f aca="false">168689/1000</f>
        <v>168.689</v>
      </c>
      <c r="C7" s="12" t="n">
        <f aca="false">52524/1000</f>
        <v>52.524</v>
      </c>
      <c r="D7" s="3" t="n">
        <f aca="false">194470/1000</f>
        <v>194.47</v>
      </c>
      <c r="E7" s="12" t="n">
        <v>1.16</v>
      </c>
      <c r="F7" s="12" t="n">
        <f aca="false">67942/1000</f>
        <v>67.942</v>
      </c>
      <c r="G7" s="12" t="n">
        <f aca="false">171567/1000</f>
        <v>171.567</v>
      </c>
      <c r="H7" s="3"/>
      <c r="I7" s="14"/>
      <c r="J7" s="14"/>
      <c r="K7" s="14"/>
      <c r="L7" s="14"/>
      <c r="M7" s="14"/>
      <c r="N7" s="13"/>
      <c r="O7" s="13"/>
      <c r="P7" s="13"/>
      <c r="Q7" s="13"/>
      <c r="R7" s="13"/>
      <c r="S7" s="13"/>
      <c r="T7" s="13"/>
    </row>
    <row r="8" customFormat="false" ht="12.8" hidden="false" customHeight="false" outlineLevel="0" collapsed="false">
      <c r="A8" s="2" t="n">
        <v>37.5</v>
      </c>
      <c r="B8" s="12" t="n">
        <f aca="false">168689/1000</f>
        <v>168.689</v>
      </c>
      <c r="C8" s="12" t="n">
        <v>51.85</v>
      </c>
      <c r="D8" s="3" t="n">
        <v>188.9</v>
      </c>
      <c r="E8" s="12" t="n">
        <v>1.16</v>
      </c>
      <c r="F8" s="12" t="n">
        <v>68.17</v>
      </c>
      <c r="G8" s="12" t="n">
        <v>171.34</v>
      </c>
      <c r="H8" s="3"/>
      <c r="I8" s="14"/>
      <c r="J8" s="14"/>
      <c r="K8" s="14"/>
      <c r="L8" s="14"/>
      <c r="M8" s="14"/>
      <c r="N8" s="13"/>
      <c r="O8" s="13"/>
      <c r="P8" s="13"/>
      <c r="Q8" s="13"/>
      <c r="R8" s="13"/>
      <c r="S8" s="13"/>
      <c r="T8" s="13"/>
    </row>
    <row r="9" s="2" customFormat="true" ht="12.8" hidden="false" customHeight="false" outlineLevel="0" collapsed="false">
      <c r="A9" s="2" t="n">
        <v>40</v>
      </c>
      <c r="B9" s="12" t="n">
        <f aca="false">168689/1000</f>
        <v>168.689</v>
      </c>
      <c r="C9" s="12" t="n">
        <f aca="false">50678/1000</f>
        <v>50.678</v>
      </c>
      <c r="D9" s="3" t="n">
        <f aca="false">188066/1000</f>
        <v>188.066</v>
      </c>
      <c r="E9" s="12" t="n">
        <v>1.16</v>
      </c>
      <c r="F9" s="12" t="n">
        <f aca="false">68300/1000</f>
        <v>68.3</v>
      </c>
      <c r="G9" s="12" t="n">
        <f aca="false">171209/1000</f>
        <v>171.209</v>
      </c>
      <c r="H9" s="3"/>
      <c r="I9" s="14"/>
      <c r="J9" s="14"/>
      <c r="K9" s="14"/>
      <c r="L9" s="14"/>
      <c r="M9" s="14"/>
      <c r="N9" s="13"/>
      <c r="O9" s="13"/>
      <c r="P9" s="13"/>
      <c r="Q9" s="13"/>
      <c r="R9" s="13"/>
      <c r="S9" s="13"/>
      <c r="T9" s="13"/>
    </row>
    <row r="10" customFormat="false" ht="12.8" hidden="false" customHeight="false" outlineLevel="0" collapsed="false">
      <c r="A10" s="2"/>
      <c r="G10" s="12"/>
      <c r="H10" s="3"/>
      <c r="I10" s="14"/>
      <c r="J10" s="14"/>
      <c r="K10" s="14"/>
      <c r="L10" s="14"/>
      <c r="M10" s="14"/>
      <c r="N10" s="13"/>
      <c r="O10" s="13"/>
      <c r="P10" s="13"/>
      <c r="Q10" s="13"/>
      <c r="R10" s="13"/>
      <c r="S10" s="13"/>
      <c r="T10" s="13"/>
    </row>
    <row r="11" customFormat="false" ht="12.8" hidden="false" customHeight="false" outlineLevel="0" collapsed="false">
      <c r="A11" s="15"/>
      <c r="B11" s="15"/>
      <c r="C11" s="15"/>
      <c r="D11" s="15"/>
      <c r="E11" s="15"/>
      <c r="F11" s="15"/>
      <c r="G11" s="15"/>
      <c r="H11" s="14"/>
      <c r="I11" s="14"/>
      <c r="J11" s="14"/>
      <c r="K11" s="14"/>
      <c r="L11" s="14"/>
      <c r="M11" s="14"/>
      <c r="N11" s="13"/>
      <c r="O11" s="13"/>
      <c r="P11" s="13"/>
      <c r="Q11" s="13"/>
      <c r="R11" s="13"/>
      <c r="S11" s="13"/>
      <c r="T11" s="13"/>
    </row>
    <row r="12" customFormat="false" ht="12.8" hidden="false" customHeight="false" outlineLevel="0" collapsed="false">
      <c r="A12" s="2" t="s">
        <v>53</v>
      </c>
      <c r="B12" s="16" t="s">
        <v>55</v>
      </c>
      <c r="C12" s="16" t="s">
        <v>56</v>
      </c>
      <c r="I12" s="14"/>
      <c r="J12" s="14"/>
      <c r="K12" s="14"/>
      <c r="L12" s="14"/>
      <c r="M12" s="14"/>
      <c r="N12" s="13"/>
      <c r="O12" s="13"/>
      <c r="P12" s="13"/>
      <c r="Q12" s="13"/>
      <c r="R12" s="13"/>
      <c r="S12" s="13"/>
      <c r="T12" s="13"/>
    </row>
    <row r="13" customFormat="false" ht="12.8" hidden="false" customHeight="false" outlineLevel="0" collapsed="false">
      <c r="A13" s="2" t="n">
        <v>25</v>
      </c>
      <c r="B13" s="16" t="n">
        <v>119.64</v>
      </c>
      <c r="C13" s="16" t="n">
        <v>0.21</v>
      </c>
      <c r="I13" s="14"/>
      <c r="J13" s="14"/>
      <c r="K13" s="14"/>
      <c r="L13" s="14"/>
      <c r="M13" s="14"/>
      <c r="N13" s="13"/>
      <c r="O13" s="13"/>
      <c r="P13" s="13"/>
      <c r="Q13" s="13"/>
      <c r="R13" s="13"/>
      <c r="S13" s="13"/>
      <c r="T13" s="13"/>
    </row>
    <row r="14" customFormat="false" ht="12.8" hidden="false" customHeight="false" outlineLevel="0" collapsed="false">
      <c r="A14" s="2" t="n">
        <v>27.5</v>
      </c>
      <c r="B14" s="16" t="n">
        <v>120.06</v>
      </c>
      <c r="C14" s="16" t="n">
        <v>0.22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customFormat="false" ht="12.8" hidden="false" customHeight="false" outlineLevel="0" collapsed="false">
      <c r="A15" s="2" t="n">
        <v>30</v>
      </c>
      <c r="B15" s="16" t="n">
        <v>120.55</v>
      </c>
      <c r="C15" s="16" t="n">
        <v>0.66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customFormat="false" ht="12.8" hidden="false" customHeight="false" outlineLevel="0" collapsed="false">
      <c r="A16" s="2" t="n">
        <v>32.5</v>
      </c>
      <c r="B16" s="16" t="n">
        <v>121.12</v>
      </c>
      <c r="C16" s="17" t="n">
        <v>1.9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customFormat="false" ht="12.8" hidden="false" customHeight="false" outlineLevel="0" collapsed="false">
      <c r="A17" s="2" t="n">
        <v>35</v>
      </c>
      <c r="B17" s="16" t="n">
        <v>121.85</v>
      </c>
      <c r="C17" s="17" t="n">
        <v>4.19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customFormat="false" ht="12.8" hidden="false" customHeight="false" outlineLevel="0" collapsed="false">
      <c r="A18" s="2" t="n">
        <v>37.5</v>
      </c>
      <c r="B18" s="4" t="n">
        <v>122.32</v>
      </c>
      <c r="C18" s="17" t="n">
        <v>5.63</v>
      </c>
    </row>
    <row r="19" customFormat="false" ht="12.8" hidden="false" customHeight="false" outlineLevel="0" collapsed="false">
      <c r="A19" s="2" t="n">
        <v>40</v>
      </c>
      <c r="B19" s="4" t="n">
        <v>122.72</v>
      </c>
      <c r="C19" s="17" t="n">
        <v>6</v>
      </c>
    </row>
    <row r="21" customFormat="false" ht="12.75" hidden="false" customHeight="false" outlineLevel="0" collapsed="false">
      <c r="A21" s="2"/>
      <c r="B21" s="2"/>
      <c r="D21" s="2"/>
      <c r="F21" s="2"/>
      <c r="H21" s="2"/>
      <c r="I21" s="2"/>
      <c r="K21" s="18"/>
      <c r="L21" s="18"/>
    </row>
    <row r="22" customFormat="false" ht="12.75" hidden="false" customHeight="false" outlineLevel="0" collapsed="false">
      <c r="A22" s="19"/>
      <c r="B22" s="19"/>
      <c r="C22" s="19"/>
      <c r="D22" s="19"/>
      <c r="E22" s="19"/>
      <c r="F22" s="19"/>
      <c r="G22" s="19"/>
      <c r="H22" s="19"/>
      <c r="I22" s="2"/>
      <c r="K22" s="18"/>
      <c r="L22" s="18"/>
    </row>
    <row r="23" customFormat="false" ht="12.75" hidden="false" customHeight="false" outlineLevel="0" collapsed="false">
      <c r="A23" s="19"/>
      <c r="B23" s="19"/>
      <c r="C23" s="19"/>
      <c r="D23" s="19"/>
      <c r="E23" s="19"/>
      <c r="F23" s="19"/>
      <c r="G23" s="19"/>
      <c r="H23" s="19"/>
      <c r="I23" s="2"/>
      <c r="K23" s="18"/>
      <c r="L23" s="18"/>
    </row>
    <row r="24" customFormat="false" ht="12.75" hidden="false" customHeight="false" outlineLevel="0" collapsed="false">
      <c r="A24" s="2"/>
      <c r="B24" s="2"/>
      <c r="D24" s="2"/>
      <c r="F24" s="2"/>
      <c r="H24" s="2"/>
      <c r="I24" s="2"/>
      <c r="K24" s="18"/>
      <c r="L24" s="18"/>
    </row>
    <row r="25" customFormat="false" ht="12.75" hidden="false" customHeight="false" outlineLevel="0" collapsed="false">
      <c r="A25" s="2"/>
      <c r="B25" s="2"/>
      <c r="D25" s="2"/>
      <c r="F25" s="2"/>
      <c r="H25" s="2"/>
      <c r="I25" s="2"/>
      <c r="K25" s="18"/>
      <c r="L25" s="18"/>
    </row>
    <row r="26" customFormat="false" ht="12.75" hidden="false" customHeight="false" outlineLevel="0" collapsed="false">
      <c r="A26" s="2"/>
      <c r="B26" s="2"/>
      <c r="D26" s="2"/>
      <c r="F26" s="2"/>
      <c r="H26" s="2"/>
      <c r="I26" s="2"/>
      <c r="K26" s="18"/>
      <c r="L26" s="18"/>
    </row>
    <row r="27" customFormat="false" ht="12.75" hidden="false" customHeight="false" outlineLevel="0" collapsed="false">
      <c r="A27" s="2"/>
      <c r="B27" s="2"/>
      <c r="D27" s="2"/>
      <c r="F27" s="2"/>
      <c r="H27" s="2"/>
      <c r="I27" s="2"/>
      <c r="K27" s="20"/>
      <c r="L27" s="20"/>
    </row>
    <row r="28" customFormat="false" ht="12.75" hidden="false" customHeight="false" outlineLevel="0" collapsed="false">
      <c r="A28" s="2"/>
      <c r="B28" s="2"/>
      <c r="D28" s="2"/>
      <c r="F28" s="2"/>
      <c r="H28" s="2"/>
      <c r="I28" s="2"/>
      <c r="K28" s="20"/>
      <c r="L28" s="20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X15" activeCellId="0" sqref="X15"/>
    </sheetView>
  </sheetViews>
  <sheetFormatPr defaultRowHeight="12.75" zeroHeight="false" outlineLevelRow="0" outlineLevelCol="0"/>
  <cols>
    <col collapsed="false" customWidth="true" hidden="false" outlineLevel="0" max="1" min="1" style="0" width="15.86"/>
    <col collapsed="false" customWidth="true" hidden="false" outlineLevel="0" max="2" min="2" style="0" width="15.15"/>
    <col collapsed="false" customWidth="true" hidden="false" outlineLevel="0" max="4" min="3" style="0" width="8.67"/>
    <col collapsed="false" customWidth="true" hidden="false" outlineLevel="0" max="5" min="5" style="0" width="13.14"/>
    <col collapsed="false" customWidth="true" hidden="false" outlineLevel="0" max="1025" min="6" style="0" width="8.67"/>
  </cols>
  <sheetData>
    <row r="1" customFormat="false" ht="12.75" hidden="false" customHeight="false" outlineLevel="0" collapsed="false">
      <c r="A1" s="0" t="s">
        <v>57</v>
      </c>
      <c r="B1" s="0" t="s">
        <v>23</v>
      </c>
      <c r="C1" s="0" t="s">
        <v>33</v>
      </c>
      <c r="D1" s="0" t="s">
        <v>34</v>
      </c>
      <c r="E1" s="0" t="s">
        <v>32</v>
      </c>
      <c r="F1" s="2" t="s">
        <v>6</v>
      </c>
      <c r="G1" s="2" t="s">
        <v>44</v>
      </c>
    </row>
    <row r="2" s="2" customFormat="true" ht="12.75" hidden="false" customHeight="false" outlineLevel="0" collapsed="false">
      <c r="A2" s="21" t="n">
        <v>0</v>
      </c>
      <c r="B2" s="3" t="n">
        <f aca="false">(49880+118809)/1000</f>
        <v>168.689</v>
      </c>
      <c r="C2" s="3" t="n">
        <f aca="false">(55774+188066)/1000</f>
        <v>243.84</v>
      </c>
      <c r="D2" s="3" t="n">
        <v>1.16</v>
      </c>
      <c r="E2" s="3" t="n">
        <v>55.53</v>
      </c>
      <c r="F2" s="3" t="n">
        <v>62.5</v>
      </c>
      <c r="G2" s="3" t="n">
        <v>189.87</v>
      </c>
    </row>
    <row r="3" customFormat="false" ht="12.75" hidden="false" customHeight="false" outlineLevel="0" collapsed="false">
      <c r="A3" s="21" t="n">
        <v>0.2</v>
      </c>
      <c r="B3" s="3" t="n">
        <f aca="false">(49880+118809)/1000</f>
        <v>168.689</v>
      </c>
      <c r="C3" s="3" t="n">
        <f aca="false">(55774+188066)/1000</f>
        <v>243.84</v>
      </c>
      <c r="D3" s="3" t="n">
        <v>1.16</v>
      </c>
      <c r="E3" s="3" t="n">
        <v>54.83</v>
      </c>
      <c r="F3" s="3" t="n">
        <v>61.55</v>
      </c>
      <c r="G3" s="3" t="n">
        <v>188.44</v>
      </c>
    </row>
    <row r="4" customFormat="false" ht="12.75" hidden="false" customHeight="false" outlineLevel="0" collapsed="false">
      <c r="A4" s="21" t="n">
        <v>0.4</v>
      </c>
      <c r="B4" s="3" t="n">
        <f aca="false">(49880+118809)/1000</f>
        <v>168.689</v>
      </c>
      <c r="C4" s="3" t="n">
        <f aca="false">(55774+188066)/1000</f>
        <v>243.84</v>
      </c>
      <c r="D4" s="3" t="n">
        <v>1.16</v>
      </c>
      <c r="E4" s="3" t="n">
        <v>53.95</v>
      </c>
      <c r="F4" s="3" t="n">
        <v>60.49</v>
      </c>
      <c r="G4" s="3" t="n">
        <v>186.84</v>
      </c>
    </row>
    <row r="5" customFormat="false" ht="12.75" hidden="false" customHeight="false" outlineLevel="0" collapsed="false">
      <c r="A5" s="21" t="n">
        <v>0.6</v>
      </c>
      <c r="B5" s="3" t="n">
        <f aca="false">(49880+118809)/1000</f>
        <v>168.689</v>
      </c>
      <c r="C5" s="3" t="n">
        <f aca="false">(55774+188066)/1000</f>
        <v>243.84</v>
      </c>
      <c r="D5" s="3" t="n">
        <v>1.16</v>
      </c>
      <c r="E5" s="3" t="n">
        <v>44.12</v>
      </c>
      <c r="F5" s="3" t="n">
        <v>58.78</v>
      </c>
      <c r="G5" s="3" t="n">
        <v>181.7</v>
      </c>
    </row>
    <row r="6" customFormat="false" ht="12.75" hidden="false" customHeight="false" outlineLevel="0" collapsed="false">
      <c r="A6" s="21" t="n">
        <v>0.8</v>
      </c>
      <c r="B6" s="3" t="n">
        <f aca="false">(49880+118809)/1000</f>
        <v>168.689</v>
      </c>
      <c r="C6" s="3" t="n">
        <f aca="false">(55774+188066)/1000</f>
        <v>243.84</v>
      </c>
      <c r="D6" s="3" t="n">
        <v>1.16</v>
      </c>
      <c r="E6" s="3" t="n">
        <v>35.68</v>
      </c>
      <c r="F6" s="3" t="n">
        <v>56.54</v>
      </c>
      <c r="G6" s="3" t="n">
        <v>178.84</v>
      </c>
    </row>
    <row r="7" customFormat="false" ht="12.75" hidden="false" customHeight="false" outlineLevel="0" collapsed="false">
      <c r="A7" s="21" t="n">
        <v>1</v>
      </c>
      <c r="B7" s="3" t="n">
        <f aca="false">(49880+118809)/1000</f>
        <v>168.689</v>
      </c>
      <c r="C7" s="3" t="n">
        <v>243.71</v>
      </c>
      <c r="D7" s="3" t="n">
        <v>1.16</v>
      </c>
      <c r="E7" s="3" t="n">
        <v>29.1</v>
      </c>
      <c r="F7" s="3" t="n">
        <v>54.32</v>
      </c>
      <c r="G7" s="3" t="n">
        <v>177.39</v>
      </c>
    </row>
    <row r="9" customFormat="false" ht="12.75" hidden="false" customHeight="false" outlineLevel="0" collapsed="false">
      <c r="A9" s="2" t="s">
        <v>57</v>
      </c>
      <c r="B9" s="0" t="s">
        <v>55</v>
      </c>
      <c r="C9" s="0" t="s">
        <v>56</v>
      </c>
      <c r="D9" s="2"/>
      <c r="E9" s="2"/>
      <c r="F9" s="2"/>
    </row>
    <row r="10" s="2" customFormat="true" ht="12.75" hidden="false" customHeight="false" outlineLevel="0" collapsed="false">
      <c r="A10" s="21" t="n">
        <v>0</v>
      </c>
      <c r="B10" s="2" t="n">
        <v>113.88</v>
      </c>
      <c r="C10" s="2" t="n">
        <v>0.05</v>
      </c>
    </row>
    <row r="11" customFormat="false" ht="12.75" hidden="false" customHeight="false" outlineLevel="0" collapsed="false">
      <c r="A11" s="21" t="n">
        <v>0.2</v>
      </c>
      <c r="B11" s="0" t="n">
        <f aca="false">112.53</f>
        <v>112.53</v>
      </c>
      <c r="C11" s="0" t="n">
        <v>0.23</v>
      </c>
      <c r="D11" s="2"/>
      <c r="E11" s="2"/>
      <c r="F11" s="2"/>
    </row>
    <row r="12" customFormat="false" ht="12.75" hidden="false" customHeight="false" outlineLevel="0" collapsed="false">
      <c r="A12" s="21" t="n">
        <v>0.4</v>
      </c>
      <c r="B12" s="0" t="n">
        <v>111.18</v>
      </c>
      <c r="C12" s="0" t="n">
        <v>0.19</v>
      </c>
      <c r="D12" s="2"/>
      <c r="E12" s="2"/>
      <c r="F12" s="2"/>
    </row>
    <row r="13" customFormat="false" ht="12.75" hidden="false" customHeight="false" outlineLevel="0" collapsed="false">
      <c r="A13" s="21" t="n">
        <v>0.6</v>
      </c>
      <c r="B13" s="0" t="n">
        <v>108.34</v>
      </c>
      <c r="C13" s="0" t="n">
        <v>0.12</v>
      </c>
      <c r="D13" s="2"/>
      <c r="E13" s="2"/>
      <c r="F13" s="2"/>
    </row>
    <row r="14" customFormat="false" ht="12.75" hidden="false" customHeight="false" outlineLevel="0" collapsed="false">
      <c r="A14" s="21" t="n">
        <v>0.8</v>
      </c>
      <c r="B14" s="0" t="n">
        <v>105.63</v>
      </c>
      <c r="C14" s="0" t="n">
        <v>0.14</v>
      </c>
      <c r="D14" s="2"/>
      <c r="E14" s="2"/>
      <c r="F14" s="2"/>
    </row>
    <row r="15" customFormat="false" ht="12.75" hidden="false" customHeight="false" outlineLevel="0" collapsed="false">
      <c r="A15" s="21" t="n">
        <v>1</v>
      </c>
      <c r="B15" s="0" t="n">
        <v>102.77</v>
      </c>
      <c r="C15" s="0" t="n">
        <v>0.14</v>
      </c>
      <c r="D15" s="2"/>
      <c r="E15" s="2"/>
      <c r="F15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52" activeCellId="0" sqref="D52"/>
    </sheetView>
  </sheetViews>
  <sheetFormatPr defaultRowHeight="12.75" zeroHeight="false" outlineLevelRow="0" outlineLevelCol="0"/>
  <cols>
    <col collapsed="false" customWidth="true" hidden="false" outlineLevel="0" max="1" min="1" style="11" width="8.67"/>
    <col collapsed="false" customWidth="true" hidden="false" outlineLevel="0" max="2" min="2" style="11" width="12.71"/>
    <col collapsed="false" customWidth="true" hidden="false" outlineLevel="0" max="3" min="3" style="11" width="11.86"/>
    <col collapsed="false" customWidth="true" hidden="false" outlineLevel="0" max="1025" min="4" style="11" width="8.67"/>
  </cols>
  <sheetData>
    <row r="1" customFormat="false" ht="12.75" hidden="false" customHeight="false" outlineLevel="0" collapsed="false">
      <c r="C1" s="11" t="s">
        <v>58</v>
      </c>
      <c r="D1" s="11" t="s">
        <v>59</v>
      </c>
      <c r="G1" s="11" t="s">
        <v>29</v>
      </c>
      <c r="H1" s="11" t="s">
        <v>30</v>
      </c>
      <c r="I1" s="11" t="s">
        <v>31</v>
      </c>
      <c r="K1" s="11" t="s">
        <v>60</v>
      </c>
      <c r="L1" s="11" t="s">
        <v>61</v>
      </c>
    </row>
    <row r="2" customFormat="false" ht="12.75" hidden="false" customHeight="false" outlineLevel="0" collapsed="false">
      <c r="A2" s="11" t="s">
        <v>29</v>
      </c>
      <c r="B2" s="11" t="s">
        <v>62</v>
      </c>
      <c r="C2" s="11" t="n">
        <f aca="false">155191141.2+197982398</f>
        <v>353173539.2</v>
      </c>
      <c r="D2" s="11" t="n">
        <f aca="false">C2*0.000001</f>
        <v>353.1735392</v>
      </c>
      <c r="F2" s="11" t="s">
        <v>23</v>
      </c>
      <c r="G2" s="11" t="n">
        <v>353.1735392</v>
      </c>
      <c r="H2" s="11" t="n">
        <v>353.173539</v>
      </c>
      <c r="I2" s="11" t="n">
        <v>353.173539</v>
      </c>
      <c r="K2" s="11" t="n">
        <f aca="false">I2/SUM(I2:I6)</f>
        <v>0.431302909472103</v>
      </c>
      <c r="L2" s="11" t="n">
        <f aca="false">G2/SUM(G2:G6)</f>
        <v>0.374016546995946</v>
      </c>
    </row>
    <row r="3" customFormat="false" ht="12.75" hidden="false" customHeight="false" outlineLevel="0" collapsed="false">
      <c r="B3" s="11" t="s">
        <v>63</v>
      </c>
      <c r="C3" s="11" t="n">
        <v>188436532</v>
      </c>
      <c r="D3" s="11" t="n">
        <f aca="false">C3*0.000001</f>
        <v>188.436532</v>
      </c>
      <c r="F3" s="11" t="s">
        <v>32</v>
      </c>
      <c r="G3" s="11" t="n">
        <v>188.436532</v>
      </c>
      <c r="H3" s="11" t="n">
        <v>257.979902</v>
      </c>
      <c r="I3" s="11" t="n">
        <v>101.176521</v>
      </c>
      <c r="K3" s="11" t="n">
        <f aca="false">I3/SUM(I2:I6)</f>
        <v>0.123558882698642</v>
      </c>
      <c r="L3" s="11" t="n">
        <f aca="false">G3/SUM(G2:G6)</f>
        <v>0.199557365441865</v>
      </c>
    </row>
    <row r="4" customFormat="false" ht="12.75" hidden="false" customHeight="false" outlineLevel="0" collapsed="false">
      <c r="B4" s="11" t="s">
        <v>33</v>
      </c>
      <c r="C4" s="11" t="n">
        <f aca="false">17399908+269382702</f>
        <v>286782610</v>
      </c>
      <c r="D4" s="11" t="n">
        <f aca="false">C4*0.000001</f>
        <v>286.78261</v>
      </c>
      <c r="F4" s="11" t="s">
        <v>33</v>
      </c>
      <c r="G4" s="11" t="n">
        <v>286.78261</v>
      </c>
      <c r="H4" s="11" t="n">
        <v>337.351564</v>
      </c>
      <c r="I4" s="11" t="n">
        <v>258.337379</v>
      </c>
      <c r="K4" s="11" t="n">
        <f aca="false">I4/SUM(I2:I6)</f>
        <v>0.315487008181826</v>
      </c>
      <c r="L4" s="11" t="n">
        <f aca="false">G4/SUM(G2:G6)</f>
        <v>0.30370746849736</v>
      </c>
    </row>
    <row r="5" customFormat="false" ht="12.75" hidden="false" customHeight="false" outlineLevel="0" collapsed="false">
      <c r="B5" s="11" t="s">
        <v>6</v>
      </c>
      <c r="C5" s="11" t="n">
        <f aca="false">39194574+61715150</f>
        <v>100909724</v>
      </c>
      <c r="D5" s="11" t="n">
        <f aca="false">C5*0.000001</f>
        <v>100.909724</v>
      </c>
      <c r="F5" s="11" t="s">
        <v>6</v>
      </c>
      <c r="G5" s="11" t="n">
        <v>100.909724</v>
      </c>
      <c r="H5" s="11" t="n">
        <v>110.946877</v>
      </c>
      <c r="I5" s="11" t="n">
        <v>91.195138</v>
      </c>
      <c r="K5" s="11" t="n">
        <f aca="false">I5/SUM(I2:I6)</f>
        <v>0.111369409102617</v>
      </c>
      <c r="L5" s="11" t="n">
        <f aca="false">G5/SUM(G2:G6)</f>
        <v>0.106865046045879</v>
      </c>
    </row>
    <row r="6" customFormat="false" ht="12.75" hidden="false" customHeight="false" outlineLevel="0" collapsed="false">
      <c r="B6" s="11" t="s">
        <v>34</v>
      </c>
      <c r="C6" s="11" t="n">
        <f aca="false">406900+14563193</f>
        <v>14970093</v>
      </c>
      <c r="D6" s="11" t="n">
        <f aca="false">C6*0.000001</f>
        <v>14.970093</v>
      </c>
      <c r="F6" s="11" t="s">
        <v>34</v>
      </c>
      <c r="G6" s="11" t="n">
        <v>14.970093</v>
      </c>
      <c r="H6" s="11" t="n">
        <v>14.970093</v>
      </c>
      <c r="I6" s="11" t="n">
        <v>14.970093</v>
      </c>
      <c r="K6" s="11" t="n">
        <f aca="false">I6/SUM(I2:I6)</f>
        <v>0.0182817905448119</v>
      </c>
      <c r="L6" s="11" t="n">
        <f aca="false">G6/SUM(G2:G6)</f>
        <v>0.01585357301895</v>
      </c>
    </row>
    <row r="7" customFormat="false" ht="12.75" hidden="false" customHeight="false" outlineLevel="0" collapsed="false">
      <c r="D7" s="11" t="n">
        <f aca="false">C7*0.000001</f>
        <v>0</v>
      </c>
    </row>
    <row r="8" customFormat="false" ht="12.75" hidden="false" customHeight="false" outlineLevel="0" collapsed="false">
      <c r="A8" s="11" t="s">
        <v>64</v>
      </c>
      <c r="B8" s="11" t="s">
        <v>62</v>
      </c>
      <c r="C8" s="11" t="n">
        <f aca="false">155191141+197982398</f>
        <v>353173539</v>
      </c>
      <c r="D8" s="11" t="n">
        <f aca="false">C8*0.000001</f>
        <v>353.173539</v>
      </c>
    </row>
    <row r="9" customFormat="false" ht="12.75" hidden="false" customHeight="false" outlineLevel="0" collapsed="false">
      <c r="B9" s="11" t="s">
        <v>63</v>
      </c>
      <c r="C9" s="11" t="n">
        <v>257979902</v>
      </c>
      <c r="D9" s="11" t="n">
        <f aca="false">C9*0.000001</f>
        <v>257.979902</v>
      </c>
    </row>
    <row r="10" customFormat="false" ht="12.75" hidden="false" customHeight="false" outlineLevel="0" collapsed="false">
      <c r="B10" s="11" t="s">
        <v>33</v>
      </c>
      <c r="C10" s="11" t="n">
        <f aca="false">67968862+269382702</f>
        <v>337351564</v>
      </c>
      <c r="D10" s="11" t="n">
        <f aca="false">C10*0.000001</f>
        <v>337.351564</v>
      </c>
    </row>
    <row r="11" customFormat="false" ht="12.75" hidden="false" customHeight="false" outlineLevel="0" collapsed="false">
      <c r="B11" s="11" t="s">
        <v>6</v>
      </c>
      <c r="C11" s="11" t="n">
        <f aca="false">43114032+67832845</f>
        <v>110946877</v>
      </c>
      <c r="D11" s="11" t="n">
        <f aca="false">C11*0.000001</f>
        <v>110.946877</v>
      </c>
    </row>
    <row r="12" customFormat="false" ht="12.75" hidden="false" customHeight="false" outlineLevel="0" collapsed="false">
      <c r="B12" s="11" t="s">
        <v>34</v>
      </c>
      <c r="C12" s="11" t="n">
        <f aca="false">406900+14563193</f>
        <v>14970093</v>
      </c>
      <c r="D12" s="11" t="n">
        <f aca="false">C12*0.000001</f>
        <v>14.970093</v>
      </c>
    </row>
    <row r="13" customFormat="false" ht="12.75" hidden="false" customHeight="false" outlineLevel="0" collapsed="false">
      <c r="D13" s="11" t="n">
        <f aca="false">C13*0.000001</f>
        <v>0</v>
      </c>
    </row>
    <row r="14" customFormat="false" ht="12.75" hidden="false" customHeight="false" outlineLevel="0" collapsed="false">
      <c r="A14" s="11" t="s">
        <v>65</v>
      </c>
      <c r="B14" s="11" t="s">
        <v>62</v>
      </c>
      <c r="C14" s="11" t="n">
        <f aca="false">155191141+197982398</f>
        <v>353173539</v>
      </c>
      <c r="D14" s="11" t="n">
        <f aca="false">C14*0.000001</f>
        <v>353.173539</v>
      </c>
    </row>
    <row r="15" customFormat="false" ht="12.75" hidden="false" customHeight="false" outlineLevel="0" collapsed="false">
      <c r="B15" s="11" t="s">
        <v>63</v>
      </c>
      <c r="C15" s="11" t="n">
        <f aca="false">101176521</f>
        <v>101176521</v>
      </c>
      <c r="D15" s="11" t="n">
        <f aca="false">C15*0.000001</f>
        <v>101.176521</v>
      </c>
    </row>
    <row r="16" customFormat="false" ht="12.75" hidden="false" customHeight="false" outlineLevel="0" collapsed="false">
      <c r="B16" s="11" t="s">
        <v>33</v>
      </c>
      <c r="C16" s="11" t="n">
        <f aca="false">8117030+250220349</f>
        <v>258337379</v>
      </c>
      <c r="D16" s="11" t="n">
        <f aca="false">C16*0.000001</f>
        <v>258.337379</v>
      </c>
    </row>
    <row r="17" customFormat="false" ht="12.75" hidden="false" customHeight="false" outlineLevel="0" collapsed="false">
      <c r="B17" s="11" t="s">
        <v>6</v>
      </c>
      <c r="C17" s="11" t="n">
        <f aca="false">35275116+55920022</f>
        <v>91195138</v>
      </c>
      <c r="D17" s="11" t="n">
        <f aca="false">C17*0.000001</f>
        <v>91.195138</v>
      </c>
    </row>
    <row r="18" customFormat="false" ht="12.75" hidden="false" customHeight="false" outlineLevel="0" collapsed="false">
      <c r="B18" s="11" t="s">
        <v>34</v>
      </c>
      <c r="C18" s="11" t="n">
        <f aca="false">406900+14563193</f>
        <v>14970093</v>
      </c>
      <c r="D18" s="11" t="n">
        <f aca="false">C18*0.000001</f>
        <v>14.970093</v>
      </c>
    </row>
    <row r="31" customFormat="false" ht="12.75" hidden="false" customHeight="false" outlineLevel="0" collapsed="false">
      <c r="C31" s="11" t="s">
        <v>58</v>
      </c>
      <c r="D31" s="11" t="s">
        <v>59</v>
      </c>
      <c r="G31" s="11" t="s">
        <v>29</v>
      </c>
      <c r="H31" s="11" t="s">
        <v>30</v>
      </c>
      <c r="I31" s="11" t="s">
        <v>31</v>
      </c>
    </row>
    <row r="32" customFormat="false" ht="12.75" hidden="false" customHeight="false" outlineLevel="0" collapsed="false">
      <c r="A32" s="11" t="s">
        <v>29</v>
      </c>
      <c r="B32" s="11" t="s">
        <v>6</v>
      </c>
      <c r="C32" s="11" t="n">
        <f aca="false">39194573+61101910</f>
        <v>100296483</v>
      </c>
      <c r="D32" s="11" t="n">
        <f aca="false">C32*0.000001</f>
        <v>100.296483</v>
      </c>
      <c r="F32" s="11" t="s">
        <v>6</v>
      </c>
      <c r="G32" s="11" t="n">
        <v>100.296483</v>
      </c>
      <c r="H32" s="11" t="n">
        <v>110.810511</v>
      </c>
      <c r="I32" s="11" t="n">
        <v>86.879355</v>
      </c>
      <c r="K32" s="11" t="n">
        <f aca="false">I32/(I33+I34)</f>
        <v>0.172460730873478</v>
      </c>
    </row>
    <row r="33" customFormat="false" ht="12.75" hidden="false" customHeight="false" outlineLevel="0" collapsed="false">
      <c r="B33" s="11" t="s">
        <v>41</v>
      </c>
      <c r="C33" s="11" t="n">
        <f aca="false">66861128+460700903</f>
        <v>527562031</v>
      </c>
      <c r="D33" s="11" t="n">
        <f aca="false">C33*0.000001</f>
        <v>527.562031</v>
      </c>
      <c r="F33" s="11" t="s">
        <v>41</v>
      </c>
      <c r="G33" s="11" t="n">
        <v>527.562031</v>
      </c>
      <c r="H33" s="11" t="n">
        <v>522.771604</v>
      </c>
      <c r="I33" s="11" t="n">
        <v>468.02711</v>
      </c>
    </row>
    <row r="34" customFormat="false" ht="12.75" hidden="false" customHeight="false" outlineLevel="0" collapsed="false">
      <c r="B34" s="11" t="s">
        <v>42</v>
      </c>
      <c r="C34" s="11" t="n">
        <f aca="false">16116897+13466064</f>
        <v>29582961</v>
      </c>
      <c r="D34" s="11" t="n">
        <f aca="false">C34*0.000001</f>
        <v>29.582961</v>
      </c>
      <c r="F34" s="11" t="s">
        <v>42</v>
      </c>
      <c r="G34" s="11" t="n">
        <v>29.582961</v>
      </c>
      <c r="H34" s="11" t="n">
        <v>26.708311</v>
      </c>
      <c r="I34" s="11" t="n">
        <v>35.736005</v>
      </c>
    </row>
    <row r="35" customFormat="false" ht="12.75" hidden="false" customHeight="false" outlineLevel="0" collapsed="false">
      <c r="D35" s="11" t="n">
        <f aca="false">C35*0.000001</f>
        <v>0</v>
      </c>
    </row>
    <row r="36" customFormat="false" ht="12.75" hidden="false" customHeight="false" outlineLevel="0" collapsed="false">
      <c r="A36" s="11" t="s">
        <v>64</v>
      </c>
      <c r="B36" s="11" t="s">
        <v>6</v>
      </c>
      <c r="C36" s="11" t="n">
        <f aca="false">43114032+67696479</f>
        <v>110810511</v>
      </c>
      <c r="D36" s="11" t="n">
        <f aca="false">C36*0.000001</f>
        <v>110.810511</v>
      </c>
    </row>
    <row r="37" customFormat="false" ht="12.75" hidden="false" customHeight="false" outlineLevel="0" collapsed="false">
      <c r="B37" s="11" t="s">
        <v>41</v>
      </c>
      <c r="C37" s="11" t="n">
        <f aca="false">65036021+457735583</f>
        <v>522771604</v>
      </c>
      <c r="D37" s="11" t="n">
        <f aca="false">C37*0.000001</f>
        <v>522.771604</v>
      </c>
    </row>
    <row r="38" customFormat="false" ht="12.75" hidden="false" customHeight="false" outlineLevel="0" collapsed="false">
      <c r="B38" s="11" t="s">
        <v>42</v>
      </c>
      <c r="C38" s="11" t="n">
        <f aca="false">18501645+8206666</f>
        <v>26708311</v>
      </c>
      <c r="D38" s="11" t="n">
        <f aca="false">C38*0.000001</f>
        <v>26.708311</v>
      </c>
    </row>
    <row r="39" customFormat="false" ht="12.75" hidden="false" customHeight="false" outlineLevel="0" collapsed="false">
      <c r="D39" s="11" t="n">
        <f aca="false">C39*0.000001</f>
        <v>0</v>
      </c>
    </row>
    <row r="40" customFormat="false" ht="12.75" hidden="false" customHeight="false" outlineLevel="0" collapsed="false">
      <c r="A40" s="11" t="s">
        <v>65</v>
      </c>
      <c r="B40" s="11" t="s">
        <v>6</v>
      </c>
      <c r="C40" s="11" t="n">
        <f aca="false">35275116+51604239</f>
        <v>86879355</v>
      </c>
      <c r="D40" s="11" t="n">
        <f aca="false">C40*0.000001</f>
        <v>86.879355</v>
      </c>
    </row>
    <row r="41" customFormat="false" ht="12.75" hidden="false" customHeight="false" outlineLevel="0" collapsed="false">
      <c r="B41" s="11" t="s">
        <v>41</v>
      </c>
      <c r="C41" s="11" t="n">
        <f aca="false">58745106+409282004</f>
        <v>468027110</v>
      </c>
      <c r="D41" s="11" t="n">
        <f aca="false">C41*0.000001</f>
        <v>468.02711</v>
      </c>
    </row>
    <row r="42" customFormat="false" ht="12.75" hidden="false" customHeight="false" outlineLevel="0" collapsed="false">
      <c r="B42" s="11" t="s">
        <v>42</v>
      </c>
      <c r="C42" s="11" t="n">
        <f aca="false">13204838+22531167</f>
        <v>35736005</v>
      </c>
      <c r="D42" s="11" t="n">
        <f aca="false">C42*0.000001</f>
        <v>35.736005</v>
      </c>
    </row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7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T104" activeCellId="0" sqref="T104"/>
    </sheetView>
  </sheetViews>
  <sheetFormatPr defaultRowHeight="12.75" zeroHeight="false" outlineLevelRow="0" outlineLevelCol="0"/>
  <cols>
    <col collapsed="false" customWidth="true" hidden="false" outlineLevel="0" max="1" min="1" style="2" width="15.86"/>
    <col collapsed="false" customWidth="true" hidden="false" outlineLevel="0" max="2" min="2" style="2" width="13.14"/>
    <col collapsed="false" customWidth="true" hidden="false" outlineLevel="0" max="1025" min="3" style="2" width="8.57"/>
  </cols>
  <sheetData>
    <row r="2" customFormat="false" ht="12.75" hidden="false" customHeight="false" outlineLevel="0" collapsed="false">
      <c r="B2" s="2" t="s">
        <v>0</v>
      </c>
      <c r="C2" s="1" t="n">
        <f aca="false">257.98/(257.98+155.19+67.97+43.11+0.4)</f>
        <v>0.491718288382731</v>
      </c>
    </row>
    <row r="3" customFormat="false" ht="12.75" hidden="false" customHeight="false" outlineLevel="0" collapsed="false">
      <c r="B3" s="2" t="s">
        <v>3</v>
      </c>
      <c r="C3" s="1" t="n">
        <f aca="false">155.19/(257.98+155.19+67.97+43.11+0.4)</f>
        <v>0.295797198132088</v>
      </c>
    </row>
    <row r="4" customFormat="false" ht="12.75" hidden="false" customHeight="false" outlineLevel="0" collapsed="false">
      <c r="A4" s="2" t="s">
        <v>1</v>
      </c>
      <c r="B4" s="2" t="s">
        <v>5</v>
      </c>
      <c r="C4" s="1" t="n">
        <f aca="false">67.97/(257.98+155.19+67.97+43.11+0.4)</f>
        <v>0.129553035356905</v>
      </c>
    </row>
    <row r="5" customFormat="false" ht="12.75" hidden="false" customHeight="false" outlineLevel="0" collapsed="false">
      <c r="B5" s="2" t="s">
        <v>7</v>
      </c>
      <c r="C5" s="1" t="n">
        <f aca="false">43.11/(257.98+155.19+67.97+43.11+0.4)</f>
        <v>0.0821690650910131</v>
      </c>
    </row>
    <row r="6" customFormat="false" ht="12.75" hidden="false" customHeight="false" outlineLevel="0" collapsed="false">
      <c r="B6" s="2" t="s">
        <v>9</v>
      </c>
      <c r="C6" s="1" t="n">
        <f aca="false">0.4/(257.98+155.19+67.97+43.11+0.4)</f>
        <v>0.000762413037262937</v>
      </c>
    </row>
    <row r="22" customFormat="false" ht="12.75" hidden="false" customHeight="false" outlineLevel="0" collapsed="false">
      <c r="B22" s="2" t="s">
        <v>12</v>
      </c>
      <c r="C22" s="1" t="n">
        <f aca="false">269.38/(269.38+197.98+14.56+67.83)</f>
        <v>0.490004547521601</v>
      </c>
    </row>
    <row r="23" customFormat="false" ht="12.75" hidden="false" customHeight="false" outlineLevel="0" collapsed="false">
      <c r="B23" s="2" t="s">
        <v>13</v>
      </c>
      <c r="C23" s="1" t="n">
        <f aca="false">197.98/(269.38+197.98+14.56+67.83)</f>
        <v>0.36012733060482</v>
      </c>
    </row>
    <row r="24" customFormat="false" ht="12.75" hidden="false" customHeight="false" outlineLevel="0" collapsed="false">
      <c r="A24" s="2" t="s">
        <v>14</v>
      </c>
      <c r="B24" s="2" t="s">
        <v>15</v>
      </c>
      <c r="C24" s="1" t="n">
        <f aca="false">67.83/(269.38+197.98+14.56+67.83)</f>
        <v>0.123383356070941</v>
      </c>
    </row>
    <row r="25" customFormat="false" ht="12.75" hidden="false" customHeight="false" outlineLevel="0" collapsed="false">
      <c r="B25" s="2" t="s">
        <v>16</v>
      </c>
      <c r="C25" s="1" t="n">
        <f aca="false">14.56/(269.38+197.98+14.56+67.83)</f>
        <v>0.0264847658026376</v>
      </c>
    </row>
    <row r="26" customFormat="false" ht="12.75" hidden="false" customHeight="false" outlineLevel="0" collapsed="false">
      <c r="C26" s="1"/>
    </row>
    <row r="41" customFormat="false" ht="12.75" hidden="false" customHeight="false" outlineLevel="0" collapsed="false">
      <c r="B41" s="2" t="s">
        <v>17</v>
      </c>
      <c r="C41" s="1" t="n">
        <f aca="false">65.04/(65.04+43.11+18.5)</f>
        <v>0.513541255428346</v>
      </c>
    </row>
    <row r="42" customFormat="false" ht="12.75" hidden="false" customHeight="false" outlineLevel="0" collapsed="false">
      <c r="A42" s="2" t="s">
        <v>18</v>
      </c>
      <c r="B42" s="2" t="s">
        <v>19</v>
      </c>
      <c r="C42" s="1" t="n">
        <f aca="false">18.5/(65.04+43.11+18.5)</f>
        <v>0.146071851559416</v>
      </c>
    </row>
    <row r="43" customFormat="false" ht="12.75" hidden="false" customHeight="false" outlineLevel="0" collapsed="false">
      <c r="B43" s="2" t="s">
        <v>7</v>
      </c>
      <c r="C43" s="1" t="n">
        <f aca="false">43.11/(65.04+43.11+18.5)</f>
        <v>0.340386893012238</v>
      </c>
    </row>
    <row r="44" customFormat="false" ht="12.75" hidden="false" customHeight="false" outlineLevel="0" collapsed="false">
      <c r="C44" s="1"/>
    </row>
    <row r="68" customFormat="false" ht="12.75" hidden="false" customHeight="false" outlineLevel="0" collapsed="false">
      <c r="B68" s="2" t="s">
        <v>20</v>
      </c>
      <c r="C68" s="1" t="n">
        <f aca="false">457.73/(457.73+67.7+8.2)</f>
        <v>0.857766617319116</v>
      </c>
    </row>
    <row r="69" customFormat="false" ht="12.75" hidden="false" customHeight="false" outlineLevel="0" collapsed="false">
      <c r="A69" s="2" t="s">
        <v>21</v>
      </c>
      <c r="B69" s="2" t="s">
        <v>22</v>
      </c>
      <c r="C69" s="1" t="n">
        <f aca="false">8.2/(457.73+67.7+8.2)</f>
        <v>0.0153664524108465</v>
      </c>
    </row>
    <row r="70" customFormat="false" ht="12.75" hidden="false" customHeight="false" outlineLevel="0" collapsed="false">
      <c r="B70" s="2" t="s">
        <v>15</v>
      </c>
      <c r="C70" s="1" t="n">
        <f aca="false">67.7/(457.73+67.7+8.2)</f>
        <v>0.126866930270037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70"/>
  <sheetViews>
    <sheetView showFormulas="false" showGridLines="true" showRowColHeaders="true" showZeros="true" rightToLeft="false" tabSelected="false" showOutlineSymbols="true" defaultGridColor="true" view="normal" topLeftCell="A31" colorId="64" zoomScale="75" zoomScaleNormal="75" zoomScalePageLayoutView="100" workbookViewId="0">
      <selection pane="topLeft" activeCell="O116" activeCellId="0" sqref="O116"/>
    </sheetView>
  </sheetViews>
  <sheetFormatPr defaultRowHeight="12.75" zeroHeight="false" outlineLevelRow="0" outlineLevelCol="0"/>
  <cols>
    <col collapsed="false" customWidth="true" hidden="false" outlineLevel="0" max="1" min="1" style="2" width="15.86"/>
    <col collapsed="false" customWidth="true" hidden="false" outlineLevel="0" max="2" min="2" style="2" width="13.14"/>
    <col collapsed="false" customWidth="true" hidden="false" outlineLevel="0" max="1025" min="3" style="2" width="8.57"/>
  </cols>
  <sheetData>
    <row r="2" customFormat="false" ht="12.75" hidden="false" customHeight="false" outlineLevel="0" collapsed="false">
      <c r="B2" s="2" t="s">
        <v>0</v>
      </c>
      <c r="C2" s="1" t="n">
        <f aca="false">101.17/(101.17+155.19+35.27+8.11+0.4)</f>
        <v>0.337076031185447</v>
      </c>
    </row>
    <row r="3" customFormat="false" ht="12.75" hidden="false" customHeight="false" outlineLevel="0" collapsed="false">
      <c r="B3" s="2" t="s">
        <v>3</v>
      </c>
      <c r="C3" s="1" t="n">
        <f aca="false">155.19/(101.17+155.19+35.27+8.11+0.4)</f>
        <v>0.517058705937229</v>
      </c>
    </row>
    <row r="4" customFormat="false" ht="12.75" hidden="false" customHeight="false" outlineLevel="0" collapsed="false">
      <c r="A4" s="2" t="s">
        <v>1</v>
      </c>
      <c r="B4" s="2" t="s">
        <v>5</v>
      </c>
      <c r="C4" s="1" t="n">
        <f aca="false">8.11/(101.17+155.19+35.27+8.11+0.4)</f>
        <v>0.0270207236622909</v>
      </c>
    </row>
    <row r="5" customFormat="false" ht="12.75" hidden="false" customHeight="false" outlineLevel="0" collapsed="false">
      <c r="B5" s="2" t="s">
        <v>7</v>
      </c>
      <c r="C5" s="1" t="n">
        <f aca="false">35.27/(101.17+155.19+35.27+8.11+0.4)</f>
        <v>0.117511827813687</v>
      </c>
    </row>
    <row r="6" customFormat="false" ht="12.75" hidden="false" customHeight="false" outlineLevel="0" collapsed="false">
      <c r="B6" s="2" t="s">
        <v>9</v>
      </c>
      <c r="C6" s="1" t="n">
        <f aca="false">0.4/(101.17+155.19+35.27+8.11+0.4)</f>
        <v>0.00133271140134604</v>
      </c>
    </row>
    <row r="22" customFormat="false" ht="12.75" hidden="false" customHeight="false" outlineLevel="0" collapsed="false">
      <c r="B22" s="2" t="s">
        <v>12</v>
      </c>
      <c r="C22" s="1" t="n">
        <f aca="false">250.22/(250.22+197.98+14.56+55.92)</f>
        <v>0.482416904449757</v>
      </c>
    </row>
    <row r="23" customFormat="false" ht="12.75" hidden="false" customHeight="false" outlineLevel="0" collapsed="false">
      <c r="B23" s="2" t="s">
        <v>13</v>
      </c>
      <c r="C23" s="1" t="n">
        <f aca="false">197.98/(250.22+197.98+14.56+55.92)</f>
        <v>0.381699699236523</v>
      </c>
    </row>
    <row r="24" customFormat="false" ht="12.75" hidden="false" customHeight="false" outlineLevel="0" collapsed="false">
      <c r="A24" s="2" t="s">
        <v>14</v>
      </c>
      <c r="B24" s="2" t="s">
        <v>15</v>
      </c>
      <c r="C24" s="1" t="n">
        <f aca="false">55.92/(250.22+197.98+14.56+55.92)</f>
        <v>0.107812138505437</v>
      </c>
    </row>
    <row r="25" customFormat="false" ht="12.75" hidden="false" customHeight="false" outlineLevel="0" collapsed="false">
      <c r="B25" s="2" t="s">
        <v>16</v>
      </c>
      <c r="C25" s="1" t="n">
        <f aca="false">14.56/(250.22+197.98+14.56+55.92)</f>
        <v>0.0280712578082826</v>
      </c>
    </row>
    <row r="26" customFormat="false" ht="12.75" hidden="false" customHeight="false" outlineLevel="0" collapsed="false">
      <c r="C26" s="1"/>
    </row>
    <row r="41" customFormat="false" ht="12.75" hidden="false" customHeight="false" outlineLevel="0" collapsed="false">
      <c r="B41" s="2" t="s">
        <v>17</v>
      </c>
      <c r="C41" s="1" t="n">
        <f aca="false">58.74/(58.74+35.27+13.2)</f>
        <v>0.547896651431769</v>
      </c>
    </row>
    <row r="42" customFormat="false" ht="12.75" hidden="false" customHeight="false" outlineLevel="0" collapsed="false">
      <c r="A42" s="2" t="s">
        <v>18</v>
      </c>
      <c r="B42" s="2" t="s">
        <v>19</v>
      </c>
      <c r="C42" s="1" t="n">
        <f aca="false">13.2/(58.74+35.27+13.2)</f>
        <v>0.123122843018375</v>
      </c>
    </row>
    <row r="43" customFormat="false" ht="12.75" hidden="false" customHeight="false" outlineLevel="0" collapsed="false">
      <c r="B43" s="2" t="s">
        <v>7</v>
      </c>
      <c r="C43" s="1" t="n">
        <f aca="false">35.27/(58.74+35.27+13.2)</f>
        <v>0.328980505549855</v>
      </c>
    </row>
    <row r="44" customFormat="false" ht="12.75" hidden="false" customHeight="false" outlineLevel="0" collapsed="false">
      <c r="C44" s="1"/>
    </row>
    <row r="68" customFormat="false" ht="12.75" hidden="false" customHeight="false" outlineLevel="0" collapsed="false">
      <c r="B68" s="2" t="s">
        <v>20</v>
      </c>
      <c r="C68" s="1" t="n">
        <f aca="false">409.28/(409.28+51.6+22.53)</f>
        <v>0.846651910386628</v>
      </c>
    </row>
    <row r="69" customFormat="false" ht="12.75" hidden="false" customHeight="false" outlineLevel="0" collapsed="false">
      <c r="A69" s="2" t="s">
        <v>21</v>
      </c>
      <c r="B69" s="2" t="s">
        <v>22</v>
      </c>
      <c r="C69" s="1" t="n">
        <f aca="false">22.53/(409.28+51.6+22.53)</f>
        <v>0.0466064003640802</v>
      </c>
    </row>
    <row r="70" customFormat="false" ht="12.75" hidden="false" customHeight="false" outlineLevel="0" collapsed="false">
      <c r="B70" s="2" t="s">
        <v>15</v>
      </c>
      <c r="C70" s="1" t="n">
        <f aca="false">51.6/(409.28+51.6+22.53)</f>
        <v>0.106741689249292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" activeCellId="0" sqref="E1"/>
    </sheetView>
  </sheetViews>
  <sheetFormatPr defaultRowHeight="12.75" zeroHeight="false" outlineLevelRow="0" outlineLevelCol="0"/>
  <cols>
    <col collapsed="false" customWidth="true" hidden="false" outlineLevel="0" max="1" min="1" style="0" width="14.35"/>
    <col collapsed="false" customWidth="true" hidden="false" outlineLevel="0" max="3" min="2" style="0" width="12.96"/>
    <col collapsed="false" customWidth="true" hidden="false" outlineLevel="0" max="4" min="4" style="0" width="14.81"/>
    <col collapsed="false" customWidth="true" hidden="false" outlineLevel="0" max="5" min="5" style="0" width="12.15"/>
    <col collapsed="false" customWidth="true" hidden="false" outlineLevel="0" max="6" min="6" style="0" width="13.78"/>
    <col collapsed="false" customWidth="true" hidden="false" outlineLevel="0" max="1025" min="7" style="0" width="8.57"/>
  </cols>
  <sheetData>
    <row r="1" customFormat="false" ht="12.75" hidden="false" customHeight="false" outlineLevel="0" collapsed="false">
      <c r="A1" s="0" t="s">
        <v>23</v>
      </c>
      <c r="B1" s="0" t="s">
        <v>24</v>
      </c>
      <c r="C1" s="0" t="s">
        <v>25</v>
      </c>
      <c r="D1" s="0" t="s">
        <v>26</v>
      </c>
      <c r="E1" s="0" t="s">
        <v>27</v>
      </c>
      <c r="F1" s="0" t="s">
        <v>28</v>
      </c>
    </row>
    <row r="2" customFormat="false" ht="12.75" hidden="false" customHeight="false" outlineLevel="0" collapsed="false">
      <c r="B2" s="0" t="s">
        <v>29</v>
      </c>
      <c r="C2" s="3" t="n">
        <v>22.12</v>
      </c>
      <c r="D2" s="3" t="n">
        <v>31.791</v>
      </c>
      <c r="E2" s="3" t="n">
        <v>49.88</v>
      </c>
      <c r="F2" s="3" t="n">
        <v>118.809</v>
      </c>
    </row>
    <row r="3" customFormat="false" ht="12.75" hidden="false" customHeight="false" outlineLevel="0" collapsed="false">
      <c r="B3" s="0" t="s">
        <v>30</v>
      </c>
      <c r="C3" s="3" t="n">
        <v>22.12</v>
      </c>
      <c r="D3" s="3" t="n">
        <v>31.791</v>
      </c>
      <c r="E3" s="3" t="n">
        <v>49.88</v>
      </c>
      <c r="F3" s="3" t="n">
        <v>118.809</v>
      </c>
    </row>
    <row r="4" customFormat="false" ht="12.75" hidden="false" customHeight="false" outlineLevel="0" collapsed="false">
      <c r="B4" s="0" t="s">
        <v>31</v>
      </c>
      <c r="C4" s="3" t="n">
        <v>22.12</v>
      </c>
      <c r="D4" s="3" t="n">
        <v>31.791</v>
      </c>
      <c r="E4" s="3" t="n">
        <v>49.88</v>
      </c>
      <c r="F4" s="3" t="n">
        <v>118.809</v>
      </c>
    </row>
    <row r="6" customFormat="false" ht="12.75" hidden="false" customHeight="false" outlineLevel="0" collapsed="false">
      <c r="A6" s="0" t="s">
        <v>32</v>
      </c>
      <c r="B6" s="0" t="s">
        <v>24</v>
      </c>
      <c r="C6" s="0" t="s">
        <v>25</v>
      </c>
      <c r="D6" s="0" t="s">
        <v>27</v>
      </c>
    </row>
    <row r="7" customFormat="false" ht="12.75" hidden="false" customHeight="false" outlineLevel="0" collapsed="false">
      <c r="B7" s="0" t="s">
        <v>29</v>
      </c>
      <c r="C7" s="3" t="n">
        <v>6.658</v>
      </c>
      <c r="D7" s="3" t="n">
        <f aca="false">54.4</f>
        <v>54.4</v>
      </c>
      <c r="E7" s="3"/>
      <c r="F7" s="3"/>
    </row>
    <row r="8" customFormat="false" ht="12.75" hidden="false" customHeight="false" outlineLevel="0" collapsed="false">
      <c r="B8" s="0" t="s">
        <v>30</v>
      </c>
      <c r="C8" s="3" t="n">
        <v>6.658</v>
      </c>
      <c r="D8" s="3" t="n">
        <f aca="false">76942/1000</f>
        <v>76.942</v>
      </c>
      <c r="E8" s="3"/>
      <c r="F8" s="3"/>
    </row>
    <row r="9" customFormat="false" ht="12.75" hidden="false" customHeight="false" outlineLevel="0" collapsed="false">
      <c r="B9" s="0" t="s">
        <v>31</v>
      </c>
      <c r="C9" s="3" t="n">
        <v>6.658</v>
      </c>
      <c r="D9" s="3" t="n">
        <v>26.13</v>
      </c>
      <c r="E9" s="3"/>
      <c r="F9" s="3"/>
    </row>
    <row r="11" customFormat="false" ht="12.75" hidden="false" customHeight="false" outlineLevel="0" collapsed="false">
      <c r="A11" s="0" t="s">
        <v>33</v>
      </c>
      <c r="B11" s="0" t="s">
        <v>24</v>
      </c>
      <c r="C11" s="0" t="s">
        <v>25</v>
      </c>
      <c r="D11" s="0" t="s">
        <v>26</v>
      </c>
      <c r="E11" s="0" t="s">
        <v>27</v>
      </c>
      <c r="F11" s="0" t="s">
        <v>28</v>
      </c>
    </row>
    <row r="12" customFormat="false" ht="12.75" hidden="false" customHeight="false" outlineLevel="0" collapsed="false">
      <c r="B12" s="0" t="s">
        <v>29</v>
      </c>
      <c r="C12" s="3" t="n">
        <f aca="false">7564/1000</f>
        <v>7.564</v>
      </c>
      <c r="D12" s="3" t="n">
        <f aca="false">37664/1000</f>
        <v>37.664</v>
      </c>
      <c r="E12" s="3" t="n">
        <v>8.65</v>
      </c>
      <c r="F12" s="3" t="n">
        <f aca="false">188066/1000</f>
        <v>188.066</v>
      </c>
    </row>
    <row r="13" customFormat="false" ht="12.75" hidden="false" customHeight="false" outlineLevel="0" collapsed="false">
      <c r="B13" s="0" t="s">
        <v>30</v>
      </c>
      <c r="C13" s="3" t="n">
        <f aca="false">7564/1000</f>
        <v>7.564</v>
      </c>
      <c r="D13" s="3" t="n">
        <f aca="false">37664/1000</f>
        <v>37.664</v>
      </c>
      <c r="E13" s="3" t="n">
        <f aca="false">55774/1000</f>
        <v>55.774</v>
      </c>
      <c r="F13" s="3" t="n">
        <f aca="false">188066/1000</f>
        <v>188.066</v>
      </c>
    </row>
    <row r="14" customFormat="false" ht="12.75" hidden="false" customHeight="false" outlineLevel="0" collapsed="false">
      <c r="B14" s="0" t="s">
        <v>31</v>
      </c>
      <c r="C14" s="3" t="n">
        <f aca="false">7564/1000</f>
        <v>7.564</v>
      </c>
      <c r="D14" s="3" t="n">
        <f aca="false">37664/1000</f>
        <v>37.664</v>
      </c>
      <c r="E14" s="3" t="n">
        <v>0</v>
      </c>
      <c r="F14" s="3" t="n">
        <v>172</v>
      </c>
    </row>
    <row r="16" customFormat="false" ht="12.75" hidden="false" customHeight="false" outlineLevel="0" collapsed="false">
      <c r="A16" s="0" t="s">
        <v>34</v>
      </c>
      <c r="B16" s="0" t="s">
        <v>24</v>
      </c>
      <c r="C16" s="0" t="s">
        <v>25</v>
      </c>
      <c r="D16" s="0" t="s">
        <v>26</v>
      </c>
      <c r="E16" s="0" t="s">
        <v>27</v>
      </c>
      <c r="F16" s="0" t="s">
        <v>28</v>
      </c>
    </row>
    <row r="17" customFormat="false" ht="12.75" hidden="false" customHeight="false" outlineLevel="0" collapsed="false">
      <c r="B17" s="0" t="s">
        <v>29</v>
      </c>
      <c r="C17" s="3" t="n">
        <f aca="false">92.1/1000</f>
        <v>0.0921</v>
      </c>
      <c r="D17" s="3" t="n">
        <f aca="false">4198/1000</f>
        <v>4.198</v>
      </c>
      <c r="E17" s="3" t="n">
        <f aca="false">55.9/1000</f>
        <v>0.0559</v>
      </c>
      <c r="F17" s="3" t="n">
        <f aca="false">1099/1000</f>
        <v>1.099</v>
      </c>
    </row>
    <row r="18" customFormat="false" ht="12.75" hidden="false" customHeight="false" outlineLevel="0" collapsed="false">
      <c r="B18" s="0" t="s">
        <v>30</v>
      </c>
      <c r="C18" s="3" t="n">
        <f aca="false">92.1/1000</f>
        <v>0.0921</v>
      </c>
      <c r="D18" s="3" t="n">
        <f aca="false">4198/1000</f>
        <v>4.198</v>
      </c>
      <c r="E18" s="3" t="n">
        <f aca="false">55.9/1000</f>
        <v>0.0559</v>
      </c>
      <c r="F18" s="3" t="n">
        <f aca="false">1099/1000</f>
        <v>1.099</v>
      </c>
    </row>
    <row r="19" customFormat="false" ht="12.75" hidden="false" customHeight="false" outlineLevel="0" collapsed="false">
      <c r="B19" s="0" t="s">
        <v>31</v>
      </c>
      <c r="C19" s="3" t="n">
        <f aca="false">92.1/1000</f>
        <v>0.0921</v>
      </c>
      <c r="D19" s="3" t="n">
        <f aca="false">4198/1000</f>
        <v>4.198</v>
      </c>
      <c r="E19" s="3" t="n">
        <f aca="false">55.9/1000</f>
        <v>0.0559</v>
      </c>
      <c r="F19" s="3" t="n">
        <f aca="false">1099/1000</f>
        <v>1.099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T51" activeCellId="0" sqref="T51"/>
    </sheetView>
  </sheetViews>
  <sheetFormatPr defaultRowHeight="12.7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4.4"/>
    <col collapsed="false" customWidth="true" hidden="false" outlineLevel="0" max="3" min="3" style="0" width="14.43"/>
    <col collapsed="false" customWidth="true" hidden="false" outlineLevel="0" max="4" min="4" style="0" width="15.53"/>
    <col collapsed="false" customWidth="true" hidden="false" outlineLevel="0" max="5" min="5" style="0" width="13.63"/>
    <col collapsed="false" customWidth="true" hidden="false" outlineLevel="0" max="6" min="6" style="0" width="8.57"/>
    <col collapsed="false" customWidth="true" hidden="false" outlineLevel="0" max="7" min="7" style="0" width="14.78"/>
    <col collapsed="false" customWidth="true" hidden="false" outlineLevel="0" max="1025" min="8" style="0" width="8.57"/>
  </cols>
  <sheetData>
    <row r="1" customFormat="false" ht="12.75" hidden="false" customHeight="false" outlineLevel="0" collapsed="false">
      <c r="A1" s="2"/>
      <c r="C1" s="0" t="s">
        <v>27</v>
      </c>
      <c r="D1" s="0" t="s">
        <v>28</v>
      </c>
      <c r="E1" s="0" t="s">
        <v>35</v>
      </c>
      <c r="K1" s="0" t="s">
        <v>27</v>
      </c>
      <c r="L1" s="0" t="s">
        <v>28</v>
      </c>
      <c r="M1" s="0" t="s">
        <v>35</v>
      </c>
    </row>
    <row r="2" customFormat="false" ht="12.75" hidden="false" customHeight="false" outlineLevel="0" collapsed="false">
      <c r="A2" s="0" t="s">
        <v>23</v>
      </c>
      <c r="B2" s="0" t="s">
        <v>29</v>
      </c>
      <c r="C2" s="3" t="n">
        <f aca="false">((49.88*1000000)*1075)/1000000000</f>
        <v>53.621</v>
      </c>
      <c r="D2" s="3" t="n">
        <f aca="false">((118.81*1000000)*1075)/1000000000</f>
        <v>127.72075</v>
      </c>
      <c r="E2" s="0" t="n">
        <v>9.84</v>
      </c>
      <c r="G2" s="0" t="s">
        <v>36</v>
      </c>
      <c r="H2" s="3" t="n">
        <f aca="false">C2+C7+C12+C17</f>
        <v>171.33645</v>
      </c>
      <c r="J2" s="0" t="s">
        <v>29</v>
      </c>
      <c r="K2" s="3" t="n">
        <f aca="false">H2</f>
        <v>171.33645</v>
      </c>
      <c r="L2" s="3" t="n">
        <f aca="false">H3</f>
        <v>210.9505</v>
      </c>
      <c r="M2" s="0" t="n">
        <f aca="false">E2+E7+E12+E17</f>
        <v>22.28</v>
      </c>
    </row>
    <row r="3" customFormat="false" ht="12.75" hidden="false" customHeight="false" outlineLevel="0" collapsed="false">
      <c r="B3" s="0" t="s">
        <v>30</v>
      </c>
      <c r="C3" s="3" t="n">
        <f aca="false">((49.88*1000000)*1075)/1000000000</f>
        <v>53.621</v>
      </c>
      <c r="D3" s="3" t="n">
        <f aca="false">((118.81*1000000)*1075)/1000000000</f>
        <v>127.72075</v>
      </c>
      <c r="E3" s="2" t="n">
        <v>9.84</v>
      </c>
      <c r="G3" s="0" t="s">
        <v>14</v>
      </c>
      <c r="H3" s="3" t="n">
        <f aca="false">D2+D12+D17</f>
        <v>210.9505</v>
      </c>
      <c r="J3" s="0" t="s">
        <v>30</v>
      </c>
      <c r="K3" s="3" t="n">
        <f aca="false">H6</f>
        <v>238.53867</v>
      </c>
      <c r="L3" s="3" t="n">
        <f aca="false">H7</f>
        <v>210.9505</v>
      </c>
      <c r="M3" s="2" t="n">
        <f aca="false">E3+E8+E13+E18</f>
        <v>26.6</v>
      </c>
    </row>
    <row r="4" customFormat="false" ht="12.75" hidden="false" customHeight="false" outlineLevel="0" collapsed="false">
      <c r="B4" s="0" t="s">
        <v>31</v>
      </c>
      <c r="C4" s="3" t="n">
        <f aca="false">((49.88*1000000)*1075)/1000000000</f>
        <v>53.621</v>
      </c>
      <c r="D4" s="3" t="n">
        <f aca="false">((118.81*1000000)*1075)/1000000000</f>
        <v>127.72075</v>
      </c>
      <c r="E4" s="2" t="n">
        <v>9.84</v>
      </c>
      <c r="G4" s="0" t="s">
        <v>11</v>
      </c>
      <c r="H4" s="3" t="n">
        <f aca="false">H2+H3</f>
        <v>382.28695</v>
      </c>
      <c r="J4" s="0" t="s">
        <v>31</v>
      </c>
      <c r="K4" s="3" t="n">
        <f aca="false">H10</f>
        <v>108.49109</v>
      </c>
      <c r="L4" s="3" t="n">
        <f aca="false">H11</f>
        <v>204.12075</v>
      </c>
      <c r="M4" s="2" t="n">
        <f aca="false">E4+E9+E14+E19</f>
        <v>17.62</v>
      </c>
    </row>
    <row r="6" customFormat="false" ht="12.75" hidden="false" customHeight="false" outlineLevel="0" collapsed="false">
      <c r="A6" s="0" t="s">
        <v>32</v>
      </c>
      <c r="G6" s="0" t="s">
        <v>37</v>
      </c>
      <c r="H6" s="3" t="n">
        <f aca="false">C3+C8+C13+C18</f>
        <v>238.53867</v>
      </c>
    </row>
    <row r="7" customFormat="false" ht="12.75" hidden="false" customHeight="false" outlineLevel="0" collapsed="false">
      <c r="B7" s="0" t="s">
        <v>29</v>
      </c>
      <c r="C7" s="3" t="n">
        <f aca="false">((54.4*1000000)*2093)/1000000000</f>
        <v>113.8592</v>
      </c>
      <c r="D7" s="2"/>
      <c r="E7" s="0" t="n">
        <v>7.92</v>
      </c>
      <c r="G7" s="0" t="s">
        <v>38</v>
      </c>
      <c r="H7" s="3" t="n">
        <f aca="false">D3+D13+D18</f>
        <v>210.9505</v>
      </c>
    </row>
    <row r="8" customFormat="false" ht="12.75" hidden="false" customHeight="false" outlineLevel="0" collapsed="false">
      <c r="B8" s="0" t="s">
        <v>30</v>
      </c>
      <c r="C8" s="3" t="n">
        <f aca="false">((76.94*1000000)*2093)/1000000000</f>
        <v>161.03542</v>
      </c>
      <c r="D8" s="2"/>
      <c r="E8" s="0" t="n">
        <v>11.2</v>
      </c>
      <c r="G8" s="0" t="s">
        <v>11</v>
      </c>
      <c r="H8" s="3" t="n">
        <f aca="false">H6+H7</f>
        <v>449.48917</v>
      </c>
    </row>
    <row r="9" customFormat="false" ht="12.75" hidden="false" customHeight="false" outlineLevel="0" collapsed="false">
      <c r="B9" s="0" t="s">
        <v>31</v>
      </c>
      <c r="C9" s="3" t="n">
        <f aca="false">((26.13*1000000)*2093)/1000000000</f>
        <v>54.69009</v>
      </c>
      <c r="D9" s="2"/>
      <c r="E9" s="0" t="n">
        <v>3.8</v>
      </c>
    </row>
    <row r="10" customFormat="false" ht="12.75" hidden="false" customHeight="false" outlineLevel="0" collapsed="false">
      <c r="G10" s="0" t="s">
        <v>39</v>
      </c>
      <c r="H10" s="3" t="n">
        <f aca="false">C4+C9+C14+C19</f>
        <v>108.49109</v>
      </c>
    </row>
    <row r="11" customFormat="false" ht="12.75" hidden="false" customHeight="false" outlineLevel="0" collapsed="false">
      <c r="A11" s="0" t="s">
        <v>33</v>
      </c>
      <c r="G11" s="0" t="s">
        <v>40</v>
      </c>
      <c r="H11" s="3" t="n">
        <f aca="false">D4+D14+D19</f>
        <v>204.12075</v>
      </c>
    </row>
    <row r="12" customFormat="false" ht="12.75" hidden="false" customHeight="false" outlineLevel="0" collapsed="false">
      <c r="B12" s="0" t="s">
        <v>29</v>
      </c>
      <c r="C12" s="3" t="n">
        <f aca="false">((8.65*1000000)*425)/1000000000</f>
        <v>3.67625</v>
      </c>
      <c r="D12" s="3" t="n">
        <f aca="false">((188.07*1000000)*425)/1000000000</f>
        <v>79.92975</v>
      </c>
      <c r="E12" s="0" t="n">
        <v>4.33</v>
      </c>
      <c r="G12" s="0" t="s">
        <v>11</v>
      </c>
      <c r="H12" s="3" t="n">
        <f aca="false">H10+H11</f>
        <v>312.61184</v>
      </c>
    </row>
    <row r="13" customFormat="false" ht="12.75" hidden="false" customHeight="false" outlineLevel="0" collapsed="false">
      <c r="B13" s="0" t="s">
        <v>30</v>
      </c>
      <c r="C13" s="3" t="n">
        <f aca="false">((55.77*1000000)*425)/1000000000</f>
        <v>23.70225</v>
      </c>
      <c r="D13" s="3" t="n">
        <f aca="false">((188.07*1000000)*425)/1000000000</f>
        <v>79.92975</v>
      </c>
      <c r="E13" s="0" t="n">
        <v>5.37</v>
      </c>
    </row>
    <row r="14" customFormat="false" ht="12.75" hidden="false" customHeight="false" outlineLevel="0" collapsed="false">
      <c r="B14" s="0" t="s">
        <v>31</v>
      </c>
      <c r="C14" s="3" t="n">
        <f aca="false">((0*1000000)*425)/1000000000</f>
        <v>0</v>
      </c>
      <c r="D14" s="3" t="n">
        <f aca="false">((172*1000000)*425)/1000000000</f>
        <v>73.1</v>
      </c>
      <c r="E14" s="0" t="n">
        <v>3.79</v>
      </c>
    </row>
    <row r="16" customFormat="false" ht="12.75" hidden="false" customHeight="false" outlineLevel="0" collapsed="false">
      <c r="A16" s="0" t="s">
        <v>34</v>
      </c>
    </row>
    <row r="17" customFormat="false" ht="12.75" hidden="false" customHeight="false" outlineLevel="0" collapsed="false">
      <c r="B17" s="0" t="s">
        <v>29</v>
      </c>
      <c r="C17" s="3" t="n">
        <f aca="false">((0.06*1000000)*3000)/1000000000</f>
        <v>0.18</v>
      </c>
      <c r="D17" s="3" t="n">
        <f aca="false">((1.1*1000000)*3000)/1000000000</f>
        <v>3.3</v>
      </c>
      <c r="E17" s="0" t="n">
        <v>0.19</v>
      </c>
    </row>
    <row r="18" customFormat="false" ht="12.75" hidden="false" customHeight="false" outlineLevel="0" collapsed="false">
      <c r="B18" s="0" t="s">
        <v>30</v>
      </c>
      <c r="C18" s="3" t="n">
        <f aca="false">((0.06*1000000)*3000)/1000000000</f>
        <v>0.18</v>
      </c>
      <c r="D18" s="3" t="n">
        <f aca="false">((1.1*1000000)*3000)/1000000000</f>
        <v>3.3</v>
      </c>
      <c r="E18" s="0" t="n">
        <v>0.19</v>
      </c>
    </row>
    <row r="19" customFormat="false" ht="12.75" hidden="false" customHeight="false" outlineLevel="0" collapsed="false">
      <c r="B19" s="0" t="s">
        <v>31</v>
      </c>
      <c r="C19" s="3" t="n">
        <f aca="false">((0.06*1000000)*3000)/1000000000</f>
        <v>0.18</v>
      </c>
      <c r="D19" s="3" t="n">
        <f aca="false">((1.1*1000000)*3000)/1000000000</f>
        <v>3.3</v>
      </c>
      <c r="E19" s="0" t="n">
        <v>0.19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9" activeCellId="0" sqref="E29"/>
    </sheetView>
  </sheetViews>
  <sheetFormatPr defaultRowHeight="12.75" zeroHeight="false" outlineLevelRow="0" outlineLevelCol="0"/>
  <cols>
    <col collapsed="false" customWidth="true" hidden="false" outlineLevel="0" max="2" min="1" style="0" width="8.57"/>
    <col collapsed="false" customWidth="true" hidden="false" outlineLevel="0" max="3" min="3" style="0" width="17.81"/>
    <col collapsed="false" customWidth="true" hidden="false" outlineLevel="0" max="4" min="4" style="0" width="17.55"/>
    <col collapsed="false" customWidth="true" hidden="false" outlineLevel="0" max="5" min="5" style="0" width="15"/>
    <col collapsed="false" customWidth="true" hidden="false" outlineLevel="0" max="1025" min="6" style="0" width="8.57"/>
  </cols>
  <sheetData>
    <row r="1" customFormat="false" ht="12.75" hidden="false" customHeight="false" outlineLevel="0" collapsed="false">
      <c r="A1" s="0" t="s">
        <v>6</v>
      </c>
      <c r="B1" s="0" t="s">
        <v>24</v>
      </c>
      <c r="C1" s="0" t="s">
        <v>25</v>
      </c>
      <c r="D1" s="0" t="s">
        <v>26</v>
      </c>
      <c r="E1" s="0" t="s">
        <v>27</v>
      </c>
      <c r="F1" s="0" t="s">
        <v>28</v>
      </c>
    </row>
    <row r="2" customFormat="false" ht="12.75" hidden="false" customHeight="false" outlineLevel="0" collapsed="false">
      <c r="B2" s="0" t="s">
        <v>29</v>
      </c>
      <c r="C2" s="3" t="n">
        <v>4.74</v>
      </c>
      <c r="D2" s="3" t="n">
        <v>8.86</v>
      </c>
      <c r="E2" s="3" t="n">
        <v>11.97</v>
      </c>
      <c r="F2" s="3" t="n">
        <v>56.64</v>
      </c>
    </row>
    <row r="3" customFormat="false" ht="12.75" hidden="false" customHeight="false" outlineLevel="0" collapsed="false">
      <c r="B3" s="0" t="s">
        <v>30</v>
      </c>
      <c r="C3" s="3" t="n">
        <v>4.74</v>
      </c>
      <c r="D3" s="3" t="n">
        <v>8.86</v>
      </c>
      <c r="E3" s="3" t="n">
        <v>20.06</v>
      </c>
      <c r="F3" s="3" t="n">
        <v>53.56</v>
      </c>
    </row>
    <row r="4" customFormat="false" ht="12.75" hidden="false" customHeight="false" outlineLevel="0" collapsed="false">
      <c r="B4" s="0" t="s">
        <v>31</v>
      </c>
      <c r="C4" s="3" t="n">
        <v>4.74</v>
      </c>
      <c r="D4" s="3" t="n">
        <v>8.86</v>
      </c>
      <c r="E4" s="3" t="n">
        <v>10.26</v>
      </c>
      <c r="F4" s="3" t="n">
        <v>48</v>
      </c>
    </row>
    <row r="6" customFormat="false" ht="12.75" hidden="false" customHeight="false" outlineLevel="0" collapsed="false">
      <c r="A6" s="0" t="s">
        <v>41</v>
      </c>
      <c r="B6" s="0" t="s">
        <v>24</v>
      </c>
      <c r="C6" s="0" t="s">
        <v>27</v>
      </c>
      <c r="D6" s="0" t="s">
        <v>28</v>
      </c>
    </row>
    <row r="7" customFormat="false" ht="12.75" hidden="false" customHeight="false" outlineLevel="0" collapsed="false">
      <c r="B7" s="0" t="s">
        <v>29</v>
      </c>
      <c r="C7" s="3" t="n">
        <v>17.56</v>
      </c>
      <c r="D7" s="3" t="n">
        <v>119.8</v>
      </c>
      <c r="E7" s="3"/>
      <c r="F7" s="3"/>
    </row>
    <row r="8" customFormat="false" ht="12.75" hidden="false" customHeight="false" outlineLevel="0" collapsed="false">
      <c r="B8" s="0" t="s">
        <v>30</v>
      </c>
      <c r="C8" s="3" t="n">
        <v>18.65</v>
      </c>
      <c r="D8" s="3" t="n">
        <v>127.84</v>
      </c>
      <c r="E8" s="3"/>
      <c r="F8" s="3"/>
    </row>
    <row r="9" customFormat="false" ht="12.75" hidden="false" customHeight="false" outlineLevel="0" collapsed="false">
      <c r="B9" s="0" t="s">
        <v>31</v>
      </c>
      <c r="C9" s="3" t="n">
        <v>14.93</v>
      </c>
      <c r="D9" s="3" t="n">
        <v>99.98</v>
      </c>
      <c r="E9" s="3"/>
      <c r="F9" s="3"/>
    </row>
    <row r="11" customFormat="false" ht="12.75" hidden="false" customHeight="false" outlineLevel="0" collapsed="false">
      <c r="A11" s="0" t="s">
        <v>42</v>
      </c>
    </row>
    <row r="12" customFormat="false" ht="12.75" hidden="false" customHeight="false" outlineLevel="0" collapsed="false">
      <c r="B12" s="0" t="s">
        <v>29</v>
      </c>
      <c r="C12" s="3" t="n">
        <v>12.09</v>
      </c>
      <c r="D12" s="3" t="n">
        <v>23.96</v>
      </c>
    </row>
    <row r="13" customFormat="false" ht="12.75" hidden="false" customHeight="false" outlineLevel="0" collapsed="false">
      <c r="B13" s="0" t="s">
        <v>30</v>
      </c>
      <c r="C13" s="3" t="n">
        <v>14.33</v>
      </c>
      <c r="D13" s="3" t="n">
        <v>21.04</v>
      </c>
    </row>
    <row r="14" customFormat="false" ht="12.75" hidden="false" customHeight="false" outlineLevel="0" collapsed="false">
      <c r="B14" s="0" t="s">
        <v>31</v>
      </c>
      <c r="C14" s="3" t="n">
        <v>11.2</v>
      </c>
      <c r="D14" s="3" t="n">
        <v>28.82</v>
      </c>
    </row>
    <row r="16" customFormat="false" ht="12.75" hidden="false" customHeight="false" outlineLevel="0" collapsed="false">
      <c r="A16" s="0" t="s">
        <v>43</v>
      </c>
      <c r="B16" s="0" t="s">
        <v>24</v>
      </c>
      <c r="C16" s="0" t="s">
        <v>27</v>
      </c>
      <c r="D16" s="0" t="s">
        <v>28</v>
      </c>
    </row>
    <row r="17" customFormat="false" ht="12.75" hidden="false" customHeight="false" outlineLevel="0" collapsed="false">
      <c r="B17" s="0" t="s">
        <v>29</v>
      </c>
      <c r="C17" s="3" t="n">
        <f aca="false">1350/1000</f>
        <v>1.35</v>
      </c>
      <c r="D17" s="3" t="n">
        <v>6.15</v>
      </c>
      <c r="E17" s="3"/>
      <c r="F17" s="3"/>
    </row>
    <row r="18" customFormat="false" ht="12.75" hidden="false" customHeight="false" outlineLevel="0" collapsed="false">
      <c r="B18" s="0" t="s">
        <v>30</v>
      </c>
      <c r="C18" s="3" t="n">
        <v>0.9</v>
      </c>
      <c r="D18" s="3" t="n">
        <v>4.1</v>
      </c>
      <c r="E18" s="3"/>
      <c r="F18" s="3"/>
    </row>
    <row r="19" customFormat="false" ht="12.75" hidden="false" customHeight="false" outlineLevel="0" collapsed="false">
      <c r="B19" s="0" t="s">
        <v>31</v>
      </c>
      <c r="C19" s="3" t="n">
        <v>1.8</v>
      </c>
      <c r="D19" s="3" t="n">
        <v>8.2</v>
      </c>
      <c r="E19" s="3"/>
      <c r="F19" s="3"/>
    </row>
    <row r="21" customFormat="false" ht="12.75" hidden="false" customHeight="false" outlineLevel="0" collapsed="false">
      <c r="A21" s="0" t="s">
        <v>44</v>
      </c>
      <c r="B21" s="0" t="s">
        <v>24</v>
      </c>
      <c r="C21" s="0" t="s">
        <v>27</v>
      </c>
      <c r="D21" s="0" t="s">
        <v>28</v>
      </c>
    </row>
    <row r="22" customFormat="false" ht="12.75" hidden="false" customHeight="false" outlineLevel="0" collapsed="false">
      <c r="B22" s="0" t="s">
        <v>29</v>
      </c>
      <c r="C22" s="3" t="n">
        <f aca="false">C7+C12</f>
        <v>29.65</v>
      </c>
      <c r="D22" s="3" t="n">
        <f aca="false">D7+D12</f>
        <v>143.76</v>
      </c>
    </row>
    <row r="23" customFormat="false" ht="12.75" hidden="false" customHeight="false" outlineLevel="0" collapsed="false">
      <c r="B23" s="0" t="s">
        <v>30</v>
      </c>
      <c r="C23" s="3" t="n">
        <f aca="false">C8+C13</f>
        <v>32.98</v>
      </c>
      <c r="D23" s="3" t="n">
        <f aca="false">D8+D13</f>
        <v>148.88</v>
      </c>
    </row>
    <row r="24" customFormat="false" ht="12.75" hidden="false" customHeight="false" outlineLevel="0" collapsed="false">
      <c r="B24" s="0" t="s">
        <v>31</v>
      </c>
      <c r="C24" s="3" t="n">
        <f aca="false">C9+C14</f>
        <v>26.13</v>
      </c>
      <c r="D24" s="3" t="n">
        <f aca="false">D9+D14</f>
        <v>128.8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5" activeCellId="0" sqref="E35"/>
    </sheetView>
  </sheetViews>
  <sheetFormatPr defaultRowHeight="12.7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1.71"/>
    <col collapsed="false" customWidth="true" hidden="false" outlineLevel="0" max="3" min="3" style="0" width="18.86"/>
    <col collapsed="false" customWidth="true" hidden="false" outlineLevel="0" max="4" min="4" style="0" width="18.42"/>
    <col collapsed="false" customWidth="true" hidden="false" outlineLevel="0" max="5" min="5" style="0" width="13.02"/>
    <col collapsed="false" customWidth="true" hidden="false" outlineLevel="0" max="6" min="6" style="0" width="8.57"/>
    <col collapsed="false" customWidth="true" hidden="false" outlineLevel="0" max="7" min="7" style="0" width="13.45"/>
    <col collapsed="false" customWidth="true" hidden="false" outlineLevel="0" max="10" min="8" style="0" width="8.57"/>
    <col collapsed="false" customWidth="true" hidden="false" outlineLevel="0" max="11" min="11" style="0" width="16.08"/>
    <col collapsed="false" customWidth="true" hidden="false" outlineLevel="0" max="12" min="12" style="0" width="15.21"/>
    <col collapsed="false" customWidth="true" hidden="false" outlineLevel="0" max="1025" min="13" style="0" width="8.57"/>
  </cols>
  <sheetData>
    <row r="1" customFormat="false" ht="12.8" hidden="false" customHeight="false" outlineLevel="0" collapsed="false">
      <c r="A1" s="4"/>
      <c r="B1" s="4"/>
      <c r="C1" s="4" t="s">
        <v>27</v>
      </c>
      <c r="D1" s="4" t="s">
        <v>28</v>
      </c>
      <c r="E1" s="4" t="s">
        <v>35</v>
      </c>
      <c r="K1" s="0" t="s">
        <v>27</v>
      </c>
      <c r="L1" s="0" t="s">
        <v>28</v>
      </c>
      <c r="M1" s="2" t="s">
        <v>35</v>
      </c>
    </row>
    <row r="2" customFormat="false" ht="12.8" hidden="false" customHeight="false" outlineLevel="0" collapsed="false">
      <c r="A2" s="4" t="s">
        <v>6</v>
      </c>
      <c r="B2" s="4" t="s">
        <v>29</v>
      </c>
      <c r="C2" s="5" t="n">
        <f aca="false">((11.97*1000000)*1951)/1000000000</f>
        <v>23.35347</v>
      </c>
      <c r="D2" s="5" t="n">
        <f aca="false">((56.64*1000000)*1951)/1000000000</f>
        <v>110.50464</v>
      </c>
      <c r="E2" s="4" t="n">
        <v>8.71</v>
      </c>
      <c r="G2" s="0" t="s">
        <v>36</v>
      </c>
      <c r="H2" s="3" t="n">
        <f aca="false">C2+C6</f>
        <v>60.63197</v>
      </c>
      <c r="J2" s="0" t="s">
        <v>29</v>
      </c>
      <c r="K2" s="3" t="n">
        <f aca="false">H2</f>
        <v>60.63197</v>
      </c>
      <c r="L2" s="3" t="n">
        <f aca="false">H3</f>
        <v>303.38264</v>
      </c>
      <c r="M2" s="2" t="n">
        <f aca="false">E2+E6</f>
        <v>27.18</v>
      </c>
    </row>
    <row r="3" customFormat="false" ht="12.8" hidden="false" customHeight="false" outlineLevel="0" collapsed="false">
      <c r="A3" s="4"/>
      <c r="B3" s="4" t="s">
        <v>30</v>
      </c>
      <c r="C3" s="5" t="n">
        <f aca="false">((20.06*1000000)*1951)/1000000000</f>
        <v>39.13706</v>
      </c>
      <c r="D3" s="5" t="n">
        <f aca="false">((53.56*1000000)*1951)/1000000000</f>
        <v>104.49556</v>
      </c>
      <c r="E3" s="4" t="n">
        <v>9.34</v>
      </c>
      <c r="G3" s="0" t="s">
        <v>14</v>
      </c>
      <c r="H3" s="3" t="n">
        <f aca="false">D2+D6</f>
        <v>303.38264</v>
      </c>
      <c r="J3" s="0" t="s">
        <v>30</v>
      </c>
      <c r="K3" s="3" t="n">
        <f aca="false">H6</f>
        <v>80.29356</v>
      </c>
      <c r="L3" s="3" t="n">
        <f aca="false">H7</f>
        <v>305.56356</v>
      </c>
      <c r="M3" s="2" t="n">
        <f aca="false">E3+E7</f>
        <v>28.78</v>
      </c>
    </row>
    <row r="4" customFormat="false" ht="12.8" hidden="false" customHeight="false" outlineLevel="0" collapsed="false">
      <c r="A4" s="4"/>
      <c r="B4" s="4" t="s">
        <v>31</v>
      </c>
      <c r="C4" s="5" t="n">
        <f aca="false">((10.26*1000000)*1951)/1000000000</f>
        <v>20.01726</v>
      </c>
      <c r="D4" s="5" t="n">
        <f aca="false">((48*1000000)*1951)/1000000000</f>
        <v>93.648</v>
      </c>
      <c r="E4" s="4" t="n">
        <v>7.39</v>
      </c>
      <c r="G4" s="0" t="s">
        <v>11</v>
      </c>
      <c r="H4" s="3" t="n">
        <f aca="false">H2+H3</f>
        <v>364.01461</v>
      </c>
      <c r="J4" s="0" t="s">
        <v>31</v>
      </c>
      <c r="K4" s="3" t="n">
        <f aca="false">H10</f>
        <v>52.67926</v>
      </c>
      <c r="L4" s="3" t="n">
        <f aca="false">H11</f>
        <v>263.881</v>
      </c>
      <c r="M4" s="2" t="n">
        <f aca="false">E4+E8</f>
        <v>23.67</v>
      </c>
    </row>
    <row r="5" customFormat="false" ht="12.8" hidden="false" customHeight="false" outlineLevel="0" collapsed="false">
      <c r="A5" s="4" t="s">
        <v>44</v>
      </c>
      <c r="B5" s="4"/>
      <c r="C5" s="4"/>
      <c r="D5" s="4"/>
      <c r="E5" s="4"/>
    </row>
    <row r="6" customFormat="false" ht="12.8" hidden="false" customHeight="false" outlineLevel="0" collapsed="false">
      <c r="A6" s="4"/>
      <c r="B6" s="4" t="s">
        <v>29</v>
      </c>
      <c r="C6" s="5" t="n">
        <f aca="false">C11+C16</f>
        <v>37.2785</v>
      </c>
      <c r="D6" s="5" t="n">
        <f aca="false">D11+D16</f>
        <v>192.878</v>
      </c>
      <c r="E6" s="4" t="n">
        <f aca="false">E11+E16</f>
        <v>18.47</v>
      </c>
      <c r="G6" s="0" t="s">
        <v>37</v>
      </c>
      <c r="H6" s="3" t="n">
        <f aca="false">C3+C7</f>
        <v>80.29356</v>
      </c>
    </row>
    <row r="7" customFormat="false" ht="12.8" hidden="false" customHeight="false" outlineLevel="0" collapsed="false">
      <c r="A7" s="4"/>
      <c r="B7" s="4" t="s">
        <v>30</v>
      </c>
      <c r="C7" s="5" t="n">
        <f aca="false">C12+C17</f>
        <v>41.1565</v>
      </c>
      <c r="D7" s="5" t="n">
        <f aca="false">D12+D17</f>
        <v>201.068</v>
      </c>
      <c r="E7" s="4" t="n">
        <f aca="false">E12+E17</f>
        <v>19.44</v>
      </c>
      <c r="G7" s="0" t="s">
        <v>38</v>
      </c>
      <c r="H7" s="3" t="n">
        <f aca="false">D3+D7</f>
        <v>305.56356</v>
      </c>
    </row>
    <row r="8" customFormat="false" ht="12.8" hidden="false" customHeight="false" outlineLevel="0" collapsed="false">
      <c r="A8" s="4"/>
      <c r="B8" s="4" t="s">
        <v>31</v>
      </c>
      <c r="C8" s="5" t="n">
        <f aca="false">C13+C18</f>
        <v>32.662</v>
      </c>
      <c r="D8" s="5" t="n">
        <f aca="false">D13+D18</f>
        <v>170.233</v>
      </c>
      <c r="E8" s="4" t="n">
        <f aca="false">E13+E18</f>
        <v>16.28</v>
      </c>
      <c r="G8" s="0" t="s">
        <v>11</v>
      </c>
      <c r="H8" s="3" t="n">
        <f aca="false">H6+H7</f>
        <v>385.85712</v>
      </c>
    </row>
    <row r="10" customFormat="false" ht="12.8" hidden="false" customHeight="false" outlineLevel="0" collapsed="false">
      <c r="A10" s="6" t="s">
        <v>41</v>
      </c>
      <c r="B10" s="6"/>
      <c r="C10" s="6"/>
      <c r="D10" s="6"/>
      <c r="E10" s="6"/>
      <c r="G10" s="0" t="s">
        <v>39</v>
      </c>
      <c r="H10" s="3" t="n">
        <f aca="false">C4+C8</f>
        <v>52.67926</v>
      </c>
    </row>
    <row r="11" customFormat="false" ht="12.8" hidden="false" customHeight="false" outlineLevel="0" collapsed="false">
      <c r="A11" s="6"/>
      <c r="B11" s="6" t="s">
        <v>29</v>
      </c>
      <c r="C11" s="7" t="n">
        <f aca="false">((17.56*1000000)*1400)/1000000000</f>
        <v>24.584</v>
      </c>
      <c r="D11" s="7" t="n">
        <f aca="false">((119.8*1000000)*1400)/1000000000</f>
        <v>167.72</v>
      </c>
      <c r="E11" s="6" t="n">
        <v>15.43</v>
      </c>
      <c r="G11" s="0" t="s">
        <v>40</v>
      </c>
      <c r="H11" s="3" t="n">
        <f aca="false">D4+D8</f>
        <v>263.881</v>
      </c>
    </row>
    <row r="12" customFormat="false" ht="12.8" hidden="false" customHeight="false" outlineLevel="0" collapsed="false">
      <c r="A12" s="6"/>
      <c r="B12" s="6" t="s">
        <v>30</v>
      </c>
      <c r="C12" s="7" t="n">
        <f aca="false">((18.65*1000000)*1400)/1000000000</f>
        <v>26.11</v>
      </c>
      <c r="D12" s="7" t="n">
        <f aca="false">((127.84*1000000)*1400)/1000000000</f>
        <v>178.976</v>
      </c>
      <c r="E12" s="6" t="n">
        <v>16.46</v>
      </c>
      <c r="G12" s="0" t="s">
        <v>11</v>
      </c>
      <c r="H12" s="3" t="n">
        <f aca="false">H10+H11</f>
        <v>316.56026</v>
      </c>
    </row>
    <row r="13" customFormat="false" ht="12.8" hidden="false" customHeight="false" outlineLevel="0" collapsed="false">
      <c r="A13" s="6"/>
      <c r="B13" s="6" t="s">
        <v>31</v>
      </c>
      <c r="C13" s="7" t="n">
        <f aca="false">((14.93*1000000)*1400)/1000000000</f>
        <v>20.902</v>
      </c>
      <c r="D13" s="7" t="n">
        <f aca="false">((99.98*1000000)*1400)/1000000000</f>
        <v>139.972</v>
      </c>
      <c r="E13" s="6" t="n">
        <v>12.91</v>
      </c>
    </row>
    <row r="14" customFormat="false" ht="12.8" hidden="false" customHeight="false" outlineLevel="0" collapsed="false">
      <c r="A14" s="6"/>
      <c r="B14" s="6"/>
      <c r="C14" s="6"/>
      <c r="D14" s="6"/>
      <c r="E14" s="6"/>
    </row>
    <row r="15" customFormat="false" ht="12.8" hidden="false" customHeight="false" outlineLevel="0" collapsed="false">
      <c r="A15" s="6" t="s">
        <v>42</v>
      </c>
      <c r="B15" s="6"/>
      <c r="C15" s="6"/>
      <c r="D15" s="6"/>
      <c r="E15" s="6"/>
    </row>
    <row r="16" customFormat="false" ht="12.8" hidden="false" customHeight="false" outlineLevel="0" collapsed="false">
      <c r="A16" s="6"/>
      <c r="B16" s="6" t="s">
        <v>29</v>
      </c>
      <c r="C16" s="7" t="n">
        <f aca="false">((12.09*1000000)*1050)/1000000000</f>
        <v>12.6945</v>
      </c>
      <c r="D16" s="7" t="n">
        <f aca="false">((23.96*1000000)*1050)/1000000000</f>
        <v>25.158</v>
      </c>
      <c r="E16" s="6" t="n">
        <v>3.04</v>
      </c>
    </row>
    <row r="17" customFormat="false" ht="12.8" hidden="false" customHeight="false" outlineLevel="0" collapsed="false">
      <c r="A17" s="6"/>
      <c r="B17" s="6" t="s">
        <v>30</v>
      </c>
      <c r="C17" s="7" t="n">
        <f aca="false">((14.33*1000000)*1050)/1000000000</f>
        <v>15.0465</v>
      </c>
      <c r="D17" s="7" t="n">
        <f aca="false">((21.04*1000000)*1050)/1000000000</f>
        <v>22.092</v>
      </c>
      <c r="E17" s="6" t="n">
        <v>2.98</v>
      </c>
    </row>
    <row r="18" customFormat="false" ht="12.8" hidden="false" customHeight="false" outlineLevel="0" collapsed="false">
      <c r="A18" s="6"/>
      <c r="B18" s="6" t="s">
        <v>31</v>
      </c>
      <c r="C18" s="7" t="n">
        <f aca="false">((11.2*1000000)*1050)/1000000000</f>
        <v>11.76</v>
      </c>
      <c r="D18" s="7" t="n">
        <f aca="false">((28.82*1000000)*1050)/1000000000</f>
        <v>30.261</v>
      </c>
      <c r="E18" s="6" t="n">
        <v>3.37</v>
      </c>
    </row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C53" activeCellId="0" sqref="C53"/>
    </sheetView>
  </sheetViews>
  <sheetFormatPr defaultRowHeight="12.7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2.42"/>
    <col collapsed="false" customWidth="true" hidden="false" outlineLevel="0" max="3" min="3" style="0" width="13.43"/>
    <col collapsed="false" customWidth="true" hidden="false" outlineLevel="0" max="4" min="4" style="0" width="10.14"/>
    <col collapsed="false" customWidth="true" hidden="false" outlineLevel="0" max="5" min="5" style="0" width="15"/>
    <col collapsed="false" customWidth="true" hidden="false" outlineLevel="0" max="6" min="6" style="0" width="14.01"/>
    <col collapsed="false" customWidth="true" hidden="false" outlineLevel="0" max="1025" min="7" style="0" width="8.57"/>
  </cols>
  <sheetData>
    <row r="1" s="2" customFormat="true" ht="12.8" hidden="false" customHeight="false" outlineLevel="0" collapsed="false"/>
    <row r="2" customFormat="false" ht="12.8" hidden="false" customHeight="false" outlineLevel="0" collapsed="false">
      <c r="A2" s="8"/>
      <c r="B2" s="8"/>
      <c r="C2" s="8" t="s">
        <v>45</v>
      </c>
      <c r="D2" s="8" t="s">
        <v>46</v>
      </c>
      <c r="E2" s="8" t="s">
        <v>47</v>
      </c>
      <c r="F2" s="8" t="s">
        <v>48</v>
      </c>
    </row>
    <row r="3" customFormat="false" ht="12.8" hidden="false" customHeight="false" outlineLevel="0" collapsed="false">
      <c r="A3" s="8" t="s">
        <v>49</v>
      </c>
      <c r="B3" s="8" t="s">
        <v>29</v>
      </c>
      <c r="C3" s="9" t="n">
        <v>2.82</v>
      </c>
      <c r="D3" s="9" t="n">
        <v>12.83</v>
      </c>
      <c r="E3" s="8" t="n">
        <v>18.32</v>
      </c>
      <c r="F3" s="8" t="n">
        <v>83.42</v>
      </c>
    </row>
    <row r="4" customFormat="false" ht="12.8" hidden="false" customHeight="false" outlineLevel="0" collapsed="false">
      <c r="A4" s="8"/>
      <c r="B4" s="8" t="s">
        <v>30</v>
      </c>
      <c r="C4" s="9" t="n">
        <v>2.82</v>
      </c>
      <c r="D4" s="9" t="n">
        <v>12.83</v>
      </c>
      <c r="E4" s="8" t="n">
        <v>18.32</v>
      </c>
      <c r="F4" s="8" t="n">
        <v>83.42</v>
      </c>
    </row>
    <row r="5" customFormat="false" ht="12.8" hidden="false" customHeight="false" outlineLevel="0" collapsed="false">
      <c r="A5" s="8"/>
      <c r="B5" s="8" t="s">
        <v>31</v>
      </c>
      <c r="C5" s="9" t="n">
        <v>2.82</v>
      </c>
      <c r="D5" s="9" t="n">
        <v>12.83</v>
      </c>
      <c r="E5" s="8" t="n">
        <v>18.32</v>
      </c>
      <c r="F5" s="8" t="n">
        <v>83.42</v>
      </c>
    </row>
    <row r="6" customFormat="false" ht="12.8" hidden="false" customHeight="false" outlineLevel="0" collapsed="false">
      <c r="A6" s="8"/>
      <c r="B6" s="8"/>
      <c r="C6" s="8" t="s">
        <v>45</v>
      </c>
      <c r="D6" s="8" t="s">
        <v>46</v>
      </c>
      <c r="E6" s="8" t="s">
        <v>47</v>
      </c>
      <c r="F6" s="8" t="s">
        <v>48</v>
      </c>
    </row>
    <row r="7" customFormat="false" ht="12.8" hidden="false" customHeight="false" outlineLevel="0" collapsed="false">
      <c r="A7" s="8" t="s">
        <v>50</v>
      </c>
      <c r="B7" s="8" t="s">
        <v>29</v>
      </c>
      <c r="C7" s="9" t="n">
        <v>0.17</v>
      </c>
      <c r="D7" s="9" t="n">
        <v>0.76</v>
      </c>
      <c r="E7" s="8" t="n">
        <v>0.56</v>
      </c>
      <c r="F7" s="8" t="n">
        <v>2.52</v>
      </c>
    </row>
    <row r="8" customFormat="false" ht="12.8" hidden="false" customHeight="false" outlineLevel="0" collapsed="false">
      <c r="A8" s="8"/>
      <c r="B8" s="8" t="s">
        <v>30</v>
      </c>
      <c r="C8" s="9"/>
      <c r="D8" s="9"/>
      <c r="E8" s="9" t="n">
        <v>0</v>
      </c>
      <c r="F8" s="9" t="n">
        <v>0</v>
      </c>
    </row>
    <row r="9" customFormat="false" ht="12.8" hidden="false" customHeight="false" outlineLevel="0" collapsed="false">
      <c r="A9" s="8"/>
      <c r="B9" s="8" t="s">
        <v>31</v>
      </c>
      <c r="C9" s="9" t="n">
        <v>0.17</v>
      </c>
      <c r="D9" s="9" t="n">
        <v>0.76</v>
      </c>
      <c r="E9" s="8" t="n">
        <v>0.56</v>
      </c>
      <c r="F9" s="8" t="n">
        <v>2.52</v>
      </c>
    </row>
    <row r="10" customFormat="false" ht="12.8" hidden="false" customHeight="false" outlineLevel="0" collapsed="false">
      <c r="A10" s="8"/>
      <c r="B10" s="8"/>
      <c r="C10" s="8" t="s">
        <v>45</v>
      </c>
      <c r="D10" s="8" t="s">
        <v>47</v>
      </c>
      <c r="F10" s="8"/>
    </row>
    <row r="11" customFormat="false" ht="12.8" hidden="false" customHeight="false" outlineLevel="0" collapsed="false">
      <c r="A11" s="8" t="s">
        <v>51</v>
      </c>
      <c r="B11" s="8" t="s">
        <v>29</v>
      </c>
      <c r="C11" s="9" t="n">
        <v>0.15</v>
      </c>
      <c r="D11" s="8" t="n">
        <v>2.5</v>
      </c>
      <c r="F11" s="8"/>
    </row>
    <row r="12" customFormat="false" ht="12.8" hidden="false" customHeight="false" outlineLevel="0" collapsed="false">
      <c r="A12" s="8"/>
      <c r="B12" s="8" t="s">
        <v>30</v>
      </c>
      <c r="C12" s="9"/>
      <c r="D12" s="8"/>
      <c r="F12" s="8"/>
    </row>
    <row r="13" customFormat="false" ht="12.8" hidden="false" customHeight="false" outlineLevel="0" collapsed="false">
      <c r="A13" s="8"/>
      <c r="B13" s="8" t="s">
        <v>31</v>
      </c>
      <c r="C13" s="9" t="n">
        <v>0.51</v>
      </c>
      <c r="D13" s="8" t="n">
        <v>5</v>
      </c>
      <c r="F13" s="8"/>
    </row>
    <row r="14" customFormat="false" ht="12.8" hidden="false" customHeight="false" outlineLevel="0" collapsed="false">
      <c r="A14" s="8"/>
      <c r="B14" s="8"/>
      <c r="C14" s="8" t="s">
        <v>45</v>
      </c>
      <c r="D14" s="8" t="s">
        <v>46</v>
      </c>
      <c r="E14" s="8" t="s">
        <v>47</v>
      </c>
      <c r="F14" s="8" t="s">
        <v>48</v>
      </c>
    </row>
    <row r="15" customFormat="false" ht="12.8" hidden="false" customHeight="false" outlineLevel="0" collapsed="false">
      <c r="A15" s="8" t="s">
        <v>43</v>
      </c>
      <c r="B15" s="8" t="s">
        <v>29</v>
      </c>
      <c r="C15" s="9" t="n">
        <v>1.35</v>
      </c>
      <c r="D15" s="9" t="n">
        <v>6.15</v>
      </c>
      <c r="E15" s="8" t="n">
        <v>97.2</v>
      </c>
      <c r="F15" s="8" t="n">
        <v>442.8</v>
      </c>
    </row>
    <row r="16" customFormat="false" ht="12.8" hidden="false" customHeight="false" outlineLevel="0" collapsed="false">
      <c r="A16" s="8"/>
      <c r="B16" s="8" t="s">
        <v>30</v>
      </c>
      <c r="C16" s="9" t="n">
        <v>0.9</v>
      </c>
      <c r="D16" s="9" t="n">
        <v>4.1</v>
      </c>
      <c r="E16" s="8" t="n">
        <v>64.8</v>
      </c>
      <c r="F16" s="8" t="n">
        <v>295.2</v>
      </c>
    </row>
    <row r="17" customFormat="false" ht="12.8" hidden="false" customHeight="false" outlineLevel="0" collapsed="false">
      <c r="A17" s="8"/>
      <c r="B17" s="8" t="s">
        <v>31</v>
      </c>
      <c r="C17" s="9" t="n">
        <v>1.8</v>
      </c>
      <c r="D17" s="9" t="n">
        <v>8.2</v>
      </c>
      <c r="E17" s="9" t="n">
        <v>129.6</v>
      </c>
      <c r="F17" s="9" t="n">
        <v>590.4</v>
      </c>
    </row>
    <row r="18" customFormat="false" ht="12.8" hidden="false" customHeight="false" outlineLevel="0" collapsed="false">
      <c r="A18" s="8"/>
      <c r="B18" s="8"/>
      <c r="C18" s="8"/>
      <c r="D18" s="8"/>
      <c r="E18" s="9"/>
      <c r="F18" s="9"/>
    </row>
    <row r="19" customFormat="false" ht="12.8" hidden="false" customHeight="false" outlineLevel="0" collapsed="false">
      <c r="E19" s="10"/>
      <c r="F19" s="10"/>
    </row>
    <row r="20" customFormat="false" ht="12.8" hidden="false" customHeight="false" outlineLevel="0" collapsed="false">
      <c r="A20" s="2"/>
      <c r="B20" s="2"/>
      <c r="C20" s="2" t="s">
        <v>52</v>
      </c>
      <c r="D20" s="2"/>
      <c r="E20" s="11"/>
      <c r="F20" s="11"/>
    </row>
    <row r="21" customFormat="false" ht="12.8" hidden="false" customHeight="false" outlineLevel="0" collapsed="false">
      <c r="A21" s="8"/>
      <c r="B21" s="8"/>
      <c r="C21" s="8" t="s">
        <v>27</v>
      </c>
      <c r="D21" s="8" t="s">
        <v>28</v>
      </c>
      <c r="E21" s="11"/>
      <c r="F21" s="11"/>
    </row>
    <row r="22" customFormat="false" ht="12.8" hidden="false" customHeight="false" outlineLevel="0" collapsed="false">
      <c r="A22" s="8" t="s">
        <v>49</v>
      </c>
      <c r="B22" s="8" t="s">
        <v>29</v>
      </c>
      <c r="C22" s="8" t="n">
        <v>18.32</v>
      </c>
      <c r="D22" s="8" t="n">
        <v>83.42</v>
      </c>
      <c r="E22" s="11"/>
      <c r="F22" s="11"/>
    </row>
    <row r="23" customFormat="false" ht="12.8" hidden="false" customHeight="false" outlineLevel="0" collapsed="false">
      <c r="A23" s="8"/>
      <c r="B23" s="8" t="s">
        <v>30</v>
      </c>
      <c r="C23" s="8" t="n">
        <v>18.32</v>
      </c>
      <c r="D23" s="8" t="n">
        <v>83.42</v>
      </c>
    </row>
    <row r="24" customFormat="false" ht="12.8" hidden="false" customHeight="false" outlineLevel="0" collapsed="false">
      <c r="A24" s="8"/>
      <c r="B24" s="8" t="s">
        <v>31</v>
      </c>
      <c r="C24" s="8" t="n">
        <v>18.32</v>
      </c>
      <c r="D24" s="8" t="n">
        <v>83.42</v>
      </c>
    </row>
    <row r="25" customFormat="false" ht="12.8" hidden="false" customHeight="false" outlineLevel="0" collapsed="false">
      <c r="A25" s="8"/>
      <c r="B25" s="8"/>
      <c r="C25" s="8"/>
      <c r="D25" s="8"/>
    </row>
    <row r="26" customFormat="false" ht="12.8" hidden="false" customHeight="false" outlineLevel="0" collapsed="false">
      <c r="A26" s="8" t="s">
        <v>50</v>
      </c>
      <c r="B26" s="8" t="s">
        <v>29</v>
      </c>
      <c r="C26" s="8" t="n">
        <v>0.56</v>
      </c>
      <c r="D26" s="8" t="n">
        <v>2.52</v>
      </c>
    </row>
    <row r="27" customFormat="false" ht="12.8" hidden="false" customHeight="false" outlineLevel="0" collapsed="false">
      <c r="A27" s="8"/>
      <c r="B27" s="8" t="s">
        <v>30</v>
      </c>
      <c r="C27" s="9"/>
      <c r="D27" s="9"/>
    </row>
    <row r="28" customFormat="false" ht="12.8" hidden="false" customHeight="false" outlineLevel="0" collapsed="false">
      <c r="A28" s="8"/>
      <c r="B28" s="8" t="s">
        <v>31</v>
      </c>
      <c r="C28" s="8" t="n">
        <v>0.56</v>
      </c>
      <c r="D28" s="8" t="n">
        <v>2.52</v>
      </c>
    </row>
    <row r="29" customFormat="false" ht="12.8" hidden="false" customHeight="false" outlineLevel="0" collapsed="false">
      <c r="A29" s="8"/>
      <c r="B29" s="8"/>
      <c r="C29" s="8"/>
      <c r="D29" s="8"/>
    </row>
    <row r="30" customFormat="false" ht="12.8" hidden="false" customHeight="false" outlineLevel="0" collapsed="false">
      <c r="A30" s="8" t="s">
        <v>51</v>
      </c>
      <c r="B30" s="8" t="s">
        <v>29</v>
      </c>
      <c r="C30" s="8" t="n">
        <v>2.5</v>
      </c>
      <c r="D30" s="8" t="n">
        <v>0</v>
      </c>
    </row>
    <row r="31" customFormat="false" ht="12.8" hidden="false" customHeight="false" outlineLevel="0" collapsed="false">
      <c r="A31" s="8"/>
      <c r="B31" s="8" t="s">
        <v>30</v>
      </c>
      <c r="C31" s="8" t="n">
        <v>0</v>
      </c>
      <c r="D31" s="8" t="n">
        <v>0</v>
      </c>
    </row>
    <row r="32" customFormat="false" ht="12.8" hidden="false" customHeight="false" outlineLevel="0" collapsed="false">
      <c r="A32" s="8"/>
      <c r="B32" s="8" t="s">
        <v>31</v>
      </c>
      <c r="C32" s="8" t="n">
        <v>5</v>
      </c>
      <c r="D32" s="8" t="n">
        <v>0</v>
      </c>
    </row>
    <row r="33" customFormat="false" ht="12.8" hidden="false" customHeight="false" outlineLevel="0" collapsed="false">
      <c r="A33" s="8"/>
      <c r="B33" s="8"/>
      <c r="C33" s="8"/>
      <c r="D33" s="8"/>
    </row>
    <row r="34" customFormat="false" ht="12.8" hidden="false" customHeight="false" outlineLevel="0" collapsed="false">
      <c r="A34" s="8" t="s">
        <v>43</v>
      </c>
      <c r="B34" s="8" t="s">
        <v>29</v>
      </c>
      <c r="C34" s="8" t="n">
        <v>97.2</v>
      </c>
      <c r="D34" s="8" t="n">
        <v>442.8</v>
      </c>
    </row>
    <row r="35" customFormat="false" ht="12.8" hidden="false" customHeight="false" outlineLevel="0" collapsed="false">
      <c r="A35" s="8"/>
      <c r="B35" s="8" t="s">
        <v>30</v>
      </c>
      <c r="C35" s="8" t="n">
        <v>64.8</v>
      </c>
      <c r="D35" s="8" t="n">
        <v>295.2</v>
      </c>
    </row>
    <row r="36" customFormat="false" ht="12.8" hidden="false" customHeight="false" outlineLevel="0" collapsed="false">
      <c r="A36" s="8"/>
      <c r="B36" s="8" t="s">
        <v>31</v>
      </c>
      <c r="C36" s="9" t="n">
        <v>129.6</v>
      </c>
      <c r="D36" s="9" t="n">
        <v>590.4</v>
      </c>
    </row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X31" activeCellId="0" sqref="X31"/>
    </sheetView>
  </sheetViews>
  <sheetFormatPr defaultRowHeight="12.75" zeroHeight="false" outlineLevelRow="0" outlineLevelCol="0"/>
  <cols>
    <col collapsed="false" customWidth="true" hidden="false" outlineLevel="0" max="2" min="1" style="2" width="8.57"/>
    <col collapsed="false" customWidth="true" hidden="false" outlineLevel="0" max="3" min="3" style="2" width="14.43"/>
    <col collapsed="false" customWidth="true" hidden="false" outlineLevel="0" max="1025" min="4" style="2" width="8.57"/>
  </cols>
  <sheetData>
    <row r="1" customFormat="false" ht="12.75" hidden="false" customHeight="false" outlineLevel="0" collapsed="false">
      <c r="C1" s="2" t="s">
        <v>27</v>
      </c>
      <c r="D1" s="2" t="s">
        <v>28</v>
      </c>
      <c r="E1" s="2" t="s">
        <v>35</v>
      </c>
      <c r="K1" s="2" t="s">
        <v>27</v>
      </c>
      <c r="L1" s="2" t="s">
        <v>28</v>
      </c>
      <c r="M1" s="2" t="s">
        <v>35</v>
      </c>
    </row>
    <row r="2" customFormat="false" ht="12.75" hidden="false" customHeight="false" outlineLevel="0" collapsed="false">
      <c r="A2" s="2" t="s">
        <v>49</v>
      </c>
      <c r="B2" s="2" t="s">
        <v>29</v>
      </c>
      <c r="C2" s="3" t="n">
        <f aca="false">(((2.82*1000000)*35)+((18.32*1000000)*187))/1000000000</f>
        <v>3.52454</v>
      </c>
      <c r="D2" s="3" t="n">
        <f aca="false">(((12.83*1000000)*35)+((83.42*1000000)*187))/1000000000</f>
        <v>16.04859</v>
      </c>
      <c r="E2" s="2" t="n">
        <v>1.57</v>
      </c>
      <c r="G2" s="2" t="s">
        <v>36</v>
      </c>
      <c r="H2" s="3" t="n">
        <f aca="false">C2+C7+C12+C17</f>
        <v>7.6083872</v>
      </c>
      <c r="J2" s="2" t="s">
        <v>29</v>
      </c>
      <c r="K2" s="3" t="n">
        <f aca="false">H2</f>
        <v>7.6083872</v>
      </c>
      <c r="L2" s="3" t="n">
        <f aca="false">H3</f>
        <v>33.0414828</v>
      </c>
      <c r="M2" s="2" t="n">
        <f aca="false">E2+E7+E12+E17</f>
        <v>3.29</v>
      </c>
    </row>
    <row r="3" customFormat="false" ht="12.75" hidden="false" customHeight="false" outlineLevel="0" collapsed="false">
      <c r="B3" s="2" t="s">
        <v>30</v>
      </c>
      <c r="C3" s="3" t="n">
        <f aca="false">(((2.82*1000000)*35)+((18.32*1000000)*187))/1000000000</f>
        <v>3.52454</v>
      </c>
      <c r="D3" s="3" t="n">
        <f aca="false">(((12.83*1000000)*35)+((83.42*1000000)*187))/1000000000</f>
        <v>16.04859</v>
      </c>
      <c r="E3" s="2" t="n">
        <v>1.57</v>
      </c>
      <c r="G3" s="2" t="s">
        <v>14</v>
      </c>
      <c r="H3" s="3" t="n">
        <f aca="false">D2+D12+D17</f>
        <v>33.0414828</v>
      </c>
      <c r="J3" s="2" t="s">
        <v>30</v>
      </c>
      <c r="K3" s="3" t="n">
        <f aca="false">H6</f>
        <v>6.0113048</v>
      </c>
      <c r="L3" s="3" t="n">
        <f aca="false">H7</f>
        <v>27.3771852</v>
      </c>
      <c r="M3" s="2" t="n">
        <f aca="false">E3+E8+E13+E18</f>
        <v>2.67</v>
      </c>
    </row>
    <row r="4" customFormat="false" ht="12.75" hidden="false" customHeight="false" outlineLevel="0" collapsed="false">
      <c r="B4" s="2" t="s">
        <v>31</v>
      </c>
      <c r="C4" s="3" t="n">
        <f aca="false">(((2.82*1000000)*35)+((18.32*1000000)*187))/1000000000</f>
        <v>3.52454</v>
      </c>
      <c r="D4" s="3" t="n">
        <f aca="false">(((12.83*1000000)*35)+((83.42*1000000)*187))/1000000000</f>
        <v>16.04859</v>
      </c>
      <c r="E4" s="2" t="n">
        <v>1.57</v>
      </c>
      <c r="G4" s="2" t="s">
        <v>11</v>
      </c>
      <c r="H4" s="3" t="n">
        <f aca="false">H2+H3</f>
        <v>40.64987</v>
      </c>
      <c r="J4" s="2" t="s">
        <v>31</v>
      </c>
      <c r="K4" s="3" t="n">
        <f aca="false">H10</f>
        <v>9.2217696</v>
      </c>
      <c r="L4" s="3" t="n">
        <f aca="false">H11</f>
        <v>38.7057804</v>
      </c>
      <c r="M4" s="2" t="n">
        <f aca="false">E4+E9+E14+E19</f>
        <v>3.86</v>
      </c>
    </row>
    <row r="6" customFormat="false" ht="12.75" hidden="false" customHeight="false" outlineLevel="0" collapsed="false">
      <c r="A6" s="2" t="s">
        <v>50</v>
      </c>
      <c r="G6" s="2" t="s">
        <v>37</v>
      </c>
      <c r="H6" s="3" t="n">
        <f aca="false">C3+C8+C13+C18</f>
        <v>6.0113048</v>
      </c>
    </row>
    <row r="7" customFormat="false" ht="12.75" hidden="false" customHeight="false" outlineLevel="0" collapsed="false">
      <c r="B7" s="2" t="s">
        <v>29</v>
      </c>
      <c r="C7" s="3" t="n">
        <f aca="false">(((0.17*1000000)*600)+((0.56*1000000)*70))/1000000000</f>
        <v>0.1412</v>
      </c>
      <c r="D7" s="3" t="n">
        <f aca="false">(((0.76*1000000)*600)+((2.52*1000000)*70))/1000000000</f>
        <v>0.6324</v>
      </c>
      <c r="E7" s="2" t="n">
        <v>0.05</v>
      </c>
      <c r="G7" s="2" t="s">
        <v>38</v>
      </c>
      <c r="H7" s="3" t="n">
        <f aca="false">D3+D13+D18</f>
        <v>27.3771852</v>
      </c>
    </row>
    <row r="8" customFormat="false" ht="12.75" hidden="false" customHeight="false" outlineLevel="0" collapsed="false">
      <c r="B8" s="2" t="s">
        <v>30</v>
      </c>
      <c r="C8" s="3"/>
      <c r="D8" s="3"/>
      <c r="G8" s="2" t="s">
        <v>11</v>
      </c>
      <c r="H8" s="3" t="n">
        <f aca="false">H6+H7</f>
        <v>33.38849</v>
      </c>
    </row>
    <row r="9" customFormat="false" ht="12.75" hidden="false" customHeight="false" outlineLevel="0" collapsed="false">
      <c r="B9" s="2" t="s">
        <v>31</v>
      </c>
      <c r="C9" s="3" t="n">
        <f aca="false">(((0.17*1000000)*600)+((0.56*1000000)*70))/1000000000</f>
        <v>0.1412</v>
      </c>
      <c r="D9" s="3" t="n">
        <f aca="false">(((0.76*1000000)*600)+((2.52*1000000)*70))/1000000000</f>
        <v>0.6324</v>
      </c>
      <c r="E9" s="2" t="n">
        <v>0.05</v>
      </c>
    </row>
    <row r="10" customFormat="false" ht="12.75" hidden="false" customHeight="false" outlineLevel="0" collapsed="false">
      <c r="G10" s="2" t="s">
        <v>39</v>
      </c>
      <c r="H10" s="3" t="n">
        <f aca="false">C4+C9+C14+C19</f>
        <v>9.2217696</v>
      </c>
    </row>
    <row r="11" customFormat="false" ht="12.75" hidden="false" customHeight="false" outlineLevel="0" collapsed="false">
      <c r="A11" s="2" t="s">
        <v>51</v>
      </c>
      <c r="G11" s="2" t="s">
        <v>40</v>
      </c>
      <c r="H11" s="3" t="n">
        <f aca="false">D4+D14+D19</f>
        <v>38.7057804</v>
      </c>
    </row>
    <row r="12" customFormat="false" ht="12.75" hidden="false" customHeight="false" outlineLevel="0" collapsed="false">
      <c r="B12" s="2" t="s">
        <v>29</v>
      </c>
      <c r="C12" s="3" t="n">
        <f aca="false">(((0.15*1000000)*750)+((2.5*1000000)*40))/1000000000</f>
        <v>0.2125</v>
      </c>
      <c r="D12" s="3"/>
      <c r="E12" s="2" t="n">
        <v>0.01</v>
      </c>
      <c r="G12" s="2" t="s">
        <v>11</v>
      </c>
      <c r="H12" s="3" t="n">
        <f aca="false">H10+H11</f>
        <v>47.92755</v>
      </c>
    </row>
    <row r="13" customFormat="false" ht="12.75" hidden="false" customHeight="false" outlineLevel="0" collapsed="false">
      <c r="B13" s="2" t="s">
        <v>30</v>
      </c>
      <c r="C13" s="3"/>
      <c r="D13" s="3"/>
    </row>
    <row r="14" customFormat="false" ht="12.75" hidden="false" customHeight="false" outlineLevel="0" collapsed="false">
      <c r="B14" s="2" t="s">
        <v>31</v>
      </c>
      <c r="C14" s="3" t="n">
        <f aca="false">(((0.51*1000000)*750)+((5*1000000)*40))/1000000000</f>
        <v>0.5825</v>
      </c>
      <c r="D14" s="3"/>
      <c r="E14" s="2" t="n">
        <v>0.03</v>
      </c>
    </row>
    <row r="16" customFormat="false" ht="12.75" hidden="false" customHeight="false" outlineLevel="0" collapsed="false">
      <c r="A16" s="2" t="s">
        <v>43</v>
      </c>
    </row>
    <row r="17" customFormat="false" ht="12.75" hidden="false" customHeight="false" outlineLevel="0" collapsed="false">
      <c r="B17" s="2" t="s">
        <v>29</v>
      </c>
      <c r="C17" s="3" t="n">
        <f aca="false">((97.2*1000000)*38.376)/1000000000</f>
        <v>3.7301472</v>
      </c>
      <c r="D17" s="3" t="n">
        <f aca="false">((442.8*1000000)*38.376)/1000000000</f>
        <v>16.9928928</v>
      </c>
      <c r="E17" s="2" t="n">
        <v>1.66</v>
      </c>
    </row>
    <row r="18" customFormat="false" ht="12.75" hidden="false" customHeight="false" outlineLevel="0" collapsed="false">
      <c r="B18" s="2" t="s">
        <v>30</v>
      </c>
      <c r="C18" s="3" t="n">
        <f aca="false">((64.8*1000000)*38.376)/1000000000</f>
        <v>2.4867648</v>
      </c>
      <c r="D18" s="3" t="n">
        <f aca="false">((295.2*1000000)*38.376)/1000000000</f>
        <v>11.3285952</v>
      </c>
      <c r="E18" s="2" t="n">
        <v>1.1</v>
      </c>
    </row>
    <row r="19" customFormat="false" ht="12.75" hidden="false" customHeight="false" outlineLevel="0" collapsed="false">
      <c r="B19" s="2" t="s">
        <v>31</v>
      </c>
      <c r="C19" s="3" t="n">
        <f aca="false">((129.6*1000000)*38.376)/1000000000</f>
        <v>4.9735296</v>
      </c>
      <c r="D19" s="3" t="n">
        <f aca="false">((590.4*1000000)*38.376)/1000000000</f>
        <v>22.6571904</v>
      </c>
      <c r="E19" s="2" t="n">
        <v>2.21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2020-07-17T11:38:34Z</dcterms:created>
  <dc:creator/>
  <dc:description/>
  <dc:language>en-US</dc:language>
  <cp:lastModifiedBy/>
  <dcterms:modified xsi:type="dcterms:W3CDTF">2020-09-24T21:39:19Z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