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11"/>
  <workbookPr defaultThemeVersion="166925"/>
  <xr:revisionPtr revIDLastSave="0" documentId="8_{0E9268D2-4DFE-4951-87D5-8E64C0CBE2A5}" xr6:coauthVersionLast="47" xr6:coauthVersionMax="47" xr10:uidLastSave="{00000000-0000-0000-0000-000000000000}"/>
  <bookViews>
    <workbookView xWindow="240" yWindow="105" windowWidth="14805" windowHeight="8010" firstSheet="2" activeTab="1" xr2:uid="{00000000-000D-0000-FFFF-FFFF00000000}"/>
  </bookViews>
  <sheets>
    <sheet name="data" sheetId="1" r:id="rId1"/>
    <sheet name="Stone-Geary" sheetId="2" r:id="rId2"/>
    <sheet name="Cobb-Douglas" sheetId="3" r:id="rId3"/>
    <sheet name="CES" sheetId="4" r:id="rId4"/>
    <sheet name="Resultat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F9" i="5"/>
  <c r="F7" i="5"/>
  <c r="B14" i="1"/>
  <c r="D10" i="2"/>
  <c r="D9" i="2" s="1"/>
  <c r="B11" i="3"/>
  <c r="D3" i="4"/>
  <c r="D2" i="4"/>
  <c r="D3" i="3"/>
  <c r="D4" i="3"/>
  <c r="D5" i="3"/>
  <c r="D6" i="3"/>
  <c r="D7" i="3"/>
  <c r="D2" i="3"/>
  <c r="A8" i="4"/>
  <c r="B3" i="4"/>
  <c r="B2" i="4"/>
  <c r="B3" i="3"/>
  <c r="B4" i="3"/>
  <c r="B5" i="3"/>
  <c r="B6" i="3"/>
  <c r="B7" i="3"/>
  <c r="B2" i="3"/>
  <c r="B3" i="2"/>
  <c r="B2" i="2"/>
  <c r="D11" i="1"/>
  <c r="C3" i="2" s="1"/>
  <c r="D4" i="1"/>
  <c r="C2" i="2" s="1"/>
  <c r="B4" i="4"/>
  <c r="B8" i="3"/>
  <c r="B4" i="2"/>
  <c r="B8" i="2" s="1"/>
  <c r="C4" i="2" l="1"/>
  <c r="M3" i="4"/>
  <c r="M2" i="4"/>
  <c r="J3" i="4"/>
  <c r="J2" i="4"/>
  <c r="J4" i="4" l="1"/>
  <c r="E3" i="4" l="1"/>
  <c r="Q3" i="4" s="1"/>
  <c r="E2" i="4"/>
  <c r="H2" i="4"/>
  <c r="K2" i="4"/>
  <c r="E4" i="4"/>
  <c r="L2" i="4"/>
  <c r="N2" i="4" s="1"/>
  <c r="H3" i="4"/>
  <c r="K3" i="4"/>
  <c r="L3" i="4"/>
  <c r="N3" i="4" s="1"/>
  <c r="Q2" i="4" l="1"/>
  <c r="Q4" i="4" s="1"/>
  <c r="E3" i="2"/>
  <c r="F3" i="2" s="1"/>
  <c r="N4" i="4"/>
  <c r="K4" i="4"/>
  <c r="H4" i="4"/>
  <c r="B11" i="4" s="1"/>
  <c r="B12" i="4" s="1"/>
  <c r="J7" i="3" l="1"/>
  <c r="H7" i="3"/>
  <c r="J6" i="3"/>
  <c r="H6" i="3"/>
  <c r="J5" i="3"/>
  <c r="H5" i="3"/>
  <c r="J4" i="3"/>
  <c r="H4" i="3"/>
  <c r="J3" i="3"/>
  <c r="H3" i="3"/>
  <c r="H2" i="3"/>
  <c r="H8" i="3" s="1"/>
  <c r="J2" i="3"/>
  <c r="J8" i="3" s="1"/>
  <c r="E8" i="3"/>
  <c r="E2" i="2"/>
  <c r="F2" i="2"/>
  <c r="F4" i="2" s="1"/>
  <c r="G2" i="2"/>
  <c r="H2" i="2" s="1"/>
  <c r="K2" i="2"/>
  <c r="I2" i="2"/>
  <c r="B2" i="5" s="1"/>
  <c r="F3" i="3" l="1"/>
  <c r="F4" i="3"/>
  <c r="F5" i="3"/>
  <c r="F6" i="3"/>
  <c r="F7" i="3"/>
  <c r="F2" i="3"/>
  <c r="J2" i="2"/>
  <c r="L2" i="2"/>
  <c r="G3" i="2"/>
  <c r="H3" i="2" s="1"/>
  <c r="B10" i="3"/>
  <c r="L3" i="2" l="1"/>
  <c r="J3" i="2"/>
  <c r="G4" i="2"/>
  <c r="L4" i="2"/>
  <c r="J4" i="2"/>
  <c r="B10" i="2" s="1"/>
  <c r="B11" i="2" s="1"/>
  <c r="F5" i="5" s="1"/>
  <c r="I2" i="3"/>
  <c r="F8" i="3"/>
  <c r="G2" i="3"/>
  <c r="B3" i="5" s="1"/>
  <c r="I7" i="3"/>
  <c r="G7" i="3"/>
  <c r="B8" i="5" s="1"/>
  <c r="I6" i="3"/>
  <c r="G6" i="3"/>
  <c r="B7" i="5" s="1"/>
  <c r="I5" i="3"/>
  <c r="G5" i="3"/>
  <c r="B6" i="5" s="1"/>
  <c r="I4" i="3"/>
  <c r="G4" i="3"/>
  <c r="B5" i="5" s="1"/>
  <c r="I3" i="3"/>
  <c r="G3" i="3"/>
  <c r="B4" i="5" s="1"/>
  <c r="G8" i="3" l="1"/>
  <c r="I8" i="3"/>
  <c r="K3" i="2"/>
  <c r="K4" i="2" s="1"/>
  <c r="I3" i="2"/>
  <c r="B9" i="5" s="1"/>
  <c r="F3" i="4" l="1"/>
  <c r="F2" i="4"/>
  <c r="I4" i="2"/>
  <c r="G2" i="4" l="1"/>
  <c r="B10" i="5" s="1"/>
  <c r="F4" i="4"/>
  <c r="I2" i="4"/>
  <c r="I3" i="4"/>
  <c r="G3" i="4"/>
  <c r="B11" i="5" s="1"/>
  <c r="B12" i="5" l="1"/>
  <c r="I4" i="4"/>
  <c r="G4" i="4"/>
</calcChain>
</file>

<file path=xl/sharedStrings.xml><?xml version="1.0" encoding="utf-8"?>
<sst xmlns="http://schemas.openxmlformats.org/spreadsheetml/2006/main" count="106" uniqueCount="61">
  <si>
    <t>Ibrahim SOILAHOUDINE</t>
  </si>
  <si>
    <t>Omar Saip SY</t>
  </si>
  <si>
    <t>DONNEES</t>
  </si>
  <si>
    <t>Dépenses initiales (Less than highschool graduate)</t>
  </si>
  <si>
    <t>Taux de dépenses incompressibles</t>
  </si>
  <si>
    <t>Dépenses incompressibles</t>
  </si>
  <si>
    <t>Meats, poultry, fish, and eggs</t>
  </si>
  <si>
    <t>Beef</t>
  </si>
  <si>
    <t>Pork</t>
  </si>
  <si>
    <t>Other meats</t>
  </si>
  <si>
    <t>Poultry</t>
  </si>
  <si>
    <t>Fish and seafood</t>
  </si>
  <si>
    <t>Eggs</t>
  </si>
  <si>
    <t>Dairy products</t>
  </si>
  <si>
    <t>Fresh milk and cream</t>
  </si>
  <si>
    <t xml:space="preserve">Other dairy products </t>
  </si>
  <si>
    <t>TOTAL</t>
  </si>
  <si>
    <t>MODELISATION STONE GEARY</t>
  </si>
  <si>
    <t>quantité q0</t>
  </si>
  <si>
    <t>ci</t>
  </si>
  <si>
    <t>Prix Initiaux P0i</t>
  </si>
  <si>
    <t>prix finaux p1i</t>
  </si>
  <si>
    <t>p*c</t>
  </si>
  <si>
    <t>bi</t>
  </si>
  <si>
    <t>qi théorique</t>
  </si>
  <si>
    <t>dépense</t>
  </si>
  <si>
    <t>Utilité initiale U0</t>
  </si>
  <si>
    <t>Utilité finale U1</t>
  </si>
  <si>
    <t>(b/p)^b</t>
  </si>
  <si>
    <t>taux d'inflation</t>
  </si>
  <si>
    <t>Ecart-types,mediane changement de prix</t>
  </si>
  <si>
    <t>TOTAL (somme ou produit)</t>
  </si>
  <si>
    <t xml:space="preserve">Taux de croissance revenu </t>
  </si>
  <si>
    <t xml:space="preserve">Dépense totale </t>
  </si>
  <si>
    <t>PIB (USD billions) aux USA</t>
  </si>
  <si>
    <t>taux de croissance annuel du PIB aux USA</t>
  </si>
  <si>
    <t>annee</t>
  </si>
  <si>
    <t xml:space="preserve">Revenu de compensation </t>
  </si>
  <si>
    <t>variation du cout de la vie</t>
  </si>
  <si>
    <t>source:https://donnees.banquemondiale.org/indicator/NY.GDP.MKTP.KD.ZG?end=2021&amp;locations=US&amp;start=1960&amp;view=chart</t>
  </si>
  <si>
    <t>inflation source:https://www.donneesmondiales.com/amerique/usa/inflation.php#:~:text=%C3%89volution%20des%20taux%20d'inflation%20aux%20%C3%89tats%2DUnis%20d'Am%C3%A9rique&amp;text=Au%20total%2C%20la%20hausse%20des,%C3%A9tait%20de%206%2C5%20%25.</t>
  </si>
  <si>
    <t>inflation 2023 source : https://www.latribune.fr/economie/international/etats-unis-l-inflation-atteint-5-5-en-novembre-le-ralentissement-se-confirme-945829.html#:~:text=La%20Banque%20centrale%20am%C3%A9ricaine%20table,il%20y%20a%20trois%20mois.</t>
  </si>
  <si>
    <t>MODELISATION COBB-DOUGLAS</t>
  </si>
  <si>
    <t>dépense q0</t>
  </si>
  <si>
    <t>Prix initiaux P0i</t>
  </si>
  <si>
    <t>Prix finaux p1i</t>
  </si>
  <si>
    <t>Revenu de compensation</t>
  </si>
  <si>
    <t>variation du cout de la viande</t>
  </si>
  <si>
    <t>MODELISATION CES</t>
  </si>
  <si>
    <t>quantité q0 (dépense)</t>
  </si>
  <si>
    <t>prix intiaux p0i</t>
  </si>
  <si>
    <t>U0</t>
  </si>
  <si>
    <t>U1</t>
  </si>
  <si>
    <t>q^(1/sigma)</t>
  </si>
  <si>
    <t>p^b</t>
  </si>
  <si>
    <t>bi^sigma</t>
  </si>
  <si>
    <t>pi^(1-sigma)</t>
  </si>
  <si>
    <t>produit</t>
  </si>
  <si>
    <t>Sigma</t>
  </si>
  <si>
    <t>rho</t>
  </si>
  <si>
    <t>Variation du cout des produits laitiers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</si>
</sst>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1"/>
      <color theme="1"/>
      <name val="Calibri"/>
      <family val="2"/>
    </font>
    <font>
      <b/>
      <sz val="9"/>
      <color theme="1"/>
      <name val="Arial"/>
      <family val="2"/>
    </font>
    <font>
      <sz val="11"/>
      <color theme="1"/>
      <name val="Arial"/>
      <family val="2"/>
    </font>
    <font>
      <b/>
      <sz val="7"/>
      <color theme="1"/>
      <name val="Arial"/>
      <family val="2"/>
    </font>
    <font>
      <b/>
      <sz val="10"/>
      <color theme="1"/>
      <name val="Calibri"/>
      <family val="2"/>
    </font>
    <font>
      <b/>
      <sz val="10"/>
      <color theme="1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Arial"/>
      <family val="2"/>
    </font>
    <font>
      <sz val="11"/>
      <name val="Calibri"/>
    </font>
    <font>
      <sz val="11"/>
      <color rgb="FF444444"/>
      <name val="Calibri"/>
      <family val="2"/>
      <charset val="1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7">
    <xf numFmtId="0" fontId="0" fillId="0" borderId="0" xfId="0"/>
    <xf numFmtId="0" fontId="2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1" fillId="0" borderId="0" xfId="1"/>
    <xf numFmtId="10" fontId="0" fillId="0" borderId="0" xfId="0" applyNumberFormat="1"/>
    <xf numFmtId="164" fontId="0" fillId="0" borderId="0" xfId="0" applyNumberFormat="1"/>
    <xf numFmtId="4" fontId="0" fillId="0" borderId="0" xfId="0" applyNumberFormat="1"/>
    <xf numFmtId="4" fontId="4" fillId="0" borderId="6" xfId="0" applyNumberFormat="1" applyFont="1" applyBorder="1" applyAlignment="1">
      <alignment horizontal="center" vertical="center" wrapText="1"/>
    </xf>
    <xf numFmtId="4" fontId="0" fillId="0" borderId="1" xfId="0" applyNumberFormat="1" applyBorder="1"/>
    <xf numFmtId="4" fontId="0" fillId="0" borderId="2" xfId="0" applyNumberFormat="1" applyBorder="1"/>
    <xf numFmtId="4" fontId="0" fillId="0" borderId="8" xfId="0" applyNumberFormat="1" applyBorder="1"/>
    <xf numFmtId="4" fontId="3" fillId="0" borderId="6" xfId="0" applyNumberFormat="1" applyFont="1" applyBorder="1" applyAlignment="1">
      <alignment horizontal="center" vertical="center" wrapText="1"/>
    </xf>
    <xf numFmtId="4" fontId="5" fillId="0" borderId="6" xfId="0" applyNumberFormat="1" applyFont="1" applyBorder="1" applyAlignment="1">
      <alignment horizontal="center" vertical="center" wrapText="1"/>
    </xf>
    <xf numFmtId="4" fontId="6" fillId="0" borderId="6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 wrapText="1"/>
    </xf>
    <xf numFmtId="4" fontId="0" fillId="4" borderId="6" xfId="0" applyNumberFormat="1" applyFill="1" applyBorder="1"/>
    <xf numFmtId="4" fontId="0" fillId="0" borderId="7" xfId="0" applyNumberFormat="1" applyBorder="1"/>
    <xf numFmtId="4" fontId="0" fillId="0" borderId="6" xfId="0" applyNumberFormat="1" applyBorder="1"/>
    <xf numFmtId="4" fontId="10" fillId="0" borderId="6" xfId="0" applyNumberFormat="1" applyFont="1" applyBorder="1"/>
    <xf numFmtId="4" fontId="3" fillId="0" borderId="5" xfId="0" applyNumberFormat="1" applyFont="1" applyBorder="1" applyAlignment="1">
      <alignment horizontal="left" vertical="center" wrapText="1"/>
    </xf>
    <xf numFmtId="4" fontId="0" fillId="0" borderId="5" xfId="0" applyNumberFormat="1" applyBorder="1"/>
    <xf numFmtId="4" fontId="2" fillId="0" borderId="5" xfId="0" applyNumberFormat="1" applyFont="1" applyBorder="1"/>
    <xf numFmtId="4" fontId="3" fillId="0" borderId="0" xfId="0" applyNumberFormat="1" applyFont="1" applyAlignment="1">
      <alignment horizontal="left" vertical="center" wrapText="1"/>
    </xf>
    <xf numFmtId="4" fontId="2" fillId="0" borderId="0" xfId="0" applyNumberFormat="1" applyFont="1" applyAlignment="1">
      <alignment horizontal="center" vertical="center" wrapText="1"/>
    </xf>
    <xf numFmtId="4" fontId="2" fillId="0" borderId="0" xfId="0" applyNumberFormat="1" applyFont="1"/>
    <xf numFmtId="4" fontId="7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 wrapText="1"/>
    </xf>
    <xf numFmtId="4" fontId="5" fillId="0" borderId="1" xfId="0" applyNumberFormat="1" applyFont="1" applyBorder="1" applyAlignment="1">
      <alignment horizontal="center" vertical="center"/>
    </xf>
    <xf numFmtId="4" fontId="0" fillId="3" borderId="6" xfId="0" applyNumberFormat="1" applyFill="1" applyBorder="1"/>
    <xf numFmtId="4" fontId="0" fillId="0" borderId="3" xfId="0" applyNumberFormat="1" applyBorder="1"/>
    <xf numFmtId="4" fontId="3" fillId="0" borderId="2" xfId="0" applyNumberFormat="1" applyFont="1" applyBorder="1" applyAlignment="1">
      <alignment horizontal="left" vertical="center" wrapText="1"/>
    </xf>
    <xf numFmtId="4" fontId="0" fillId="0" borderId="4" xfId="0" applyNumberFormat="1" applyBorder="1"/>
    <xf numFmtId="4" fontId="2" fillId="0" borderId="2" xfId="0" applyNumberFormat="1" applyFont="1" applyBorder="1"/>
    <xf numFmtId="4" fontId="5" fillId="0" borderId="0" xfId="0" applyNumberFormat="1" applyFont="1" applyAlignment="1">
      <alignment horizontal="left" vertical="center" wrapText="1"/>
    </xf>
    <xf numFmtId="4" fontId="4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 wrapText="1"/>
    </xf>
    <xf numFmtId="4" fontId="9" fillId="0" borderId="1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0" fillId="0" borderId="6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2" borderId="6" xfId="0" applyNumberFormat="1" applyFill="1" applyBorder="1"/>
    <xf numFmtId="4" fontId="0" fillId="2" borderId="1" xfId="0" applyNumberFormat="1" applyFill="1" applyBorder="1"/>
    <xf numFmtId="4" fontId="0" fillId="0" borderId="9" xfId="0" applyNumberFormat="1" applyBorder="1"/>
    <xf numFmtId="4" fontId="2" fillId="5" borderId="0" xfId="0" applyNumberFormat="1" applyFont="1" applyFill="1" applyAlignment="1">
      <alignment horizontal="center" vertical="center" wrapText="1"/>
    </xf>
    <xf numFmtId="4" fontId="0" fillId="5" borderId="1" xfId="0" applyNumberFormat="1" applyFill="1" applyBorder="1"/>
    <xf numFmtId="4" fontId="0" fillId="5" borderId="0" xfId="0" applyNumberFormat="1" applyFill="1"/>
    <xf numFmtId="4" fontId="0" fillId="5" borderId="2" xfId="0" applyNumberFormat="1" applyFill="1" applyBorder="1"/>
    <xf numFmtId="4" fontId="2" fillId="5" borderId="1" xfId="0" applyNumberFormat="1" applyFont="1" applyFill="1" applyBorder="1" applyAlignment="1">
      <alignment horizontal="center" vertical="center" wrapText="1"/>
    </xf>
    <xf numFmtId="0" fontId="0" fillId="6" borderId="0" xfId="0" applyFill="1"/>
    <xf numFmtId="1" fontId="12" fillId="0" borderId="0" xfId="0" applyNumberFormat="1" applyFont="1" applyAlignment="1">
      <alignment horizontal="right" vertical="center"/>
    </xf>
    <xf numFmtId="10" fontId="0" fillId="5" borderId="0" xfId="0" applyNumberFormat="1" applyFill="1"/>
    <xf numFmtId="10" fontId="0" fillId="5" borderId="6" xfId="0" applyNumberFormat="1" applyFill="1" applyBorder="1"/>
    <xf numFmtId="10" fontId="0" fillId="5" borderId="7" xfId="0" applyNumberFormat="1" applyFill="1" applyBorder="1"/>
    <xf numFmtId="10" fontId="0" fillId="5" borderId="1" xfId="0" applyNumberFormat="1" applyFill="1" applyBorder="1"/>
    <xf numFmtId="4" fontId="0" fillId="5" borderId="6" xfId="0" applyNumberFormat="1" applyFill="1" applyBorder="1"/>
    <xf numFmtId="4" fontId="2" fillId="0" borderId="0" xfId="0" applyNumberFormat="1" applyFont="1" applyAlignment="1">
      <alignment horizontal="center" vertical="center"/>
    </xf>
    <xf numFmtId="2" fontId="0" fillId="0" borderId="0" xfId="0" applyNumberFormat="1"/>
    <xf numFmtId="1" fontId="0" fillId="0" borderId="0" xfId="0" applyNumberFormat="1"/>
    <xf numFmtId="0" fontId="13" fillId="0" borderId="0" xfId="0" applyFont="1"/>
    <xf numFmtId="4" fontId="0" fillId="7" borderId="0" xfId="0" applyNumberFormat="1" applyFill="1"/>
    <xf numFmtId="10" fontId="0" fillId="8" borderId="0" xfId="0" applyNumberFormat="1" applyFill="1"/>
    <xf numFmtId="4" fontId="2" fillId="8" borderId="0" xfId="0" applyNumberFormat="1" applyFont="1" applyFill="1"/>
    <xf numFmtId="4" fontId="11" fillId="8" borderId="0" xfId="0" applyNumberFormat="1" applyFont="1" applyFill="1" applyAlignment="1">
      <alignment horizontal="center" vertical="center" wrapText="1"/>
    </xf>
    <xf numFmtId="4" fontId="2" fillId="8" borderId="0" xfId="0" applyNumberFormat="1" applyFont="1" applyFill="1" applyAlignment="1">
      <alignment horizontal="center" vertical="center" wrapText="1"/>
    </xf>
    <xf numFmtId="0" fontId="2" fillId="0" borderId="5" xfId="0" applyFont="1" applyBorder="1"/>
    <xf numFmtId="4" fontId="4" fillId="0" borderId="2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0" fillId="4" borderId="5" xfId="0" applyFill="1" applyBorder="1"/>
    <xf numFmtId="0" fontId="0" fillId="3" borderId="5" xfId="0" applyFill="1" applyBorder="1"/>
    <xf numFmtId="0" fontId="0" fillId="2" borderId="5" xfId="0" applyFill="1" applyBorder="1"/>
    <xf numFmtId="4" fontId="0" fillId="0" borderId="2" xfId="0" applyNumberFormat="1" applyBorder="1" applyAlignment="1">
      <alignment vertical="center"/>
    </xf>
    <xf numFmtId="4" fontId="14" fillId="0" borderId="2" xfId="0" applyNumberFormat="1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0</xdr:row>
      <xdr:rowOff>123825</xdr:rowOff>
    </xdr:from>
    <xdr:to>
      <xdr:col>11</xdr:col>
      <xdr:colOff>342900</xdr:colOff>
      <xdr:row>16</xdr:row>
      <xdr:rowOff>95250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FF0B12C5-8282-4F90-1D87-4FC97449E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72175" y="123825"/>
          <a:ext cx="4572000" cy="3171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showGridLines="0" workbookViewId="0">
      <selection activeCell="C12" sqref="C12"/>
    </sheetView>
  </sheetViews>
  <sheetFormatPr defaultRowHeight="15"/>
  <cols>
    <col min="1" max="1" width="25.85546875" customWidth="1"/>
    <col min="2" max="2" width="24.5703125" customWidth="1"/>
    <col min="3" max="3" width="20.7109375" customWidth="1"/>
    <col min="4" max="4" width="17.85546875" customWidth="1"/>
  </cols>
  <sheetData>
    <row r="1" spans="1:4">
      <c r="A1">
        <v>22115665</v>
      </c>
      <c r="B1" t="s">
        <v>0</v>
      </c>
      <c r="C1">
        <v>20217765</v>
      </c>
      <c r="D1" t="s">
        <v>1</v>
      </c>
    </row>
    <row r="3" spans="1:4" ht="27" customHeight="1">
      <c r="A3" s="6" t="s">
        <v>2</v>
      </c>
      <c r="B3" s="5" t="s">
        <v>3</v>
      </c>
      <c r="C3" s="5" t="s">
        <v>4</v>
      </c>
      <c r="D3" s="5" t="s">
        <v>5</v>
      </c>
    </row>
    <row r="4" spans="1:4">
      <c r="A4" s="4" t="s">
        <v>6</v>
      </c>
      <c r="B4" s="54">
        <v>884</v>
      </c>
      <c r="C4">
        <v>0.8</v>
      </c>
      <c r="D4" s="9">
        <f>B4*C4</f>
        <v>707.2</v>
      </c>
    </row>
    <row r="5" spans="1:4">
      <c r="A5" s="3" t="s">
        <v>7</v>
      </c>
      <c r="B5" s="54">
        <v>249</v>
      </c>
    </row>
    <row r="6" spans="1:4">
      <c r="A6" s="3" t="s">
        <v>8</v>
      </c>
      <c r="B6" s="54">
        <v>210</v>
      </c>
    </row>
    <row r="7" spans="1:4">
      <c r="A7" s="3" t="s">
        <v>9</v>
      </c>
      <c r="B7" s="54">
        <v>113</v>
      </c>
    </row>
    <row r="8" spans="1:4">
      <c r="A8" s="3" t="s">
        <v>10</v>
      </c>
      <c r="B8" s="54">
        <v>149</v>
      </c>
    </row>
    <row r="9" spans="1:4">
      <c r="A9" s="3" t="s">
        <v>11</v>
      </c>
      <c r="B9" s="54">
        <v>104</v>
      </c>
    </row>
    <row r="10" spans="1:4">
      <c r="A10" s="3" t="s">
        <v>12</v>
      </c>
      <c r="B10" s="54">
        <v>59</v>
      </c>
    </row>
    <row r="11" spans="1:4">
      <c r="A11" s="4" t="s">
        <v>13</v>
      </c>
      <c r="B11" s="54">
        <v>320</v>
      </c>
      <c r="C11">
        <v>0.7</v>
      </c>
      <c r="D11" s="10">
        <f t="shared" ref="D5:D11" si="0">B11*C11</f>
        <v>224</v>
      </c>
    </row>
    <row r="12" spans="1:4">
      <c r="A12" s="2" t="s">
        <v>14</v>
      </c>
      <c r="B12" s="54">
        <v>126</v>
      </c>
    </row>
    <row r="13" spans="1:4">
      <c r="A13" s="2" t="s">
        <v>15</v>
      </c>
      <c r="B13" s="54">
        <v>194</v>
      </c>
    </row>
    <row r="14" spans="1:4">
      <c r="A14" s="1" t="s">
        <v>16</v>
      </c>
      <c r="B14" s="9">
        <f>SUM(B4:B13)-B4-B11</f>
        <v>1204</v>
      </c>
    </row>
    <row r="17" spans="2:2">
      <c r="B17" s="7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D79D1-C623-43AF-9C63-2FB533146D3B}">
  <dimension ref="A1:N27"/>
  <sheetViews>
    <sheetView showGridLines="0" tabSelected="1" workbookViewId="0">
      <selection activeCell="E10" sqref="E10"/>
    </sheetView>
  </sheetViews>
  <sheetFormatPr defaultRowHeight="15"/>
  <cols>
    <col min="1" max="1" width="30.5703125" customWidth="1"/>
    <col min="2" max="2" width="12.7109375" style="10" customWidth="1"/>
    <col min="3" max="3" width="10.42578125" customWidth="1"/>
    <col min="4" max="4" width="15.140625" customWidth="1"/>
    <col min="5" max="5" width="17" customWidth="1"/>
    <col min="6" max="6" width="10.85546875" customWidth="1"/>
    <col min="7" max="7" width="10.42578125" bestFit="1" customWidth="1"/>
    <col min="9" max="9" width="9.28515625" bestFit="1" customWidth="1"/>
    <col min="13" max="13" width="11.85546875" customWidth="1"/>
    <col min="14" max="14" width="18.85546875" customWidth="1"/>
  </cols>
  <sheetData>
    <row r="1" spans="1:14" ht="45.75" customHeight="1">
      <c r="A1" s="15" t="s">
        <v>17</v>
      </c>
      <c r="B1" s="11" t="s">
        <v>18</v>
      </c>
      <c r="C1" s="11" t="s">
        <v>19</v>
      </c>
      <c r="D1" s="16" t="s">
        <v>20</v>
      </c>
      <c r="E1" s="11" t="s">
        <v>21</v>
      </c>
      <c r="F1" s="17" t="s">
        <v>22</v>
      </c>
      <c r="G1" s="11" t="s">
        <v>23</v>
      </c>
      <c r="H1" s="11" t="s">
        <v>24</v>
      </c>
      <c r="I1" s="11" t="s">
        <v>25</v>
      </c>
      <c r="J1" s="15" t="s">
        <v>26</v>
      </c>
      <c r="K1" s="15" t="s">
        <v>27</v>
      </c>
      <c r="L1" s="18" t="s">
        <v>28</v>
      </c>
      <c r="M1" s="48" t="s">
        <v>29</v>
      </c>
      <c r="N1" s="52" t="s">
        <v>30</v>
      </c>
    </row>
    <row r="2" spans="1:14">
      <c r="A2" s="20" t="s">
        <v>6</v>
      </c>
      <c r="B2" s="12">
        <f>data!B4</f>
        <v>884</v>
      </c>
      <c r="C2" s="21">
        <f>data!D4</f>
        <v>707.2</v>
      </c>
      <c r="D2" s="22">
        <v>1</v>
      </c>
      <c r="E2" s="23">
        <f>('Cobb-Douglas'!D2^'Cobb-Douglas'!E2)*('Cobb-Douglas'!D3^'Cobb-Douglas'!E3)*('Cobb-Douglas'!D4^'Cobb-Douglas'!E4)*('Cobb-Douglas'!D5^'Cobb-Douglas'!E5)*('Cobb-Douglas'!D6^'Cobb-Douglas'!E6)*('Cobb-Douglas'!D7^'Cobb-Douglas'!E7)</f>
        <v>1.105541433415143</v>
      </c>
      <c r="F2" s="22">
        <f>E2*C2</f>
        <v>781.83890171118912</v>
      </c>
      <c r="G2" s="22">
        <f>(B2-F2)/($B$4-$F$4)</f>
        <v>0.65136590193571642</v>
      </c>
      <c r="H2" s="22">
        <f>C2+G2*(($B$8-$F$4)/E2)</f>
        <v>859.19578692215487</v>
      </c>
      <c r="I2" s="22">
        <f>H2*E2</f>
        <v>949.87654185817087</v>
      </c>
      <c r="J2" s="22">
        <f>(B2-C2)^G2</f>
        <v>29.102701831388064</v>
      </c>
      <c r="K2" s="22">
        <f>(H2-C2)^G2</f>
        <v>26.373676544172106</v>
      </c>
      <c r="L2" s="22">
        <f>(G2/E2)^G2</f>
        <v>0.70851440057351711</v>
      </c>
      <c r="M2" s="56">
        <v>0.09</v>
      </c>
      <c r="N2" s="49">
        <v>0.71</v>
      </c>
    </row>
    <row r="3" spans="1:14">
      <c r="A3" s="20" t="s">
        <v>13</v>
      </c>
      <c r="B3" s="13">
        <f>data!B11</f>
        <v>320</v>
      </c>
      <c r="C3" s="21">
        <f>data!D11</f>
        <v>224</v>
      </c>
      <c r="D3" s="22">
        <v>1</v>
      </c>
      <c r="E3" s="23">
        <f>(CES!D2^CES!E2)*CES!D3^CES!E3</f>
        <v>1.1844632244736817</v>
      </c>
      <c r="F3" s="22">
        <f>E3*C3</f>
        <v>265.3197622821047</v>
      </c>
      <c r="G3" s="22">
        <f>(B3-F3)/($B$4-$F$4)</f>
        <v>0.34863409806428397</v>
      </c>
      <c r="H3" s="22">
        <f>C3+G3*(($B$8-$F$4)/E3)</f>
        <v>299.93287322169891</v>
      </c>
      <c r="I3" s="22">
        <f>H3*E3</f>
        <v>355.2594581418295</v>
      </c>
      <c r="J3" s="22">
        <f>(B3-C3)^G3</f>
        <v>4.9100661537462198</v>
      </c>
      <c r="K3" s="22">
        <f>(H3-C3)^G3</f>
        <v>4.5246184173028974</v>
      </c>
      <c r="L3" s="22">
        <f>(G3/E3)^G3</f>
        <v>0.65286351522173891</v>
      </c>
      <c r="M3" s="56">
        <v>0.159</v>
      </c>
      <c r="N3" s="49">
        <v>0.49</v>
      </c>
    </row>
    <row r="4" spans="1:14">
      <c r="A4" s="24" t="s">
        <v>31</v>
      </c>
      <c r="B4" s="14">
        <f>SUM(B2:B3)</f>
        <v>1204</v>
      </c>
      <c r="C4" s="25">
        <f>SUM(C2:C3)</f>
        <v>931.2</v>
      </c>
      <c r="D4" s="25"/>
      <c r="E4" s="25"/>
      <c r="F4" s="25">
        <f>SUM(F2:F3)</f>
        <v>1047.1586639932939</v>
      </c>
      <c r="G4" s="25">
        <f>SUM(G2:G3)</f>
        <v>1.0000000000000004</v>
      </c>
      <c r="H4" s="25"/>
      <c r="I4" s="25">
        <f>SUM(I2:I3)</f>
        <v>1305.1360000000004</v>
      </c>
      <c r="J4" s="26">
        <f>J2*J3</f>
        <v>142.89619124486666</v>
      </c>
      <c r="K4" s="26">
        <f>K2*K3</f>
        <v>119.33082262375055</v>
      </c>
      <c r="L4" s="25">
        <f>PRODUCT(L2:L3)</f>
        <v>0.4625632021436496</v>
      </c>
      <c r="M4" s="25"/>
      <c r="N4" s="13"/>
    </row>
    <row r="5" spans="1:14">
      <c r="A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>
      <c r="A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>
      <c r="A7" s="27" t="s">
        <v>32</v>
      </c>
      <c r="B7" s="55">
        <f>E10+F10</f>
        <v>8.4000000000000005E-2</v>
      </c>
      <c r="C7" s="10"/>
      <c r="D7" s="63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ht="37.5" customHeight="1">
      <c r="A8" s="27" t="s">
        <v>33</v>
      </c>
      <c r="B8" s="10">
        <f>B4*(1+B7)</f>
        <v>1305.1360000000002</v>
      </c>
      <c r="C8" s="10"/>
      <c r="D8" s="28" t="s">
        <v>34</v>
      </c>
      <c r="E8" s="28" t="s">
        <v>35</v>
      </c>
      <c r="F8" s="28" t="s">
        <v>29</v>
      </c>
      <c r="G8" s="60" t="s">
        <v>36</v>
      </c>
      <c r="H8" s="10"/>
      <c r="I8" s="10"/>
      <c r="J8" s="10"/>
      <c r="K8" s="10"/>
      <c r="L8" s="10"/>
      <c r="M8" s="10"/>
      <c r="N8" s="10"/>
    </row>
    <row r="9" spans="1:14">
      <c r="A9" s="10"/>
      <c r="C9" s="10"/>
      <c r="D9" s="64">
        <f>D10*(1+E9+F9)</f>
        <v>26385.582775679995</v>
      </c>
      <c r="E9" s="8">
        <v>1.2999999999999999E-2</v>
      </c>
      <c r="F9" s="8">
        <v>3.1E-2</v>
      </c>
      <c r="G9">
        <v>2023</v>
      </c>
      <c r="H9" s="10"/>
      <c r="I9" s="10"/>
      <c r="J9" s="10"/>
      <c r="K9" s="10"/>
      <c r="L9" s="10"/>
      <c r="M9" s="10"/>
      <c r="N9" s="10"/>
    </row>
    <row r="10" spans="1:14">
      <c r="A10" s="27" t="s">
        <v>37</v>
      </c>
      <c r="B10" s="10">
        <f>F4+(J4/L4)</f>
        <v>1356.0811865429584</v>
      </c>
      <c r="C10" s="10"/>
      <c r="D10" s="64">
        <f>D11*(1+E10+F10)</f>
        <v>25273.546719999998</v>
      </c>
      <c r="E10" s="8">
        <v>1.9E-2</v>
      </c>
      <c r="F10" s="8">
        <v>6.5000000000000002E-2</v>
      </c>
      <c r="G10" s="62">
        <v>2022</v>
      </c>
      <c r="H10" s="10"/>
      <c r="I10" s="10"/>
      <c r="J10" s="10"/>
      <c r="K10" s="10"/>
      <c r="L10" s="10"/>
      <c r="M10" s="10"/>
      <c r="N10" s="10"/>
    </row>
    <row r="11" spans="1:14">
      <c r="A11" s="66" t="s">
        <v>38</v>
      </c>
      <c r="B11" s="65">
        <f>(B10-B8)/B8</f>
        <v>3.9034389169372574E-2</v>
      </c>
      <c r="C11" s="10"/>
      <c r="D11" s="10">
        <v>23315.08</v>
      </c>
      <c r="E11" s="8">
        <v>5.9499999999999997E-2</v>
      </c>
      <c r="F11" s="8">
        <v>4.7E-2</v>
      </c>
      <c r="G11" s="62">
        <v>2021</v>
      </c>
      <c r="H11" s="10"/>
      <c r="I11" s="10"/>
      <c r="J11" s="10"/>
      <c r="K11" s="10"/>
      <c r="L11" s="10"/>
      <c r="M11" s="10"/>
      <c r="N11" s="10"/>
    </row>
    <row r="12" spans="1:14">
      <c r="A12" s="10"/>
      <c r="C12" s="10"/>
      <c r="D12" s="10">
        <v>21060.47</v>
      </c>
      <c r="E12" s="8">
        <v>-2.7699999999999999E-2</v>
      </c>
      <c r="F12" s="8">
        <v>1.23E-2</v>
      </c>
      <c r="G12" s="62">
        <v>2020</v>
      </c>
      <c r="H12" s="10"/>
      <c r="I12" s="61"/>
      <c r="J12" s="10"/>
      <c r="K12" s="10"/>
      <c r="L12" s="10"/>
      <c r="M12" s="10"/>
      <c r="N12" s="10"/>
    </row>
    <row r="13" spans="1:14">
      <c r="A13" s="10"/>
      <c r="C13" s="10"/>
      <c r="D13" s="10">
        <v>21380.97</v>
      </c>
      <c r="E13" s="8">
        <v>2.29E-2</v>
      </c>
      <c r="F13" s="8">
        <v>1.8100000000000002E-2</v>
      </c>
      <c r="G13" s="62">
        <v>2019</v>
      </c>
      <c r="H13" s="10"/>
      <c r="I13" s="10"/>
      <c r="J13" s="10"/>
      <c r="K13" s="10"/>
      <c r="L13" s="10"/>
      <c r="M13" s="10"/>
      <c r="N13" s="10"/>
    </row>
    <row r="14" spans="1:14">
      <c r="D14" s="10">
        <v>20533.05</v>
      </c>
      <c r="E14" s="8">
        <v>2.9499999999999998E-2</v>
      </c>
      <c r="F14" s="8">
        <v>2.4400000000000002E-2</v>
      </c>
      <c r="G14" s="62">
        <v>2018</v>
      </c>
    </row>
    <row r="25" spans="7:7">
      <c r="G25" t="s">
        <v>39</v>
      </c>
    </row>
    <row r="26" spans="7:7">
      <c r="G26" t="s">
        <v>40</v>
      </c>
    </row>
    <row r="27" spans="7:7">
      <c r="G27" t="s">
        <v>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D82DC-67D8-4633-9AEB-CCAAC321284B}">
  <dimension ref="A1:M14"/>
  <sheetViews>
    <sheetView showGridLines="0" workbookViewId="0">
      <selection activeCell="B10" sqref="B10"/>
    </sheetView>
  </sheetViews>
  <sheetFormatPr defaultRowHeight="15"/>
  <cols>
    <col min="1" max="1" width="23.28515625" customWidth="1"/>
    <col min="2" max="2" width="11" customWidth="1"/>
    <col min="3" max="3" width="11.140625" customWidth="1"/>
    <col min="4" max="4" width="10.28515625" customWidth="1"/>
    <col min="5" max="5" width="10.85546875" customWidth="1"/>
    <col min="6" max="6" width="12.28515625" customWidth="1"/>
    <col min="7" max="7" width="10.85546875" customWidth="1"/>
    <col min="8" max="8" width="10.140625" customWidth="1"/>
    <col min="11" max="11" width="10.140625" customWidth="1"/>
    <col min="12" max="12" width="18.85546875" customWidth="1"/>
  </cols>
  <sheetData>
    <row r="1" spans="1:13" ht="45.75">
      <c r="A1" s="30" t="s">
        <v>42</v>
      </c>
      <c r="B1" s="31" t="s">
        <v>43</v>
      </c>
      <c r="C1" s="31" t="s">
        <v>44</v>
      </c>
      <c r="D1" s="31" t="s">
        <v>45</v>
      </c>
      <c r="E1" s="32" t="s">
        <v>23</v>
      </c>
      <c r="F1" s="31" t="s">
        <v>24</v>
      </c>
      <c r="G1" s="31" t="s">
        <v>25</v>
      </c>
      <c r="H1" s="31" t="s">
        <v>26</v>
      </c>
      <c r="I1" s="16" t="s">
        <v>27</v>
      </c>
      <c r="J1" s="19" t="s">
        <v>28</v>
      </c>
      <c r="K1" s="48" t="s">
        <v>29</v>
      </c>
      <c r="L1" s="52" t="s">
        <v>30</v>
      </c>
    </row>
    <row r="2" spans="1:13">
      <c r="A2" s="33" t="s">
        <v>7</v>
      </c>
      <c r="B2" s="12">
        <f>data!B5</f>
        <v>249</v>
      </c>
      <c r="C2" s="34">
        <v>1</v>
      </c>
      <c r="D2" s="13">
        <f>C2*(1+K2)</f>
        <v>1.0469999999999999</v>
      </c>
      <c r="E2" s="13">
        <v>0.28167420814479638</v>
      </c>
      <c r="F2" s="13">
        <f>E2*'Stone-Geary'!$I$2/D2</f>
        <v>255.5451029257095</v>
      </c>
      <c r="G2" s="13">
        <f>F2*D2</f>
        <v>267.55572276321783</v>
      </c>
      <c r="H2" s="13">
        <f>B2^E2</f>
        <v>4.7309412363248837</v>
      </c>
      <c r="I2" s="25">
        <f>F2^E2</f>
        <v>4.7656431502959222</v>
      </c>
      <c r="J2" s="12">
        <f>(E2/D2)^E2</f>
        <v>0.69085909491768838</v>
      </c>
      <c r="K2" s="57">
        <v>4.7E-2</v>
      </c>
      <c r="L2" s="49">
        <v>0.92</v>
      </c>
    </row>
    <row r="3" spans="1:13">
      <c r="A3" s="33" t="s">
        <v>8</v>
      </c>
      <c r="B3" s="12">
        <f>data!B6</f>
        <v>210</v>
      </c>
      <c r="C3" s="34">
        <v>1</v>
      </c>
      <c r="D3" s="13">
        <f t="shared" ref="D3:D7" si="0">C3*(1+K3)</f>
        <v>1.0669999999999999</v>
      </c>
      <c r="E3" s="13">
        <v>0.23755656108597284</v>
      </c>
      <c r="F3" s="13">
        <f>E3*'Stone-Geary'!$I$2/D3</f>
        <v>211.48022937213048</v>
      </c>
      <c r="G3" s="13">
        <f t="shared" ref="G3:G7" si="1">F3*D3</f>
        <v>225.6494047400632</v>
      </c>
      <c r="H3" s="13">
        <f t="shared" ref="H3:H7" si="2">B3^E3</f>
        <v>3.5617089675903699</v>
      </c>
      <c r="I3" s="25">
        <f t="shared" ref="I3:I7" si="3">F3^E3</f>
        <v>3.5676569740500752</v>
      </c>
      <c r="J3" s="12">
        <f t="shared" ref="J3:J7" si="4">(E3/D3)^E3</f>
        <v>0.69987216233755212</v>
      </c>
      <c r="K3" s="57">
        <v>6.7000000000000004E-2</v>
      </c>
      <c r="L3" s="49">
        <v>1.71</v>
      </c>
    </row>
    <row r="4" spans="1:13">
      <c r="A4" s="33" t="s">
        <v>9</v>
      </c>
      <c r="B4" s="12">
        <f>data!B7</f>
        <v>113</v>
      </c>
      <c r="C4" s="34">
        <v>1</v>
      </c>
      <c r="D4" s="13">
        <f t="shared" si="0"/>
        <v>1.155</v>
      </c>
      <c r="E4" s="13">
        <v>0.12782805429864252</v>
      </c>
      <c r="F4" s="13">
        <f>E4*'Stone-Geary'!$I$2/D4</f>
        <v>105.12629451918014</v>
      </c>
      <c r="G4" s="13">
        <f t="shared" si="1"/>
        <v>121.42087016965306</v>
      </c>
      <c r="H4" s="13">
        <f t="shared" si="2"/>
        <v>1.8299575809594641</v>
      </c>
      <c r="I4" s="25">
        <f t="shared" si="3"/>
        <v>1.8131403758602083</v>
      </c>
      <c r="J4" s="12">
        <f t="shared" si="4"/>
        <v>0.7547481016496832</v>
      </c>
      <c r="K4" s="57">
        <v>0.155</v>
      </c>
      <c r="L4" s="49">
        <v>1.1299999999999999</v>
      </c>
    </row>
    <row r="5" spans="1:13">
      <c r="A5" s="33" t="s">
        <v>10</v>
      </c>
      <c r="B5" s="12">
        <f>data!B8</f>
        <v>149</v>
      </c>
      <c r="C5" s="34">
        <v>1</v>
      </c>
      <c r="D5" s="13">
        <f t="shared" si="0"/>
        <v>1.1719999999999999</v>
      </c>
      <c r="E5" s="13">
        <v>0.16855203619909503</v>
      </c>
      <c r="F5" s="13">
        <f>E5*'Stone-Geary'!$I$2/D5</f>
        <v>136.60718879517887</v>
      </c>
      <c r="G5" s="13">
        <f t="shared" si="1"/>
        <v>160.10362526794964</v>
      </c>
      <c r="H5" s="13">
        <f t="shared" si="2"/>
        <v>2.3243149231226252</v>
      </c>
      <c r="I5" s="25">
        <f t="shared" si="3"/>
        <v>2.2905428242555987</v>
      </c>
      <c r="J5" s="22">
        <f t="shared" si="4"/>
        <v>0.72118477954138716</v>
      </c>
      <c r="K5" s="56">
        <v>0.17199999999999999</v>
      </c>
      <c r="L5" s="49">
        <v>1.24</v>
      </c>
    </row>
    <row r="6" spans="1:13">
      <c r="A6" s="33" t="s">
        <v>11</v>
      </c>
      <c r="B6" s="12">
        <f>data!B9</f>
        <v>104</v>
      </c>
      <c r="C6" s="34">
        <v>1</v>
      </c>
      <c r="D6" s="13">
        <f t="shared" si="0"/>
        <v>1.08</v>
      </c>
      <c r="E6" s="13">
        <v>0.11764705882352941</v>
      </c>
      <c r="F6" s="13">
        <f>E6*'Stone-Geary'!$I$2/D6</f>
        <v>103.47239018062862</v>
      </c>
      <c r="G6" s="13">
        <f t="shared" si="1"/>
        <v>111.75018139507893</v>
      </c>
      <c r="H6" s="13">
        <f t="shared" si="2"/>
        <v>1.7270226759113703</v>
      </c>
      <c r="I6" s="25">
        <f t="shared" si="3"/>
        <v>1.725989598943733</v>
      </c>
      <c r="J6" s="22">
        <f t="shared" si="4"/>
        <v>0.77041439778688359</v>
      </c>
      <c r="K6" s="56">
        <v>0.08</v>
      </c>
      <c r="L6" s="51">
        <v>0.99</v>
      </c>
      <c r="M6" s="53"/>
    </row>
    <row r="7" spans="1:13">
      <c r="A7" s="33" t="s">
        <v>12</v>
      </c>
      <c r="B7" s="13">
        <f>data!B10</f>
        <v>59</v>
      </c>
      <c r="C7" s="34">
        <v>1</v>
      </c>
      <c r="D7" s="13">
        <f t="shared" si="0"/>
        <v>1.3049999999999999</v>
      </c>
      <c r="E7" s="13">
        <v>6.67420814479638E-2</v>
      </c>
      <c r="F7" s="13">
        <f>E7*'Stone-Geary'!$I$2/D7</f>
        <v>48.579875495945011</v>
      </c>
      <c r="G7" s="13">
        <f t="shared" si="1"/>
        <v>63.396737522208234</v>
      </c>
      <c r="H7" s="13">
        <f t="shared" si="2"/>
        <v>1.3127751560130259</v>
      </c>
      <c r="I7" s="25">
        <f t="shared" si="3"/>
        <v>1.2958585849579103</v>
      </c>
      <c r="J7" s="22">
        <f t="shared" si="4"/>
        <v>0.82001520624416802</v>
      </c>
      <c r="K7" s="58">
        <v>0.30499999999999999</v>
      </c>
      <c r="L7" s="50">
        <v>2.04</v>
      </c>
    </row>
    <row r="8" spans="1:13">
      <c r="A8" s="35" t="s">
        <v>31</v>
      </c>
      <c r="B8" s="36">
        <f>SUM(B2:B7)</f>
        <v>884</v>
      </c>
      <c r="C8" s="13"/>
      <c r="D8" s="13"/>
      <c r="E8" s="13">
        <f>SUM(E2:E7)</f>
        <v>1</v>
      </c>
      <c r="F8" s="13">
        <f>SUM(F2:F7)</f>
        <v>860.81108128877258</v>
      </c>
      <c r="G8" s="13">
        <f>SUM(G2:G7)</f>
        <v>949.87654185817087</v>
      </c>
      <c r="H8" s="37">
        <f>H2*H3*H4*H5*H6*H7</f>
        <v>162.49139451231491</v>
      </c>
      <c r="I8" s="26">
        <f>PRODUCT(I2:I7)</f>
        <v>157.93203798199863</v>
      </c>
      <c r="J8" s="25">
        <f>PRODUCT(J2:J7)</f>
        <v>0.1662658577429949</v>
      </c>
      <c r="K8" s="13"/>
      <c r="L8" s="34"/>
    </row>
    <row r="9" spans="1:13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</row>
    <row r="10" spans="1:13">
      <c r="A10" s="38" t="s">
        <v>46</v>
      </c>
      <c r="B10" s="10">
        <f>H8/J8</f>
        <v>977.29862713898626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</row>
    <row r="11" spans="1:13" ht="22.5" customHeight="1">
      <c r="A11" s="67" t="s">
        <v>47</v>
      </c>
      <c r="B11" s="65">
        <f>(B10-B8)/B8</f>
        <v>0.10554143341514283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</row>
    <row r="12" spans="1:13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</row>
    <row r="13" spans="1: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</row>
    <row r="14" spans="1:13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3C1E6-9DE7-45DD-9181-2A8667534F8C}">
  <dimension ref="A1:AD14"/>
  <sheetViews>
    <sheetView showGridLines="0" workbookViewId="0">
      <selection activeCell="O1" sqref="O1:P3"/>
    </sheetView>
  </sheetViews>
  <sheetFormatPr defaultRowHeight="15"/>
  <cols>
    <col min="1" max="1" width="22.5703125" customWidth="1"/>
    <col min="2" max="2" width="11.140625" customWidth="1"/>
    <col min="3" max="3" width="12.140625" customWidth="1"/>
    <col min="4" max="4" width="11.7109375" customWidth="1"/>
    <col min="5" max="5" width="12.85546875" customWidth="1"/>
    <col min="6" max="6" width="10.28515625" customWidth="1"/>
    <col min="8" max="8" width="12.28515625" customWidth="1"/>
    <col min="10" max="10" width="14" customWidth="1"/>
    <col min="13" max="13" width="12.5703125" customWidth="1"/>
    <col min="15" max="15" width="10.140625" customWidth="1"/>
    <col min="16" max="16" width="18.85546875" customWidth="1"/>
  </cols>
  <sheetData>
    <row r="1" spans="1:30" ht="45.75">
      <c r="A1" s="39" t="s">
        <v>48</v>
      </c>
      <c r="B1" s="40" t="s">
        <v>49</v>
      </c>
      <c r="C1" s="41" t="s">
        <v>50</v>
      </c>
      <c r="D1" s="41" t="s">
        <v>21</v>
      </c>
      <c r="E1" s="41" t="s">
        <v>23</v>
      </c>
      <c r="F1" s="41" t="s">
        <v>24</v>
      </c>
      <c r="G1" s="31" t="s">
        <v>25</v>
      </c>
      <c r="H1" s="42" t="s">
        <v>51</v>
      </c>
      <c r="I1" s="11" t="s">
        <v>52</v>
      </c>
      <c r="J1" s="43" t="s">
        <v>53</v>
      </c>
      <c r="K1" s="17" t="s">
        <v>54</v>
      </c>
      <c r="L1" s="43" t="s">
        <v>55</v>
      </c>
      <c r="M1" s="43" t="s">
        <v>56</v>
      </c>
      <c r="N1" s="44" t="s">
        <v>57</v>
      </c>
      <c r="O1" s="48" t="s">
        <v>29</v>
      </c>
      <c r="P1" s="52" t="s">
        <v>30</v>
      </c>
      <c r="Q1" s="18" t="s">
        <v>28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</row>
    <row r="2" spans="1:30">
      <c r="A2" s="45" t="s">
        <v>14</v>
      </c>
      <c r="B2" s="13">
        <f>data!B12</f>
        <v>126</v>
      </c>
      <c r="C2" s="34">
        <v>1</v>
      </c>
      <c r="D2" s="13">
        <f>C2*(1+O2)</f>
        <v>1.1519999999999999</v>
      </c>
      <c r="E2" s="13">
        <f>J2/$J$4</f>
        <v>0.41453208559131205</v>
      </c>
      <c r="F2" s="13">
        <f>((E2/D2)^$A$8)*'Stone-Geary'!$I$3/$N$4</f>
        <v>122.30122575123636</v>
      </c>
      <c r="G2" s="13">
        <f>D2*F2</f>
        <v>140.89101206542426</v>
      </c>
      <c r="H2" s="13">
        <f>E2*(B2^C8)</f>
        <v>1.0905165487559312</v>
      </c>
      <c r="I2" s="13">
        <f>E2*(F2^C8)</f>
        <v>1.0840375184834019</v>
      </c>
      <c r="J2" s="13">
        <f>B2^(1/A8)</f>
        <v>47.89569020671064</v>
      </c>
      <c r="K2" s="25">
        <f>D2^E2</f>
        <v>1.0604105120378462</v>
      </c>
      <c r="L2" s="22">
        <f>E2^A8</f>
        <v>0.33261948690491089</v>
      </c>
      <c r="M2" s="22">
        <f>D2^(1-A8)</f>
        <v>0.96524348774022428</v>
      </c>
      <c r="N2" s="12">
        <f>L2*M2</f>
        <v>0.32105879363046003</v>
      </c>
      <c r="O2" s="57">
        <v>0.152</v>
      </c>
      <c r="P2" s="59">
        <v>1.24</v>
      </c>
      <c r="Q2" s="12">
        <f>(E2/D2)^E2</f>
        <v>0.65462344995910671</v>
      </c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</row>
    <row r="3" spans="1:30">
      <c r="A3" s="46" t="s">
        <v>15</v>
      </c>
      <c r="B3" s="10">
        <f>data!B13</f>
        <v>194</v>
      </c>
      <c r="C3" s="13">
        <v>1</v>
      </c>
      <c r="D3" s="13">
        <f>C3*(1+O3)</f>
        <v>1.208</v>
      </c>
      <c r="E3" s="13">
        <f>J3/$J$4</f>
        <v>0.58546791440868795</v>
      </c>
      <c r="F3" s="13">
        <f>((E3/D3)^$A$8)*'Stone-Geary'!$I$3/$N$4</f>
        <v>177.45732291093151</v>
      </c>
      <c r="G3" s="13">
        <f>D3*F3</f>
        <v>214.36844607640526</v>
      </c>
      <c r="H3" s="13">
        <f>E3*(B3^C8)</f>
        <v>1.6790492893543709</v>
      </c>
      <c r="I3" s="13">
        <f>E3*(F3^C8)</f>
        <v>1.6493844065645547</v>
      </c>
      <c r="J3" s="13">
        <f>B3^(1/A8)</f>
        <v>67.645885153829937</v>
      </c>
      <c r="K3" s="25">
        <f>D3^E3</f>
        <v>1.1169855551482952</v>
      </c>
      <c r="L3" s="22">
        <f>E3^A8</f>
        <v>0.51212841634565665</v>
      </c>
      <c r="M3" s="22">
        <f>D3^(1-A8)</f>
        <v>0.95385698957367226</v>
      </c>
      <c r="N3" s="12">
        <f>L3*M3</f>
        <v>0.48849726949060029</v>
      </c>
      <c r="O3" s="57">
        <v>0.20799999999999999</v>
      </c>
      <c r="P3" s="59">
        <v>0.93</v>
      </c>
      <c r="Q3" s="12">
        <f>(E3/D3)^E3</f>
        <v>0.65438444522617367</v>
      </c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</row>
    <row r="4" spans="1:30">
      <c r="A4" s="35" t="s">
        <v>31</v>
      </c>
      <c r="B4" s="13">
        <f>SUM(B2:B3)</f>
        <v>320</v>
      </c>
      <c r="C4" s="13"/>
      <c r="D4" s="13"/>
      <c r="E4" s="13">
        <f>SUM(E2:E3)</f>
        <v>1</v>
      </c>
      <c r="F4" s="13">
        <f>SUM(F2:F3)</f>
        <v>299.75854866216787</v>
      </c>
      <c r="G4" s="13">
        <f>SUM(G2:G3)</f>
        <v>355.25945814182955</v>
      </c>
      <c r="H4" s="37">
        <f>(H2+H3)^(1/C8)</f>
        <v>162.95153965150098</v>
      </c>
      <c r="I4" s="37">
        <f>(I2+I3)^(1/C8)</f>
        <v>152.59256315131606</v>
      </c>
      <c r="J4" s="13">
        <f>SUM(J2:J3)</f>
        <v>115.54157536054058</v>
      </c>
      <c r="K4" s="25">
        <f>K2*K3</f>
        <v>1.1844632244736817</v>
      </c>
      <c r="L4" s="13"/>
      <c r="M4" s="34"/>
      <c r="N4" s="34">
        <f>SUM(N2:N3)</f>
        <v>0.80955606312106032</v>
      </c>
      <c r="O4" s="47"/>
      <c r="P4" s="25"/>
      <c r="Q4" s="13">
        <f>PRODUCT(Q2:Q3)</f>
        <v>0.42837540313353389</v>
      </c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</row>
    <row r="5" spans="1:30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</row>
    <row r="6" spans="1:30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</row>
    <row r="7" spans="1:30">
      <c r="A7" s="10" t="s">
        <v>58</v>
      </c>
      <c r="B7" s="10"/>
      <c r="C7" s="10" t="s">
        <v>59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</row>
    <row r="8" spans="1:30">
      <c r="A8" s="10">
        <f>1/(1-C8)</f>
        <v>1.25</v>
      </c>
      <c r="B8" s="10"/>
      <c r="C8" s="50">
        <v>0.2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</row>
    <row r="9" spans="1:30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</row>
    <row r="10" spans="1:3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</row>
    <row r="11" spans="1:30">
      <c r="A11" s="29" t="s">
        <v>46</v>
      </c>
      <c r="B11" s="10">
        <f>H4/Q4</f>
        <v>380.39424873492436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</row>
    <row r="12" spans="1:30" ht="24" customHeight="1">
      <c r="A12" s="68" t="s">
        <v>60</v>
      </c>
      <c r="B12" s="65">
        <f>(B11-B4)/B4</f>
        <v>0.18873202729663863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</row>
    <row r="13" spans="1:30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</row>
    <row r="14" spans="1:30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CC0C40-597E-41E9-833E-114DF6415F8D}">
  <dimension ref="A1:F12"/>
  <sheetViews>
    <sheetView showGridLines="0" workbookViewId="0">
      <selection activeCell="E26" sqref="E26"/>
    </sheetView>
  </sheetViews>
  <sheetFormatPr defaultRowHeight="15"/>
  <cols>
    <col min="1" max="1" width="25.85546875" customWidth="1"/>
    <col min="2" max="2" width="12.5703125" customWidth="1"/>
    <col min="5" max="5" width="23.140625" customWidth="1"/>
  </cols>
  <sheetData>
    <row r="1" spans="1:6">
      <c r="A1" s="71" t="s">
        <v>2</v>
      </c>
      <c r="B1" s="70" t="s">
        <v>25</v>
      </c>
    </row>
    <row r="2" spans="1:6">
      <c r="A2" s="72" t="s">
        <v>6</v>
      </c>
      <c r="B2" s="13">
        <f>'Stone-Geary'!I2</f>
        <v>949.87654185817087</v>
      </c>
    </row>
    <row r="3" spans="1:6">
      <c r="A3" s="73" t="s">
        <v>7</v>
      </c>
      <c r="B3" s="13">
        <f>'Cobb-Douglas'!G2</f>
        <v>267.55572276321783</v>
      </c>
    </row>
    <row r="4" spans="1:6">
      <c r="A4" s="73" t="s">
        <v>8</v>
      </c>
      <c r="B4" s="13">
        <f>'Cobb-Douglas'!G3</f>
        <v>225.6494047400632</v>
      </c>
    </row>
    <row r="5" spans="1:6">
      <c r="A5" s="73" t="s">
        <v>9</v>
      </c>
      <c r="B5" s="13">
        <f>'Cobb-Douglas'!G4</f>
        <v>121.42087016965306</v>
      </c>
      <c r="E5" s="66" t="s">
        <v>38</v>
      </c>
      <c r="F5" s="65">
        <f>'Stone-Geary'!B11</f>
        <v>3.9034389169372574E-2</v>
      </c>
    </row>
    <row r="6" spans="1:6">
      <c r="A6" s="73" t="s">
        <v>10</v>
      </c>
      <c r="B6" s="13">
        <f>'Cobb-Douglas'!G5</f>
        <v>160.10362526794964</v>
      </c>
    </row>
    <row r="7" spans="1:6" ht="27" customHeight="1">
      <c r="A7" s="73" t="s">
        <v>11</v>
      </c>
      <c r="B7" s="75">
        <f>'Cobb-Douglas'!G6</f>
        <v>111.75018139507893</v>
      </c>
      <c r="E7" s="68" t="s">
        <v>60</v>
      </c>
      <c r="F7" s="65">
        <f>CES!B12</f>
        <v>0.18873202729663863</v>
      </c>
    </row>
    <row r="8" spans="1:6">
      <c r="A8" s="73" t="s">
        <v>12</v>
      </c>
      <c r="B8" s="13">
        <f>'Cobb-Douglas'!G7</f>
        <v>63.396737522208234</v>
      </c>
    </row>
    <row r="9" spans="1:6" ht="28.5">
      <c r="A9" s="72" t="s">
        <v>13</v>
      </c>
      <c r="B9" s="76">
        <f>'Stone-Geary'!I3</f>
        <v>355.2594581418295</v>
      </c>
      <c r="E9" s="67" t="s">
        <v>47</v>
      </c>
      <c r="F9" s="65">
        <f>'Cobb-Douglas'!B11</f>
        <v>0.10554143341514283</v>
      </c>
    </row>
    <row r="10" spans="1:6">
      <c r="A10" s="74" t="s">
        <v>14</v>
      </c>
      <c r="B10" s="13">
        <f>CES!G2</f>
        <v>140.89101206542426</v>
      </c>
    </row>
    <row r="11" spans="1:6">
      <c r="A11" s="74" t="s">
        <v>15</v>
      </c>
      <c r="B11" s="13">
        <f>CES!G3</f>
        <v>214.36844607640526</v>
      </c>
    </row>
    <row r="12" spans="1:6">
      <c r="A12" s="69" t="s">
        <v>16</v>
      </c>
      <c r="B12" s="13">
        <f>SUM(B2:B11)-B2-B9</f>
        <v>1305.136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2023-01-14T16:24:37Z</dcterms:created>
  <dcterms:modified xsi:type="dcterms:W3CDTF">2023-01-26T01:24:55Z</dcterms:modified>
  <cp:category/>
  <cp:contentStatus/>
</cp:coreProperties>
</file>