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ges" sheetId="1" r:id="rId4"/>
    <sheet state="visible" name="Final Powers" sheetId="2" r:id="rId5"/>
    <sheet state="visible" name="TL-ANT2409A Antenna Specs" sheetId="3" r:id="rId6"/>
    <sheet state="visible" name="Full Sheet" sheetId="4" r:id="rId7"/>
    <sheet state="visible" name="Calculating the Maximum Distanc" sheetId="5" r:id="rId8"/>
    <sheet state="visible" name="2.15 GHz" sheetId="6" r:id="rId9"/>
    <sheet state="visible" name="2.259 GHz" sheetId="7" r:id="rId10"/>
    <sheet state="visible" name="2.296 GHz" sheetId="8" r:id="rId11"/>
    <sheet state="visible" name="2.4 GHz" sheetId="9" r:id="rId12"/>
    <sheet state="visible" name="BPF (2020-2600)" sheetId="10" r:id="rId13"/>
    <sheet state="visible" name="Attenuator (VAT-3+)" sheetId="11" r:id="rId14"/>
    <sheet state="visible" name="Custom BPF" sheetId="12" r:id="rId15"/>
    <sheet state="visible" name="Amplifier" sheetId="13" r:id="rId16"/>
    <sheet state="visible" name="Amplifier ZFL-1000LN" sheetId="14" r:id="rId17"/>
    <sheet state="visible" name="LPF - 40 MHz" sheetId="15" r:id="rId18"/>
    <sheet state="visible" name="Mixer" sheetId="16" r:id="rId1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0">
      <text>
        <t xml:space="preserve">** Conversion Loss, assumes LO = +7 dBm
	-Zoe Worrall</t>
      </text>
    </comment>
  </commentList>
</comments>
</file>

<file path=xl/sharedStrings.xml><?xml version="1.0" encoding="utf-8"?>
<sst xmlns="http://schemas.openxmlformats.org/spreadsheetml/2006/main" count="812" uniqueCount="215">
  <si>
    <t>RX antenna</t>
  </si>
  <si>
    <t>RL (mW)</t>
  </si>
  <si>
    <t>Path Loss</t>
  </si>
  <si>
    <t>RX (directionality)</t>
  </si>
  <si>
    <t>w/ RL</t>
  </si>
  <si>
    <t>Total Received Power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</si>
  <si>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</si>
  <si>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</si>
  <si>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</si>
  <si>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</si>
  <si>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</si>
  <si>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</si>
  <si>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</si>
  <si>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</si>
  <si>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</si>
  <si>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Notes</t>
  </si>
  <si>
    <t>Stage Name</t>
  </si>
  <si>
    <t>dBi</t>
  </si>
  <si>
    <t>BPF VBFZ-2340-S+</t>
  </si>
  <si>
    <t>Amplifier ZX60-2531-MA-S+</t>
  </si>
  <si>
    <r>
      <rPr>
        <rFont val="Times New Roman"/>
        <color rgb="FF000000"/>
        <sz val="11.0"/>
      </rPr>
      <t xml:space="preserve">Mixer </t>
    </r>
    <r>
      <rPr>
        <rFont val="Times New Roman"/>
        <color rgb="FF1155CC"/>
        <sz val="11.0"/>
        <u/>
      </rPr>
      <t>ZX05-C24-X+</t>
    </r>
  </si>
  <si>
    <t>Custom BPF</t>
  </si>
  <si>
    <r>
      <rPr>
        <rFont val="Times New Roman"/>
        <color rgb="FF000000"/>
        <sz val="11.0"/>
      </rPr>
      <t>3dB Attenuator (</t>
    </r>
    <r>
      <rPr>
        <rFont val="Times New Roman"/>
        <color rgb="FF1155CC"/>
        <sz val="11.0"/>
        <u/>
      </rPr>
      <t>VAT-3+</t>
    </r>
    <r>
      <rPr>
        <rFont val="Times New Roman"/>
        <color rgb="FF000000"/>
        <sz val="11.0"/>
      </rPr>
      <t>)</t>
    </r>
  </si>
  <si>
    <t>Amplifier ZFLN 1000</t>
  </si>
  <si>
    <t>Mixer ZX05-C24-X+</t>
  </si>
  <si>
    <t>ZX75LP-40-S+</t>
  </si>
  <si>
    <t>Frequency</t>
  </si>
  <si>
    <t>Backoff Amp1 (dB)</t>
  </si>
  <si>
    <t>IM3</t>
  </si>
  <si>
    <t>Backoff Amp2</t>
  </si>
  <si>
    <t>Receiver characterization theory</t>
  </si>
  <si>
    <t>Tone 1 power</t>
  </si>
  <si>
    <t>AMP1</t>
  </si>
  <si>
    <t>IIP3</t>
  </si>
  <si>
    <t>Backoff</t>
  </si>
  <si>
    <t>Tone 1 frequency</t>
  </si>
  <si>
    <t>Speed of Light</t>
  </si>
  <si>
    <t>Tone 2 power</t>
  </si>
  <si>
    <t>m/s</t>
  </si>
  <si>
    <t>Tone 2 frequency</t>
  </si>
  <si>
    <t>AMP2</t>
  </si>
  <si>
    <t>Low noise power</t>
  </si>
  <si>
    <t>Low noise frequency</t>
  </si>
  <si>
    <t>High noise power</t>
  </si>
  <si>
    <t>High noise frequency</t>
  </si>
  <si>
    <t>IM3 power</t>
  </si>
  <si>
    <t>no components impacting yet</t>
  </si>
  <si>
    <t>IM3 high frequency</t>
  </si>
  <si>
    <t>DANL</t>
  </si>
  <si>
    <t>RBW/VBW (1:1 ratio)</t>
  </si>
  <si>
    <t>Receiver characterization measurement</t>
  </si>
  <si>
    <t>IM3 frequency (high)</t>
  </si>
  <si>
    <t>IM3 frequency (low)</t>
  </si>
  <si>
    <t>3m Range Test Theory</t>
  </si>
  <si>
    <t>Signal "1" Power</t>
  </si>
  <si>
    <t>dB</t>
  </si>
  <si>
    <t>2256 Power</t>
  </si>
  <si>
    <t>Distance</t>
  </si>
  <si>
    <t>Signal "1" Frequency</t>
  </si>
  <si>
    <t>meters</t>
  </si>
  <si>
    <t>Signal "0" Power</t>
  </si>
  <si>
    <t>2296 Power</t>
  </si>
  <si>
    <t>Signal "0" Frequency</t>
  </si>
  <si>
    <t>Blocker 1 Power</t>
  </si>
  <si>
    <t>OFDM Power</t>
  </si>
  <si>
    <t>Blocker 1 Frequency</t>
  </si>
  <si>
    <t>Boltzmann's Constant</t>
  </si>
  <si>
    <t>ºC</t>
  </si>
  <si>
    <t>Blocker 2 Power</t>
  </si>
  <si>
    <t>Wifi Power</t>
  </si>
  <si>
    <t>Temperature</t>
  </si>
  <si>
    <t>K</t>
  </si>
  <si>
    <t>Blocker 2 Frequency</t>
  </si>
  <si>
    <t>RBW</t>
  </si>
  <si>
    <t>IM3 Power</t>
  </si>
  <si>
    <t>IM3 frequency</t>
  </si>
  <si>
    <t>Spectrum Analyzer</t>
  </si>
  <si>
    <t>DANL (Log of RTP)</t>
  </si>
  <si>
    <t>Receiver Train Power (RTP)</t>
  </si>
  <si>
    <t>Receiver Train Temp (linear)</t>
  </si>
  <si>
    <t>Noise Temperature (component)</t>
  </si>
  <si>
    <t>Comparison:</t>
  </si>
  <si>
    <t>Loss</t>
  </si>
  <si>
    <t>N/A</t>
  </si>
  <si>
    <t>Freq (MHz)</t>
  </si>
  <si>
    <t>Real</t>
  </si>
  <si>
    <t>Theory</t>
  </si>
  <si>
    <t>Discrepancy</t>
  </si>
  <si>
    <t>Noise Factor</t>
  </si>
  <si>
    <r>
      <rPr>
        <rFont val="Times New Roman"/>
        <color rgb="FF1155CC"/>
        <sz val="11.0"/>
        <u/>
      </rPr>
      <t xml:space="preserve">Spectrum Analyzer </t>
    </r>
    <r>
      <rPr>
        <rFont val="Times New Roman"/>
        <color rgb="FF000000"/>
        <sz val="11.0"/>
      </rPr>
      <t>DANL</t>
    </r>
  </si>
  <si>
    <t>3m Range Test Measurement</t>
  </si>
  <si>
    <t>High noise power (highest)</t>
  </si>
  <si>
    <t>Max Range Test Theory</t>
  </si>
  <si>
    <t>Max Range Measurement</t>
  </si>
  <si>
    <t>DANL (dB)</t>
  </si>
  <si>
    <t>Distance:</t>
  </si>
  <si>
    <t>RBW (Hz):</t>
  </si>
  <si>
    <t>BW of Soldered Board (Hz)</t>
  </si>
  <si>
    <t>Frequency (GHz)</t>
  </si>
  <si>
    <t>Expected</t>
  </si>
  <si>
    <t>Measured</t>
  </si>
  <si>
    <t>NOISE</t>
  </si>
  <si>
    <t>SPEC</t>
  </si>
  <si>
    <t>Actual</t>
  </si>
  <si>
    <t>TL-ANT2409A Antenna Specs</t>
  </si>
  <si>
    <t>https://www.tp-link.com/es/home-networking/antenna/tl-ant2409a/#specifications</t>
  </si>
  <si>
    <t>https://www.scribd.com/doc/296707109/Tl-Ant2409a-v1-User-Guide-7106</t>
  </si>
  <si>
    <t>GHz</t>
  </si>
  <si>
    <t>Gain</t>
  </si>
  <si>
    <t>Max = 10 dBi</t>
  </si>
  <si>
    <t>VSWR</t>
  </si>
  <si>
    <t>HPOL Beamwidth</t>
  </si>
  <si>
    <t>º</t>
  </si>
  <si>
    <t>VPOL Beamwidth</t>
  </si>
  <si>
    <t>Directivity</t>
  </si>
  <si>
    <t>(patch antenna)</t>
  </si>
  <si>
    <t>https://www.google.com/url?sa=t&amp;source=web&amp;rct=j&amp;opi=89978449&amp;url=https://www.antenna-theory.com/antennas/patches/antenna.php%23:~:text%3DThe%2520directivity%2520of%2520patch%2520antennas%2520is%2520approximately%25205%252D7%2520dB.&amp;ved=2ahUKEwiA2oj9gKGKAxWHLUQIHTQFJ0cQFnoECCoQAw&amp;usg=AOvVaw1jpUBa5n0kuJ95aXQqyTR1</t>
  </si>
  <si>
    <t>TX source</t>
  </si>
  <si>
    <t>TX antenna</t>
  </si>
  <si>
    <t>TX (directionality)</t>
  </si>
  <si>
    <t>TX w/RL</t>
  </si>
  <si>
    <t>Stage 7 (?)</t>
  </si>
  <si>
    <t>1dB Attenuator</t>
  </si>
  <si>
    <t>Voltage (V)</t>
  </si>
  <si>
    <t>NA</t>
  </si>
  <si>
    <t>(sig gen frequency)</t>
  </si>
  <si>
    <t>meter</t>
  </si>
  <si>
    <t>Blue highlighted cells are optional</t>
  </si>
  <si>
    <t>The last stage is not optional b/c of IIP3</t>
  </si>
  <si>
    <t>Backoff A1</t>
  </si>
  <si>
    <t>Backoff A2</t>
  </si>
  <si>
    <t>Blue cells are optional</t>
  </si>
  <si>
    <t>Final Powers</t>
  </si>
  <si>
    <t>You should have analytical/datasheet predications and experimental confirmation of its system temperature and IIP3.</t>
  </si>
  <si>
    <t>https://www.ucalgary.ca/engo_webdocs/GL/06.20235.TaoHu.pdf</t>
  </si>
  <si>
    <t>You should express these calculations with a link budget spreadsheet showing the expected and measured signal power, noise temperature and power of distortion products at each stage (possibly in multiple frequencies of interest).</t>
  </si>
  <si>
    <t>Expected Signal Power</t>
  </si>
  <si>
    <t>Measured Signal Power</t>
  </si>
  <si>
    <t>Noise Temperature</t>
  </si>
  <si>
    <t>Power of Distortion</t>
  </si>
  <si>
    <t>TRANSMIT LOSS</t>
  </si>
  <si>
    <t>Symbol</t>
  </si>
  <si>
    <t>Name</t>
  </si>
  <si>
    <t>P_TX</t>
  </si>
  <si>
    <t>Transmit Power</t>
  </si>
  <si>
    <t>dBm</t>
  </si>
  <si>
    <t>P_Loss</t>
  </si>
  <si>
    <t>Power Loss</t>
  </si>
  <si>
    <t>(components)</t>
  </si>
  <si>
    <t>...</t>
  </si>
  <si>
    <t>G_TX</t>
  </si>
  <si>
    <t>Transmit Gain</t>
  </si>
  <si>
    <t>Net TX</t>
  </si>
  <si>
    <t>PATH LOSS</t>
  </si>
  <si>
    <t>Distance (m)</t>
  </si>
  <si>
    <t>FSPL</t>
  </si>
  <si>
    <t>Free Space Path Loss</t>
  </si>
  <si>
    <t>https://en.wikipedia.org/wiki/Friis_transmission_equation</t>
  </si>
  <si>
    <t>https://en.wikipedia.org/wiki/Free-space_path_loss</t>
  </si>
  <si>
    <t>PL</t>
  </si>
  <si>
    <t>Polarization Loss</t>
  </si>
  <si>
    <t>RECEIVE LOSS</t>
  </si>
  <si>
    <t>NOISE LOSS</t>
  </si>
  <si>
    <t>mW</t>
  </si>
  <si>
    <t>Noise Gain</t>
  </si>
  <si>
    <t>Driven by Spec</t>
  </si>
  <si>
    <t>Driven by Osc (dB)</t>
  </si>
  <si>
    <t>G_RX</t>
  </si>
  <si>
    <t>Receive Gain</t>
  </si>
  <si>
    <t>frequency (MHz)</t>
  </si>
  <si>
    <t>bandpass</t>
  </si>
  <si>
    <t>VBFZ-2340-S+</t>
  </si>
  <si>
    <t>DATASHEET</t>
  </si>
  <si>
    <t>amplifier</t>
  </si>
  <si>
    <t>ZX60-2531-MA-S+</t>
  </si>
  <si>
    <t>mixer</t>
  </si>
  <si>
    <t>ZX05-C24-X+</t>
  </si>
  <si>
    <t>2150-1950</t>
  </si>
  <si>
    <t>custom BPF</t>
  </si>
  <si>
    <t>MEASURED</t>
  </si>
  <si>
    <t>200-300</t>
  </si>
  <si>
    <t>100 (neg)</t>
  </si>
  <si>
    <t>TL</t>
  </si>
  <si>
    <t>Tracking (Fading) Loss</t>
  </si>
  <si>
    <t>Total Noise Change</t>
  </si>
  <si>
    <t>P_RX</t>
  </si>
  <si>
    <t>Received Power</t>
  </si>
  <si>
    <t>Total Gain</t>
  </si>
  <si>
    <t>NOISE VALUES</t>
  </si>
  <si>
    <t>Received System Noise</t>
  </si>
  <si>
    <t>Boltzmann's Constant x 290 K</t>
  </si>
  <si>
    <t>C/kT</t>
  </si>
  <si>
    <t>dB/Hz</t>
  </si>
  <si>
    <t>2nd Order Harmonic</t>
  </si>
  <si>
    <t>2259-1950</t>
  </si>
  <si>
    <t>309-300</t>
  </si>
  <si>
    <t>2296-1950</t>
  </si>
  <si>
    <t>346-300</t>
  </si>
  <si>
    <t>2400-1950</t>
  </si>
  <si>
    <t>450-300</t>
  </si>
  <si>
    <t>Loss (IP1)</t>
  </si>
  <si>
    <t>Attenuation</t>
  </si>
  <si>
    <t>Frequency (MHz)</t>
  </si>
  <si>
    <t>Loss (dB)</t>
  </si>
  <si>
    <t>IP1</t>
  </si>
  <si>
    <t>OIP3 (dBm)</t>
  </si>
  <si>
    <t>P-1 dB</t>
  </si>
  <si>
    <t>Frequency Harmonics</t>
  </si>
  <si>
    <t>Frequencies</t>
  </si>
  <si>
    <t>Gain (15V)</t>
  </si>
  <si>
    <t>IP3</t>
  </si>
  <si>
    <t>P-1dB compressed</t>
  </si>
  <si>
    <t>https://www.minicircuits.com/pdfs/ZFL-1000LN+.pdf?srsltid=AfmBOooyAsxMl0X7KbUDAYMNp7TANyK8zz6lAJa9aGECsnlvP90pRQ8z</t>
  </si>
  <si>
    <t>IP3 (dBm)</t>
  </si>
  <si>
    <t>https://www.minicircuits.com/pdfs/ZX05-C24.pdf?srsltid=AfmBOooSjqWxDdXGfChARj9zU53EYyMRukYuCpBu5lyPJgXK_TPeVbaJ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</si>
</sst>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7">
    <font>
      <sz val="10.0"/>
      <color rgb="FF000000"/>
      <name val="Arial"/>
      <scheme val="minor"/>
    </font>
    <font>
      <sz val="11.0"/>
      <color rgb="FF000000"/>
      <name val="Times New Roman"/>
    </font>
    <font>
      <b/>
      <sz val="11.0"/>
      <color rgb="FF000000"/>
      <name val="Times New Roman"/>
    </font>
    <font>
      <color theme="1"/>
      <name val="Times New Roman"/>
    </font>
    <font>
      <u/>
      <sz val="11.0"/>
      <color rgb="FF000000"/>
      <name val="Times New Roman"/>
    </font>
    <font>
      <u/>
      <sz val="11.0"/>
      <color rgb="FF0000FF"/>
      <name val="Times New Roman"/>
    </font>
    <font>
      <color theme="1"/>
      <name val="Arial"/>
      <scheme val="minor"/>
    </font>
    <font>
      <sz val="11.0"/>
      <color rgb="FF00FF00"/>
      <name val="Times New Roman"/>
    </font>
    <font>
      <color theme="1"/>
      <name val="Arial"/>
    </font>
    <font>
      <b/>
      <color theme="1"/>
      <name val="Arial"/>
      <scheme val="minor"/>
    </font>
    <font>
      <color rgb="FF00FF00"/>
      <name val="Arial"/>
      <scheme val="minor"/>
    </font>
    <font/>
    <font>
      <color rgb="FFFFFFFF"/>
      <name val="Arial"/>
      <scheme val="minor"/>
    </font>
    <font>
      <b/>
      <color rgb="FFFFFFFF"/>
      <name val="Arial"/>
      <scheme val="minor"/>
    </font>
    <font>
      <u/>
      <sz val="11.0"/>
      <color rgb="FF000000"/>
      <name val="Times New Roman"/>
    </font>
    <font>
      <sz val="11.0"/>
      <color rgb="FFFFFF00"/>
      <name val="Times New Roman"/>
    </font>
    <font>
      <color rgb="FF000000"/>
      <name val="Arial"/>
    </font>
    <font>
      <u/>
      <color rgb="FF0000FF"/>
    </font>
    <font>
      <u/>
      <sz val="11.0"/>
      <color rgb="FF0000FF"/>
      <name val="Times New Roman"/>
    </font>
    <font>
      <u/>
      <color rgb="FF0000FF"/>
    </font>
    <font>
      <u/>
      <color rgb="FF0000FF"/>
    </font>
    <font>
      <color rgb="FF999999"/>
      <name val="Arial"/>
      <scheme val="minor"/>
    </font>
    <font>
      <u/>
      <color rgb="FF0000FF"/>
    </font>
    <font>
      <b/>
      <i/>
      <sz val="8.0"/>
      <color theme="1"/>
      <name val="Arial"/>
      <scheme val="minor"/>
    </font>
    <font>
      <color rgb="FFCCCCCC"/>
      <name val="Arial"/>
      <scheme val="minor"/>
    </font>
    <font>
      <sz val="9.0"/>
      <color theme="1"/>
      <name val="Geneva"/>
    </font>
    <font>
      <sz val="9.0"/>
      <color theme="1"/>
      <name val="Arial"/>
    </font>
  </fonts>
  <fills count="3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FF00FF"/>
        <bgColor rgb="FFFF00FF"/>
      </patternFill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1C4587"/>
        <bgColor rgb="FF1C4587"/>
      </patternFill>
    </fill>
    <fill>
      <patternFill patternType="solid">
        <fgColor rgb="FF660000"/>
        <bgColor rgb="FF660000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741B47"/>
        <bgColor rgb="FF741B47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980000"/>
        <bgColor rgb="FF980000"/>
      </patternFill>
    </fill>
    <fill>
      <patternFill patternType="solid">
        <fgColor rgb="FFCFE2F3"/>
        <bgColor rgb="FFCFE2F3"/>
      </patternFill>
    </fill>
    <fill>
      <patternFill patternType="solid">
        <fgColor rgb="FFA2C4C9"/>
        <bgColor rgb="FFA2C4C9"/>
      </patternFill>
    </fill>
  </fills>
  <borders count="3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left style="thick">
        <color rgb="FF000000"/>
      </left>
      <right style="thick">
        <color rgb="FF000000"/>
      </righ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</border>
    <border>
      <top style="thin">
        <color rgb="FF666666"/>
      </top>
      <bottom style="thin">
        <color rgb="FF666666"/>
      </bottom>
    </border>
    <border>
      <left style="thick">
        <color rgb="FF000000"/>
      </left>
      <right style="thick">
        <color rgb="FF000000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666666"/>
      </right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666666"/>
      </right>
      <bottom style="thin">
        <color rgb="FF666666"/>
      </bottom>
    </border>
    <border>
      <left style="thick">
        <color rgb="FF38761D"/>
      </left>
      <right style="thick">
        <color rgb="FF38761D"/>
      </right>
      <top style="thick">
        <color rgb="FF38761D"/>
      </top>
    </border>
    <border>
      <left style="thick">
        <color rgb="FF38761D"/>
      </left>
      <right style="thick">
        <color rgb="FF38761D"/>
      </right>
    </border>
    <border>
      <left style="thick">
        <color rgb="FF38761D"/>
      </left>
    </border>
    <border>
      <left style="thick">
        <color rgb="FF38761D"/>
      </left>
      <right style="thick">
        <color rgb="FF38761D"/>
      </right>
      <bottom style="thick">
        <color rgb="FF38761D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top style="thin">
        <color rgb="FF000000"/>
      </top>
    </border>
    <border>
      <left style="thin">
        <color rgb="FF666666"/>
      </left>
      <bottom style="thin">
        <color rgb="FF000000"/>
      </bottom>
    </border>
  </borders>
  <cellStyleXfs count="1">
    <xf borderId="0" fillId="0" fontId="0" numFmtId="0" applyAlignment="1" applyFont="1"/>
  </cellStyleXfs>
  <cellXfs count="3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2" fontId="2" numFmtId="0" xfId="0" applyAlignment="1" applyBorder="1" applyFill="1" applyFont="1">
      <alignment horizontal="center" readingOrder="0" shrinkToFit="0" vertical="bottom" wrapText="0"/>
    </xf>
    <xf borderId="2" fillId="2" fontId="2" numFmtId="0" xfId="0" applyAlignment="1" applyBorder="1" applyFont="1">
      <alignment horizontal="center" readingOrder="0" shrinkToFit="0" vertical="bottom" wrapText="0"/>
    </xf>
    <xf borderId="3" fillId="2" fontId="2" numFmtId="0" xfId="0" applyAlignment="1" applyBorder="1" applyFont="1">
      <alignment horizontal="center" readingOrder="0" shrinkToFit="0" vertical="bottom" wrapText="0"/>
    </xf>
    <xf borderId="0" fillId="0" fontId="3" numFmtId="0" xfId="0" applyFont="1"/>
    <xf borderId="4" fillId="2" fontId="1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5" fillId="2" fontId="5" numFmtId="0" xfId="0" applyAlignment="1" applyBorder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4" fontId="6" numFmtId="0" xfId="0" applyAlignment="1" applyFill="1" applyFont="1">
      <alignment readingOrder="0"/>
    </xf>
    <xf borderId="0" fillId="4" fontId="6" numFmtId="0" xfId="0" applyFont="1"/>
    <xf borderId="0" fillId="5" fontId="1" numFmtId="0" xfId="0" applyAlignment="1" applyFill="1" applyFont="1">
      <alignment readingOrder="0" shrinkToFit="0" vertical="bottom" wrapText="0"/>
    </xf>
    <xf borderId="4" fillId="4" fontId="6" numFmtId="2" xfId="0" applyBorder="1" applyFont="1" applyNumberFormat="1"/>
    <xf borderId="0" fillId="4" fontId="6" numFmtId="2" xfId="0" applyFont="1" applyNumberFormat="1"/>
    <xf borderId="5" fillId="6" fontId="7" numFmtId="2" xfId="0" applyAlignment="1" applyBorder="1" applyFill="1" applyFont="1" applyNumberFormat="1">
      <alignment shrinkToFit="0" vertical="bottom" wrapText="0"/>
    </xf>
    <xf borderId="0" fillId="7" fontId="6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8" fontId="1" numFmtId="0" xfId="0" applyAlignment="1" applyFill="1" applyFont="1">
      <alignment shrinkToFit="0" vertical="bottom" wrapText="0"/>
    </xf>
    <xf borderId="0" fillId="8" fontId="1" numFmtId="0" xfId="0" applyAlignment="1" applyFont="1">
      <alignment readingOrder="0" shrinkToFit="0" vertical="bottom" wrapText="0"/>
    </xf>
    <xf borderId="0" fillId="9" fontId="8" numFmtId="0" xfId="0" applyAlignment="1" applyFill="1" applyFont="1">
      <alignment horizontal="right" readingOrder="0" vertical="bottom"/>
    </xf>
    <xf borderId="0" fillId="9" fontId="8" numFmtId="0" xfId="0" applyAlignment="1" applyFont="1">
      <alignment vertical="bottom"/>
    </xf>
    <xf borderId="4" fillId="9" fontId="8" numFmtId="0" xfId="0" applyAlignment="1" applyBorder="1" applyFont="1">
      <alignment vertical="bottom"/>
    </xf>
    <xf borderId="0" fillId="10" fontId="8" numFmtId="0" xfId="0" applyAlignment="1" applyFill="1" applyFont="1">
      <alignment horizontal="right" readingOrder="0" vertical="bottom"/>
    </xf>
    <xf borderId="0" fillId="10" fontId="8" numFmtId="0" xfId="0" applyAlignment="1" applyFont="1">
      <alignment vertical="bottom"/>
    </xf>
    <xf borderId="0" fillId="11" fontId="8" numFmtId="0" xfId="0" applyAlignment="1" applyFill="1" applyFont="1">
      <alignment horizontal="right" vertical="bottom"/>
    </xf>
    <xf borderId="5" fillId="11" fontId="8" numFmtId="0" xfId="0" applyAlignment="1" applyBorder="1" applyFont="1">
      <alignment vertical="bottom"/>
    </xf>
    <xf borderId="0" fillId="7" fontId="6" numFmtId="0" xfId="0" applyFont="1"/>
    <xf borderId="0" fillId="3" fontId="1" numFmtId="0" xfId="0" applyAlignment="1" applyFont="1">
      <alignment shrinkToFit="0" vertical="bottom" wrapText="0"/>
    </xf>
    <xf borderId="0" fillId="9" fontId="8" numFmtId="0" xfId="0" applyAlignment="1" applyFont="1">
      <alignment horizontal="right" vertical="bottom"/>
    </xf>
    <xf borderId="0" fillId="9" fontId="8" numFmtId="0" xfId="0" applyAlignment="1" applyFont="1">
      <alignment readingOrder="0" vertical="bottom"/>
    </xf>
    <xf borderId="0" fillId="10" fontId="8" numFmtId="0" xfId="0" applyAlignment="1" applyFont="1">
      <alignment horizontal="right" vertical="bottom"/>
    </xf>
    <xf borderId="4" fillId="4" fontId="6" numFmtId="0" xfId="0" applyBorder="1" applyFont="1"/>
    <xf borderId="5" fillId="6" fontId="7" numFmtId="0" xfId="0" applyAlignment="1" applyBorder="1" applyFont="1">
      <alignment shrinkToFit="0" vertical="bottom" wrapText="0"/>
    </xf>
    <xf borderId="0" fillId="9" fontId="6" numFmtId="0" xfId="0" applyAlignment="1" applyFont="1">
      <alignment readingOrder="0"/>
    </xf>
    <xf borderId="0" fillId="9" fontId="6" numFmtId="0" xfId="0" applyFont="1"/>
    <xf borderId="4" fillId="9" fontId="6" numFmtId="0" xfId="0" applyBorder="1" applyFont="1"/>
    <xf borderId="0" fillId="10" fontId="6" numFmtId="0" xfId="0" applyAlignment="1" applyFont="1">
      <alignment readingOrder="0"/>
    </xf>
    <xf borderId="0" fillId="10" fontId="6" numFmtId="0" xfId="0" applyFont="1"/>
    <xf borderId="0" fillId="11" fontId="6" numFmtId="0" xfId="0" applyAlignment="1" applyFont="1">
      <alignment readingOrder="0"/>
    </xf>
    <xf borderId="5" fillId="11" fontId="6" numFmtId="0" xfId="0" applyBorder="1" applyFont="1"/>
    <xf borderId="0" fillId="12" fontId="9" numFmtId="0" xfId="0" applyAlignment="1" applyFill="1" applyFont="1">
      <alignment horizontal="center" readingOrder="0" vertical="center"/>
    </xf>
    <xf borderId="4" fillId="12" fontId="9" numFmtId="0" xfId="0" applyAlignment="1" applyBorder="1" applyFont="1">
      <alignment horizontal="center" readingOrder="0" vertical="center"/>
    </xf>
    <xf borderId="0" fillId="13" fontId="8" numFmtId="0" xfId="0" applyAlignment="1" applyFill="1" applyFont="1">
      <alignment readingOrder="0" vertical="bottom"/>
    </xf>
    <xf borderId="0" fillId="13" fontId="8" numFmtId="0" xfId="0" applyAlignment="1" applyFont="1">
      <alignment horizontal="right" vertical="bottom"/>
    </xf>
    <xf borderId="0" fillId="13" fontId="8" numFmtId="0" xfId="0" applyAlignment="1" applyFont="1">
      <alignment vertical="bottom"/>
    </xf>
    <xf borderId="5" fillId="6" fontId="10" numFmtId="0" xfId="0" applyBorder="1" applyFont="1"/>
    <xf borderId="0" fillId="14" fontId="1" numFmtId="0" xfId="0" applyAlignment="1" applyFill="1" applyFont="1">
      <alignment shrinkToFit="0" vertical="bottom" wrapText="0"/>
    </xf>
    <xf borderId="0" fillId="14" fontId="1" numFmtId="0" xfId="0" applyAlignment="1" applyFont="1">
      <alignment readingOrder="0" shrinkToFit="0" vertical="bottom" wrapText="0"/>
    </xf>
    <xf borderId="0" fillId="15" fontId="6" numFmtId="0" xfId="0" applyFill="1" applyFont="1"/>
    <xf borderId="5" fillId="0" fontId="6" numFmtId="0" xfId="0" applyBorder="1" applyFont="1"/>
    <xf borderId="4" fillId="15" fontId="6" numFmtId="0" xfId="0" applyBorder="1" applyFont="1"/>
    <xf borderId="2" fillId="16" fontId="1" numFmtId="0" xfId="0" applyAlignment="1" applyBorder="1" applyFill="1" applyFont="1">
      <alignment readingOrder="0" shrinkToFit="0" vertical="bottom" wrapText="0"/>
    </xf>
    <xf borderId="2" fillId="0" fontId="6" numFmtId="0" xfId="0" applyAlignment="1" applyBorder="1" applyFont="1">
      <alignment readingOrder="0"/>
    </xf>
    <xf borderId="2" fillId="8" fontId="6" numFmtId="0" xfId="0" applyBorder="1" applyFont="1"/>
    <xf borderId="2" fillId="3" fontId="6" numFmtId="0" xfId="0" applyBorder="1" applyFont="1"/>
    <xf borderId="2" fillId="0" fontId="11" numFmtId="0" xfId="0" applyBorder="1" applyFont="1"/>
    <xf borderId="2" fillId="14" fontId="6" numFmtId="0" xfId="0" applyBorder="1" applyFont="1"/>
    <xf borderId="1" fillId="17" fontId="6" numFmtId="0" xfId="0" applyBorder="1" applyFill="1" applyFont="1"/>
    <xf borderId="2" fillId="17" fontId="6" numFmtId="0" xfId="0" applyBorder="1" applyFont="1"/>
    <xf borderId="3" fillId="0" fontId="6" numFmtId="0" xfId="0" applyAlignment="1" applyBorder="1" applyFont="1">
      <alignment readingOrder="0"/>
    </xf>
    <xf borderId="2" fillId="0" fontId="6" numFmtId="0" xfId="0" applyBorder="1" applyFont="1"/>
    <xf borderId="0" fillId="16" fontId="1" numFmtId="0" xfId="0" applyAlignment="1" applyFont="1">
      <alignment shrinkToFit="0" vertical="bottom" wrapText="0"/>
    </xf>
    <xf borderId="0" fillId="16" fontId="1" numFmtId="0" xfId="0" applyAlignment="1" applyFont="1">
      <alignment readingOrder="0" shrinkToFit="0" vertical="bottom" wrapText="0"/>
    </xf>
    <xf borderId="0" fillId="8" fontId="6" numFmtId="0" xfId="0" applyFont="1"/>
    <xf borderId="0" fillId="14" fontId="6" numFmtId="0" xfId="0" applyFont="1"/>
    <xf borderId="4" fillId="17" fontId="6" numFmtId="0" xfId="0" applyBorder="1" applyFont="1"/>
    <xf borderId="0" fillId="17" fontId="6" numFmtId="0" xfId="0" applyFont="1"/>
    <xf borderId="5" fillId="0" fontId="6" numFmtId="0" xfId="0" applyAlignment="1" applyBorder="1" applyFont="1">
      <alignment readingOrder="0"/>
    </xf>
    <xf borderId="0" fillId="3" fontId="8" numFmtId="0" xfId="0" applyAlignment="1" applyFont="1">
      <alignment horizontal="right" vertical="bottom"/>
    </xf>
    <xf borderId="0" fillId="3" fontId="8" numFmtId="0" xfId="0" applyAlignment="1" applyFont="1">
      <alignment vertical="bottom"/>
    </xf>
    <xf borderId="4" fillId="17" fontId="8" numFmtId="0" xfId="0" applyAlignment="1" applyBorder="1" applyFont="1">
      <alignment vertical="bottom"/>
    </xf>
    <xf borderId="0" fillId="17" fontId="8" numFmtId="0" xfId="0" applyAlignment="1" applyFont="1">
      <alignment vertical="bottom"/>
    </xf>
    <xf borderId="0" fillId="17" fontId="8" numFmtId="0" xfId="0" applyAlignment="1" applyFont="1">
      <alignment horizontal="right" vertical="bottom"/>
    </xf>
    <xf borderId="5" fillId="0" fontId="8" numFmtId="0" xfId="0" applyAlignment="1" applyBorder="1" applyFont="1">
      <alignment readingOrder="0" vertical="bottom"/>
    </xf>
    <xf borderId="0" fillId="3" fontId="6" numFmtId="0" xfId="0" applyFont="1"/>
    <xf borderId="0" fillId="17" fontId="12" numFmtId="0" xfId="0" applyFont="1"/>
    <xf borderId="0" fillId="0" fontId="6" numFmtId="0" xfId="0" applyFont="1"/>
    <xf borderId="6" fillId="16" fontId="1" numFmtId="0" xfId="0" applyAlignment="1" applyBorder="1" applyFont="1">
      <alignment shrinkToFit="0" vertical="bottom" wrapText="0"/>
    </xf>
    <xf borderId="6" fillId="16" fontId="1" numFmtId="0" xfId="0" applyAlignment="1" applyBorder="1" applyFont="1">
      <alignment readingOrder="0" shrinkToFit="0" vertical="bottom" wrapText="0"/>
    </xf>
    <xf borderId="6" fillId="0" fontId="6" numFmtId="0" xfId="0" applyAlignment="1" applyBorder="1" applyFont="1">
      <alignment readingOrder="0"/>
    </xf>
    <xf borderId="6" fillId="0" fontId="11" numFmtId="0" xfId="0" applyBorder="1" applyFont="1"/>
    <xf borderId="7" fillId="17" fontId="6" numFmtId="0" xfId="0" applyBorder="1" applyFont="1"/>
    <xf borderId="6" fillId="17" fontId="6" numFmtId="0" xfId="0" applyBorder="1" applyFont="1"/>
    <xf borderId="8" fillId="0" fontId="6" numFmtId="0" xfId="0" applyAlignment="1" applyBorder="1" applyFont="1">
      <alignment readingOrder="0"/>
    </xf>
    <xf borderId="6" fillId="0" fontId="6" numFmtId="0" xfId="0" applyBorder="1" applyFont="1"/>
    <xf borderId="0" fillId="18" fontId="1" numFmtId="0" xfId="0" applyAlignment="1" applyFill="1" applyFont="1">
      <alignment readingOrder="0" shrinkToFit="0" vertical="bottom" wrapText="0"/>
    </xf>
    <xf borderId="0" fillId="18" fontId="6" numFmtId="0" xfId="0" applyAlignment="1" applyFont="1">
      <alignment readingOrder="0"/>
    </xf>
    <xf borderId="0" fillId="18" fontId="6" numFmtId="0" xfId="0" applyFont="1"/>
    <xf borderId="0" fillId="19" fontId="6" numFmtId="0" xfId="0" applyAlignment="1" applyFill="1" applyFont="1">
      <alignment readingOrder="0"/>
    </xf>
    <xf borderId="4" fillId="18" fontId="6" numFmtId="0" xfId="0" applyBorder="1" applyFont="1"/>
    <xf borderId="1" fillId="7" fontId="6" numFmtId="0" xfId="0" applyAlignment="1" applyBorder="1" applyFont="1">
      <alignment readingOrder="0"/>
    </xf>
    <xf borderId="3" fillId="7" fontId="6" numFmtId="0" xfId="0" applyBorder="1" applyFont="1"/>
    <xf borderId="0" fillId="19" fontId="1" numFmtId="0" xfId="0" applyAlignment="1" applyFont="1">
      <alignment shrinkToFit="0" vertical="bottom" wrapText="0"/>
    </xf>
    <xf borderId="0" fillId="19" fontId="1" numFmtId="0" xfId="0" applyAlignment="1" applyFont="1">
      <alignment readingOrder="0" shrinkToFit="0" vertical="bottom" wrapText="0"/>
    </xf>
    <xf borderId="4" fillId="20" fontId="6" numFmtId="0" xfId="0" applyAlignment="1" applyBorder="1" applyFill="1" applyFont="1">
      <alignment readingOrder="0"/>
    </xf>
    <xf borderId="5" fillId="20" fontId="6" numFmtId="0" xfId="0" applyAlignment="1" applyBorder="1" applyFont="1">
      <alignment readingOrder="0"/>
    </xf>
    <xf borderId="0" fillId="18" fontId="1" numFmtId="0" xfId="0" applyAlignment="1" applyFont="1">
      <alignment shrinkToFit="0" vertical="bottom" wrapText="0"/>
    </xf>
    <xf borderId="4" fillId="7" fontId="6" numFmtId="0" xfId="0" applyAlignment="1" applyBorder="1" applyFont="1">
      <alignment readingOrder="0"/>
    </xf>
    <xf borderId="5" fillId="7" fontId="6" numFmtId="0" xfId="0" applyBorder="1" applyFont="1"/>
    <xf borderId="7" fillId="13" fontId="6" numFmtId="0" xfId="0" applyAlignment="1" applyBorder="1" applyFont="1">
      <alignment readingOrder="0"/>
    </xf>
    <xf borderId="8" fillId="13" fontId="6" numFmtId="0" xfId="0" applyAlignment="1" applyBorder="1" applyFont="1">
      <alignment readingOrder="0"/>
    </xf>
    <xf borderId="0" fillId="7" fontId="6" numFmtId="164" xfId="0" applyFont="1" applyNumberFormat="1"/>
    <xf borderId="0" fillId="7" fontId="6" numFmtId="1" xfId="0" applyAlignment="1" applyFont="1" applyNumberFormat="1">
      <alignment readingOrder="0"/>
    </xf>
    <xf borderId="0" fillId="19" fontId="6" numFmtId="0" xfId="0" applyFont="1"/>
    <xf borderId="4" fillId="19" fontId="6" numFmtId="0" xfId="0" applyBorder="1" applyFont="1"/>
    <xf borderId="0" fillId="21" fontId="6" numFmtId="0" xfId="0" applyFill="1" applyFont="1"/>
    <xf borderId="0" fillId="11" fontId="6" numFmtId="0" xfId="0" applyFont="1"/>
    <xf borderId="0" fillId="7" fontId="9" numFmtId="0" xfId="0" applyAlignment="1" applyFont="1">
      <alignment readingOrder="0"/>
    </xf>
    <xf borderId="0" fillId="7" fontId="6" numFmtId="11" xfId="0" applyAlignment="1" applyFont="1" applyNumberFormat="1">
      <alignment readingOrder="0"/>
    </xf>
    <xf borderId="0" fillId="19" fontId="1" numFmtId="0" xfId="0" applyAlignment="1" applyFont="1">
      <alignment readingOrder="0" shrinkToFit="0" vertical="bottom" wrapText="0"/>
    </xf>
    <xf borderId="0" fillId="19" fontId="6" numFmtId="11" xfId="0" applyAlignment="1" applyFont="1" applyNumberFormat="1">
      <alignment readingOrder="0"/>
    </xf>
    <xf borderId="4" fillId="19" fontId="6" numFmtId="11" xfId="0" applyAlignment="1" applyBorder="1" applyFont="1" applyNumberFormat="1">
      <alignment readingOrder="0"/>
    </xf>
    <xf borderId="5" fillId="19" fontId="6" numFmtId="11" xfId="0" applyAlignment="1" applyBorder="1" applyFont="1" applyNumberFormat="1">
      <alignment readingOrder="0"/>
    </xf>
    <xf borderId="0" fillId="19" fontId="6" numFmtId="11" xfId="0" applyFont="1" applyNumberFormat="1"/>
    <xf borderId="5" fillId="19" fontId="6" numFmtId="11" xfId="0" applyBorder="1" applyFont="1" applyNumberFormat="1"/>
    <xf borderId="5" fillId="19" fontId="6" numFmtId="0" xfId="0" applyBorder="1" applyFont="1"/>
    <xf borderId="2" fillId="7" fontId="6" numFmtId="0" xfId="0" applyBorder="1" applyFont="1"/>
    <xf borderId="4" fillId="19" fontId="6" numFmtId="0" xfId="0" applyAlignment="1" applyBorder="1" applyFont="1">
      <alignment readingOrder="0"/>
    </xf>
    <xf borderId="0" fillId="14" fontId="6" numFmtId="0" xfId="0" applyAlignment="1" applyFont="1">
      <alignment readingOrder="0"/>
    </xf>
    <xf borderId="4" fillId="4" fontId="13" numFmtId="0" xfId="0" applyAlignment="1" applyBorder="1" applyFont="1">
      <alignment horizontal="center" readingOrder="0"/>
    </xf>
    <xf borderId="0" fillId="4" fontId="13" numFmtId="0" xfId="0" applyAlignment="1" applyFont="1">
      <alignment horizontal="center" readingOrder="0"/>
    </xf>
    <xf borderId="5" fillId="4" fontId="13" numFmtId="0" xfId="0" applyAlignment="1" applyBorder="1" applyFont="1">
      <alignment horizontal="center" readingOrder="0"/>
    </xf>
    <xf borderId="4" fillId="14" fontId="6" numFmtId="0" xfId="0" applyAlignment="1" applyBorder="1" applyFont="1">
      <alignment readingOrder="0"/>
    </xf>
    <xf borderId="5" fillId="14" fontId="6" numFmtId="0" xfId="0" applyBorder="1" applyFont="1"/>
    <xf borderId="4" fillId="7" fontId="6" numFmtId="0" xfId="0" applyAlignment="1" applyBorder="1" applyFont="1">
      <alignment horizontal="center" readingOrder="0"/>
    </xf>
    <xf borderId="0" fillId="7" fontId="6" numFmtId="0" xfId="0" applyAlignment="1" applyFont="1">
      <alignment horizontal="center" readingOrder="0"/>
    </xf>
    <xf borderId="5" fillId="7" fontId="6" numFmtId="0" xfId="0" applyAlignment="1" applyBorder="1" applyFont="1">
      <alignment horizontal="center"/>
    </xf>
    <xf borderId="0" fillId="19" fontId="14" numFmtId="0" xfId="0" applyAlignment="1" applyFont="1">
      <alignment readingOrder="0" shrinkToFit="0" vertical="bottom" wrapText="0"/>
    </xf>
    <xf borderId="4" fillId="21" fontId="6" numFmtId="0" xfId="0" applyBorder="1" applyFont="1"/>
    <xf borderId="5" fillId="21" fontId="6" numFmtId="0" xfId="0" applyBorder="1" applyFont="1"/>
    <xf borderId="4" fillId="7" fontId="6" numFmtId="0" xfId="0" applyAlignment="1" applyBorder="1" applyFont="1">
      <alignment horizontal="center"/>
    </xf>
    <xf borderId="0" fillId="7" fontId="6" numFmtId="0" xfId="0" applyAlignment="1" applyFont="1">
      <alignment horizontal="center"/>
    </xf>
    <xf borderId="2" fillId="20" fontId="1" numFmtId="0" xfId="0" applyAlignment="1" applyBorder="1" applyFont="1">
      <alignment readingOrder="0" shrinkToFit="0" vertical="bottom" wrapText="0"/>
    </xf>
    <xf borderId="2" fillId="0" fontId="6" numFmtId="0" xfId="0" applyAlignment="1" applyBorder="1" applyFont="1">
      <alignment horizontal="right" readingOrder="0"/>
    </xf>
    <xf borderId="1" fillId="0" fontId="6" numFmtId="0" xfId="0" applyAlignment="1" applyBorder="1" applyFont="1">
      <alignment horizontal="right" readingOrder="0"/>
    </xf>
    <xf borderId="3" fillId="22" fontId="12" numFmtId="0" xfId="0" applyAlignment="1" applyBorder="1" applyFill="1" applyFont="1">
      <alignment horizontal="right" readingOrder="0"/>
    </xf>
    <xf borderId="4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20" fontId="1" numFmtId="0" xfId="0" applyAlignment="1" applyFont="1">
      <alignment shrinkToFit="0" vertical="bottom" wrapText="0"/>
    </xf>
    <xf borderId="0" fillId="20" fontId="1" numFmtId="0" xfId="0" applyAlignment="1" applyFont="1">
      <alignment readingOrder="0" shrinkToFit="0" vertical="bottom" wrapText="0"/>
    </xf>
    <xf borderId="4" fillId="23" fontId="12" numFmtId="0" xfId="0" applyAlignment="1" applyBorder="1" applyFill="1" applyFont="1">
      <alignment horizontal="center" readingOrder="0"/>
    </xf>
    <xf borderId="0" fillId="23" fontId="12" numFmtId="0" xfId="0" applyAlignment="1" applyFont="1">
      <alignment horizontal="center" readingOrder="0"/>
    </xf>
    <xf borderId="5" fillId="23" fontId="12" numFmtId="0" xfId="0" applyAlignment="1" applyBorder="1" applyFont="1">
      <alignment horizontal="center"/>
    </xf>
    <xf borderId="0" fillId="0" fontId="6" numFmtId="0" xfId="0" applyAlignment="1" applyFont="1">
      <alignment horizontal="right" readingOrder="0"/>
    </xf>
    <xf borderId="4" fillId="0" fontId="6" numFmtId="0" xfId="0" applyAlignment="1" applyBorder="1" applyFont="1">
      <alignment horizontal="right" readingOrder="0"/>
    </xf>
    <xf borderId="5" fillId="22" fontId="12" numFmtId="0" xfId="0" applyAlignment="1" applyBorder="1" applyFont="1">
      <alignment horizontal="right" readingOrder="0"/>
    </xf>
    <xf borderId="4" fillId="23" fontId="12" numFmtId="0" xfId="0" applyAlignment="1" applyBorder="1" applyFont="1">
      <alignment horizontal="center"/>
    </xf>
    <xf borderId="0" fillId="23" fontId="12" numFmtId="0" xfId="0" applyAlignment="1" applyFont="1">
      <alignment horizontal="center"/>
    </xf>
    <xf borderId="0" fillId="23" fontId="12" numFmtId="2" xfId="0" applyAlignment="1" applyFont="1" applyNumberFormat="1">
      <alignment horizontal="center" readingOrder="0"/>
    </xf>
    <xf borderId="4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7" fillId="0" fontId="6" numFmtId="0" xfId="0" applyBorder="1" applyFont="1"/>
    <xf borderId="8" fillId="0" fontId="6" numFmtId="0" xfId="0" applyBorder="1" applyFont="1"/>
    <xf borderId="6" fillId="20" fontId="1" numFmtId="0" xfId="0" applyAlignment="1" applyBorder="1" applyFont="1">
      <alignment shrinkToFit="0" vertical="bottom" wrapText="0"/>
    </xf>
    <xf borderId="6" fillId="20" fontId="1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readingOrder="0"/>
    </xf>
    <xf borderId="8" fillId="22" fontId="12" numFmtId="0" xfId="0" applyAlignment="1" applyBorder="1" applyFont="1">
      <alignment horizontal="right" readingOrder="0"/>
    </xf>
    <xf borderId="0" fillId="24" fontId="1" numFmtId="0" xfId="0" applyAlignment="1" applyFill="1" applyFont="1">
      <alignment readingOrder="0" shrinkToFit="0" vertical="bottom" wrapText="0"/>
    </xf>
    <xf borderId="0" fillId="25" fontId="6" numFmtId="0" xfId="0" applyAlignment="1" applyFill="1" applyFont="1">
      <alignment readingOrder="0"/>
    </xf>
    <xf borderId="0" fillId="25" fontId="6" numFmtId="0" xfId="0" applyFont="1"/>
    <xf borderId="4" fillId="25" fontId="6" numFmtId="0" xfId="0" applyBorder="1" applyFont="1"/>
    <xf borderId="5" fillId="6" fontId="15" numFmtId="0" xfId="0" applyAlignment="1" applyBorder="1" applyFont="1">
      <alignment shrinkToFit="0" vertical="bottom" wrapText="0"/>
    </xf>
    <xf borderId="0" fillId="24" fontId="1" numFmtId="0" xfId="0" applyAlignment="1" applyFont="1">
      <alignment shrinkToFit="0" vertical="bottom" wrapText="0"/>
    </xf>
    <xf borderId="5" fillId="11" fontId="16" numFmtId="0" xfId="0" applyAlignment="1" applyBorder="1" applyFont="1">
      <alignment vertical="bottom"/>
    </xf>
    <xf borderId="2" fillId="13" fontId="1" numFmtId="0" xfId="0" applyAlignment="1" applyBorder="1" applyFont="1">
      <alignment readingOrder="0" shrinkToFit="0" vertical="bottom" wrapText="0"/>
    </xf>
    <xf borderId="0" fillId="24" fontId="6" numFmtId="0" xfId="0" applyAlignment="1" applyFont="1">
      <alignment readingOrder="0"/>
    </xf>
    <xf borderId="2" fillId="26" fontId="6" numFmtId="0" xfId="0" applyBorder="1" applyFill="1" applyFont="1"/>
    <xf borderId="2" fillId="26" fontId="6" numFmtId="0" xfId="0" applyAlignment="1" applyBorder="1" applyFont="1">
      <alignment readingOrder="0"/>
    </xf>
    <xf borderId="3" fillId="24" fontId="6" numFmtId="0" xfId="0" applyAlignment="1" applyBorder="1" applyFont="1">
      <alignment horizontal="right" readingOrder="0"/>
    </xf>
    <xf borderId="0" fillId="13" fontId="1" numFmtId="0" xfId="0" applyAlignment="1" applyFont="1">
      <alignment shrinkToFit="0" vertical="bottom" wrapText="0"/>
    </xf>
    <xf borderId="0" fillId="13" fontId="1" numFmtId="0" xfId="0" applyAlignment="1" applyFont="1">
      <alignment readingOrder="0" shrinkToFit="0" vertical="bottom" wrapText="0"/>
    </xf>
    <xf borderId="0" fillId="26" fontId="6" numFmtId="0" xfId="0" applyFont="1"/>
    <xf borderId="5" fillId="24" fontId="6" numFmtId="0" xfId="0" applyAlignment="1" applyBorder="1" applyFont="1">
      <alignment readingOrder="0"/>
    </xf>
    <xf borderId="5" fillId="24" fontId="6" numFmtId="0" xfId="0" applyAlignment="1" applyBorder="1" applyFont="1">
      <alignment horizontal="right" readingOrder="0"/>
    </xf>
    <xf borderId="4" fillId="0" fontId="6" numFmtId="0" xfId="0" applyBorder="1" applyFont="1"/>
    <xf borderId="0" fillId="0" fontId="3" numFmtId="0" xfId="0" applyAlignment="1" applyFont="1">
      <alignment readingOrder="0"/>
    </xf>
    <xf borderId="9" fillId="20" fontId="6" numFmtId="0" xfId="0" applyAlignment="1" applyBorder="1" applyFont="1">
      <alignment readingOrder="0"/>
    </xf>
    <xf borderId="10" fillId="16" fontId="6" numFmtId="0" xfId="0" applyAlignment="1" applyBorder="1" applyFont="1">
      <alignment readingOrder="0"/>
    </xf>
    <xf borderId="10" fillId="16" fontId="6" numFmtId="0" xfId="0" applyBorder="1" applyFont="1"/>
    <xf borderId="10" fillId="2" fontId="6" numFmtId="0" xfId="0" applyAlignment="1" applyBorder="1" applyFont="1">
      <alignment readingOrder="0"/>
    </xf>
    <xf borderId="10" fillId="2" fontId="6" numFmtId="0" xfId="0" applyBorder="1" applyFont="1"/>
    <xf borderId="0" fillId="0" fontId="9" numFmtId="0" xfId="0" applyAlignment="1" applyFont="1">
      <alignment readingOrder="0"/>
    </xf>
    <xf borderId="10" fillId="13" fontId="8" numFmtId="0" xfId="0" applyAlignment="1" applyBorder="1" applyFont="1">
      <alignment horizontal="right" vertical="bottom"/>
    </xf>
    <xf borderId="0" fillId="8" fontId="6" numFmtId="0" xfId="0" applyAlignment="1" applyFont="1">
      <alignment readingOrder="0"/>
    </xf>
    <xf borderId="0" fillId="16" fontId="6" numFmtId="0" xfId="0" applyFont="1"/>
    <xf borderId="0" fillId="0" fontId="17" numFmtId="0" xfId="0" applyAlignment="1" applyFont="1">
      <alignment readingOrder="0"/>
    </xf>
    <xf borderId="11" fillId="0" fontId="1" numFmtId="0" xfId="0" applyAlignment="1" applyBorder="1" applyFont="1">
      <alignment readingOrder="0"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13" fillId="3" fontId="1" numFmtId="0" xfId="0" applyAlignment="1" applyBorder="1" applyFont="1">
      <alignment readingOrder="0" shrinkToFit="0" vertical="bottom" wrapText="0"/>
    </xf>
    <xf borderId="14" fillId="3" fontId="1" numFmtId="0" xfId="0" applyAlignment="1" applyBorder="1" applyFont="1">
      <alignment readingOrder="0" shrinkToFit="0" vertical="bottom" wrapText="0"/>
    </xf>
    <xf borderId="15" fillId="3" fontId="1" numFmtId="0" xfId="0" applyAlignment="1" applyBorder="1" applyFont="1">
      <alignment shrinkToFit="0" vertical="bottom" wrapText="0"/>
    </xf>
    <xf borderId="14" fillId="3" fontId="1" numFmtId="0" xfId="0" applyAlignment="1" applyBorder="1" applyFont="1">
      <alignment shrinkToFit="0" vertical="bottom" wrapText="0"/>
    </xf>
    <xf borderId="16" fillId="3" fontId="1" numFmtId="0" xfId="0" applyAlignment="1" applyBorder="1" applyFont="1">
      <alignment shrinkToFit="0" vertical="bottom" wrapText="0"/>
    </xf>
    <xf borderId="17" fillId="8" fontId="1" numFmtId="0" xfId="0" applyAlignment="1" applyBorder="1" applyFont="1">
      <alignment shrinkToFit="0" vertical="bottom" wrapText="0"/>
    </xf>
    <xf borderId="18" fillId="27" fontId="1" numFmtId="0" xfId="0" applyAlignment="1" applyBorder="1" applyFill="1" applyFont="1">
      <alignment readingOrder="0" shrinkToFit="0" vertical="bottom" wrapText="0"/>
    </xf>
    <xf borderId="19" fillId="27" fontId="1" numFmtId="0" xfId="0" applyAlignment="1" applyBorder="1" applyFont="1">
      <alignment readingOrder="0" shrinkToFit="0" vertical="bottom" wrapText="0"/>
    </xf>
    <xf borderId="18" fillId="21" fontId="1" numFmtId="0" xfId="0" applyAlignment="1" applyBorder="1" applyFont="1">
      <alignment readingOrder="0" shrinkToFit="0" vertical="bottom" wrapText="0"/>
    </xf>
    <xf borderId="19" fillId="21" fontId="1" numFmtId="0" xfId="0" applyAlignment="1" applyBorder="1" applyFont="1">
      <alignment readingOrder="0" shrinkToFit="0" vertical="bottom" wrapText="0"/>
    </xf>
    <xf borderId="20" fillId="21" fontId="1" numFmtId="0" xfId="0" applyAlignment="1" applyBorder="1" applyFont="1">
      <alignment readingOrder="0" shrinkToFit="0" vertical="bottom" wrapText="0"/>
    </xf>
    <xf borderId="10" fillId="28" fontId="1" numFmtId="0" xfId="0" applyAlignment="1" applyBorder="1" applyFill="1" applyFont="1">
      <alignment readingOrder="0" shrinkToFit="0" vertical="bottom" wrapText="0"/>
    </xf>
    <xf borderId="0" fillId="28" fontId="1" numFmtId="0" xfId="0" applyAlignment="1" applyFont="1">
      <alignment readingOrder="0" shrinkToFit="0" vertical="bottom" wrapText="0"/>
    </xf>
    <xf borderId="21" fillId="8" fontId="1" numFmtId="0" xfId="0" applyAlignment="1" applyBorder="1" applyFont="1">
      <alignment readingOrder="0" shrinkToFit="0" vertical="bottom" wrapText="0"/>
    </xf>
    <xf borderId="17" fillId="3" fontId="1" numFmtId="0" xfId="0" applyAlignment="1" applyBorder="1" applyFont="1">
      <alignment shrinkToFit="0" vertical="bottom" wrapText="0"/>
    </xf>
    <xf borderId="12" fillId="3" fontId="1" numFmtId="0" xfId="0" applyAlignment="1" applyBorder="1" applyFont="1">
      <alignment shrinkToFit="0" vertical="bottom" wrapText="0"/>
    </xf>
    <xf borderId="21" fillId="3" fontId="1" numFmtId="0" xfId="0" applyAlignment="1" applyBorder="1" applyFont="1">
      <alignment shrinkToFit="0" vertical="bottom" wrapText="0"/>
    </xf>
    <xf borderId="20" fillId="28" fontId="1" numFmtId="0" xfId="0" applyAlignment="1" applyBorder="1" applyFont="1">
      <alignment readingOrder="0" shrinkToFit="0" vertical="bottom" wrapText="0"/>
    </xf>
    <xf borderId="0" fillId="28" fontId="1" numFmtId="0" xfId="0" applyAlignment="1" applyFont="1">
      <alignment shrinkToFit="0" vertical="bottom" wrapText="0"/>
    </xf>
    <xf borderId="21" fillId="8" fontId="1" numFmtId="0" xfId="0" applyAlignment="1" applyBorder="1" applyFont="1">
      <alignment shrinkToFit="0" vertical="bottom" wrapText="0"/>
    </xf>
    <xf borderId="12" fillId="3" fontId="1" numFmtId="0" xfId="0" applyAlignment="1" applyBorder="1" applyFont="1">
      <alignment readingOrder="0" shrinkToFit="0" vertical="bottom" wrapText="0"/>
    </xf>
    <xf borderId="12" fillId="29" fontId="1" numFmtId="0" xfId="0" applyAlignment="1" applyBorder="1" applyFill="1" applyFont="1">
      <alignment shrinkToFit="0" vertical="bottom" wrapText="0"/>
    </xf>
    <xf borderId="0" fillId="29" fontId="1" numFmtId="0" xfId="0" applyAlignment="1" applyFont="1">
      <alignment shrinkToFit="0" vertical="bottom" wrapText="0"/>
    </xf>
    <xf borderId="12" fillId="11" fontId="1" numFmtId="0" xfId="0" applyAlignment="1" applyBorder="1" applyFont="1">
      <alignment shrinkToFit="0" vertical="bottom" wrapText="0"/>
    </xf>
    <xf borderId="0" fillId="11" fontId="1" numFmtId="0" xfId="0" applyAlignment="1" applyFont="1">
      <alignment shrinkToFit="0" vertical="bottom" wrapText="0"/>
    </xf>
    <xf borderId="17" fillId="14" fontId="1" numFmtId="0" xfId="0" applyAlignment="1" applyBorder="1" applyFont="1">
      <alignment shrinkToFit="0" vertical="bottom" wrapText="0"/>
    </xf>
    <xf borderId="22" fillId="14" fontId="1" numFmtId="0" xfId="0" applyAlignment="1" applyBorder="1" applyFont="1">
      <alignment shrinkToFit="0" vertical="bottom" wrapText="0"/>
    </xf>
    <xf borderId="19" fillId="14" fontId="1" numFmtId="0" xfId="0" applyAlignment="1" applyBorder="1" applyFont="1">
      <alignment shrinkToFit="0" vertical="bottom" wrapText="0"/>
    </xf>
    <xf borderId="18" fillId="14" fontId="1" numFmtId="0" xfId="0" applyAlignment="1" applyBorder="1" applyFont="1">
      <alignment shrinkToFit="0" vertical="bottom" wrapText="0"/>
    </xf>
    <xf borderId="20" fillId="14" fontId="1" numFmtId="0" xfId="0" applyAlignment="1" applyBorder="1" applyFont="1">
      <alignment shrinkToFit="0" vertical="bottom" wrapText="0"/>
    </xf>
    <xf borderId="10" fillId="14" fontId="1" numFmtId="0" xfId="0" applyAlignment="1" applyBorder="1" applyFont="1">
      <alignment shrinkToFit="0" vertical="bottom" wrapText="0"/>
    </xf>
    <xf borderId="21" fillId="14" fontId="1" numFmtId="0" xfId="0" applyAlignment="1" applyBorder="1" applyFont="1">
      <alignment shrinkToFit="0" vertical="bottom" wrapText="0"/>
    </xf>
    <xf borderId="23" fillId="3" fontId="1" numFmtId="0" xfId="0" applyAlignment="1" applyBorder="1" applyFont="1">
      <alignment shrinkToFit="0" vertical="bottom" wrapText="0"/>
    </xf>
    <xf borderId="24" fillId="3" fontId="1" numFmtId="0" xfId="0" applyAlignment="1" applyBorder="1" applyFont="1">
      <alignment readingOrder="0" shrinkToFit="0" vertical="bottom" wrapText="0"/>
    </xf>
    <xf borderId="24" fillId="3" fontId="1" numFmtId="0" xfId="0" applyAlignment="1" applyBorder="1" applyFont="1">
      <alignment shrinkToFit="0" vertical="bottom" wrapText="0"/>
    </xf>
    <xf borderId="25" fillId="3" fontId="1" numFmtId="0" xfId="0" applyAlignment="1" applyBorder="1" applyFont="1">
      <alignment shrinkToFit="0" vertical="bottom" wrapText="0"/>
    </xf>
    <xf borderId="26" fillId="3" fontId="1" numFmtId="0" xfId="0" applyAlignment="1" applyBorder="1" applyFont="1">
      <alignment shrinkToFit="0" vertical="bottom" wrapText="0"/>
    </xf>
    <xf borderId="13" fillId="16" fontId="1" numFmtId="0" xfId="0" applyAlignment="1" applyBorder="1" applyFont="1">
      <alignment readingOrder="0" shrinkToFit="0" vertical="bottom" wrapText="0"/>
    </xf>
    <xf borderId="14" fillId="16" fontId="1" numFmtId="0" xfId="0" applyAlignment="1" applyBorder="1" applyFont="1">
      <alignment readingOrder="0" shrinkToFit="0" vertical="bottom" wrapText="0"/>
    </xf>
    <xf borderId="14" fillId="16" fontId="1" numFmtId="0" xfId="0" applyAlignment="1" applyBorder="1" applyFont="1">
      <alignment shrinkToFit="0" vertical="bottom" wrapText="0"/>
    </xf>
    <xf borderId="13" fillId="20" fontId="1" numFmtId="0" xfId="0" applyAlignment="1" applyBorder="1" applyFont="1">
      <alignment readingOrder="0" shrinkToFit="0" vertical="bottom" wrapText="0"/>
    </xf>
    <xf borderId="14" fillId="20" fontId="1" numFmtId="0" xfId="0" applyAlignment="1" applyBorder="1" applyFont="1">
      <alignment readingOrder="0" shrinkToFit="0" vertical="bottom" wrapText="0"/>
    </xf>
    <xf borderId="16" fillId="20" fontId="1" numFmtId="0" xfId="0" applyAlignment="1" applyBorder="1" applyFont="1">
      <alignment shrinkToFit="0" vertical="bottom" wrapText="0"/>
    </xf>
    <xf borderId="16" fillId="16" fontId="1" numFmtId="0" xfId="0" applyAlignment="1" applyBorder="1" applyFont="1">
      <alignment shrinkToFit="0" vertical="bottom" wrapText="0"/>
    </xf>
    <xf borderId="17" fillId="16" fontId="1" numFmtId="0" xfId="0" applyAlignment="1" applyBorder="1" applyFont="1">
      <alignment shrinkToFit="0" vertical="bottom" wrapText="0"/>
    </xf>
    <xf borderId="17" fillId="20" fontId="1" numFmtId="0" xfId="0" applyAlignment="1" applyBorder="1" applyFont="1">
      <alignment readingOrder="0" shrinkToFit="0" vertical="bottom" wrapText="0"/>
    </xf>
    <xf borderId="21" fillId="20" fontId="1" numFmtId="0" xfId="0" applyAlignment="1" applyBorder="1" applyFont="1">
      <alignment shrinkToFit="0" vertical="bottom" wrapText="0"/>
    </xf>
    <xf borderId="21" fillId="16" fontId="1" numFmtId="0" xfId="0" applyAlignment="1" applyBorder="1" applyFont="1">
      <alignment shrinkToFit="0" vertical="bottom" wrapText="0"/>
    </xf>
    <xf borderId="17" fillId="20" fontId="1" numFmtId="0" xfId="0" applyAlignment="1" applyBorder="1" applyFont="1">
      <alignment shrinkToFit="0" vertical="bottom" wrapText="0"/>
    </xf>
    <xf borderId="23" fillId="20" fontId="1" numFmtId="0" xfId="0" applyAlignment="1" applyBorder="1" applyFont="1">
      <alignment shrinkToFit="0" vertical="bottom" wrapText="0"/>
    </xf>
    <xf borderId="24" fillId="20" fontId="1" numFmtId="0" xfId="0" applyAlignment="1" applyBorder="1" applyFont="1">
      <alignment shrinkToFit="0" vertical="bottom" wrapText="0"/>
    </xf>
    <xf borderId="26" fillId="20" fontId="1" numFmtId="0" xfId="0" applyAlignment="1" applyBorder="1" applyFont="1">
      <alignment shrinkToFit="0" vertical="bottom" wrapText="0"/>
    </xf>
    <xf borderId="23" fillId="16" fontId="1" numFmtId="0" xfId="0" applyAlignment="1" applyBorder="1" applyFont="1">
      <alignment shrinkToFit="0" vertical="bottom" wrapText="0"/>
    </xf>
    <xf borderId="24" fillId="16" fontId="1" numFmtId="0" xfId="0" applyAlignment="1" applyBorder="1" applyFont="1">
      <alignment readingOrder="0" shrinkToFit="0" vertical="bottom" wrapText="0"/>
    </xf>
    <xf borderId="24" fillId="16" fontId="1" numFmtId="0" xfId="0" applyAlignment="1" applyBorder="1" applyFont="1">
      <alignment shrinkToFit="0" vertical="bottom" wrapText="0"/>
    </xf>
    <xf borderId="26" fillId="16" fontId="1" numFmtId="0" xfId="0" applyAlignment="1" applyBorder="1" applyFont="1">
      <alignment shrinkToFit="0" vertical="bottom" wrapText="0"/>
    </xf>
    <xf borderId="13" fillId="19" fontId="1" numFmtId="0" xfId="0" applyAlignment="1" applyBorder="1" applyFont="1">
      <alignment readingOrder="0" shrinkToFit="0" vertical="bottom" wrapText="0"/>
    </xf>
    <xf borderId="14" fillId="19" fontId="1" numFmtId="0" xfId="0" applyAlignment="1" applyBorder="1" applyFont="1">
      <alignment readingOrder="0" shrinkToFit="0" vertical="bottom" wrapText="0"/>
    </xf>
    <xf borderId="15" fillId="19" fontId="1" numFmtId="0" xfId="0" applyAlignment="1" applyBorder="1" applyFont="1">
      <alignment shrinkToFit="0" vertical="bottom" wrapText="0"/>
    </xf>
    <xf borderId="14" fillId="19" fontId="1" numFmtId="0" xfId="0" applyAlignment="1" applyBorder="1" applyFont="1">
      <alignment shrinkToFit="0" vertical="bottom" wrapText="0"/>
    </xf>
    <xf borderId="16" fillId="19" fontId="1" numFmtId="0" xfId="0" applyAlignment="1" applyBorder="1" applyFont="1">
      <alignment shrinkToFit="0" vertical="bottom" wrapText="0"/>
    </xf>
    <xf borderId="17" fillId="19" fontId="1" numFmtId="0" xfId="0" applyAlignment="1" applyBorder="1" applyFont="1">
      <alignment shrinkToFit="0" vertical="bottom" wrapText="0"/>
    </xf>
    <xf borderId="0" fillId="9" fontId="1" numFmtId="0" xfId="0" applyAlignment="1" applyFont="1">
      <alignment readingOrder="0" shrinkToFit="0" vertical="bottom" wrapText="0"/>
    </xf>
    <xf borderId="21" fillId="9" fontId="1" numFmtId="0" xfId="0" applyAlignment="1" applyBorder="1" applyFont="1">
      <alignment readingOrder="0" shrinkToFit="0" vertical="bottom" wrapText="0"/>
    </xf>
    <xf borderId="12" fillId="19" fontId="1" numFmtId="0" xfId="0" applyAlignment="1" applyBorder="1" applyFont="1">
      <alignment shrinkToFit="0" vertical="bottom" wrapText="0"/>
    </xf>
    <xf borderId="21" fillId="19" fontId="1" numFmtId="0" xfId="0" applyAlignment="1" applyBorder="1" applyFont="1">
      <alignment shrinkToFit="0" vertical="bottom" wrapText="0"/>
    </xf>
    <xf borderId="0" fillId="9" fontId="1" numFmtId="0" xfId="0" applyAlignment="1" applyFont="1">
      <alignment shrinkToFit="0" vertical="bottom" wrapText="0"/>
    </xf>
    <xf borderId="21" fillId="9" fontId="1" numFmtId="0" xfId="0" applyAlignment="1" applyBorder="1" applyFont="1">
      <alignment shrinkToFit="0" vertical="bottom" wrapText="0"/>
    </xf>
    <xf borderId="12" fillId="19" fontId="1" numFmtId="0" xfId="0" applyAlignment="1" applyBorder="1" applyFont="1">
      <alignment readingOrder="0" shrinkToFit="0" vertical="bottom" wrapText="0"/>
    </xf>
    <xf borderId="22" fillId="19" fontId="1" numFmtId="0" xfId="0" applyAlignment="1" applyBorder="1" applyFont="1">
      <alignment shrinkToFit="0" vertical="bottom" wrapText="0"/>
    </xf>
    <xf borderId="19" fillId="19" fontId="1" numFmtId="0" xfId="0" applyAlignment="1" applyBorder="1" applyFont="1">
      <alignment shrinkToFit="0" vertical="bottom" wrapText="0"/>
    </xf>
    <xf borderId="18" fillId="19" fontId="1" numFmtId="0" xfId="0" applyAlignment="1" applyBorder="1" applyFont="1">
      <alignment shrinkToFit="0" vertical="bottom" wrapText="0"/>
    </xf>
    <xf borderId="20" fillId="19" fontId="1" numFmtId="0" xfId="0" applyAlignment="1" applyBorder="1" applyFont="1">
      <alignment shrinkToFit="0" vertical="bottom" wrapText="0"/>
    </xf>
    <xf borderId="10" fillId="19" fontId="1" numFmtId="0" xfId="0" applyAlignment="1" applyBorder="1" applyFont="1">
      <alignment shrinkToFit="0" vertical="bottom" wrapText="0"/>
    </xf>
    <xf borderId="23" fillId="19" fontId="1" numFmtId="0" xfId="0" applyAlignment="1" applyBorder="1" applyFont="1">
      <alignment shrinkToFit="0" vertical="bottom" wrapText="0"/>
    </xf>
    <xf borderId="24" fillId="19" fontId="1" numFmtId="0" xfId="0" applyAlignment="1" applyBorder="1" applyFont="1">
      <alignment readingOrder="0" shrinkToFit="0" vertical="bottom" wrapText="0"/>
    </xf>
    <xf borderId="24" fillId="19" fontId="1" numFmtId="0" xfId="0" applyAlignment="1" applyBorder="1" applyFont="1">
      <alignment shrinkToFit="0" vertical="bottom" wrapText="0"/>
    </xf>
    <xf borderId="25" fillId="19" fontId="1" numFmtId="0" xfId="0" applyAlignment="1" applyBorder="1" applyFont="1">
      <alignment shrinkToFit="0" vertical="bottom" wrapText="0"/>
    </xf>
    <xf borderId="26" fillId="19" fontId="1" numFmtId="0" xfId="0" applyAlignment="1" applyBorder="1" applyFont="1">
      <alignment shrinkToFit="0" vertical="bottom" wrapText="0"/>
    </xf>
    <xf borderId="14" fillId="20" fontId="1" numFmtId="0" xfId="0" applyAlignment="1" applyBorder="1" applyFont="1">
      <alignment shrinkToFit="0" vertical="bottom" wrapText="0"/>
    </xf>
    <xf borderId="24" fillId="20" fontId="1" numFmtId="0" xfId="0" applyAlignment="1" applyBorder="1" applyFont="1">
      <alignment readingOrder="0" shrinkToFit="0" vertical="bottom" wrapText="0"/>
    </xf>
    <xf borderId="13" fillId="24" fontId="1" numFmtId="0" xfId="0" applyAlignment="1" applyBorder="1" applyFont="1">
      <alignment readingOrder="0" shrinkToFit="0" vertical="bottom" wrapText="0"/>
    </xf>
    <xf borderId="14" fillId="24" fontId="1" numFmtId="0" xfId="0" applyAlignment="1" applyBorder="1" applyFont="1">
      <alignment readingOrder="0" shrinkToFit="0" vertical="bottom" wrapText="0"/>
    </xf>
    <xf borderId="14" fillId="24" fontId="1" numFmtId="0" xfId="0" applyAlignment="1" applyBorder="1" applyFont="1">
      <alignment shrinkToFit="0" vertical="bottom" wrapText="0"/>
    </xf>
    <xf borderId="16" fillId="24" fontId="1" numFmtId="0" xfId="0" applyAlignment="1" applyBorder="1" applyFont="1">
      <alignment shrinkToFit="0" vertical="bottom" wrapText="0"/>
    </xf>
    <xf borderId="17" fillId="24" fontId="1" numFmtId="0" xfId="0" applyAlignment="1" applyBorder="1" applyFont="1">
      <alignment shrinkToFit="0" vertical="bottom" wrapText="0"/>
    </xf>
    <xf borderId="21" fillId="24" fontId="1" numFmtId="0" xfId="0" applyAlignment="1" applyBorder="1" applyFont="1">
      <alignment shrinkToFit="0" vertical="bottom" wrapText="0"/>
    </xf>
    <xf borderId="23" fillId="24" fontId="1" numFmtId="0" xfId="0" applyAlignment="1" applyBorder="1" applyFont="1">
      <alignment shrinkToFit="0" vertical="bottom" wrapText="0"/>
    </xf>
    <xf borderId="24" fillId="24" fontId="1" numFmtId="0" xfId="0" applyAlignment="1" applyBorder="1" applyFont="1">
      <alignment readingOrder="0" shrinkToFit="0" vertical="bottom" wrapText="0"/>
    </xf>
    <xf borderId="24" fillId="24" fontId="1" numFmtId="0" xfId="0" applyAlignment="1" applyBorder="1" applyFont="1">
      <alignment shrinkToFit="0" vertical="bottom" wrapText="0"/>
    </xf>
    <xf borderId="26" fillId="24" fontId="1" numFmtId="0" xfId="0" applyAlignment="1" applyBorder="1" applyFont="1">
      <alignment shrinkToFit="0" vertical="bottom" wrapText="0"/>
    </xf>
    <xf borderId="13" fillId="13" fontId="1" numFmtId="0" xfId="0" applyAlignment="1" applyBorder="1" applyFont="1">
      <alignment readingOrder="0" shrinkToFit="0" vertical="bottom" wrapText="0"/>
    </xf>
    <xf borderId="14" fillId="13" fontId="1" numFmtId="0" xfId="0" applyAlignment="1" applyBorder="1" applyFont="1">
      <alignment readingOrder="0" shrinkToFit="0" vertical="bottom" wrapText="0"/>
    </xf>
    <xf borderId="14" fillId="13" fontId="1" numFmtId="0" xfId="0" applyAlignment="1" applyBorder="1" applyFont="1">
      <alignment shrinkToFit="0" vertical="bottom" wrapText="0"/>
    </xf>
    <xf borderId="14" fillId="0" fontId="11" numFmtId="0" xfId="0" applyBorder="1" applyFont="1"/>
    <xf borderId="16" fillId="13" fontId="1" numFmtId="0" xfId="0" applyAlignment="1" applyBorder="1" applyFont="1">
      <alignment shrinkToFit="0" vertical="bottom" wrapText="0"/>
    </xf>
    <xf borderId="17" fillId="13" fontId="1" numFmtId="0" xfId="0" applyAlignment="1" applyBorder="1" applyFont="1">
      <alignment shrinkToFit="0" vertical="bottom" wrapText="0"/>
    </xf>
    <xf borderId="21" fillId="13" fontId="1" numFmtId="0" xfId="0" applyAlignment="1" applyBorder="1" applyFont="1">
      <alignment shrinkToFit="0" vertical="bottom" wrapText="0"/>
    </xf>
    <xf borderId="23" fillId="13" fontId="1" numFmtId="0" xfId="0" applyAlignment="1" applyBorder="1" applyFont="1">
      <alignment shrinkToFit="0" vertical="bottom" wrapText="0"/>
    </xf>
    <xf borderId="24" fillId="13" fontId="1" numFmtId="0" xfId="0" applyAlignment="1" applyBorder="1" applyFont="1">
      <alignment readingOrder="0" shrinkToFit="0" vertical="bottom" wrapText="0"/>
    </xf>
    <xf borderId="24" fillId="13" fontId="1" numFmtId="0" xfId="0" applyAlignment="1" applyBorder="1" applyFont="1">
      <alignment shrinkToFit="0" vertical="bottom" wrapText="0"/>
    </xf>
    <xf borderId="26" fillId="13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13" fillId="18" fontId="1" numFmtId="0" xfId="0" applyAlignment="1" applyBorder="1" applyFont="1">
      <alignment readingOrder="0" shrinkToFit="0" vertical="bottom" wrapText="0"/>
    </xf>
    <xf borderId="14" fillId="18" fontId="1" numFmtId="0" xfId="0" applyAlignment="1" applyBorder="1" applyFont="1">
      <alignment readingOrder="0" shrinkToFit="0" vertical="bottom" wrapText="0"/>
    </xf>
    <xf borderId="27" fillId="18" fontId="6" numFmtId="0" xfId="0" applyBorder="1" applyFont="1"/>
    <xf borderId="11" fillId="18" fontId="6" numFmtId="0" xfId="0" applyBorder="1" applyFont="1"/>
    <xf borderId="14" fillId="18" fontId="1" numFmtId="0" xfId="0" applyAlignment="1" applyBorder="1" applyFont="1">
      <alignment shrinkToFit="0" vertical="bottom" wrapText="0"/>
    </xf>
    <xf borderId="0" fillId="30" fontId="6" numFmtId="0" xfId="0" applyFill="1" applyFont="1"/>
    <xf borderId="14" fillId="9" fontId="1" numFmtId="0" xfId="0" applyAlignment="1" applyBorder="1" applyFont="1">
      <alignment readingOrder="0" shrinkToFit="0" vertical="bottom" wrapText="0"/>
    </xf>
    <xf borderId="28" fillId="9" fontId="6" numFmtId="0" xfId="0" applyBorder="1" applyFont="1"/>
    <xf borderId="29" fillId="9" fontId="6" numFmtId="0" xfId="0" applyBorder="1" applyFont="1"/>
    <xf borderId="0" fillId="31" fontId="6" numFmtId="0" xfId="0" applyFill="1" applyFont="1"/>
    <xf borderId="17" fillId="18" fontId="1" numFmtId="0" xfId="0" applyAlignment="1" applyBorder="1" applyFont="1">
      <alignment shrinkToFit="0" vertical="bottom" wrapText="0"/>
    </xf>
    <xf borderId="28" fillId="18" fontId="6" numFmtId="0" xfId="0" applyBorder="1" applyFont="1"/>
    <xf borderId="12" fillId="18" fontId="6" numFmtId="0" xfId="0" applyBorder="1" applyFont="1"/>
    <xf borderId="0" fillId="32" fontId="6" numFmtId="0" xfId="0" applyAlignment="1" applyFill="1" applyFont="1">
      <alignment readingOrder="0"/>
    </xf>
    <xf borderId="0" fillId="32" fontId="6" numFmtId="0" xfId="0" applyFont="1"/>
    <xf borderId="14" fillId="32" fontId="1" numFmtId="0" xfId="0" applyAlignment="1" applyBorder="1" applyFont="1">
      <alignment readingOrder="0" shrinkToFit="0" vertical="bottom" wrapText="0"/>
    </xf>
    <xf borderId="28" fillId="32" fontId="6" numFmtId="0" xfId="0" applyBorder="1" applyFont="1"/>
    <xf borderId="29" fillId="32" fontId="6" numFmtId="0" xfId="0" applyBorder="1" applyFont="1"/>
    <xf borderId="30" fillId="18" fontId="6" numFmtId="0" xfId="0" applyBorder="1" applyFont="1"/>
    <xf borderId="0" fillId="31" fontId="6" numFmtId="0" xfId="0" applyAlignment="1" applyFont="1">
      <alignment readingOrder="0"/>
    </xf>
    <xf borderId="12" fillId="31" fontId="6" numFmtId="0" xfId="0" applyBorder="1" applyFont="1"/>
    <xf borderId="31" fillId="13" fontId="8" numFmtId="0" xfId="0" applyAlignment="1" applyBorder="1" applyFont="1">
      <alignment vertical="bottom"/>
    </xf>
    <xf borderId="32" fillId="13" fontId="8" numFmtId="0" xfId="0" applyAlignment="1" applyBorder="1" applyFont="1">
      <alignment horizontal="right" vertical="bottom"/>
    </xf>
    <xf borderId="33" fillId="13" fontId="8" numFmtId="0" xfId="0" applyAlignment="1" applyBorder="1" applyFont="1">
      <alignment vertical="bottom"/>
    </xf>
    <xf borderId="12" fillId="19" fontId="6" numFmtId="0" xfId="0" applyBorder="1" applyFont="1"/>
    <xf borderId="0" fillId="0" fontId="19" numFmtId="0" xfId="0" applyAlignment="1" applyFont="1">
      <alignment readingOrder="0"/>
    </xf>
    <xf borderId="34" fillId="3" fontId="6" numFmtId="0" xfId="0" applyAlignment="1" applyBorder="1" applyFont="1">
      <alignment readingOrder="0"/>
    </xf>
    <xf borderId="34" fillId="0" fontId="6" numFmtId="0" xfId="0" applyBorder="1" applyFont="1"/>
    <xf borderId="1" fillId="20" fontId="6" numFmtId="0" xfId="0" applyAlignment="1" applyBorder="1" applyFont="1">
      <alignment readingOrder="0"/>
    </xf>
    <xf borderId="2" fillId="20" fontId="6" numFmtId="0" xfId="0" applyAlignment="1" applyBorder="1" applyFont="1">
      <alignment readingOrder="0"/>
    </xf>
    <xf borderId="2" fillId="20" fontId="6" numFmtId="0" xfId="0" applyBorder="1" applyFont="1"/>
    <xf borderId="3" fillId="20" fontId="6" numFmtId="0" xfId="0" applyBorder="1" applyFont="1"/>
    <xf borderId="4" fillId="28" fontId="6" numFmtId="0" xfId="0" applyAlignment="1" applyBorder="1" applyFont="1">
      <alignment readingOrder="0"/>
    </xf>
    <xf borderId="0" fillId="28" fontId="6" numFmtId="0" xfId="0" applyAlignment="1" applyFont="1">
      <alignment readingOrder="0"/>
    </xf>
    <xf borderId="5" fillId="28" fontId="6" numFmtId="0" xfId="0" applyAlignment="1" applyBorder="1" applyFont="1">
      <alignment readingOrder="0"/>
    </xf>
    <xf borderId="1" fillId="28" fontId="6" numFmtId="0" xfId="0" applyAlignment="1" applyBorder="1" applyFont="1">
      <alignment readingOrder="0"/>
    </xf>
    <xf borderId="3" fillId="28" fontId="6" numFmtId="0" xfId="0" applyAlignment="1" applyBorder="1" applyFont="1">
      <alignment readingOrder="0"/>
    </xf>
    <xf borderId="5" fillId="28" fontId="6" numFmtId="0" xfId="0" applyBorder="1" applyFont="1"/>
    <xf borderId="4" fillId="28" fontId="6" numFmtId="0" xfId="0" applyBorder="1" applyFont="1"/>
    <xf borderId="7" fillId="28" fontId="6" numFmtId="0" xfId="0" applyBorder="1" applyFont="1"/>
    <xf borderId="8" fillId="28" fontId="6" numFmtId="0" xfId="0" applyBorder="1" applyFont="1"/>
    <xf borderId="7" fillId="28" fontId="6" numFmtId="0" xfId="0" applyAlignment="1" applyBorder="1" applyFont="1">
      <alignment readingOrder="0"/>
    </xf>
    <xf borderId="6" fillId="28" fontId="6" numFmtId="0" xfId="0" applyAlignment="1" applyBorder="1" applyFont="1">
      <alignment readingOrder="0"/>
    </xf>
    <xf borderId="8" fillId="28" fontId="6" numFmtId="0" xfId="0" applyAlignment="1" applyBorder="1" applyFont="1">
      <alignment readingOrder="0"/>
    </xf>
    <xf borderId="1" fillId="11" fontId="9" numFmtId="0" xfId="0" applyAlignment="1" applyBorder="1" applyFont="1">
      <alignment readingOrder="0"/>
    </xf>
    <xf borderId="2" fillId="11" fontId="6" numFmtId="0" xfId="0" applyAlignment="1" applyBorder="1" applyFont="1">
      <alignment readingOrder="0"/>
    </xf>
    <xf borderId="2" fillId="11" fontId="6" numFmtId="0" xfId="0" applyBorder="1" applyFont="1"/>
    <xf borderId="3" fillId="11" fontId="6" numFmtId="0" xfId="0" applyBorder="1" applyFont="1"/>
    <xf borderId="4" fillId="11" fontId="6" numFmtId="0" xfId="0" applyAlignment="1" applyBorder="1" applyFont="1">
      <alignment readingOrder="0"/>
    </xf>
    <xf borderId="5" fillId="11" fontId="20" numFmtId="0" xfId="0" applyAlignment="1" applyBorder="1" applyFont="1">
      <alignment readingOrder="0"/>
    </xf>
    <xf borderId="7" fillId="11" fontId="6" numFmtId="0" xfId="0" applyAlignment="1" applyBorder="1" applyFont="1">
      <alignment readingOrder="0"/>
    </xf>
    <xf borderId="6" fillId="11" fontId="6" numFmtId="0" xfId="0" applyAlignment="1" applyBorder="1" applyFont="1">
      <alignment readingOrder="0"/>
    </xf>
    <xf borderId="6" fillId="11" fontId="6" numFmtId="0" xfId="0" applyBorder="1" applyFont="1"/>
    <xf borderId="8" fillId="11" fontId="6" numFmtId="0" xfId="0" applyBorder="1" applyFont="1"/>
    <xf borderId="13" fillId="0" fontId="9" numFmtId="0" xfId="0" applyAlignment="1" applyBorder="1" applyFont="1">
      <alignment readingOrder="0"/>
    </xf>
    <xf borderId="14" fillId="0" fontId="6" numFmtId="0" xfId="0" applyBorder="1" applyFont="1"/>
    <xf borderId="16" fillId="0" fontId="6" numFmtId="0" xfId="0" applyBorder="1" applyFont="1"/>
    <xf borderId="14" fillId="0" fontId="6" numFmtId="11" xfId="0" applyBorder="1" applyFont="1" applyNumberFormat="1"/>
    <xf borderId="16" fillId="0" fontId="6" numFmtId="0" xfId="0" applyAlignment="1" applyBorder="1" applyFont="1">
      <alignment readingOrder="0"/>
    </xf>
    <xf borderId="17" fillId="20" fontId="6" numFmtId="0" xfId="0" applyAlignment="1" applyBorder="1" applyFont="1">
      <alignment readingOrder="0"/>
    </xf>
    <xf borderId="0" fillId="20" fontId="6" numFmtId="0" xfId="0" applyAlignment="1" applyFont="1">
      <alignment readingOrder="0"/>
    </xf>
    <xf borderId="0" fillId="20" fontId="6" numFmtId="0" xfId="0" applyFont="1"/>
    <xf borderId="21" fillId="0" fontId="6" numFmtId="0" xfId="0" applyBorder="1" applyFont="1"/>
    <xf borderId="17" fillId="0" fontId="6" numFmtId="0" xfId="0" applyBorder="1" applyFont="1"/>
    <xf borderId="35" fillId="28" fontId="6" numFmtId="0" xfId="0" applyAlignment="1" applyBorder="1" applyFont="1">
      <alignment readingOrder="0"/>
    </xf>
    <xf borderId="2" fillId="28" fontId="6" numFmtId="0" xfId="0" applyAlignment="1" applyBorder="1" applyFont="1">
      <alignment readingOrder="0"/>
    </xf>
    <xf borderId="35" fillId="0" fontId="6" numFmtId="0" xfId="0" applyAlignment="1" applyBorder="1" applyFont="1">
      <alignment readingOrder="0"/>
    </xf>
    <xf borderId="0" fillId="16" fontId="21" numFmtId="0" xfId="0" applyAlignment="1" applyFont="1">
      <alignment readingOrder="0"/>
    </xf>
    <xf borderId="17" fillId="0" fontId="6" numFmtId="0" xfId="0" applyAlignment="1" applyBorder="1" applyFont="1">
      <alignment readingOrder="0"/>
    </xf>
    <xf borderId="4" fillId="0" fontId="22" numFmtId="0" xfId="0" applyAlignment="1" applyBorder="1" applyFont="1">
      <alignment readingOrder="0"/>
    </xf>
    <xf borderId="21" fillId="0" fontId="23" numFmtId="0" xfId="0" applyAlignment="1" applyBorder="1" applyFont="1">
      <alignment readingOrder="0"/>
    </xf>
    <xf borderId="0" fillId="16" fontId="24" numFmtId="0" xfId="0" applyAlignment="1" applyFont="1">
      <alignment readingOrder="0"/>
    </xf>
    <xf borderId="21" fillId="0" fontId="9" numFmtId="0" xfId="0" applyAlignment="1" applyBorder="1" applyFont="1">
      <alignment readingOrder="0"/>
    </xf>
    <xf borderId="36" fillId="0" fontId="6" numFmtId="0" xfId="0" applyBorder="1" applyFont="1"/>
    <xf borderId="36" fillId="0" fontId="6" numFmtId="0" xfId="0" applyAlignment="1" applyBorder="1" applyFont="1">
      <alignment readingOrder="0"/>
    </xf>
    <xf borderId="23" fillId="0" fontId="6" numFmtId="0" xfId="0" applyAlignment="1" applyBorder="1" applyFont="1">
      <alignment readingOrder="0"/>
    </xf>
    <xf borderId="24" fillId="0" fontId="6" numFmtId="0" xfId="0" applyBorder="1" applyFont="1"/>
    <xf borderId="24" fillId="13" fontId="6" numFmtId="0" xfId="0" applyBorder="1" applyFont="1"/>
    <xf borderId="24" fillId="2" fontId="6" numFmtId="0" xfId="0" applyBorder="1" applyFont="1"/>
    <xf borderId="26" fillId="0" fontId="6" numFmtId="0" xfId="0" applyBorder="1" applyFont="1"/>
    <xf borderId="24" fillId="11" fontId="6" numFmtId="0" xfId="0" applyBorder="1" applyFont="1"/>
    <xf borderId="21" fillId="20" fontId="6" numFmtId="0" xfId="0" applyBorder="1" applyFont="1"/>
    <xf borderId="17" fillId="0" fontId="25" numFmtId="0" xfId="0" applyAlignment="1" applyBorder="1" applyFont="1">
      <alignment readingOrder="0" shrinkToFit="0" vertical="bottom" wrapText="0"/>
    </xf>
    <xf borderId="0" fillId="0" fontId="25" numFmtId="11" xfId="0" applyAlignment="1" applyFont="1" applyNumberFormat="1">
      <alignment horizontal="right" readingOrder="0" shrinkToFit="0" vertical="bottom" wrapText="0"/>
    </xf>
    <xf borderId="0" fillId="0" fontId="26" numFmtId="0" xfId="0" applyAlignment="1" applyFont="1">
      <alignment readingOrder="0" shrinkToFit="0" vertical="bottom" wrapText="0"/>
    </xf>
    <xf borderId="0" fillId="0" fontId="25" numFmtId="0" xfId="0" applyAlignment="1" applyFont="1">
      <alignment horizontal="right" readingOrder="0" shrinkToFit="0" vertical="bottom" wrapText="0"/>
    </xf>
    <xf borderId="0" fillId="0" fontId="25" numFmtId="0" xfId="0" applyAlignment="1" applyFont="1">
      <alignment readingOrder="0" shrinkToFit="0" vertical="bottom" wrapText="0"/>
    </xf>
    <xf borderId="24" fillId="0" fontId="6" numFmtId="11" xfId="0" applyBorder="1" applyFont="1" applyNumberFormat="1"/>
    <xf borderId="0" fillId="0" fontId="6" numFmtId="11" xfId="0" applyFont="1" applyNumberFormat="1"/>
    <xf borderId="1" fillId="0" fontId="6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0" fillId="0" fontId="23" numFmtId="0" xfId="0" applyAlignment="1" applyFont="1">
      <alignment readingOrder="0"/>
    </xf>
    <xf borderId="0" fillId="13" fontId="6" numFmtId="0" xfId="0" applyFont="1"/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nicircuits.com/pdfs/ZX05-C24.pdf?srsltid=AfmBOooSjqWxDdXGfChARj9zU53EYyMRukYuCpBu5lyPJgXK_TPeVbaJ" TargetMode="External"/><Relationship Id="rId2" Type="http://schemas.openxmlformats.org/officeDocument/2006/relationships/hyperlink" Target="https://www.mouser.com/datasheet/2/1030/VAT_3A_2b-3105072.pdf" TargetMode="External"/><Relationship Id="rId3" Type="http://schemas.openxmlformats.org/officeDocument/2006/relationships/hyperlink" Target="https://www.minicircuits.com/pdfs/ZX75LP-40-S+.pdf?srsltid=AfmBOoo0SYUOp0-5ouv-vaFO6AddhhnpBc8x-wJ6atusmtnKqntUx2QH" TargetMode="External"/><Relationship Id="rId4" Type="http://schemas.openxmlformats.org/officeDocument/2006/relationships/hyperlink" Target="https://www.keysight.com/es/en/product/N9320B/rf-spectrum-analyzer-bsa-9-khz-3-ghz.html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nicircuits.com/pdfs/ZFL-1000LN+.pdf?srsltid=AfmBOooyAsxMl0X7KbUDAYMNp7TANyK8zz6lAJa9aGECsnlvP90pRQ8z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nicircuits.com/pdfs/ZX05-C24.pdf?srsltid=AfmBOooSjqWxDdXGfChARj9zU53EYyMRukYuCpBu5lyPJgXK_TPeVbaJ" TargetMode="External"/><Relationship Id="rId2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p-link.com/es/home-networking/antenna/tl-ant2409a/" TargetMode="External"/><Relationship Id="rId2" Type="http://schemas.openxmlformats.org/officeDocument/2006/relationships/hyperlink" Target="https://www.scribd.com/doc/296707109/Tl-Ant2409a-v1-User-Guide-7106" TargetMode="External"/><Relationship Id="rId3" Type="http://schemas.openxmlformats.org/officeDocument/2006/relationships/hyperlink" Target="https://www.google.com/url?sa=t&amp;source=web&amp;rct=j&amp;opi=89978449&amp;url=https://www.antenna-theory.com/antennas/patches/antenna.php%23:~:text%3DThe%2520directivity%2520of%2520patch%2520antennas%2520is%2520approximately%25205%252D7%2520dB.&amp;ved=2ahUKEwiA2oj9gKGKAxWHLUQIHTQFJ0cQFnoECCoQAw&amp;usg=AOvVaw1jpUBa5n0kuJ95aXQqyTR1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nicircuits.com/pdfs/ZX75LP-40-S+.pdf?srsltid=AfmBOoo0SYUOp0-5ouv-vaFO6AddhhnpBc8x-wJ6atusmtnKqntUx2QH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nicircuits.com/pdfs/ZX75LP-40-S+.pdf?srsltid=AfmBOoo0SYUOp0-5ouv-vaFO6AddhhnpBc8x-wJ6atusmtnKqntUx2QH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ucalgary.ca/engo_webdocs/GL/06.20235.TaoHu.pdf" TargetMode="External"/><Relationship Id="rId3" Type="http://schemas.openxmlformats.org/officeDocument/2006/relationships/hyperlink" Target="https://en.wikipedia.org/wiki/Friis_transmission_equation" TargetMode="External"/><Relationship Id="rId4" Type="http://schemas.openxmlformats.org/officeDocument/2006/relationships/hyperlink" Target="https://en.wikipedia.org/wiki/Free-space_path_loss" TargetMode="External"/><Relationship Id="rId11" Type="http://schemas.openxmlformats.org/officeDocument/2006/relationships/vmlDrawing" Target="../drawings/vmlDrawing1.vml"/><Relationship Id="rId10" Type="http://schemas.openxmlformats.org/officeDocument/2006/relationships/drawing" Target="../drawings/drawing6.xml"/><Relationship Id="rId9" Type="http://schemas.openxmlformats.org/officeDocument/2006/relationships/hyperlink" Target="https://www.minicircuits.com/pdfs/ZX05-C24.pdf?srsltid=AfmBOorwCPWvaU7evtUqmB0PZPa_NvGFWVYfXk58CoNM8DMQKJ8DpzLN" TargetMode="External"/><Relationship Id="rId5" Type="http://schemas.openxmlformats.org/officeDocument/2006/relationships/hyperlink" Target="https://www.minicircuits.com/pdfs/VBFZ-2340-S+.pdf" TargetMode="External"/><Relationship Id="rId6" Type="http://schemas.openxmlformats.org/officeDocument/2006/relationships/hyperlink" Target="https://www.mouser.com/datasheet/2/1030/ZX60-2531MA_2b-1701661.pdf" TargetMode="External"/><Relationship Id="rId7" Type="http://schemas.openxmlformats.org/officeDocument/2006/relationships/hyperlink" Target="https://www.minicircuits.com/pdfs/ZX05-C24.pdf?srsltid=AfmBOorwCPWvaU7evtUqmB0PZPa_NvGFWVYfXk58CoNM8DMQKJ8DpzLN" TargetMode="External"/><Relationship Id="rId8" Type="http://schemas.openxmlformats.org/officeDocument/2006/relationships/hyperlink" Target="https://www.mouser.com/datasheet/2/1030/ZX60-2531MA_2b-1701661.pdf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calgary.ca/engo_webdocs/GL/06.20235.TaoHu.pdf" TargetMode="External"/><Relationship Id="rId2" Type="http://schemas.openxmlformats.org/officeDocument/2006/relationships/hyperlink" Target="https://en.wikipedia.org/wiki/Friis_transmission_equation" TargetMode="External"/><Relationship Id="rId3" Type="http://schemas.openxmlformats.org/officeDocument/2006/relationships/hyperlink" Target="https://en.wikipedia.org/wiki/Free-space_path_loss" TargetMode="External"/><Relationship Id="rId4" Type="http://schemas.openxmlformats.org/officeDocument/2006/relationships/hyperlink" Target="https://www.minicircuits.com/pdfs/VBFZ-2340-S+.pdf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www.mouser.com/datasheet/2/1030/ZX60-2531MA_2b-1701661.pdf" TargetMode="External"/><Relationship Id="rId6" Type="http://schemas.openxmlformats.org/officeDocument/2006/relationships/hyperlink" Target="https://www.minicircuits.com/pdfs/ZX05-C24.pdf?srsltid=AfmBOorwCPWvaU7evtUqmB0PZPa_NvGFWVYfXk58CoNM8DMQKJ8DpzLN" TargetMode="External"/><Relationship Id="rId7" Type="http://schemas.openxmlformats.org/officeDocument/2006/relationships/hyperlink" Target="https://www.mouser.com/datasheet/2/1030/ZX60-2531MA_2b-1701661.pdf" TargetMode="External"/><Relationship Id="rId8" Type="http://schemas.openxmlformats.org/officeDocument/2006/relationships/hyperlink" Target="https://www.minicircuits.com/pdfs/ZX05-C24.pdf?srsltid=AfmBOorwCPWvaU7evtUqmB0PZPa_NvGFWVYfXk58CoNM8DMQKJ8DpzLN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calgary.ca/engo_webdocs/GL/06.20235.TaoHu.pdf" TargetMode="External"/><Relationship Id="rId2" Type="http://schemas.openxmlformats.org/officeDocument/2006/relationships/hyperlink" Target="https://en.wikipedia.org/wiki/Friis_transmission_equation" TargetMode="External"/><Relationship Id="rId3" Type="http://schemas.openxmlformats.org/officeDocument/2006/relationships/hyperlink" Target="https://en.wikipedia.org/wiki/Free-space_path_loss" TargetMode="External"/><Relationship Id="rId4" Type="http://schemas.openxmlformats.org/officeDocument/2006/relationships/hyperlink" Target="https://www.minicircuits.com/pdfs/VBFZ-2340-S+.pdf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www.mouser.com/datasheet/2/1030/ZX60-2531MA_2b-1701661.pdf" TargetMode="External"/><Relationship Id="rId6" Type="http://schemas.openxmlformats.org/officeDocument/2006/relationships/hyperlink" Target="https://www.minicircuits.com/pdfs/ZX05-C24.pdf?srsltid=AfmBOorwCPWvaU7evtUqmB0PZPa_NvGFWVYfXk58CoNM8DMQKJ8DpzLN" TargetMode="External"/><Relationship Id="rId7" Type="http://schemas.openxmlformats.org/officeDocument/2006/relationships/hyperlink" Target="https://www.mouser.com/datasheet/2/1030/ZX60-2531MA_2b-1701661.pdf" TargetMode="External"/><Relationship Id="rId8" Type="http://schemas.openxmlformats.org/officeDocument/2006/relationships/hyperlink" Target="https://www.minicircuits.com/pdfs/ZX05-C24.pdf?srsltid=AfmBOorwCPWvaU7evtUqmB0PZPa_NvGFWVYfXk58CoNM8DMQKJ8DpzLN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calgary.ca/engo_webdocs/GL/06.20235.TaoHu.pdf" TargetMode="External"/><Relationship Id="rId2" Type="http://schemas.openxmlformats.org/officeDocument/2006/relationships/hyperlink" Target="https://en.wikipedia.org/wiki/Friis_transmission_equation" TargetMode="External"/><Relationship Id="rId3" Type="http://schemas.openxmlformats.org/officeDocument/2006/relationships/hyperlink" Target="https://en.wikipedia.org/wiki/Free-space_path_loss" TargetMode="External"/><Relationship Id="rId4" Type="http://schemas.openxmlformats.org/officeDocument/2006/relationships/hyperlink" Target="https://www.minicircuits.com/pdfs/VBFZ-2340-S+.pdf" TargetMode="External"/><Relationship Id="rId9" Type="http://schemas.openxmlformats.org/officeDocument/2006/relationships/drawing" Target="../drawings/drawing9.xml"/><Relationship Id="rId5" Type="http://schemas.openxmlformats.org/officeDocument/2006/relationships/hyperlink" Target="https://www.mouser.com/datasheet/2/1030/ZX60-2531MA_2b-1701661.pdf" TargetMode="External"/><Relationship Id="rId6" Type="http://schemas.openxmlformats.org/officeDocument/2006/relationships/hyperlink" Target="https://www.minicircuits.com/pdfs/ZX05-C24.pdf?srsltid=AfmBOorwCPWvaU7evtUqmB0PZPa_NvGFWVYfXk58CoNM8DMQKJ8DpzLN" TargetMode="External"/><Relationship Id="rId7" Type="http://schemas.openxmlformats.org/officeDocument/2006/relationships/hyperlink" Target="https://www.mouser.com/datasheet/2/1030/ZX60-2531MA_2b-1701661.pdf" TargetMode="External"/><Relationship Id="rId8" Type="http://schemas.openxmlformats.org/officeDocument/2006/relationships/hyperlink" Target="https://www.minicircuits.com/pdfs/ZX05-C24.pdf?srsltid=AfmBOorwCPWvaU7evtUqmB0PZPa_NvGFWVYfXk58CoNM8DMQKJ8DpzL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6.88"/>
    <col customWidth="1" min="2" max="2" width="26.75"/>
    <col customWidth="1" min="8" max="8" width="6.5"/>
    <col customWidth="1" min="9" max="9" width="16.13"/>
    <col customWidth="1" min="10" max="10" width="19.5"/>
    <col customWidth="1" min="11" max="11" width="17.13"/>
    <col customWidth="1" min="12" max="12" width="25.75"/>
    <col customWidth="1" min="13" max="13" width="17.75"/>
    <col customWidth="1" min="15" max="15" width="24.88"/>
    <col customWidth="1" min="17" max="17" width="23.75"/>
    <col customWidth="1" min="18" max="18" width="18.75"/>
    <col customWidth="1" min="23" max="23" width="18.75"/>
    <col customWidth="1" min="24" max="24" width="13.13"/>
    <col customWidth="1" min="25" max="25" width="19.0"/>
    <col customWidth="1" min="26" max="26" width="14.63"/>
    <col customWidth="1" min="27" max="27" width="12.13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/>
      <c r="I1" s="2" t="s">
        <v>3</v>
      </c>
      <c r="J1" s="2" t="s">
        <v>5</v>
      </c>
      <c r="K1" s="3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5" t="s">
        <v>14</v>
      </c>
      <c r="T1" s="2"/>
      <c r="U1" s="2" t="s">
        <v>15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6"/>
      <c r="AG1" s="6"/>
      <c r="AH1" s="6"/>
      <c r="AI1" s="6"/>
      <c r="AJ1" s="6"/>
      <c r="AK1" s="6"/>
      <c r="AL1" s="6"/>
      <c r="AM1" s="6"/>
    </row>
    <row r="2">
      <c r="A2" s="1"/>
      <c r="B2" s="2" t="s">
        <v>16</v>
      </c>
      <c r="C2" s="1"/>
      <c r="D2" s="2"/>
      <c r="E2" s="2"/>
      <c r="F2" s="2" t="s">
        <v>17</v>
      </c>
      <c r="G2" s="2"/>
      <c r="H2" s="2"/>
      <c r="I2" s="2"/>
      <c r="J2" s="2"/>
      <c r="K2" s="7" t="s">
        <v>18</v>
      </c>
      <c r="L2" s="8" t="s">
        <v>19</v>
      </c>
      <c r="M2" s="9" t="s">
        <v>20</v>
      </c>
      <c r="N2" s="8" t="s">
        <v>21</v>
      </c>
      <c r="O2" s="8" t="s">
        <v>19</v>
      </c>
      <c r="P2" s="9" t="s">
        <v>22</v>
      </c>
      <c r="Q2" s="8" t="s">
        <v>23</v>
      </c>
      <c r="R2" s="10" t="s">
        <v>24</v>
      </c>
      <c r="S2" s="11" t="s">
        <v>25</v>
      </c>
      <c r="T2" s="1"/>
      <c r="U2" s="1"/>
      <c r="V2" s="1"/>
      <c r="W2" s="2" t="s">
        <v>26</v>
      </c>
      <c r="X2" s="2"/>
      <c r="Y2" s="2" t="s">
        <v>27</v>
      </c>
      <c r="Z2" s="2" t="s">
        <v>28</v>
      </c>
      <c r="AA2" s="2"/>
      <c r="AB2" s="2" t="s">
        <v>29</v>
      </c>
      <c r="AC2" s="2"/>
      <c r="AF2" s="6"/>
      <c r="AG2" s="6"/>
      <c r="AH2" s="6"/>
      <c r="AI2" s="6"/>
      <c r="AJ2" s="6"/>
      <c r="AK2" s="6"/>
      <c r="AL2" s="6"/>
      <c r="AM2" s="6"/>
    </row>
    <row r="3">
      <c r="A3" s="12" t="s">
        <v>30</v>
      </c>
      <c r="B3" s="12" t="s">
        <v>31</v>
      </c>
      <c r="C3" s="13">
        <v>-40.0</v>
      </c>
      <c r="D3" s="14">
        <f>pow(10, -10/10)</f>
        <v>0.1</v>
      </c>
      <c r="E3" s="13">
        <v>0.0</v>
      </c>
      <c r="F3" s="13">
        <v>6.0</v>
      </c>
      <c r="G3" s="14">
        <f>10 * log10((1-D3) * pow(10, C3/10)) + E3 + F3</f>
        <v>-34.45757491</v>
      </c>
      <c r="H3" s="14"/>
      <c r="I3" s="13">
        <v>6.0</v>
      </c>
      <c r="J3" s="15">
        <f>10 * log10((1-D3)* pow(10, G3/10))+I3</f>
        <v>-28.91514981</v>
      </c>
      <c r="K3" s="16">
        <f>J3+'Full Sheet'!$M$26</f>
        <v>-30.44299356</v>
      </c>
      <c r="L3" s="17">
        <f>K3+'Full Sheet'!$N$26</f>
        <v>7.055106439</v>
      </c>
      <c r="M3" s="17">
        <f>L3+'Full Sheet'!$O$26</f>
        <v>1.383791553</v>
      </c>
      <c r="N3" s="17">
        <f>M3+'Full Sheet'!$S$26</f>
        <v>-3.616208447</v>
      </c>
      <c r="O3" s="17">
        <f>N3+'Full Sheet'!$P$26</f>
        <v>28.39319155</v>
      </c>
      <c r="P3" s="17">
        <f>O3+'Full Sheet'!$Q$3</f>
        <v>27.39319155</v>
      </c>
      <c r="Q3" s="17">
        <f>P3+'Amplifier ZFL-1000LN'!$B$2</f>
        <v>51.39319155</v>
      </c>
      <c r="R3" s="17">
        <f>Q3+'Full Sheet'!$T$26</f>
        <v>45.59296405</v>
      </c>
      <c r="S3" s="18">
        <f>R3+'Full Sheet'!$U$3</f>
        <v>45.05740849</v>
      </c>
      <c r="W3" s="19" t="s">
        <v>32</v>
      </c>
      <c r="X3" s="19" t="s">
        <v>33</v>
      </c>
      <c r="Y3" s="19" t="s">
        <v>34</v>
      </c>
      <c r="Z3" s="19"/>
      <c r="AA3" s="20"/>
    </row>
    <row r="4">
      <c r="A4" s="21"/>
      <c r="B4" s="22" t="s">
        <v>35</v>
      </c>
      <c r="C4" s="23">
        <v>2259.0</v>
      </c>
      <c r="D4" s="24"/>
      <c r="E4" s="24"/>
      <c r="F4" s="24"/>
      <c r="G4" s="24"/>
      <c r="H4" s="24"/>
      <c r="I4" s="24"/>
      <c r="J4" s="24"/>
      <c r="K4" s="25"/>
      <c r="L4" s="24"/>
      <c r="M4" s="26">
        <v>309.0</v>
      </c>
      <c r="N4" s="27"/>
      <c r="O4" s="27"/>
      <c r="P4" s="27"/>
      <c r="Q4" s="27"/>
      <c r="R4" s="28">
        <v>1.0</v>
      </c>
      <c r="S4" s="29"/>
      <c r="W4" s="19">
        <v>2333.0</v>
      </c>
      <c r="X4" s="30">
        <f>(-Amplifier!$D$3+9.6)</f>
        <v>-7.973</v>
      </c>
      <c r="Y4" s="30">
        <f>(-Amplifier!$D$3+9.6)-J3</f>
        <v>20.94214981</v>
      </c>
      <c r="Z4" s="30">
        <f>Amplifier!$G$26 - 3 * Y4</f>
        <v>-62.82644943</v>
      </c>
      <c r="AH4" s="20" t="s">
        <v>36</v>
      </c>
    </row>
    <row r="5">
      <c r="A5" s="31"/>
      <c r="B5" s="12" t="s">
        <v>37</v>
      </c>
      <c r="C5" s="13">
        <v>-40.0</v>
      </c>
      <c r="D5" s="14">
        <f>pow(10, -10/10)</f>
        <v>0.1</v>
      </c>
      <c r="E5" s="13">
        <v>0.0</v>
      </c>
      <c r="F5" s="13">
        <v>6.0</v>
      </c>
      <c r="G5" s="14">
        <f>10 * log10((1-D5) * pow(10, C5/10)) + E5 + F5</f>
        <v>-34.45757491</v>
      </c>
      <c r="H5" s="14"/>
      <c r="I5" s="13">
        <v>6.0</v>
      </c>
      <c r="J5" s="15">
        <f>10 * log10((1-D5)* pow(10, G5/10))+I5</f>
        <v>-28.91514981</v>
      </c>
      <c r="K5" s="16">
        <f>J5+'Full Sheet'!$M$28</f>
        <v>-30.43027481</v>
      </c>
      <c r="L5" s="17">
        <f>K5+'Full Sheet'!$N$28</f>
        <v>6.883325189</v>
      </c>
      <c r="M5" s="17">
        <f>L5+'Full Sheet'!$O$28</f>
        <v>1.212010303</v>
      </c>
      <c r="N5" s="17">
        <f>M5+'Full Sheet'!$S$28</f>
        <v>-4.387989697</v>
      </c>
      <c r="O5" s="17">
        <f>N5+'Full Sheet'!$P$28</f>
        <v>28.6056103</v>
      </c>
      <c r="P5" s="17">
        <f>O5+'Full Sheet'!$Q$5</f>
        <v>27.6056103</v>
      </c>
      <c r="Q5" s="17">
        <f>P5+'Amplifier ZFL-1000LN'!$B$3</f>
        <v>51.6056103</v>
      </c>
      <c r="R5" s="17">
        <f>Q5+'Full Sheet'!$T$28</f>
        <v>45.8053828</v>
      </c>
      <c r="S5" s="18">
        <f>R5+'Full Sheet'!$U$5</f>
        <v>44.4293828</v>
      </c>
      <c r="W5" s="19">
        <v>450.0</v>
      </c>
      <c r="X5" s="30">
        <f>(-Amplifier!$C$10+9.6)</f>
        <v>-20.6</v>
      </c>
      <c r="Y5" s="30">
        <f>(-Amplifier!$C$10+9.6)-N9</f>
        <v>-1.369160303</v>
      </c>
      <c r="Z5" s="30">
        <f>Amplifier!D16-3*Y5</f>
        <v>4.10748091</v>
      </c>
      <c r="AH5" s="20">
        <v>2.99792458E8</v>
      </c>
      <c r="AI5" s="20" t="s">
        <v>38</v>
      </c>
    </row>
    <row r="6">
      <c r="A6" s="21"/>
      <c r="B6" s="22" t="s">
        <v>39</v>
      </c>
      <c r="C6" s="32">
        <v>2296.0</v>
      </c>
      <c r="D6" s="24"/>
      <c r="E6" s="33"/>
      <c r="F6" s="24"/>
      <c r="G6" s="24"/>
      <c r="H6" s="24"/>
      <c r="I6" s="24"/>
      <c r="J6" s="24"/>
      <c r="K6" s="25"/>
      <c r="L6" s="24"/>
      <c r="M6" s="34">
        <v>346.0</v>
      </c>
      <c r="N6" s="27"/>
      <c r="O6" s="27"/>
      <c r="P6" s="27"/>
      <c r="Q6" s="27"/>
      <c r="R6" s="28">
        <v>45.0</v>
      </c>
      <c r="S6" s="29"/>
      <c r="W6" s="19" t="s">
        <v>40</v>
      </c>
      <c r="X6" s="30">
        <f>'Amplifier ZFL-1000LN'!$E$5+9.6</f>
        <v>-6.988721951</v>
      </c>
      <c r="Y6" s="30">
        <f>X6+9.6-P9</f>
        <v>-12.91788225</v>
      </c>
      <c r="Z6" s="30">
        <f>'Amplifier ZFL-1000LN'!$C$5 -3*Y6</f>
        <v>52.75364676</v>
      </c>
    </row>
    <row r="7">
      <c r="A7" s="31"/>
      <c r="B7" s="12" t="s">
        <v>41</v>
      </c>
      <c r="C7" s="13">
        <v>-40.0</v>
      </c>
      <c r="D7" s="14">
        <f>pow(10, -10/10)</f>
        <v>0.1</v>
      </c>
      <c r="E7" s="13">
        <v>0.0</v>
      </c>
      <c r="F7" s="13">
        <v>6.0</v>
      </c>
      <c r="G7" s="14">
        <f>10 * log10((1-D7) * pow(10, C7/10)) + E7 + F7</f>
        <v>-34.45757491</v>
      </c>
      <c r="H7" s="14"/>
      <c r="I7" s="13">
        <v>6.0</v>
      </c>
      <c r="J7" s="15">
        <f>10 * log10((1-D7)* pow(10, G7/10))+I7</f>
        <v>-28.91514981</v>
      </c>
      <c r="K7" s="35">
        <f>J7+'Full Sheet'!$M$30</f>
        <v>-30.26046231</v>
      </c>
      <c r="L7" s="14">
        <f>K7+'Full Sheet'!$N$30</f>
        <v>7.702037689</v>
      </c>
      <c r="M7" s="14">
        <f>L7+'Full Sheet'!$O$30</f>
        <v>2.030722803</v>
      </c>
      <c r="N7" s="14">
        <f>M7+'Full Sheet'!$S$30</f>
        <v>-21.9692772</v>
      </c>
      <c r="O7" s="14">
        <f>N7+'Full Sheet'!$P$30</f>
        <v>7.140722803</v>
      </c>
      <c r="P7" s="14">
        <f>O7+'Full Sheet'!$Q$7</f>
        <v>6.140722803</v>
      </c>
      <c r="Q7" s="14">
        <f>P7+'Amplifier ZFL-1000LN'!$B$4</f>
        <v>30.1407228</v>
      </c>
      <c r="R7" s="14">
        <f>Q7+'Full Sheet'!$T$30</f>
        <v>24.3404953</v>
      </c>
      <c r="S7" s="36">
        <f>R7+'Full Sheet'!$U$7</f>
        <v>-35.5495047</v>
      </c>
    </row>
    <row r="8">
      <c r="A8" s="21"/>
      <c r="B8" s="22" t="s">
        <v>42</v>
      </c>
      <c r="C8" s="32">
        <v>2150.0</v>
      </c>
      <c r="D8" s="24"/>
      <c r="E8" s="24"/>
      <c r="F8" s="24"/>
      <c r="G8" s="24"/>
      <c r="H8" s="24"/>
      <c r="I8" s="24"/>
      <c r="J8" s="24"/>
      <c r="K8" s="25"/>
      <c r="L8" s="24"/>
      <c r="M8" s="34">
        <v>200.0</v>
      </c>
      <c r="N8" s="27"/>
      <c r="O8" s="27"/>
      <c r="P8" s="27"/>
      <c r="Q8" s="27"/>
      <c r="R8" s="28">
        <v>100.0</v>
      </c>
      <c r="S8" s="29"/>
    </row>
    <row r="9">
      <c r="A9" s="31"/>
      <c r="B9" s="12" t="s">
        <v>43</v>
      </c>
      <c r="C9" s="13">
        <v>-40.0</v>
      </c>
      <c r="D9" s="14">
        <f>pow(10, -10/10)</f>
        <v>0.1</v>
      </c>
      <c r="E9" s="13">
        <v>0.0</v>
      </c>
      <c r="F9" s="13">
        <v>6.0</v>
      </c>
      <c r="G9" s="14">
        <f>10 * log10((1-D9) * pow(10, C9/10)) + E9 + F9</f>
        <v>-34.45757491</v>
      </c>
      <c r="H9" s="14"/>
      <c r="I9" s="13">
        <v>6.0</v>
      </c>
      <c r="J9" s="15">
        <f>10 * log10((1-D9)* pow(10, G9/10))+I9</f>
        <v>-28.91514981</v>
      </c>
      <c r="K9" s="35">
        <f>J9+'Full Sheet'!$M$32</f>
        <v>-30.46952481</v>
      </c>
      <c r="L9" s="14">
        <f>K9+'Full Sheet'!$N$32</f>
        <v>6.440475189</v>
      </c>
      <c r="M9" s="14">
        <f>L9+'Full Sheet'!$O$32</f>
        <v>0.7691603035</v>
      </c>
      <c r="N9" s="14">
        <f>M9+'Full Sheet'!$S$32</f>
        <v>-19.2308397</v>
      </c>
      <c r="O9" s="14">
        <f>N9+'Full Sheet'!$P$32</f>
        <v>16.5291603</v>
      </c>
      <c r="P9" s="14">
        <f>O9+'Full Sheet'!$Q$9</f>
        <v>15.5291603</v>
      </c>
      <c r="Q9" s="14">
        <f>P9+'Amplifier ZFL-1000LN'!$B$5</f>
        <v>39.5291603</v>
      </c>
      <c r="R9" s="14">
        <f>Q9+'Full Sheet'!$T$32</f>
        <v>33.7289328</v>
      </c>
      <c r="S9" s="36">
        <f>R9+'Full Sheet'!$U$9</f>
        <v>-22.9010672</v>
      </c>
    </row>
    <row r="10">
      <c r="A10" s="21"/>
      <c r="B10" s="22" t="s">
        <v>44</v>
      </c>
      <c r="C10" s="37">
        <v>2400.0</v>
      </c>
      <c r="D10" s="38"/>
      <c r="E10" s="38"/>
      <c r="F10" s="38"/>
      <c r="G10" s="38"/>
      <c r="H10" s="38"/>
      <c r="I10" s="38"/>
      <c r="J10" s="38"/>
      <c r="K10" s="39"/>
      <c r="L10" s="38"/>
      <c r="M10" s="40">
        <v>450.0</v>
      </c>
      <c r="N10" s="41"/>
      <c r="O10" s="41"/>
      <c r="P10" s="41"/>
      <c r="Q10" s="41"/>
      <c r="R10" s="42">
        <v>150.0</v>
      </c>
      <c r="S10" s="43"/>
    </row>
    <row r="11">
      <c r="A11" s="31"/>
      <c r="B11" s="12" t="s">
        <v>45</v>
      </c>
      <c r="C11" s="44" t="s">
        <v>46</v>
      </c>
      <c r="K11" s="45"/>
      <c r="L11" s="46">
        <f>Z4</f>
        <v>-62.82644943</v>
      </c>
      <c r="M11" s="47">
        <f>L11-Mixer!$B$6</f>
        <v>-69.26532713</v>
      </c>
      <c r="N11" s="48">
        <f>M11-'Custom BPF'!$B$5</f>
        <v>-93.26532713</v>
      </c>
      <c r="O11" s="48">
        <f>max(N11, Z5)</f>
        <v>4.10748091</v>
      </c>
      <c r="P11" s="48">
        <f>O11-'Attenuator (VAT-3+)'!B2</f>
        <v>1.12373091</v>
      </c>
      <c r="Q11" s="48">
        <f>max(-Z6, P11)</f>
        <v>1.12373091</v>
      </c>
      <c r="R11" s="47">
        <f>Q11-Mixer!B3</f>
        <v>-4.676496594</v>
      </c>
      <c r="S11" s="49">
        <f>R11-'LPF - 40 MHz'!B3</f>
        <v>-64.56649659</v>
      </c>
    </row>
    <row r="12">
      <c r="A12" s="50"/>
      <c r="B12" s="51" t="s">
        <v>47</v>
      </c>
      <c r="K12" s="45"/>
      <c r="L12" s="52">
        <f>2*C6 - C4</f>
        <v>2333</v>
      </c>
      <c r="M12" s="52"/>
      <c r="N12" s="52"/>
      <c r="O12" s="52"/>
      <c r="P12" s="52"/>
      <c r="Q12" s="52"/>
      <c r="R12" s="52"/>
      <c r="S12" s="53"/>
    </row>
    <row r="13">
      <c r="A13" s="31"/>
      <c r="B13" s="12" t="s">
        <v>48</v>
      </c>
      <c r="C13" s="52">
        <f t="shared" ref="C13:J13" si="1">$J$31</f>
        <v>-133.8299966</v>
      </c>
      <c r="D13" s="52">
        <f t="shared" si="1"/>
        <v>-133.8299966</v>
      </c>
      <c r="E13" s="52">
        <f t="shared" si="1"/>
        <v>-133.8299966</v>
      </c>
      <c r="F13" s="52">
        <f t="shared" si="1"/>
        <v>-133.8299966</v>
      </c>
      <c r="G13" s="52">
        <f t="shared" si="1"/>
        <v>-133.8299966</v>
      </c>
      <c r="H13" s="52">
        <f t="shared" si="1"/>
        <v>-133.8299966</v>
      </c>
      <c r="I13" s="52">
        <f t="shared" si="1"/>
        <v>-133.8299966</v>
      </c>
      <c r="J13" s="52">
        <f t="shared" si="1"/>
        <v>-133.8299966</v>
      </c>
      <c r="K13" s="54">
        <f t="shared" ref="K13:S13" si="2">K31</f>
        <v>-133.8393183</v>
      </c>
      <c r="L13" s="52">
        <f t="shared" si="2"/>
        <v>-83.21925853</v>
      </c>
      <c r="M13" s="52">
        <f t="shared" si="2"/>
        <v>-76.77912601</v>
      </c>
      <c r="N13" s="52">
        <f t="shared" si="2"/>
        <v>-76.70771368</v>
      </c>
      <c r="O13" s="52">
        <f t="shared" si="2"/>
        <v>-39.20958715</v>
      </c>
      <c r="P13" s="52">
        <f t="shared" si="2"/>
        <v>-42.19333715</v>
      </c>
      <c r="Q13" s="52">
        <f t="shared" si="2"/>
        <v>-18.19333714</v>
      </c>
      <c r="R13" s="52">
        <f t="shared" si="2"/>
        <v>-29.40342739</v>
      </c>
      <c r="S13" s="49">
        <f t="shared" si="2"/>
        <v>-26.00821484</v>
      </c>
    </row>
    <row r="14">
      <c r="A14" s="31"/>
      <c r="B14" s="12" t="s">
        <v>49</v>
      </c>
      <c r="C14" s="52"/>
      <c r="D14" s="52"/>
      <c r="E14" s="52"/>
      <c r="F14" s="52"/>
      <c r="G14" s="52"/>
      <c r="H14" s="52"/>
      <c r="I14" s="52"/>
      <c r="J14" s="52"/>
      <c r="K14" s="54"/>
      <c r="L14" s="52"/>
      <c r="M14" s="52"/>
      <c r="N14" s="52"/>
      <c r="O14" s="52"/>
      <c r="P14" s="52"/>
      <c r="Q14" s="52"/>
      <c r="R14" s="52"/>
      <c r="S14" s="49"/>
    </row>
    <row r="15">
      <c r="A15" s="55" t="s">
        <v>50</v>
      </c>
      <c r="B15" s="55" t="s">
        <v>31</v>
      </c>
      <c r="C15" s="56">
        <v>-60.0</v>
      </c>
      <c r="D15" s="57"/>
      <c r="E15" s="58"/>
      <c r="F15" s="59"/>
      <c r="G15" s="59"/>
      <c r="H15" s="59"/>
      <c r="I15" s="60"/>
      <c r="J15" s="56">
        <v>-60.0</v>
      </c>
      <c r="K15" s="61"/>
      <c r="L15" s="62"/>
      <c r="M15" s="62"/>
      <c r="N15" s="62"/>
      <c r="O15" s="62"/>
      <c r="P15" s="62"/>
      <c r="Q15" s="62"/>
      <c r="R15" s="62"/>
      <c r="S15" s="63">
        <v>-41.83</v>
      </c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</row>
    <row r="16">
      <c r="A16" s="65"/>
      <c r="B16" s="66" t="s">
        <v>35</v>
      </c>
      <c r="C16" s="23">
        <v>2259.0</v>
      </c>
      <c r="D16" s="67"/>
      <c r="I16" s="68"/>
      <c r="J16" s="23">
        <v>2259.0</v>
      </c>
      <c r="K16" s="69"/>
      <c r="L16" s="70"/>
      <c r="M16" s="70"/>
      <c r="N16" s="70"/>
      <c r="O16" s="70"/>
      <c r="P16" s="70"/>
      <c r="Q16" s="70"/>
      <c r="R16" s="70"/>
      <c r="S16" s="71">
        <v>37.0</v>
      </c>
    </row>
    <row r="17">
      <c r="A17" s="65"/>
      <c r="B17" s="66" t="s">
        <v>45</v>
      </c>
      <c r="C17" s="72"/>
      <c r="D17" s="73"/>
      <c r="I17" s="73"/>
      <c r="J17" s="73"/>
      <c r="K17" s="74"/>
      <c r="L17" s="75"/>
      <c r="M17" s="76"/>
      <c r="N17" s="75"/>
      <c r="O17" s="75"/>
      <c r="P17" s="75"/>
      <c r="Q17" s="75"/>
      <c r="R17" s="76"/>
      <c r="S17" s="77">
        <v>-98.9</v>
      </c>
    </row>
    <row r="18">
      <c r="A18" s="65"/>
      <c r="B18" s="66" t="s">
        <v>51</v>
      </c>
      <c r="C18" s="72"/>
      <c r="D18" s="73"/>
      <c r="I18" s="73"/>
      <c r="J18" s="73"/>
      <c r="K18" s="74"/>
      <c r="L18" s="75"/>
      <c r="M18" s="76"/>
      <c r="N18" s="75"/>
      <c r="O18" s="75"/>
      <c r="P18" s="75"/>
      <c r="Q18" s="75"/>
      <c r="R18" s="76"/>
      <c r="S18" s="77">
        <f>S16*2-1</f>
        <v>73</v>
      </c>
    </row>
    <row r="19">
      <c r="A19" s="65"/>
      <c r="B19" s="66" t="s">
        <v>52</v>
      </c>
      <c r="C19" s="78"/>
      <c r="D19" s="78"/>
      <c r="I19" s="78"/>
      <c r="J19" s="78"/>
      <c r="K19" s="69"/>
      <c r="L19" s="70"/>
      <c r="M19" s="70"/>
      <c r="N19" s="70"/>
      <c r="O19" s="70"/>
      <c r="P19" s="70"/>
      <c r="Q19" s="79"/>
      <c r="R19" s="70"/>
      <c r="S19" s="53">
        <f>2-S16</f>
        <v>-35</v>
      </c>
      <c r="U19" s="80">
        <f>14 + (S21-Q21)</f>
        <v>7.66421694</v>
      </c>
    </row>
    <row r="20">
      <c r="A20" s="81"/>
      <c r="B20" s="82" t="s">
        <v>48</v>
      </c>
      <c r="C20" s="83">
        <v>100.0</v>
      </c>
      <c r="D20" s="83">
        <v>100.0</v>
      </c>
      <c r="E20" s="84"/>
      <c r="F20" s="84"/>
      <c r="G20" s="84"/>
      <c r="H20" s="84"/>
      <c r="I20" s="83">
        <v>100.0</v>
      </c>
      <c r="J20" s="83">
        <v>100.0</v>
      </c>
      <c r="K20" s="85"/>
      <c r="L20" s="86"/>
      <c r="M20" s="86"/>
      <c r="N20" s="86"/>
      <c r="O20" s="86"/>
      <c r="P20" s="86"/>
      <c r="Q20" s="86"/>
      <c r="R20" s="86"/>
      <c r="S20" s="87">
        <v>100.0</v>
      </c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</row>
    <row r="21">
      <c r="A21" s="89" t="s">
        <v>53</v>
      </c>
      <c r="B21" s="89" t="s">
        <v>54</v>
      </c>
      <c r="C21" s="90">
        <v>-29.0</v>
      </c>
      <c r="D21" s="91">
        <f>pow(10, -10/10)</f>
        <v>0.1</v>
      </c>
      <c r="E21" s="91">
        <f>20*log10($AH$5/(C22*pow(10,6)) / (4 * pi() * $AC$22))</f>
        <v>-49.06853293</v>
      </c>
      <c r="F21" s="90">
        <v>6.0</v>
      </c>
      <c r="G21" s="91">
        <f>10 * log10((1-D21) * pow(10, C21/10)) + E21 + F21</f>
        <v>-72.52610784</v>
      </c>
      <c r="H21" s="91"/>
      <c r="I21" s="92">
        <v>6.0</v>
      </c>
      <c r="J21" s="15">
        <f>10 * log10((1-D21)* pow(10, G21/10))+I21</f>
        <v>-66.98368275</v>
      </c>
      <c r="K21" s="93">
        <f>J21+'Full Sheet'!$M$26</f>
        <v>-68.5115265</v>
      </c>
      <c r="L21" s="91">
        <f>K21+'Full Sheet'!$N$26</f>
        <v>-31.0134265</v>
      </c>
      <c r="M21" s="91">
        <f>L21+'Full Sheet'!$O$26</f>
        <v>-36.68474138</v>
      </c>
      <c r="N21" s="91">
        <f>M21+'Full Sheet'!$S$26</f>
        <v>-41.68474138</v>
      </c>
      <c r="O21" s="91">
        <f>N21+'Full Sheet'!$P$26</f>
        <v>-9.675341381</v>
      </c>
      <c r="P21" s="91">
        <f>O21+'Full Sheet'!$Q$3</f>
        <v>-10.67534138</v>
      </c>
      <c r="Q21" s="91">
        <f>P21+'Amplifier ZFL-1000LN'!$B$2</f>
        <v>13.32465862</v>
      </c>
      <c r="R21" s="91">
        <f>Q21+'Full Sheet'!$T$26</f>
        <v>7.524431114</v>
      </c>
      <c r="S21" s="36">
        <f>R21+'Full Sheet'!$U$3</f>
        <v>6.988875558</v>
      </c>
      <c r="T21" s="20" t="s">
        <v>55</v>
      </c>
      <c r="U21" s="19" t="s">
        <v>56</v>
      </c>
      <c r="V21" s="30"/>
      <c r="W21" s="19" t="s">
        <v>32</v>
      </c>
      <c r="X21" s="19" t="s">
        <v>33</v>
      </c>
      <c r="Y21" s="19" t="s">
        <v>34</v>
      </c>
      <c r="Z21" s="19"/>
      <c r="AA21" s="30"/>
      <c r="AB21" s="30"/>
      <c r="AC21" s="94" t="s">
        <v>57</v>
      </c>
      <c r="AD21" s="95"/>
      <c r="AE21" s="30"/>
      <c r="AF21" s="30"/>
      <c r="AG21" s="30"/>
      <c r="AH21" s="30"/>
      <c r="AI21" s="30"/>
      <c r="AJ21" s="30"/>
      <c r="AK21" s="30"/>
      <c r="AL21" s="30"/>
      <c r="AM21" s="30"/>
    </row>
    <row r="22">
      <c r="A22" s="96"/>
      <c r="B22" s="97" t="s">
        <v>58</v>
      </c>
      <c r="C22" s="23">
        <v>2259.0</v>
      </c>
      <c r="D22" s="24"/>
      <c r="E22" s="24"/>
      <c r="F22" s="24"/>
      <c r="G22" s="24"/>
      <c r="H22" s="24"/>
      <c r="I22" s="24"/>
      <c r="J22" s="24"/>
      <c r="K22" s="25"/>
      <c r="L22" s="24"/>
      <c r="M22" s="26">
        <v>309.0</v>
      </c>
      <c r="N22" s="27"/>
      <c r="O22" s="27"/>
      <c r="P22" s="27"/>
      <c r="Q22" s="27"/>
      <c r="R22" s="28">
        <v>1.0</v>
      </c>
      <c r="S22" s="29"/>
      <c r="U22" s="30"/>
      <c r="V22" s="30"/>
      <c r="W22" s="19">
        <v>2333.0</v>
      </c>
      <c r="X22" s="30">
        <f>(-Amplifier!$D$3+9.6)</f>
        <v>-7.973</v>
      </c>
      <c r="Y22" s="30">
        <f>(-Amplifier!$D$3+9.6)-J21</f>
        <v>59.01068275</v>
      </c>
      <c r="Z22" s="30">
        <f>Amplifier!$G$26 - 3 * Y22</f>
        <v>-177.0320482</v>
      </c>
      <c r="AA22" s="30"/>
      <c r="AB22" s="30"/>
      <c r="AC22" s="98">
        <v>3.0</v>
      </c>
      <c r="AD22" s="99" t="s">
        <v>59</v>
      </c>
      <c r="AE22" s="30"/>
      <c r="AF22" s="30"/>
      <c r="AG22" s="30"/>
      <c r="AH22" s="30"/>
      <c r="AI22" s="30"/>
      <c r="AJ22" s="30"/>
      <c r="AK22" s="30"/>
      <c r="AL22" s="30"/>
      <c r="AM22" s="30"/>
    </row>
    <row r="23">
      <c r="A23" s="100"/>
      <c r="B23" s="89" t="s">
        <v>60</v>
      </c>
      <c r="C23" s="90">
        <v>-29.0</v>
      </c>
      <c r="D23" s="91">
        <f>pow(10, -10/10)</f>
        <v>0.1</v>
      </c>
      <c r="E23" s="91">
        <f>20*log10($AH$5/(C24*pow(10,6)) / (4 * pi() * $AC$22))</f>
        <v>-49.20964599</v>
      </c>
      <c r="F23" s="90">
        <v>6.0</v>
      </c>
      <c r="G23" s="91">
        <f>10 * log10((1-D23) * pow(10, C23/10)) + E23 + F23</f>
        <v>-72.6672209</v>
      </c>
      <c r="H23" s="91"/>
      <c r="I23" s="92">
        <v>6.0</v>
      </c>
      <c r="J23" s="15">
        <f>10 * log10((1-D23)* pow(10, G23/10))+I23</f>
        <v>-67.1247958</v>
      </c>
      <c r="K23" s="93">
        <f>J23+'Full Sheet'!$M$28</f>
        <v>-68.6399208</v>
      </c>
      <c r="L23" s="91">
        <f>K23+'Full Sheet'!$N$28</f>
        <v>-31.3263208</v>
      </c>
      <c r="M23" s="91">
        <f>L23+'Full Sheet'!$O$28</f>
        <v>-36.99763569</v>
      </c>
      <c r="N23" s="91">
        <f>M23+'Full Sheet'!$S$28</f>
        <v>-42.59763569</v>
      </c>
      <c r="O23" s="91">
        <f>N23+'Full Sheet'!$P$28</f>
        <v>-9.604035687</v>
      </c>
      <c r="P23" s="91">
        <f>O23+'Full Sheet'!$Q$5</f>
        <v>-10.60403569</v>
      </c>
      <c r="Q23" s="91">
        <f>P23+'Amplifier ZFL-1000LN'!$B$3</f>
        <v>13.39596431</v>
      </c>
      <c r="R23" s="91">
        <f>Q23+'Full Sheet'!$T$28</f>
        <v>7.595736808</v>
      </c>
      <c r="S23" s="36">
        <f>R23+'Full Sheet'!$U$5</f>
        <v>6.219736808</v>
      </c>
      <c r="T23" s="20" t="s">
        <v>55</v>
      </c>
      <c r="U23" s="19" t="s">
        <v>61</v>
      </c>
      <c r="V23" s="30"/>
      <c r="W23" s="19">
        <v>450.0</v>
      </c>
      <c r="X23" s="30">
        <f>(-Amplifier!$C$10+9.6)</f>
        <v>-20.6</v>
      </c>
      <c r="Y23" s="30">
        <f>(-Amplifier!$C$10+9.6)-N27</f>
        <v>37.22527285</v>
      </c>
      <c r="Z23" s="30">
        <f>Amplifier!D33-3*Y23</f>
        <v>-111.6758185</v>
      </c>
      <c r="AA23" s="30"/>
      <c r="AB23" s="30"/>
      <c r="AC23" s="101"/>
      <c r="AD23" s="102"/>
      <c r="AE23" s="30"/>
      <c r="AF23" s="30"/>
      <c r="AG23" s="30"/>
      <c r="AH23" s="30"/>
      <c r="AI23" s="30"/>
      <c r="AJ23" s="30"/>
      <c r="AK23" s="30"/>
      <c r="AL23" s="30"/>
      <c r="AM23" s="30"/>
    </row>
    <row r="24">
      <c r="A24" s="96"/>
      <c r="B24" s="97" t="s">
        <v>62</v>
      </c>
      <c r="C24" s="32">
        <v>2296.0</v>
      </c>
      <c r="D24" s="24"/>
      <c r="E24" s="24"/>
      <c r="F24" s="24"/>
      <c r="G24" s="24"/>
      <c r="H24" s="24"/>
      <c r="I24" s="24"/>
      <c r="J24" s="24"/>
      <c r="K24" s="25"/>
      <c r="L24" s="24"/>
      <c r="M24" s="34">
        <v>346.0</v>
      </c>
      <c r="N24" s="27"/>
      <c r="O24" s="27"/>
      <c r="P24" s="27"/>
      <c r="Q24" s="27"/>
      <c r="R24" s="28">
        <v>45.0</v>
      </c>
      <c r="S24" s="29"/>
      <c r="U24" s="30"/>
      <c r="V24" s="30"/>
      <c r="W24" s="19" t="s">
        <v>40</v>
      </c>
      <c r="X24" s="30">
        <f>'Amplifier ZFL-1000LN'!$E$5+9.6</f>
        <v>-6.988721951</v>
      </c>
      <c r="Y24" s="30">
        <f>X24-P23</f>
        <v>3.615313736</v>
      </c>
      <c r="Z24" s="30">
        <f>'Amplifier ZFL-1000LN'!$C$5-3*Y24</f>
        <v>3.154058792</v>
      </c>
      <c r="AA24" s="30"/>
      <c r="AB24" s="30"/>
      <c r="AC24" s="103">
        <v>135.0</v>
      </c>
      <c r="AD24" s="104" t="s">
        <v>59</v>
      </c>
      <c r="AE24" s="30"/>
      <c r="AF24" s="30"/>
      <c r="AG24" s="30"/>
      <c r="AH24" s="30"/>
      <c r="AI24" s="30"/>
      <c r="AJ24" s="30"/>
      <c r="AK24" s="30"/>
      <c r="AL24" s="30"/>
      <c r="AM24" s="30"/>
    </row>
    <row r="25">
      <c r="A25" s="100"/>
      <c r="B25" s="89" t="s">
        <v>63</v>
      </c>
      <c r="C25" s="90">
        <v>-29.0</v>
      </c>
      <c r="D25" s="91">
        <f>pow(10, -10/10)</f>
        <v>0.1</v>
      </c>
      <c r="E25" s="91">
        <f>20*log10($AH$5/(C26*pow(10,6)) / (4 * pi() * $AC$22))</f>
        <v>-48.63897751</v>
      </c>
      <c r="F25" s="90">
        <v>6.0</v>
      </c>
      <c r="G25" s="91">
        <f>10 * log10((1-D25) * pow(10, C25/10)) + E25 + F25</f>
        <v>-72.09655242</v>
      </c>
      <c r="H25" s="91"/>
      <c r="I25" s="92">
        <v>6.0</v>
      </c>
      <c r="J25" s="15">
        <f>10 * log10((1-D25)* pow(10, G25/10))+I25</f>
        <v>-66.55412733</v>
      </c>
      <c r="K25" s="93">
        <f>J25+'Full Sheet'!$M$30</f>
        <v>-67.89943983</v>
      </c>
      <c r="L25" s="91">
        <f>K25+'Full Sheet'!$N$30</f>
        <v>-29.93693983</v>
      </c>
      <c r="M25" s="91">
        <f>L25+'Full Sheet'!$O$30</f>
        <v>-35.60825471</v>
      </c>
      <c r="N25" s="91">
        <f>M25+'Full Sheet'!$S$30</f>
        <v>-59.60825471</v>
      </c>
      <c r="O25" s="91">
        <f>N25+'Full Sheet'!$P$30</f>
        <v>-30.49825471</v>
      </c>
      <c r="P25" s="91">
        <f>O25+'Full Sheet'!$Q$7</f>
        <v>-31.49825471</v>
      </c>
      <c r="Q25" s="91">
        <f>P25+'Amplifier ZFL-1000LN'!$B$4</f>
        <v>-7.498254711</v>
      </c>
      <c r="R25" s="91">
        <f>Q25+'Full Sheet'!$T$30</f>
        <v>-13.29848222</v>
      </c>
      <c r="S25" s="36">
        <f>R25+'Full Sheet'!$U$7</f>
        <v>-73.18848222</v>
      </c>
      <c r="T25" s="20" t="s">
        <v>55</v>
      </c>
      <c r="U25" s="19" t="s">
        <v>64</v>
      </c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</row>
    <row r="26">
      <c r="A26" s="96"/>
      <c r="B26" s="97" t="s">
        <v>65</v>
      </c>
      <c r="C26" s="32">
        <v>2150.0</v>
      </c>
      <c r="D26" s="24"/>
      <c r="E26" s="24"/>
      <c r="F26" s="24"/>
      <c r="G26" s="24"/>
      <c r="H26" s="24"/>
      <c r="I26" s="24"/>
      <c r="J26" s="24"/>
      <c r="K26" s="25"/>
      <c r="L26" s="24"/>
      <c r="M26" s="34">
        <v>200.0</v>
      </c>
      <c r="N26" s="27"/>
      <c r="O26" s="27"/>
      <c r="P26" s="27"/>
      <c r="Q26" s="27"/>
      <c r="R26" s="28">
        <v>100.0</v>
      </c>
      <c r="S26" s="29"/>
      <c r="U26" s="30"/>
      <c r="V26" s="30"/>
      <c r="W26" s="19" t="s">
        <v>66</v>
      </c>
      <c r="X26" s="105">
        <f>1.38E-23</f>
        <v>0</v>
      </c>
      <c r="Y26" s="19" t="s">
        <v>67</v>
      </c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</row>
    <row r="27">
      <c r="A27" s="100"/>
      <c r="B27" s="89" t="s">
        <v>68</v>
      </c>
      <c r="C27" s="90">
        <v>-29.0</v>
      </c>
      <c r="D27" s="91">
        <f>pow(10, -10/10)</f>
        <v>0.1</v>
      </c>
      <c r="E27" s="91">
        <f>20*log10($AH$5/(C28*pow(10,6)) / (4 * pi() * $AC$22))</f>
        <v>-49.59443315</v>
      </c>
      <c r="F27" s="90">
        <v>6.0</v>
      </c>
      <c r="G27" s="91">
        <f>10 * log10((1-D27) * pow(10, C27/10)) + E27 + F27</f>
        <v>-73.05200806</v>
      </c>
      <c r="H27" s="91"/>
      <c r="I27" s="92">
        <v>6.0</v>
      </c>
      <c r="J27" s="15">
        <f>10 * log10((1-D27)* pow(10, G27/10))+I27</f>
        <v>-67.50958296</v>
      </c>
      <c r="K27" s="93">
        <f>J27+'Full Sheet'!$M$32</f>
        <v>-69.06395796</v>
      </c>
      <c r="L27" s="91">
        <f>K27+'Full Sheet'!$N$32</f>
        <v>-32.15395796</v>
      </c>
      <c r="M27" s="91">
        <f>L27+'Full Sheet'!$O$32</f>
        <v>-37.82527285</v>
      </c>
      <c r="N27" s="91">
        <f>M27+'Full Sheet'!$S$32</f>
        <v>-57.82527285</v>
      </c>
      <c r="O27" s="91">
        <f>N27+'Full Sheet'!$P$32</f>
        <v>-22.06527285</v>
      </c>
      <c r="P27" s="91">
        <f>O27+'Full Sheet'!$Q$9</f>
        <v>-23.06527285</v>
      </c>
      <c r="Q27" s="91">
        <f>P27+'Amplifier ZFL-1000LN'!$B$5</f>
        <v>0.934727153</v>
      </c>
      <c r="R27" s="91">
        <f>Q27+'Full Sheet'!$T$32</f>
        <v>-4.865500352</v>
      </c>
      <c r="S27" s="36">
        <f>R27+'Full Sheet'!$U$9</f>
        <v>-61.49550035</v>
      </c>
      <c r="T27" s="20" t="s">
        <v>55</v>
      </c>
      <c r="U27" s="19" t="s">
        <v>69</v>
      </c>
      <c r="V27" s="30"/>
      <c r="W27" s="19" t="s">
        <v>70</v>
      </c>
      <c r="X27" s="106">
        <v>293.0</v>
      </c>
      <c r="Y27" s="19" t="s">
        <v>71</v>
      </c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</row>
    <row r="28">
      <c r="A28" s="96"/>
      <c r="B28" s="97" t="s">
        <v>72</v>
      </c>
      <c r="C28" s="32">
        <v>2400.0</v>
      </c>
      <c r="D28" s="24"/>
      <c r="E28" s="24"/>
      <c r="F28" s="24"/>
      <c r="G28" s="24"/>
      <c r="H28" s="24"/>
      <c r="I28" s="24"/>
      <c r="J28" s="24"/>
      <c r="K28" s="25"/>
      <c r="L28" s="24"/>
      <c r="M28" s="34">
        <v>450.0</v>
      </c>
      <c r="N28" s="27"/>
      <c r="O28" s="27"/>
      <c r="P28" s="27"/>
      <c r="Q28" s="27"/>
      <c r="R28" s="28">
        <v>150.0</v>
      </c>
      <c r="S28" s="29"/>
      <c r="U28" s="30"/>
      <c r="V28" s="30"/>
      <c r="W28" s="19" t="s">
        <v>73</v>
      </c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</row>
    <row r="29">
      <c r="A29" s="96"/>
      <c r="B29" s="97" t="s">
        <v>45</v>
      </c>
      <c r="C29" s="107"/>
      <c r="D29" s="107"/>
      <c r="E29" s="107"/>
      <c r="F29" s="107"/>
      <c r="G29" s="107"/>
      <c r="H29" s="107"/>
      <c r="I29" s="107"/>
      <c r="J29" s="107"/>
      <c r="K29" s="108"/>
      <c r="L29" s="46">
        <v>-173.6067</v>
      </c>
      <c r="M29" s="47">
        <f>L29-Mixer!$B$6</f>
        <v>-180.0455777</v>
      </c>
      <c r="N29" s="48">
        <f>M29-'Custom BPF'!$B$5</f>
        <v>-204.0455777</v>
      </c>
      <c r="O29" s="48">
        <f>max(Z23, N29)</f>
        <v>-111.6758185</v>
      </c>
      <c r="P29" s="48"/>
      <c r="Q29" s="48">
        <f>max(Z24)</f>
        <v>3.154058792</v>
      </c>
      <c r="R29" s="47">
        <f>Q29-Mixer!$B$7</f>
        <v>-2.047227307</v>
      </c>
      <c r="S29" s="49">
        <f>R29-'LPF - 40 MHz'!$B$4</f>
        <v>-58.67722731</v>
      </c>
      <c r="T29" s="20" t="s">
        <v>55</v>
      </c>
      <c r="U29" s="19" t="s">
        <v>74</v>
      </c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</row>
    <row r="30">
      <c r="A30" s="96"/>
      <c r="B30" s="97" t="s">
        <v>75</v>
      </c>
      <c r="C30" s="38">
        <f>2*C24-C22</f>
        <v>2333</v>
      </c>
      <c r="D30" s="38"/>
      <c r="E30" s="38"/>
      <c r="F30" s="38"/>
      <c r="G30" s="38"/>
      <c r="H30" s="38"/>
      <c r="I30" s="38"/>
      <c r="J30" s="38"/>
      <c r="K30" s="39"/>
      <c r="L30" s="38"/>
      <c r="M30" s="109">
        <f>2*M24-M22</f>
        <v>383</v>
      </c>
      <c r="N30" s="109"/>
      <c r="O30" s="109"/>
      <c r="P30" s="109"/>
      <c r="Q30" s="109"/>
      <c r="R30" s="110">
        <f>2*R24-R22</f>
        <v>89</v>
      </c>
      <c r="S30" s="43"/>
      <c r="U30" s="30"/>
      <c r="V30" s="30"/>
      <c r="W30" s="111" t="s">
        <v>76</v>
      </c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</row>
    <row r="31">
      <c r="A31" s="96"/>
      <c r="B31" s="97" t="s">
        <v>77</v>
      </c>
      <c r="C31" s="107"/>
      <c r="D31" s="107"/>
      <c r="E31" s="107"/>
      <c r="F31" s="107"/>
      <c r="G31" s="107"/>
      <c r="H31" s="107"/>
      <c r="I31" s="107"/>
      <c r="J31" s="107">
        <f t="shared" ref="J31:S31" si="3">10 * log10(J32*1000)</f>
        <v>-133.8299966</v>
      </c>
      <c r="K31" s="108">
        <f t="shared" si="3"/>
        <v>-133.8393183</v>
      </c>
      <c r="L31" s="107">
        <f t="shared" si="3"/>
        <v>-83.21925853</v>
      </c>
      <c r="M31" s="107">
        <f t="shared" si="3"/>
        <v>-76.77912601</v>
      </c>
      <c r="N31" s="107">
        <f t="shared" si="3"/>
        <v>-76.70771368</v>
      </c>
      <c r="O31" s="107">
        <f t="shared" si="3"/>
        <v>-39.20958715</v>
      </c>
      <c r="P31" s="107">
        <f t="shared" si="3"/>
        <v>-42.19333715</v>
      </c>
      <c r="Q31" s="107">
        <f t="shared" si="3"/>
        <v>-18.19333714</v>
      </c>
      <c r="R31" s="107">
        <f t="shared" si="3"/>
        <v>-29.40342739</v>
      </c>
      <c r="S31" s="49">
        <f t="shared" si="3"/>
        <v>-26.00821484</v>
      </c>
      <c r="T31" s="20" t="s">
        <v>55</v>
      </c>
      <c r="U31" s="19" t="s">
        <v>48</v>
      </c>
      <c r="V31" s="30"/>
      <c r="W31" s="19" t="s">
        <v>70</v>
      </c>
      <c r="X31" s="112">
        <f>4030000000</f>
        <v>4030000000</v>
      </c>
      <c r="Y31" s="19" t="s">
        <v>71</v>
      </c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</row>
    <row r="32">
      <c r="A32" s="96"/>
      <c r="B32" s="113" t="s">
        <v>78</v>
      </c>
      <c r="C32" s="70"/>
      <c r="D32" s="70"/>
      <c r="E32" s="70"/>
      <c r="F32" s="70"/>
      <c r="G32" s="70"/>
      <c r="H32" s="70"/>
      <c r="I32" s="70"/>
      <c r="J32" s="114">
        <f t="shared" ref="J32:S32" si="4">J33*$X$26*J38</f>
        <v>0</v>
      </c>
      <c r="K32" s="115">
        <f t="shared" si="4"/>
        <v>0</v>
      </c>
      <c r="L32" s="114">
        <f t="shared" si="4"/>
        <v>0</v>
      </c>
      <c r="M32" s="114">
        <f t="shared" si="4"/>
        <v>0</v>
      </c>
      <c r="N32" s="114">
        <f t="shared" si="4"/>
        <v>0</v>
      </c>
      <c r="O32" s="114">
        <f t="shared" si="4"/>
        <v>0.0000001199613335</v>
      </c>
      <c r="P32" s="114">
        <f t="shared" si="4"/>
        <v>0.00000006034847296</v>
      </c>
      <c r="Q32" s="114">
        <f t="shared" si="4"/>
        <v>0.00001515885107</v>
      </c>
      <c r="R32" s="114">
        <f t="shared" si="4"/>
        <v>0.000001147247874</v>
      </c>
      <c r="S32" s="116">
        <f t="shared" si="4"/>
        <v>0.000002507139597</v>
      </c>
      <c r="T32" s="2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</row>
    <row r="33">
      <c r="A33" s="96"/>
      <c r="B33" s="113" t="s">
        <v>79</v>
      </c>
      <c r="C33" s="70"/>
      <c r="D33" s="70"/>
      <c r="E33" s="70"/>
      <c r="F33" s="70"/>
      <c r="G33" s="70"/>
      <c r="H33" s="70"/>
      <c r="I33" s="70"/>
      <c r="J33" s="92">
        <f>J34</f>
        <v>300</v>
      </c>
      <c r="K33" s="108">
        <f>pow(10, -K35/10)*(J33+K34)</f>
        <v>299.3567686</v>
      </c>
      <c r="L33" s="117">
        <f t="shared" ref="L33:N33" si="5">pow(10, L35/10)*(K33+L34)</f>
        <v>3452987.932</v>
      </c>
      <c r="M33" s="117">
        <f t="shared" si="5"/>
        <v>15212770.47</v>
      </c>
      <c r="N33" s="117">
        <f t="shared" si="5"/>
        <v>51549954.99</v>
      </c>
      <c r="O33" s="117">
        <f>pow(10, Amplifier!B3/10)*(N33+O34)</f>
        <v>289761675207</v>
      </c>
      <c r="P33" s="117">
        <f>pow(10, -P35/10)*(O33+P34)</f>
        <v>145769258363</v>
      </c>
      <c r="Q33" s="117">
        <f>pow(10, Q35/10)*(P33+Q34)</f>
        <v>36615582294692</v>
      </c>
      <c r="R33" s="117">
        <f t="shared" ref="R33:S33" si="6">pow(10, -R35/10)*(Q33+R34)</f>
        <v>8313390388286</v>
      </c>
      <c r="S33" s="118">
        <f t="shared" si="6"/>
        <v>6055892747421</v>
      </c>
      <c r="T33" s="20" t="s">
        <v>71</v>
      </c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</row>
    <row r="34">
      <c r="A34" s="96"/>
      <c r="B34" s="113" t="s">
        <v>80</v>
      </c>
      <c r="C34" s="70"/>
      <c r="D34" s="70"/>
      <c r="E34" s="70"/>
      <c r="F34" s="70"/>
      <c r="G34" s="70"/>
      <c r="H34" s="70"/>
      <c r="I34" s="70"/>
      <c r="J34" s="92">
        <v>300.0</v>
      </c>
      <c r="K34" s="108">
        <f>$X$27*(1/pow(10, -1.5/10) - 1)</f>
        <v>120.8735006</v>
      </c>
      <c r="L34" s="107">
        <f>$X$27*(pow(10, L36/10)-1)</f>
        <v>314.9496606</v>
      </c>
      <c r="M34" s="107">
        <f>$X$27*(1/pow(10, -6.44/10) - 1)</f>
        <v>997.8257501</v>
      </c>
      <c r="N34" s="107">
        <f>$X$27*(1/pow(10, -N35/10) - 1)</f>
        <v>699.8133775</v>
      </c>
      <c r="O34" s="107">
        <f>$X$27*(pow(10,O36/10)-1)</f>
        <v>314.9496606</v>
      </c>
      <c r="P34" s="107">
        <f>$X$27*(1/pow(10, -P35/10) - 1)</f>
        <v>289.4285029</v>
      </c>
      <c r="Q34" s="107">
        <f>$X$27*(pow(10,Q36/10)-1)</f>
        <v>291.6118583</v>
      </c>
      <c r="R34" s="107">
        <f t="shared" ref="R34:S34" si="7">$X$27*(1/pow(10, -R35/10) - 1)</f>
        <v>997.4922194</v>
      </c>
      <c r="S34" s="119">
        <f t="shared" si="7"/>
        <v>109.2236663</v>
      </c>
      <c r="U34" s="19" t="s">
        <v>70</v>
      </c>
      <c r="V34" s="94" t="s">
        <v>81</v>
      </c>
      <c r="W34" s="120"/>
      <c r="X34" s="120"/>
      <c r="Y34" s="95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</row>
    <row r="35">
      <c r="A35" s="96"/>
      <c r="B35" s="10" t="s">
        <v>82</v>
      </c>
      <c r="C35" s="70"/>
      <c r="D35" s="70"/>
      <c r="E35" s="70"/>
      <c r="F35" s="70"/>
      <c r="G35" s="70"/>
      <c r="H35" s="70"/>
      <c r="I35" s="70"/>
      <c r="J35" s="92" t="s">
        <v>83</v>
      </c>
      <c r="K35" s="121">
        <f>'BPF (2020-2600)'!$B$3</f>
        <v>1.479625</v>
      </c>
      <c r="L35" s="68">
        <f>Amplifier!$B$3</f>
        <v>37.4981</v>
      </c>
      <c r="M35" s="92">
        <f>Mixer!$B$6</f>
        <v>6.438877701</v>
      </c>
      <c r="N35" s="92">
        <v>5.3</v>
      </c>
      <c r="O35" s="68">
        <f>Amplifier!$B$3</f>
        <v>37.4981</v>
      </c>
      <c r="P35" s="92">
        <f>'Attenuator (VAT-3+)'!$B$2</f>
        <v>2.98375</v>
      </c>
      <c r="Q35" s="122">
        <v>24.0</v>
      </c>
      <c r="R35" s="107">
        <f>Mixer!$B$6</f>
        <v>6.438877701</v>
      </c>
      <c r="S35" s="119">
        <f>'LPF - 40 MHz'!$B$2</f>
        <v>1.376</v>
      </c>
      <c r="U35" s="30"/>
      <c r="V35" s="123" t="s">
        <v>84</v>
      </c>
      <c r="W35" s="124" t="s">
        <v>85</v>
      </c>
      <c r="X35" s="124" t="s">
        <v>86</v>
      </c>
      <c r="Y35" s="125" t="s">
        <v>87</v>
      </c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</row>
    <row r="36">
      <c r="A36" s="96"/>
      <c r="B36" s="10" t="s">
        <v>88</v>
      </c>
      <c r="C36" s="70"/>
      <c r="D36" s="70"/>
      <c r="E36" s="70"/>
      <c r="F36" s="70"/>
      <c r="G36" s="70"/>
      <c r="H36" s="70"/>
      <c r="I36" s="70"/>
      <c r="J36" s="92" t="s">
        <v>83</v>
      </c>
      <c r="K36" s="126"/>
      <c r="L36" s="92">
        <v>3.17</v>
      </c>
      <c r="M36" s="122"/>
      <c r="N36" s="122"/>
      <c r="O36" s="92">
        <v>3.17</v>
      </c>
      <c r="P36" s="68"/>
      <c r="Q36" s="92">
        <v>3.0</v>
      </c>
      <c r="R36" s="68"/>
      <c r="S36" s="127"/>
      <c r="U36" s="30"/>
      <c r="V36" s="128">
        <v>2259.0</v>
      </c>
      <c r="W36" s="128">
        <v>-57.75</v>
      </c>
      <c r="X36" s="129">
        <v>6.99</v>
      </c>
      <c r="Y36" s="130">
        <f>sum(W36,-X36)</f>
        <v>-64.74</v>
      </c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</row>
    <row r="37">
      <c r="A37" s="96"/>
      <c r="B37" s="131" t="s">
        <v>89</v>
      </c>
      <c r="C37" s="70"/>
      <c r="D37" s="70"/>
      <c r="E37" s="70"/>
      <c r="F37" s="70"/>
      <c r="G37" s="70"/>
      <c r="H37" s="70"/>
      <c r="I37" s="70"/>
      <c r="J37" s="109">
        <f t="shared" ref="J37:S37" si="8">10*log10($X$26*$X$31*J38*1000)</f>
        <v>-62.54815867</v>
      </c>
      <c r="K37" s="132">
        <f t="shared" si="8"/>
        <v>-62.54815867</v>
      </c>
      <c r="L37" s="109">
        <f t="shared" si="8"/>
        <v>-52.54815867</v>
      </c>
      <c r="M37" s="109">
        <f t="shared" si="8"/>
        <v>-52.54815867</v>
      </c>
      <c r="N37" s="109">
        <f t="shared" si="8"/>
        <v>-57.77694613</v>
      </c>
      <c r="O37" s="109">
        <f t="shared" si="8"/>
        <v>-57.77694613</v>
      </c>
      <c r="P37" s="109">
        <f t="shared" si="8"/>
        <v>-57.77694613</v>
      </c>
      <c r="Q37" s="109">
        <f t="shared" si="8"/>
        <v>-57.77694613</v>
      </c>
      <c r="R37" s="109">
        <f t="shared" si="8"/>
        <v>-62.54815867</v>
      </c>
      <c r="S37" s="133">
        <f t="shared" si="8"/>
        <v>-57.77694613</v>
      </c>
      <c r="U37" s="30"/>
      <c r="V37" s="134"/>
      <c r="W37" s="134"/>
      <c r="X37" s="135"/>
      <c r="Y37" s="1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</row>
    <row r="38">
      <c r="A38" s="96"/>
      <c r="B38" s="97" t="s">
        <v>49</v>
      </c>
      <c r="C38" s="70"/>
      <c r="D38" s="70"/>
      <c r="E38" s="70"/>
      <c r="F38" s="70"/>
      <c r="G38" s="70"/>
      <c r="H38" s="70"/>
      <c r="I38" s="70"/>
      <c r="J38" s="114">
        <v>10000.0</v>
      </c>
      <c r="K38" s="115">
        <v>10000.0</v>
      </c>
      <c r="L38" s="114">
        <v>100000.0</v>
      </c>
      <c r="M38" s="114">
        <v>100000.0</v>
      </c>
      <c r="N38" s="114">
        <v>30000.0</v>
      </c>
      <c r="O38" s="114">
        <v>30000.0</v>
      </c>
      <c r="P38" s="114">
        <v>30000.0</v>
      </c>
      <c r="Q38" s="114">
        <v>30000.0</v>
      </c>
      <c r="R38" s="114">
        <v>10000.0</v>
      </c>
      <c r="S38" s="116">
        <v>30000.0</v>
      </c>
      <c r="U38" s="30"/>
      <c r="V38" s="128">
        <v>2296.0</v>
      </c>
      <c r="W38" s="128">
        <v>-40.04</v>
      </c>
      <c r="X38" s="129">
        <v>6.22</v>
      </c>
      <c r="Y38" s="130">
        <f>sum(W38,-X38)</f>
        <v>-46.26</v>
      </c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</row>
    <row r="39">
      <c r="A39" s="136" t="s">
        <v>90</v>
      </c>
      <c r="B39" s="136" t="s">
        <v>54</v>
      </c>
      <c r="C39" s="56">
        <v>-29.0</v>
      </c>
      <c r="D39" s="62"/>
      <c r="E39" s="62"/>
      <c r="F39" s="62"/>
      <c r="G39" s="62"/>
      <c r="H39" s="62"/>
      <c r="I39" s="62"/>
      <c r="J39" s="137" t="s">
        <v>48</v>
      </c>
      <c r="K39" s="138" t="s">
        <v>48</v>
      </c>
      <c r="L39" s="56">
        <v>-53.9</v>
      </c>
      <c r="M39" s="56">
        <v>-45.26</v>
      </c>
      <c r="N39" s="56">
        <v>-56.99</v>
      </c>
      <c r="O39" s="56">
        <v>-30.09</v>
      </c>
      <c r="P39" s="56">
        <v>-35.34</v>
      </c>
      <c r="Q39" s="56">
        <v>-13.93</v>
      </c>
      <c r="R39" s="56">
        <v>-48.06</v>
      </c>
      <c r="S39" s="139">
        <v>-57.75</v>
      </c>
      <c r="T39" s="64"/>
      <c r="U39" s="64"/>
      <c r="V39" s="140"/>
      <c r="W39" s="140"/>
      <c r="X39" s="141"/>
      <c r="Y39" s="130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</row>
    <row r="40">
      <c r="A40" s="142"/>
      <c r="B40" s="143" t="s">
        <v>58</v>
      </c>
      <c r="C40" s="23">
        <v>2259.0</v>
      </c>
      <c r="D40" s="75"/>
      <c r="E40" s="75"/>
      <c r="F40" s="75"/>
      <c r="G40" s="75"/>
      <c r="H40" s="75"/>
      <c r="I40" s="75"/>
      <c r="J40" s="24"/>
      <c r="K40" s="25"/>
      <c r="L40" s="24"/>
      <c r="M40" s="26">
        <v>311.0</v>
      </c>
      <c r="N40" s="27"/>
      <c r="O40" s="27"/>
      <c r="P40" s="27"/>
      <c r="Q40" s="27"/>
      <c r="R40" s="28">
        <v>1.0</v>
      </c>
      <c r="S40" s="29"/>
      <c r="V40" s="144">
        <v>2150.0</v>
      </c>
      <c r="W40" s="144">
        <v>-75.28</v>
      </c>
      <c r="X40" s="145">
        <v>-73.19</v>
      </c>
      <c r="Y40" s="146">
        <f>sum(W40,-X40)</f>
        <v>-2.09</v>
      </c>
    </row>
    <row r="41">
      <c r="A41" s="142"/>
      <c r="B41" s="143" t="s">
        <v>60</v>
      </c>
      <c r="C41" s="20">
        <v>-29.0</v>
      </c>
      <c r="D41" s="70"/>
      <c r="E41" s="70"/>
      <c r="F41" s="70"/>
      <c r="G41" s="70"/>
      <c r="H41" s="70"/>
      <c r="I41" s="70"/>
      <c r="J41" s="147" t="s">
        <v>48</v>
      </c>
      <c r="K41" s="148" t="s">
        <v>48</v>
      </c>
      <c r="L41" s="20">
        <v>-50.78</v>
      </c>
      <c r="M41" s="20">
        <v>-43.79</v>
      </c>
      <c r="N41" s="20">
        <v>-54.37</v>
      </c>
      <c r="O41" s="20">
        <v>-27.58</v>
      </c>
      <c r="P41" s="20">
        <v>-34.1</v>
      </c>
      <c r="Q41" s="20">
        <v>-9.5</v>
      </c>
      <c r="R41" s="20">
        <v>-65.36</v>
      </c>
      <c r="S41" s="149">
        <v>-40.04</v>
      </c>
      <c r="V41" s="150"/>
      <c r="W41" s="150"/>
      <c r="X41" s="151"/>
      <c r="Y41" s="146"/>
    </row>
    <row r="42">
      <c r="A42" s="142"/>
      <c r="B42" s="143" t="s">
        <v>62</v>
      </c>
      <c r="C42" s="32">
        <v>2296.0</v>
      </c>
      <c r="D42" s="75"/>
      <c r="E42" s="75"/>
      <c r="F42" s="75"/>
      <c r="G42" s="75"/>
      <c r="H42" s="75"/>
      <c r="I42" s="75"/>
      <c r="J42" s="24"/>
      <c r="K42" s="25"/>
      <c r="L42" s="24"/>
      <c r="M42" s="26">
        <v>347.0</v>
      </c>
      <c r="N42" s="27"/>
      <c r="O42" s="27"/>
      <c r="P42" s="27"/>
      <c r="Q42" s="27"/>
      <c r="R42" s="28">
        <v>45.0</v>
      </c>
      <c r="S42" s="29"/>
      <c r="V42" s="144">
        <v>2400.0</v>
      </c>
      <c r="W42" s="144">
        <v>-75.28</v>
      </c>
      <c r="X42" s="152">
        <v>-61.5</v>
      </c>
      <c r="Y42" s="146">
        <f>sum(W42,-X42)</f>
        <v>-13.78</v>
      </c>
    </row>
    <row r="43">
      <c r="A43" s="142"/>
      <c r="B43" s="143" t="s">
        <v>41</v>
      </c>
      <c r="C43" s="67"/>
      <c r="D43" s="70"/>
      <c r="E43" s="70"/>
      <c r="F43" s="70"/>
      <c r="G43" s="70"/>
      <c r="H43" s="70"/>
      <c r="I43" s="70"/>
      <c r="J43" s="147" t="s">
        <v>48</v>
      </c>
      <c r="K43" s="148" t="s">
        <v>48</v>
      </c>
      <c r="L43" s="20">
        <v>-68.0</v>
      </c>
      <c r="M43" s="20">
        <v>-35.0</v>
      </c>
      <c r="N43" s="20" t="s">
        <v>48</v>
      </c>
      <c r="O43" s="20" t="s">
        <v>48</v>
      </c>
      <c r="P43" s="20" t="s">
        <v>48</v>
      </c>
      <c r="Q43" s="20" t="s">
        <v>48</v>
      </c>
      <c r="R43" s="20" t="s">
        <v>48</v>
      </c>
      <c r="S43" s="149" t="s">
        <v>48</v>
      </c>
      <c r="V43" s="140"/>
      <c r="W43" s="140"/>
      <c r="X43" s="141"/>
      <c r="Y43" s="130"/>
    </row>
    <row r="44">
      <c r="A44" s="142"/>
      <c r="B44" s="143" t="s">
        <v>42</v>
      </c>
      <c r="C44" s="32">
        <v>2150.0</v>
      </c>
      <c r="D44" s="75"/>
      <c r="E44" s="75"/>
      <c r="F44" s="75"/>
      <c r="G44" s="75"/>
      <c r="H44" s="75"/>
      <c r="I44" s="75"/>
      <c r="J44" s="24"/>
      <c r="K44" s="25"/>
      <c r="L44" s="24"/>
      <c r="M44" s="34">
        <v>200.0</v>
      </c>
      <c r="N44" s="27"/>
      <c r="O44" s="27"/>
      <c r="P44" s="27"/>
      <c r="Q44" s="27"/>
      <c r="R44" s="28">
        <v>100.0</v>
      </c>
      <c r="S44" s="29"/>
      <c r="V44" s="153" t="s">
        <v>48</v>
      </c>
      <c r="W44" s="153">
        <v>-75.28</v>
      </c>
      <c r="X44" s="154">
        <v>-26.01</v>
      </c>
      <c r="Y44" s="130">
        <f>sum(W44,-X44)</f>
        <v>-49.27</v>
      </c>
    </row>
    <row r="45">
      <c r="A45" s="142"/>
      <c r="B45" s="143" t="s">
        <v>91</v>
      </c>
      <c r="C45" s="67"/>
      <c r="D45" s="70"/>
      <c r="E45" s="70"/>
      <c r="F45" s="70"/>
      <c r="G45" s="70"/>
      <c r="H45" s="70"/>
      <c r="I45" s="70"/>
      <c r="J45" s="147" t="s">
        <v>48</v>
      </c>
      <c r="K45" s="148" t="s">
        <v>48</v>
      </c>
      <c r="L45" s="20">
        <v>-52.11</v>
      </c>
      <c r="M45" s="20">
        <v>-35.0</v>
      </c>
      <c r="N45" s="20">
        <v>-65.0</v>
      </c>
      <c r="O45" s="20">
        <v>452.1</v>
      </c>
      <c r="P45" s="20">
        <v>-37.17</v>
      </c>
      <c r="Q45" s="20">
        <v>-18.31</v>
      </c>
      <c r="R45" s="20" t="s">
        <v>48</v>
      </c>
      <c r="S45" s="149" t="s">
        <v>48</v>
      </c>
      <c r="V45" s="155"/>
      <c r="W45" s="88"/>
      <c r="X45" s="88"/>
      <c r="Y45" s="156"/>
    </row>
    <row r="46">
      <c r="A46" s="142"/>
      <c r="B46" s="143" t="s">
        <v>44</v>
      </c>
      <c r="C46" s="32">
        <v>2400.0</v>
      </c>
      <c r="D46" s="75"/>
      <c r="E46" s="75"/>
      <c r="F46" s="75"/>
      <c r="G46" s="75"/>
      <c r="H46" s="75"/>
      <c r="I46" s="75"/>
      <c r="J46" s="24"/>
      <c r="K46" s="25"/>
      <c r="L46" s="24"/>
      <c r="M46" s="34">
        <v>450.0</v>
      </c>
      <c r="N46" s="27"/>
      <c r="O46" s="27"/>
      <c r="P46" s="27"/>
      <c r="Q46" s="27"/>
      <c r="R46" s="28">
        <v>150.0</v>
      </c>
      <c r="S46" s="43"/>
    </row>
    <row r="47">
      <c r="A47" s="157"/>
      <c r="B47" s="158" t="s">
        <v>48</v>
      </c>
      <c r="C47" s="88"/>
      <c r="D47" s="86"/>
      <c r="E47" s="86"/>
      <c r="F47" s="86"/>
      <c r="G47" s="86"/>
      <c r="H47" s="86"/>
      <c r="I47" s="86"/>
      <c r="J47" s="83">
        <v>-71.13</v>
      </c>
      <c r="K47" s="159">
        <v>-69.46</v>
      </c>
      <c r="L47" s="83">
        <v>-69.84</v>
      </c>
      <c r="M47" s="83">
        <v>-61.89</v>
      </c>
      <c r="N47" s="83" t="s">
        <v>48</v>
      </c>
      <c r="O47" s="83">
        <v>-68.19</v>
      </c>
      <c r="P47" s="83">
        <v>-70.29</v>
      </c>
      <c r="Q47" s="83">
        <v>-51.5</v>
      </c>
      <c r="R47" s="83">
        <v>-74.87</v>
      </c>
      <c r="S47" s="160">
        <v>-75.28</v>
      </c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</row>
    <row r="48">
      <c r="A48" s="161" t="s">
        <v>92</v>
      </c>
      <c r="B48" s="161" t="s">
        <v>54</v>
      </c>
      <c r="C48" s="162">
        <v>-29.0</v>
      </c>
      <c r="D48" s="163">
        <f>pow(10, -10/10)</f>
        <v>0.1</v>
      </c>
      <c r="E48" s="163">
        <f>20*log10($AH$5/(C49*pow(10,6)) / (4 * pi() * $AC$24))</f>
        <v>-82.13278321</v>
      </c>
      <c r="F48" s="162">
        <v>6.0</v>
      </c>
      <c r="G48" s="163">
        <f>10 * log10((1-D48) * pow(10, C48/10)) + E48 + F48</f>
        <v>-105.5903581</v>
      </c>
      <c r="H48" s="163"/>
      <c r="I48" s="162">
        <v>6.0</v>
      </c>
      <c r="J48" s="15">
        <f>10 * log10((1-D48)* pow(10, G48/10))+I48</f>
        <v>-100.047933</v>
      </c>
      <c r="K48" s="164">
        <f>J48+'Full Sheet'!$M$26</f>
        <v>-101.5757768</v>
      </c>
      <c r="L48" s="163">
        <f>K48+'Full Sheet'!$N$26</f>
        <v>-64.07767677</v>
      </c>
      <c r="M48" s="163">
        <f>L48+'Full Sheet'!$O$26</f>
        <v>-69.74899166</v>
      </c>
      <c r="N48" s="163">
        <f>M48+'Full Sheet'!$S$26</f>
        <v>-74.74899166</v>
      </c>
      <c r="O48" s="163">
        <f>N48+'Full Sheet'!$P$26</f>
        <v>-42.73959166</v>
      </c>
      <c r="P48" s="163">
        <f>O48+'Full Sheet'!$Q$3</f>
        <v>-43.73959166</v>
      </c>
      <c r="Q48" s="163">
        <f>P48+'Amplifier ZFL-1000LN'!$B$2</f>
        <v>-19.73959166</v>
      </c>
      <c r="R48" s="163">
        <f>Q48+'Full Sheet'!$T$26</f>
        <v>-25.53981916</v>
      </c>
      <c r="S48" s="165">
        <f>R48+'Full Sheet'!$U$3</f>
        <v>-26.07537472</v>
      </c>
      <c r="U48" s="20" t="s">
        <v>56</v>
      </c>
    </row>
    <row r="49">
      <c r="A49" s="166"/>
      <c r="B49" s="161" t="s">
        <v>58</v>
      </c>
      <c r="C49" s="23">
        <v>2259.0</v>
      </c>
      <c r="D49" s="24"/>
      <c r="E49" s="24"/>
      <c r="F49" s="24"/>
      <c r="G49" s="24"/>
      <c r="H49" s="24"/>
      <c r="I49" s="24"/>
      <c r="J49" s="24"/>
      <c r="K49" s="25"/>
      <c r="L49" s="24"/>
      <c r="M49" s="26">
        <v>309.0</v>
      </c>
      <c r="N49" s="27"/>
      <c r="O49" s="27"/>
      <c r="P49" s="27"/>
      <c r="Q49" s="27"/>
      <c r="R49" s="28">
        <v>1.0</v>
      </c>
      <c r="S49" s="167"/>
    </row>
    <row r="50">
      <c r="A50" s="166"/>
      <c r="B50" s="161" t="s">
        <v>60</v>
      </c>
      <c r="C50" s="162">
        <v>-29.0</v>
      </c>
      <c r="D50" s="163">
        <f>pow(10, -10/10)</f>
        <v>0.1</v>
      </c>
      <c r="E50" s="163">
        <f>20*log10($AH$5/(C51*pow(10,6)) / (4 * pi() * $AC$24))</f>
        <v>-82.27389627</v>
      </c>
      <c r="F50" s="162">
        <v>6.0</v>
      </c>
      <c r="G50" s="163">
        <f>10 * log10((1-D50) * pow(10, C50/10)) + E50 + F50</f>
        <v>-105.7314712</v>
      </c>
      <c r="H50" s="163"/>
      <c r="I50" s="162">
        <v>6.0</v>
      </c>
      <c r="J50" s="15">
        <f>10 * log10((1-D50)* pow(10, G50/10))+I50</f>
        <v>-100.1890461</v>
      </c>
      <c r="K50" s="164">
        <f>J50+'Full Sheet'!$M$28</f>
        <v>-101.7041711</v>
      </c>
      <c r="L50" s="163">
        <f>K50+'Full Sheet'!$N$28</f>
        <v>-64.39057108</v>
      </c>
      <c r="M50" s="163">
        <f>L50+'Full Sheet'!$O$28</f>
        <v>-70.06188596</v>
      </c>
      <c r="N50" s="163">
        <f>M50+'Full Sheet'!$S$28</f>
        <v>-75.66188596</v>
      </c>
      <c r="O50" s="163">
        <f>N50+'Full Sheet'!$P$28</f>
        <v>-42.66828596</v>
      </c>
      <c r="P50" s="163">
        <f>O50+'Full Sheet'!$Q$5</f>
        <v>-43.66828596</v>
      </c>
      <c r="Q50" s="163">
        <f>P50+'Amplifier ZFL-1000LN'!$B$3</f>
        <v>-19.66828596</v>
      </c>
      <c r="R50" s="163">
        <f>Q50+'Full Sheet'!$T$28</f>
        <v>-25.46851347</v>
      </c>
      <c r="S50" s="165">
        <f>R50+'Full Sheet'!$U$5</f>
        <v>-26.84451347</v>
      </c>
      <c r="U50" s="20" t="s">
        <v>61</v>
      </c>
    </row>
    <row r="51">
      <c r="A51" s="166"/>
      <c r="B51" s="161" t="s">
        <v>62</v>
      </c>
      <c r="C51" s="32">
        <v>2296.0</v>
      </c>
      <c r="D51" s="24"/>
      <c r="E51" s="24"/>
      <c r="F51" s="24"/>
      <c r="G51" s="24"/>
      <c r="H51" s="24"/>
      <c r="I51" s="24"/>
      <c r="J51" s="24"/>
      <c r="K51" s="25"/>
      <c r="L51" s="24"/>
      <c r="M51" s="34">
        <v>346.0</v>
      </c>
      <c r="N51" s="27"/>
      <c r="O51" s="27"/>
      <c r="P51" s="27"/>
      <c r="Q51" s="27"/>
      <c r="R51" s="28">
        <v>45.0</v>
      </c>
      <c r="S51" s="167"/>
    </row>
    <row r="52">
      <c r="A52" s="166"/>
      <c r="B52" s="161" t="s">
        <v>41</v>
      </c>
      <c r="C52" s="162">
        <v>-29.0</v>
      </c>
      <c r="D52" s="163">
        <f>pow(10, -10/10)</f>
        <v>0.1</v>
      </c>
      <c r="E52" s="163">
        <f>20*log10($AH$5/(C53*pow(10,6)) / (4 * pi() * $AC$24))</f>
        <v>-81.70322779</v>
      </c>
      <c r="F52" s="162">
        <v>6.0</v>
      </c>
      <c r="G52" s="163">
        <f>10 * log10((1-D52) * pow(10, C52/10)) + E52 + F52</f>
        <v>-105.1608027</v>
      </c>
      <c r="H52" s="163"/>
      <c r="I52" s="162">
        <v>6.0</v>
      </c>
      <c r="J52" s="15">
        <f>10 * log10((1-D52)* pow(10, G52/10))+I52</f>
        <v>-99.6183776</v>
      </c>
      <c r="K52" s="164">
        <f>J52+'Full Sheet'!$M$30</f>
        <v>-100.9636901</v>
      </c>
      <c r="L52" s="163">
        <f>K52+'Full Sheet'!$N$30</f>
        <v>-63.0011901</v>
      </c>
      <c r="M52" s="163">
        <f>L52+'Full Sheet'!$O$30</f>
        <v>-68.67250499</v>
      </c>
      <c r="N52" s="163">
        <f>M52+'Full Sheet'!$S$30</f>
        <v>-92.67250499</v>
      </c>
      <c r="O52" s="163">
        <f>N52+'Full Sheet'!$P$30</f>
        <v>-63.56250499</v>
      </c>
      <c r="P52" s="163">
        <f>O52+'Full Sheet'!$Q$7</f>
        <v>-64.56250499</v>
      </c>
      <c r="Q52" s="163">
        <f>P52+'Amplifier ZFL-1000LN'!$B$4</f>
        <v>-40.56250499</v>
      </c>
      <c r="R52" s="163">
        <f>Q52+'Full Sheet'!$T$30</f>
        <v>-46.36273249</v>
      </c>
      <c r="S52" s="165">
        <f>R52+'Full Sheet'!$U$7</f>
        <v>-106.2527325</v>
      </c>
      <c r="U52" s="20" t="s">
        <v>64</v>
      </c>
    </row>
    <row r="53">
      <c r="A53" s="166"/>
      <c r="B53" s="161" t="s">
        <v>42</v>
      </c>
      <c r="C53" s="32">
        <v>2150.0</v>
      </c>
      <c r="D53" s="24"/>
      <c r="E53" s="24"/>
      <c r="F53" s="24"/>
      <c r="G53" s="24"/>
      <c r="H53" s="24"/>
      <c r="I53" s="24"/>
      <c r="J53" s="24"/>
      <c r="K53" s="25"/>
      <c r="L53" s="24"/>
      <c r="M53" s="34">
        <v>200.0</v>
      </c>
      <c r="N53" s="27"/>
      <c r="O53" s="27"/>
      <c r="P53" s="27"/>
      <c r="Q53" s="27"/>
      <c r="R53" s="28">
        <v>100.0</v>
      </c>
      <c r="S53" s="167"/>
    </row>
    <row r="54">
      <c r="A54" s="166"/>
      <c r="B54" s="161" t="s">
        <v>43</v>
      </c>
      <c r="C54" s="162">
        <v>-29.0</v>
      </c>
      <c r="D54" s="163">
        <f>pow(10, -10/10)</f>
        <v>0.1</v>
      </c>
      <c r="E54" s="163">
        <f>20*log10($AH$5/(C55*pow(10,6)) / (4 * pi() * $AC$24))</f>
        <v>-82.65868343</v>
      </c>
      <c r="F54" s="162">
        <v>6.0</v>
      </c>
      <c r="G54" s="163">
        <f>10 * log10((1-D54) * pow(10, C54/10)) + E54 + F54</f>
        <v>-106.1162583</v>
      </c>
      <c r="H54" s="163"/>
      <c r="I54" s="162">
        <v>6.0</v>
      </c>
      <c r="J54" s="15">
        <f>10 * log10((1-D54)* pow(10, G54/10))+I54</f>
        <v>-100.5738332</v>
      </c>
      <c r="K54" s="164">
        <f>J54+'Full Sheet'!$M$32</f>
        <v>-102.1282082</v>
      </c>
      <c r="L54" s="163">
        <f>K54+'Full Sheet'!$N$32</f>
        <v>-65.21820824</v>
      </c>
      <c r="M54" s="163">
        <f>L54+'Full Sheet'!$O$32</f>
        <v>-70.88952312</v>
      </c>
      <c r="N54" s="163">
        <f>M54+'Full Sheet'!$S$32</f>
        <v>-90.88952312</v>
      </c>
      <c r="O54" s="163">
        <f>N54+'Full Sheet'!$P$32</f>
        <v>-55.12952312</v>
      </c>
      <c r="P54" s="163">
        <f>O54+'Full Sheet'!$Q$9</f>
        <v>-56.12952312</v>
      </c>
      <c r="Q54" s="163">
        <f>P54+'Amplifier ZFL-1000LN'!$B$5</f>
        <v>-32.12952312</v>
      </c>
      <c r="R54" s="163">
        <f>Q54+'Full Sheet'!$T$32</f>
        <v>-37.92975063</v>
      </c>
      <c r="S54" s="165">
        <f>R54+'Full Sheet'!$U$9</f>
        <v>-94.55975063</v>
      </c>
      <c r="U54" s="20" t="s">
        <v>69</v>
      </c>
    </row>
    <row r="55">
      <c r="A55" s="166"/>
      <c r="B55" s="161" t="s">
        <v>44</v>
      </c>
      <c r="C55" s="32">
        <v>2400.0</v>
      </c>
      <c r="D55" s="24"/>
      <c r="E55" s="24"/>
      <c r="F55" s="24"/>
      <c r="G55" s="24"/>
      <c r="H55" s="24"/>
      <c r="I55" s="24"/>
      <c r="J55" s="24"/>
      <c r="K55" s="25"/>
      <c r="L55" s="24"/>
      <c r="M55" s="34">
        <v>450.0</v>
      </c>
      <c r="N55" s="27"/>
      <c r="O55" s="27"/>
      <c r="P55" s="27"/>
      <c r="Q55" s="27"/>
      <c r="R55" s="28">
        <v>150.0</v>
      </c>
      <c r="S55" s="29"/>
    </row>
    <row r="56">
      <c r="A56" s="168" t="s">
        <v>93</v>
      </c>
      <c r="B56" s="168" t="s">
        <v>54</v>
      </c>
      <c r="C56" s="169">
        <v>-29.0</v>
      </c>
      <c r="D56" s="170"/>
      <c r="E56" s="170"/>
      <c r="F56" s="170"/>
      <c r="G56" s="170"/>
      <c r="H56" s="170"/>
      <c r="I56" s="170"/>
      <c r="J56" s="171"/>
      <c r="K56" s="61"/>
      <c r="L56" s="62"/>
      <c r="M56" s="62"/>
      <c r="N56" s="62"/>
      <c r="O56" s="62"/>
      <c r="P56" s="62"/>
      <c r="Q56" s="62"/>
      <c r="R56" s="62"/>
      <c r="S56" s="172" t="s">
        <v>48</v>
      </c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</row>
    <row r="57">
      <c r="A57" s="173"/>
      <c r="B57" s="174" t="s">
        <v>58</v>
      </c>
      <c r="C57" s="23">
        <v>2259.0</v>
      </c>
      <c r="D57" s="175"/>
      <c r="E57" s="175"/>
      <c r="F57" s="175"/>
      <c r="G57" s="175"/>
      <c r="H57" s="175"/>
      <c r="I57" s="175"/>
      <c r="J57" s="175"/>
      <c r="K57" s="69"/>
      <c r="L57" s="70"/>
      <c r="M57" s="70"/>
      <c r="N57" s="70"/>
      <c r="O57" s="70"/>
      <c r="P57" s="70"/>
      <c r="Q57" s="70"/>
      <c r="R57" s="70"/>
      <c r="S57" s="99">
        <v>1.0</v>
      </c>
    </row>
    <row r="58">
      <c r="A58" s="173"/>
      <c r="B58" s="174" t="s">
        <v>60</v>
      </c>
      <c r="C58" s="169">
        <v>-29.0</v>
      </c>
      <c r="D58" s="175"/>
      <c r="E58" s="175"/>
      <c r="F58" s="175"/>
      <c r="G58" s="175"/>
      <c r="H58" s="175"/>
      <c r="I58" s="175"/>
      <c r="J58" s="175"/>
      <c r="K58" s="69"/>
      <c r="L58" s="70"/>
      <c r="M58" s="70"/>
      <c r="N58" s="70"/>
      <c r="O58" s="70"/>
      <c r="P58" s="70"/>
      <c r="Q58" s="70"/>
      <c r="R58" s="70"/>
      <c r="S58" s="176">
        <v>-76.26</v>
      </c>
    </row>
    <row r="59">
      <c r="A59" s="173"/>
      <c r="B59" s="174" t="s">
        <v>62</v>
      </c>
      <c r="C59" s="32">
        <v>2296.0</v>
      </c>
      <c r="D59" s="175"/>
      <c r="E59" s="175"/>
      <c r="F59" s="175"/>
      <c r="G59" s="175"/>
      <c r="H59" s="175"/>
      <c r="I59" s="175"/>
      <c r="J59" s="175"/>
      <c r="K59" s="69"/>
      <c r="L59" s="70"/>
      <c r="M59" s="70"/>
      <c r="N59" s="70"/>
      <c r="O59" s="70"/>
      <c r="P59" s="70"/>
      <c r="Q59" s="70"/>
      <c r="R59" s="70"/>
      <c r="S59" s="99">
        <v>41.39</v>
      </c>
    </row>
    <row r="60">
      <c r="A60" s="173"/>
      <c r="B60" s="174" t="s">
        <v>41</v>
      </c>
      <c r="C60" s="169">
        <v>-29.0</v>
      </c>
      <c r="D60" s="175"/>
      <c r="E60" s="175"/>
      <c r="F60" s="175"/>
      <c r="G60" s="175"/>
      <c r="H60" s="175"/>
      <c r="I60" s="175"/>
      <c r="J60" s="175"/>
      <c r="K60" s="69"/>
      <c r="L60" s="79" t="str">
        <f>pow(10, -#REF!/10)</f>
        <v>#REF!</v>
      </c>
      <c r="M60" s="70"/>
      <c r="N60" s="70"/>
      <c r="O60" s="70"/>
      <c r="P60" s="70"/>
      <c r="Q60" s="70"/>
      <c r="R60" s="70"/>
      <c r="S60" s="177" t="s">
        <v>48</v>
      </c>
    </row>
    <row r="61">
      <c r="A61" s="173"/>
      <c r="B61" s="174" t="s">
        <v>42</v>
      </c>
      <c r="C61" s="32">
        <v>2150.0</v>
      </c>
      <c r="D61" s="175"/>
      <c r="E61" s="175"/>
      <c r="F61" s="175"/>
      <c r="G61" s="175"/>
      <c r="H61" s="175"/>
      <c r="I61" s="175"/>
      <c r="J61" s="175"/>
      <c r="K61" s="69"/>
      <c r="L61" s="70"/>
      <c r="M61" s="70"/>
      <c r="N61" s="70"/>
      <c r="O61" s="70"/>
      <c r="P61" s="70"/>
      <c r="Q61" s="70"/>
      <c r="R61" s="70"/>
      <c r="S61" s="99">
        <v>100.0</v>
      </c>
    </row>
    <row r="62">
      <c r="A62" s="173"/>
      <c r="B62" s="174" t="s">
        <v>43</v>
      </c>
      <c r="C62" s="169">
        <v>-29.0</v>
      </c>
      <c r="D62" s="175"/>
      <c r="E62" s="175"/>
      <c r="F62" s="175"/>
      <c r="G62" s="175"/>
      <c r="H62" s="175"/>
      <c r="I62" s="175"/>
      <c r="J62" s="175"/>
      <c r="K62" s="69"/>
      <c r="L62" s="70"/>
      <c r="M62" s="70"/>
      <c r="N62" s="70"/>
      <c r="O62" s="70"/>
      <c r="P62" s="70"/>
      <c r="Q62" s="70"/>
      <c r="R62" s="70"/>
      <c r="S62" s="177" t="s">
        <v>48</v>
      </c>
    </row>
    <row r="63">
      <c r="A63" s="173"/>
      <c r="B63" s="174" t="s">
        <v>44</v>
      </c>
      <c r="C63" s="32">
        <v>2400.0</v>
      </c>
      <c r="D63" s="175"/>
      <c r="E63" s="175"/>
      <c r="F63" s="175"/>
      <c r="G63" s="175"/>
      <c r="H63" s="175"/>
      <c r="I63" s="175"/>
      <c r="J63" s="70"/>
      <c r="K63" s="69"/>
      <c r="L63" s="70"/>
      <c r="M63" s="70"/>
      <c r="N63" s="70"/>
      <c r="O63" s="70"/>
      <c r="P63" s="70"/>
      <c r="Q63" s="70"/>
      <c r="R63" s="70"/>
      <c r="S63" s="99">
        <v>150.0</v>
      </c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</row>
    <row r="64">
      <c r="A64" s="173"/>
      <c r="B64" s="174" t="s">
        <v>94</v>
      </c>
      <c r="C64" s="23">
        <v>-82.0</v>
      </c>
      <c r="D64" s="175"/>
      <c r="E64" s="175"/>
      <c r="F64" s="175"/>
      <c r="G64" s="175"/>
      <c r="H64" s="175"/>
      <c r="I64" s="175"/>
      <c r="J64" s="70"/>
      <c r="K64" s="69"/>
      <c r="L64" s="70"/>
      <c r="M64" s="70"/>
      <c r="N64" s="70"/>
      <c r="O64" s="70"/>
      <c r="P64" s="70"/>
      <c r="Q64" s="70"/>
      <c r="R64" s="70"/>
      <c r="S64" s="99">
        <v>-82.0</v>
      </c>
    </row>
    <row r="65">
      <c r="A65" s="1"/>
      <c r="B65" s="1"/>
      <c r="K65" s="178"/>
      <c r="S65" s="53"/>
    </row>
    <row r="66">
      <c r="A66" s="179"/>
      <c r="B66" s="6"/>
      <c r="K66" s="178"/>
      <c r="S66" s="53"/>
    </row>
    <row r="67">
      <c r="A67" s="6"/>
      <c r="B67" s="6"/>
      <c r="K67" s="178"/>
      <c r="S67" s="53"/>
    </row>
    <row r="68">
      <c r="K68" s="178"/>
      <c r="S68" s="53"/>
    </row>
    <row r="69">
      <c r="A69" s="6"/>
      <c r="B69" s="6"/>
      <c r="K69" s="178"/>
      <c r="S69" s="53"/>
    </row>
    <row r="70">
      <c r="A70" s="6"/>
      <c r="B70" s="6"/>
      <c r="K70" s="178"/>
      <c r="S70" s="53"/>
    </row>
    <row r="71">
      <c r="A71" s="6"/>
      <c r="B71" s="6"/>
      <c r="K71" s="178"/>
      <c r="S71" s="53"/>
    </row>
    <row r="72">
      <c r="A72" s="6"/>
      <c r="B72" s="6"/>
      <c r="K72" s="178"/>
      <c r="S72" s="53"/>
    </row>
    <row r="73">
      <c r="A73" s="6"/>
      <c r="B73" s="6"/>
      <c r="K73" s="178"/>
      <c r="S73" s="53"/>
    </row>
    <row r="74">
      <c r="A74" s="6"/>
      <c r="B74" s="6"/>
      <c r="K74" s="178"/>
      <c r="S74" s="53"/>
    </row>
    <row r="75">
      <c r="A75" s="6"/>
      <c r="B75" s="6"/>
      <c r="K75" s="178"/>
      <c r="S75" s="53"/>
    </row>
    <row r="76">
      <c r="A76" s="6"/>
      <c r="B76" s="6"/>
      <c r="K76" s="178"/>
      <c r="S76" s="53"/>
    </row>
    <row r="77">
      <c r="A77" s="6"/>
      <c r="B77" s="6"/>
      <c r="K77" s="178"/>
      <c r="S77" s="53"/>
    </row>
    <row r="78">
      <c r="A78" s="6"/>
      <c r="B78" s="6"/>
      <c r="K78" s="178"/>
      <c r="S78" s="53"/>
    </row>
    <row r="79">
      <c r="A79" s="6"/>
      <c r="B79" s="6"/>
      <c r="K79" s="178"/>
      <c r="S79" s="53"/>
    </row>
    <row r="80">
      <c r="A80" s="6"/>
      <c r="B80" s="6"/>
      <c r="K80" s="178"/>
      <c r="S80" s="53"/>
    </row>
    <row r="81">
      <c r="A81" s="6"/>
      <c r="B81" s="6"/>
      <c r="K81" s="178"/>
      <c r="S81" s="53"/>
    </row>
    <row r="82">
      <c r="A82" s="6"/>
      <c r="B82" s="6"/>
      <c r="K82" s="178"/>
      <c r="S82" s="53"/>
    </row>
    <row r="83">
      <c r="A83" s="6"/>
      <c r="B83" s="6"/>
      <c r="K83" s="178"/>
      <c r="S83" s="53"/>
    </row>
    <row r="84">
      <c r="A84" s="6"/>
      <c r="B84" s="6"/>
      <c r="K84" s="178"/>
      <c r="S84" s="53"/>
    </row>
    <row r="85">
      <c r="A85" s="6"/>
      <c r="B85" s="6"/>
      <c r="K85" s="178"/>
      <c r="S85" s="53"/>
    </row>
    <row r="86">
      <c r="A86" s="6"/>
      <c r="B86" s="6"/>
      <c r="K86" s="178"/>
      <c r="S86" s="53"/>
    </row>
    <row r="87">
      <c r="A87" s="6"/>
      <c r="B87" s="6"/>
      <c r="K87" s="178"/>
      <c r="S87" s="53"/>
    </row>
    <row r="88">
      <c r="A88" s="6"/>
      <c r="B88" s="6"/>
      <c r="K88" s="178"/>
      <c r="S88" s="53"/>
    </row>
    <row r="89">
      <c r="A89" s="6"/>
      <c r="B89" s="6"/>
      <c r="K89" s="178"/>
      <c r="S89" s="53"/>
    </row>
    <row r="90">
      <c r="A90" s="6"/>
      <c r="B90" s="6"/>
      <c r="K90" s="178"/>
      <c r="S90" s="53"/>
    </row>
    <row r="91">
      <c r="A91" s="6"/>
      <c r="B91" s="6"/>
      <c r="K91" s="178"/>
      <c r="S91" s="53"/>
    </row>
    <row r="92">
      <c r="A92" s="6"/>
      <c r="B92" s="6"/>
      <c r="K92" s="178"/>
      <c r="S92" s="53"/>
    </row>
    <row r="93">
      <c r="A93" s="6"/>
      <c r="B93" s="6"/>
      <c r="K93" s="178"/>
      <c r="S93" s="53"/>
    </row>
    <row r="94">
      <c r="A94" s="6"/>
      <c r="B94" s="6"/>
      <c r="K94" s="178"/>
      <c r="S94" s="53"/>
    </row>
    <row r="95">
      <c r="A95" s="6"/>
      <c r="B95" s="6"/>
      <c r="K95" s="178"/>
      <c r="S95" s="53"/>
    </row>
    <row r="96">
      <c r="A96" s="6"/>
      <c r="B96" s="6"/>
      <c r="K96" s="178"/>
      <c r="S96" s="53"/>
    </row>
    <row r="97">
      <c r="A97" s="6"/>
      <c r="B97" s="6"/>
      <c r="K97" s="178"/>
      <c r="S97" s="53"/>
    </row>
    <row r="98">
      <c r="A98" s="6"/>
      <c r="B98" s="6"/>
      <c r="K98" s="178"/>
      <c r="S98" s="53"/>
    </row>
    <row r="99">
      <c r="A99" s="6"/>
      <c r="B99" s="6"/>
      <c r="K99" s="178"/>
      <c r="S99" s="53"/>
    </row>
    <row r="100">
      <c r="A100" s="6"/>
      <c r="B100" s="6"/>
      <c r="K100" s="178"/>
      <c r="S100" s="53"/>
    </row>
    <row r="101">
      <c r="A101" s="6"/>
      <c r="B101" s="6"/>
      <c r="K101" s="178"/>
      <c r="S101" s="53"/>
    </row>
    <row r="102">
      <c r="A102" s="6"/>
      <c r="B102" s="6"/>
      <c r="K102" s="178"/>
      <c r="S102" s="53"/>
    </row>
    <row r="103">
      <c r="A103" s="6"/>
      <c r="B103" s="6"/>
      <c r="K103" s="178"/>
      <c r="S103" s="53"/>
    </row>
    <row r="104">
      <c r="A104" s="6"/>
      <c r="B104" s="6"/>
      <c r="K104" s="178"/>
      <c r="S104" s="53"/>
    </row>
    <row r="105">
      <c r="A105" s="6"/>
      <c r="B105" s="6"/>
      <c r="K105" s="178"/>
      <c r="S105" s="53"/>
    </row>
    <row r="106">
      <c r="A106" s="6"/>
      <c r="B106" s="6"/>
      <c r="K106" s="178"/>
      <c r="S106" s="53"/>
    </row>
    <row r="107">
      <c r="A107" s="6"/>
      <c r="B107" s="6"/>
      <c r="K107" s="178"/>
      <c r="S107" s="53"/>
    </row>
    <row r="108">
      <c r="A108" s="6"/>
      <c r="B108" s="6"/>
      <c r="K108" s="178"/>
      <c r="S108" s="53"/>
    </row>
    <row r="109">
      <c r="A109" s="6"/>
      <c r="B109" s="6"/>
      <c r="K109" s="178"/>
      <c r="S109" s="53"/>
    </row>
    <row r="110">
      <c r="A110" s="6"/>
      <c r="B110" s="6"/>
      <c r="K110" s="178"/>
      <c r="S110" s="53"/>
    </row>
    <row r="111">
      <c r="A111" s="6"/>
      <c r="B111" s="6"/>
      <c r="K111" s="178"/>
      <c r="S111" s="53"/>
    </row>
    <row r="112">
      <c r="A112" s="6"/>
      <c r="B112" s="6"/>
      <c r="K112" s="178"/>
      <c r="S112" s="53"/>
    </row>
    <row r="113">
      <c r="A113" s="6"/>
      <c r="B113" s="6"/>
      <c r="K113" s="178"/>
      <c r="S113" s="53"/>
    </row>
    <row r="114">
      <c r="A114" s="6"/>
      <c r="B114" s="6"/>
      <c r="K114" s="178"/>
      <c r="S114" s="53"/>
    </row>
    <row r="115">
      <c r="A115" s="6"/>
      <c r="B115" s="6"/>
      <c r="K115" s="178"/>
      <c r="S115" s="53"/>
    </row>
    <row r="116">
      <c r="A116" s="6"/>
      <c r="B116" s="6"/>
      <c r="K116" s="178"/>
      <c r="S116" s="53"/>
    </row>
    <row r="117">
      <c r="A117" s="6"/>
      <c r="B117" s="6"/>
      <c r="K117" s="178"/>
      <c r="S117" s="53"/>
    </row>
    <row r="118">
      <c r="A118" s="6"/>
      <c r="B118" s="6"/>
      <c r="K118" s="178"/>
      <c r="S118" s="53"/>
    </row>
    <row r="119">
      <c r="A119" s="6"/>
      <c r="B119" s="6"/>
      <c r="K119" s="178"/>
      <c r="S119" s="53"/>
    </row>
    <row r="120">
      <c r="A120" s="6"/>
      <c r="B120" s="6"/>
      <c r="K120" s="178"/>
      <c r="S120" s="53"/>
    </row>
    <row r="121">
      <c r="A121" s="6"/>
      <c r="B121" s="6"/>
      <c r="K121" s="178"/>
      <c r="S121" s="53"/>
    </row>
    <row r="122">
      <c r="A122" s="6"/>
      <c r="B122" s="6"/>
      <c r="K122" s="178"/>
      <c r="S122" s="53"/>
    </row>
    <row r="123">
      <c r="A123" s="6"/>
      <c r="B123" s="6"/>
      <c r="K123" s="178"/>
      <c r="S123" s="53"/>
    </row>
    <row r="124">
      <c r="A124" s="6"/>
      <c r="B124" s="6"/>
      <c r="K124" s="178"/>
      <c r="S124" s="53"/>
    </row>
    <row r="125">
      <c r="A125" s="6"/>
      <c r="B125" s="6"/>
      <c r="K125" s="178"/>
      <c r="S125" s="53"/>
    </row>
    <row r="126">
      <c r="A126" s="6"/>
      <c r="B126" s="6"/>
      <c r="K126" s="178"/>
      <c r="S126" s="53"/>
    </row>
    <row r="127">
      <c r="A127" s="6"/>
      <c r="B127" s="6"/>
      <c r="K127" s="178"/>
      <c r="S127" s="53"/>
    </row>
    <row r="128">
      <c r="A128" s="6"/>
      <c r="B128" s="6"/>
      <c r="K128" s="178"/>
      <c r="S128" s="53"/>
    </row>
    <row r="129">
      <c r="A129" s="6"/>
      <c r="B129" s="6"/>
      <c r="K129" s="178"/>
      <c r="S129" s="53"/>
    </row>
    <row r="130">
      <c r="A130" s="6"/>
      <c r="B130" s="6"/>
      <c r="K130" s="178"/>
      <c r="S130" s="53"/>
    </row>
    <row r="131">
      <c r="A131" s="6"/>
      <c r="B131" s="6"/>
      <c r="K131" s="178"/>
      <c r="S131" s="53"/>
    </row>
    <row r="132">
      <c r="A132" s="6"/>
      <c r="B132" s="6"/>
      <c r="K132" s="178"/>
      <c r="S132" s="53"/>
    </row>
    <row r="133">
      <c r="A133" s="6"/>
      <c r="B133" s="6"/>
      <c r="K133" s="178"/>
      <c r="S133" s="53"/>
    </row>
    <row r="134">
      <c r="A134" s="6"/>
      <c r="B134" s="6"/>
      <c r="K134" s="178"/>
      <c r="S134" s="53"/>
    </row>
    <row r="135">
      <c r="A135" s="6"/>
      <c r="B135" s="6"/>
      <c r="K135" s="178"/>
      <c r="S135" s="53"/>
    </row>
    <row r="136">
      <c r="A136" s="6"/>
      <c r="B136" s="6"/>
      <c r="K136" s="178"/>
      <c r="S136" s="53"/>
    </row>
    <row r="137">
      <c r="A137" s="6"/>
      <c r="B137" s="6"/>
      <c r="K137" s="178"/>
      <c r="S137" s="53"/>
    </row>
    <row r="138">
      <c r="A138" s="6"/>
      <c r="B138" s="6"/>
      <c r="K138" s="178"/>
      <c r="S138" s="53"/>
    </row>
    <row r="139">
      <c r="A139" s="6"/>
      <c r="B139" s="6"/>
      <c r="K139" s="178"/>
      <c r="S139" s="53"/>
    </row>
    <row r="140">
      <c r="A140" s="6"/>
      <c r="B140" s="6"/>
      <c r="K140" s="178"/>
      <c r="S140" s="53"/>
    </row>
    <row r="141">
      <c r="A141" s="6"/>
      <c r="B141" s="6"/>
      <c r="K141" s="178"/>
      <c r="S141" s="53"/>
    </row>
    <row r="142">
      <c r="A142" s="6"/>
      <c r="B142" s="6"/>
      <c r="K142" s="178"/>
      <c r="S142" s="53"/>
    </row>
    <row r="143">
      <c r="A143" s="6"/>
      <c r="B143" s="6"/>
      <c r="K143" s="178"/>
      <c r="S143" s="53"/>
    </row>
    <row r="144">
      <c r="A144" s="6"/>
      <c r="B144" s="6"/>
      <c r="K144" s="178"/>
      <c r="S144" s="53"/>
    </row>
    <row r="145">
      <c r="A145" s="6"/>
      <c r="B145" s="6"/>
      <c r="K145" s="178"/>
      <c r="S145" s="53"/>
    </row>
    <row r="146">
      <c r="A146" s="6"/>
      <c r="B146" s="6"/>
      <c r="K146" s="178"/>
      <c r="S146" s="53"/>
    </row>
    <row r="147">
      <c r="A147" s="6"/>
      <c r="B147" s="6"/>
      <c r="K147" s="178"/>
      <c r="S147" s="53"/>
    </row>
    <row r="148">
      <c r="A148" s="6"/>
      <c r="B148" s="6"/>
      <c r="K148" s="178"/>
      <c r="S148" s="53"/>
    </row>
    <row r="149">
      <c r="A149" s="6"/>
      <c r="B149" s="6"/>
      <c r="K149" s="178"/>
      <c r="S149" s="53"/>
    </row>
    <row r="150">
      <c r="A150" s="6"/>
      <c r="B150" s="6"/>
      <c r="K150" s="178"/>
      <c r="S150" s="53"/>
    </row>
    <row r="151">
      <c r="A151" s="6"/>
      <c r="B151" s="6"/>
      <c r="K151" s="178"/>
      <c r="S151" s="53"/>
    </row>
    <row r="152">
      <c r="A152" s="6"/>
      <c r="B152" s="6"/>
      <c r="K152" s="178"/>
      <c r="S152" s="53"/>
    </row>
    <row r="153">
      <c r="A153" s="6"/>
      <c r="B153" s="6"/>
      <c r="K153" s="178"/>
      <c r="S153" s="53"/>
    </row>
    <row r="154">
      <c r="A154" s="6"/>
      <c r="B154" s="6"/>
      <c r="K154" s="178"/>
      <c r="S154" s="53"/>
    </row>
    <row r="155">
      <c r="A155" s="6"/>
      <c r="B155" s="6"/>
      <c r="K155" s="178"/>
      <c r="S155" s="53"/>
    </row>
    <row r="156">
      <c r="A156" s="6"/>
      <c r="B156" s="6"/>
      <c r="K156" s="178"/>
      <c r="S156" s="53"/>
    </row>
    <row r="157">
      <c r="A157" s="6"/>
      <c r="B157" s="6"/>
      <c r="K157" s="178"/>
      <c r="S157" s="53"/>
    </row>
    <row r="158">
      <c r="A158" s="6"/>
      <c r="B158" s="6"/>
      <c r="K158" s="178"/>
      <c r="S158" s="53"/>
    </row>
    <row r="159">
      <c r="A159" s="6"/>
      <c r="B159" s="6"/>
      <c r="K159" s="178"/>
      <c r="S159" s="53"/>
    </row>
    <row r="160">
      <c r="A160" s="6"/>
      <c r="B160" s="6"/>
      <c r="K160" s="178"/>
      <c r="S160" s="53"/>
    </row>
    <row r="161">
      <c r="A161" s="6"/>
      <c r="B161" s="6"/>
      <c r="K161" s="178"/>
      <c r="S161" s="53"/>
    </row>
    <row r="162">
      <c r="A162" s="6"/>
      <c r="B162" s="6"/>
      <c r="K162" s="178"/>
      <c r="S162" s="53"/>
    </row>
    <row r="163">
      <c r="A163" s="6"/>
      <c r="B163" s="6"/>
      <c r="K163" s="178"/>
      <c r="S163" s="53"/>
    </row>
    <row r="164">
      <c r="A164" s="6"/>
      <c r="B164" s="6"/>
      <c r="K164" s="178"/>
      <c r="S164" s="53"/>
    </row>
    <row r="165">
      <c r="A165" s="6"/>
      <c r="B165" s="6"/>
      <c r="K165" s="178"/>
      <c r="S165" s="53"/>
    </row>
    <row r="166">
      <c r="A166" s="6"/>
      <c r="B166" s="6"/>
      <c r="K166" s="178"/>
      <c r="S166" s="53"/>
    </row>
    <row r="167">
      <c r="A167" s="6"/>
      <c r="B167" s="6"/>
      <c r="K167" s="178"/>
      <c r="S167" s="53"/>
    </row>
    <row r="168">
      <c r="A168" s="6"/>
      <c r="B168" s="6"/>
      <c r="K168" s="178"/>
      <c r="S168" s="53"/>
    </row>
    <row r="169">
      <c r="A169" s="6"/>
      <c r="B169" s="6"/>
      <c r="K169" s="178"/>
      <c r="S169" s="53"/>
    </row>
    <row r="170">
      <c r="A170" s="6"/>
      <c r="B170" s="6"/>
      <c r="K170" s="178"/>
      <c r="S170" s="53"/>
    </row>
    <row r="171">
      <c r="A171" s="6"/>
      <c r="B171" s="6"/>
      <c r="K171" s="178"/>
      <c r="S171" s="53"/>
    </row>
    <row r="172">
      <c r="A172" s="6"/>
      <c r="B172" s="6"/>
      <c r="K172" s="178"/>
      <c r="S172" s="53"/>
    </row>
    <row r="173">
      <c r="A173" s="6"/>
      <c r="B173" s="6"/>
      <c r="K173" s="178"/>
      <c r="S173" s="53"/>
    </row>
    <row r="174">
      <c r="A174" s="6"/>
      <c r="B174" s="6"/>
      <c r="K174" s="178"/>
      <c r="S174" s="53"/>
    </row>
    <row r="175">
      <c r="A175" s="6"/>
      <c r="B175" s="6"/>
      <c r="K175" s="178"/>
      <c r="S175" s="53"/>
    </row>
    <row r="176">
      <c r="A176" s="6"/>
      <c r="B176" s="6"/>
      <c r="K176" s="178"/>
      <c r="S176" s="53"/>
    </row>
    <row r="177">
      <c r="A177" s="6"/>
      <c r="B177" s="6"/>
      <c r="K177" s="178"/>
      <c r="S177" s="53"/>
    </row>
    <row r="178">
      <c r="A178" s="6"/>
      <c r="B178" s="6"/>
      <c r="K178" s="178"/>
      <c r="S178" s="53"/>
    </row>
    <row r="179">
      <c r="A179" s="6"/>
      <c r="B179" s="6"/>
      <c r="K179" s="178"/>
      <c r="S179" s="53"/>
    </row>
    <row r="180">
      <c r="A180" s="6"/>
      <c r="B180" s="6"/>
      <c r="K180" s="178"/>
      <c r="S180" s="53"/>
    </row>
    <row r="181">
      <c r="A181" s="6"/>
      <c r="B181" s="6"/>
      <c r="K181" s="178"/>
      <c r="S181" s="53"/>
    </row>
    <row r="182">
      <c r="A182" s="6"/>
      <c r="B182" s="6"/>
      <c r="K182" s="178"/>
      <c r="S182" s="53"/>
    </row>
    <row r="183">
      <c r="A183" s="6"/>
      <c r="B183" s="6"/>
      <c r="K183" s="178"/>
      <c r="S183" s="53"/>
    </row>
    <row r="184">
      <c r="A184" s="6"/>
      <c r="B184" s="6"/>
      <c r="K184" s="178"/>
      <c r="S184" s="53"/>
    </row>
    <row r="185">
      <c r="A185" s="6"/>
      <c r="B185" s="6"/>
      <c r="K185" s="178"/>
      <c r="S185" s="53"/>
    </row>
    <row r="186">
      <c r="A186" s="6"/>
      <c r="B186" s="6"/>
      <c r="K186" s="178"/>
      <c r="S186" s="53"/>
    </row>
    <row r="187">
      <c r="A187" s="6"/>
      <c r="B187" s="6"/>
      <c r="K187" s="178"/>
      <c r="S187" s="53"/>
    </row>
    <row r="188">
      <c r="A188" s="6"/>
      <c r="B188" s="6"/>
      <c r="K188" s="178"/>
      <c r="S188" s="53"/>
    </row>
    <row r="189">
      <c r="A189" s="6"/>
      <c r="B189" s="6"/>
      <c r="K189" s="178"/>
      <c r="S189" s="53"/>
    </row>
    <row r="190">
      <c r="A190" s="6"/>
      <c r="B190" s="6"/>
      <c r="K190" s="178"/>
      <c r="S190" s="53"/>
    </row>
    <row r="191">
      <c r="A191" s="6"/>
      <c r="B191" s="6"/>
      <c r="K191" s="178"/>
      <c r="S191" s="53"/>
    </row>
    <row r="192">
      <c r="A192" s="6"/>
      <c r="B192" s="6"/>
      <c r="K192" s="178"/>
      <c r="S192" s="53"/>
    </row>
    <row r="193">
      <c r="A193" s="6"/>
      <c r="B193" s="6"/>
      <c r="K193" s="178"/>
      <c r="S193" s="53"/>
    </row>
    <row r="194">
      <c r="A194" s="6"/>
      <c r="B194" s="6"/>
      <c r="K194" s="178"/>
      <c r="S194" s="53"/>
    </row>
    <row r="195">
      <c r="A195" s="6"/>
      <c r="B195" s="6"/>
      <c r="K195" s="178"/>
      <c r="S195" s="53"/>
    </row>
    <row r="196">
      <c r="A196" s="6"/>
      <c r="B196" s="6"/>
      <c r="K196" s="178"/>
      <c r="S196" s="53"/>
    </row>
    <row r="197">
      <c r="A197" s="6"/>
      <c r="B197" s="6"/>
      <c r="K197" s="178"/>
      <c r="S197" s="53"/>
    </row>
    <row r="198">
      <c r="A198" s="6"/>
      <c r="B198" s="6"/>
      <c r="K198" s="178"/>
      <c r="S198" s="53"/>
    </row>
    <row r="199">
      <c r="A199" s="6"/>
      <c r="B199" s="6"/>
      <c r="K199" s="178"/>
      <c r="S199" s="53"/>
    </row>
    <row r="200">
      <c r="A200" s="6"/>
      <c r="B200" s="6"/>
      <c r="K200" s="178"/>
      <c r="S200" s="53"/>
    </row>
    <row r="201">
      <c r="A201" s="6"/>
      <c r="B201" s="6"/>
      <c r="K201" s="178"/>
      <c r="S201" s="53"/>
    </row>
    <row r="202">
      <c r="A202" s="6"/>
      <c r="B202" s="6"/>
      <c r="K202" s="178"/>
      <c r="S202" s="53"/>
    </row>
    <row r="203">
      <c r="A203" s="6"/>
      <c r="B203" s="6"/>
      <c r="K203" s="178"/>
      <c r="S203" s="53"/>
    </row>
    <row r="204">
      <c r="A204" s="6"/>
      <c r="B204" s="6"/>
      <c r="K204" s="178"/>
      <c r="S204" s="53"/>
    </row>
    <row r="205">
      <c r="A205" s="6"/>
      <c r="B205" s="6"/>
      <c r="K205" s="178"/>
      <c r="S205" s="53"/>
    </row>
    <row r="206">
      <c r="A206" s="6"/>
      <c r="B206" s="6"/>
      <c r="K206" s="178"/>
      <c r="S206" s="53"/>
    </row>
    <row r="207">
      <c r="A207" s="6"/>
      <c r="B207" s="6"/>
      <c r="K207" s="178"/>
      <c r="S207" s="53"/>
    </row>
    <row r="208">
      <c r="A208" s="6"/>
      <c r="B208" s="6"/>
      <c r="K208" s="178"/>
      <c r="S208" s="53"/>
    </row>
    <row r="209">
      <c r="A209" s="6"/>
      <c r="B209" s="6"/>
      <c r="K209" s="178"/>
      <c r="S209" s="53"/>
    </row>
    <row r="210">
      <c r="A210" s="6"/>
      <c r="B210" s="6"/>
      <c r="K210" s="178"/>
      <c r="S210" s="53"/>
    </row>
    <row r="211">
      <c r="A211" s="6"/>
      <c r="B211" s="6"/>
      <c r="K211" s="178"/>
      <c r="S211" s="53"/>
    </row>
    <row r="212">
      <c r="A212" s="6"/>
      <c r="B212" s="6"/>
      <c r="K212" s="178"/>
      <c r="S212" s="53"/>
    </row>
    <row r="213">
      <c r="A213" s="6"/>
      <c r="B213" s="6"/>
      <c r="K213" s="178"/>
      <c r="S213" s="53"/>
    </row>
    <row r="214">
      <c r="A214" s="6"/>
      <c r="B214" s="6"/>
      <c r="K214" s="178"/>
      <c r="S214" s="53"/>
    </row>
    <row r="215">
      <c r="A215" s="6"/>
      <c r="B215" s="6"/>
      <c r="K215" s="178"/>
      <c r="S215" s="53"/>
    </row>
    <row r="216">
      <c r="A216" s="6"/>
      <c r="B216" s="6"/>
      <c r="K216" s="178"/>
      <c r="S216" s="53"/>
    </row>
    <row r="217">
      <c r="A217" s="6"/>
      <c r="B217" s="6"/>
      <c r="K217" s="178"/>
      <c r="S217" s="53"/>
    </row>
    <row r="218">
      <c r="A218" s="6"/>
      <c r="B218" s="6"/>
      <c r="K218" s="178"/>
      <c r="S218" s="53"/>
    </row>
    <row r="219">
      <c r="A219" s="6"/>
      <c r="B219" s="6"/>
      <c r="K219" s="178"/>
      <c r="S219" s="53"/>
    </row>
    <row r="220">
      <c r="A220" s="6"/>
      <c r="B220" s="6"/>
      <c r="K220" s="178"/>
      <c r="S220" s="53"/>
    </row>
    <row r="221">
      <c r="A221" s="6"/>
      <c r="B221" s="6"/>
      <c r="K221" s="178"/>
      <c r="S221" s="53"/>
    </row>
    <row r="222">
      <c r="A222" s="6"/>
      <c r="B222" s="6"/>
      <c r="K222" s="178"/>
      <c r="S222" s="53"/>
    </row>
    <row r="223">
      <c r="A223" s="6"/>
      <c r="B223" s="6"/>
      <c r="K223" s="178"/>
      <c r="S223" s="53"/>
    </row>
    <row r="224">
      <c r="A224" s="6"/>
      <c r="B224" s="6"/>
      <c r="K224" s="178"/>
      <c r="S224" s="53"/>
    </row>
    <row r="225">
      <c r="A225" s="6"/>
      <c r="B225" s="6"/>
      <c r="K225" s="178"/>
      <c r="S225" s="53"/>
    </row>
    <row r="226">
      <c r="A226" s="6"/>
      <c r="B226" s="6"/>
      <c r="K226" s="178"/>
      <c r="S226" s="53"/>
    </row>
    <row r="227">
      <c r="A227" s="6"/>
      <c r="B227" s="6"/>
      <c r="K227" s="178"/>
      <c r="S227" s="53"/>
    </row>
    <row r="228">
      <c r="A228" s="6"/>
      <c r="B228" s="6"/>
      <c r="K228" s="178"/>
      <c r="S228" s="53"/>
    </row>
    <row r="229">
      <c r="A229" s="6"/>
      <c r="B229" s="6"/>
      <c r="K229" s="178"/>
      <c r="S229" s="53"/>
    </row>
    <row r="230">
      <c r="A230" s="6"/>
      <c r="B230" s="6"/>
      <c r="K230" s="178"/>
      <c r="S230" s="53"/>
    </row>
    <row r="231">
      <c r="A231" s="6"/>
      <c r="B231" s="6"/>
      <c r="K231" s="178"/>
      <c r="S231" s="53"/>
    </row>
    <row r="232">
      <c r="A232" s="6"/>
      <c r="B232" s="6"/>
      <c r="K232" s="178"/>
      <c r="S232" s="53"/>
    </row>
    <row r="233">
      <c r="A233" s="6"/>
      <c r="B233" s="6"/>
      <c r="K233" s="178"/>
      <c r="S233" s="53"/>
    </row>
    <row r="234">
      <c r="A234" s="6"/>
      <c r="B234" s="6"/>
      <c r="K234" s="178"/>
      <c r="S234" s="53"/>
    </row>
    <row r="235">
      <c r="A235" s="6"/>
      <c r="B235" s="6"/>
      <c r="K235" s="178"/>
      <c r="S235" s="53"/>
    </row>
    <row r="236">
      <c r="A236" s="6"/>
      <c r="B236" s="6"/>
      <c r="K236" s="178"/>
      <c r="S236" s="53"/>
    </row>
    <row r="237">
      <c r="A237" s="6"/>
      <c r="B237" s="6"/>
      <c r="K237" s="178"/>
      <c r="S237" s="53"/>
    </row>
    <row r="238">
      <c r="A238" s="6"/>
      <c r="B238" s="6"/>
      <c r="K238" s="178"/>
      <c r="S238" s="53"/>
    </row>
    <row r="239">
      <c r="A239" s="6"/>
      <c r="B239" s="6"/>
      <c r="K239" s="178"/>
      <c r="S239" s="53"/>
    </row>
    <row r="240">
      <c r="A240" s="6"/>
      <c r="B240" s="6"/>
      <c r="K240" s="178"/>
      <c r="S240" s="53"/>
    </row>
    <row r="241">
      <c r="A241" s="6"/>
      <c r="B241" s="6"/>
      <c r="K241" s="178"/>
      <c r="S241" s="53"/>
    </row>
    <row r="242">
      <c r="A242" s="6"/>
      <c r="B242" s="6"/>
      <c r="K242" s="178"/>
      <c r="S242" s="53"/>
    </row>
    <row r="243">
      <c r="A243" s="6"/>
      <c r="B243" s="6"/>
      <c r="K243" s="178"/>
      <c r="S243" s="53"/>
    </row>
    <row r="244">
      <c r="A244" s="6"/>
      <c r="B244" s="6"/>
      <c r="K244" s="178"/>
      <c r="S244" s="53"/>
    </row>
    <row r="245">
      <c r="A245" s="6"/>
      <c r="B245" s="6"/>
      <c r="K245" s="178"/>
      <c r="S245" s="53"/>
    </row>
    <row r="246">
      <c r="A246" s="6"/>
      <c r="B246" s="6"/>
      <c r="K246" s="178"/>
      <c r="S246" s="53"/>
    </row>
    <row r="247">
      <c r="A247" s="6"/>
      <c r="B247" s="6"/>
      <c r="K247" s="178"/>
      <c r="S247" s="53"/>
    </row>
    <row r="248">
      <c r="A248" s="6"/>
      <c r="B248" s="6"/>
      <c r="K248" s="178"/>
      <c r="S248" s="53"/>
    </row>
    <row r="249">
      <c r="A249" s="6"/>
      <c r="B249" s="6"/>
      <c r="K249" s="178"/>
      <c r="S249" s="53"/>
    </row>
    <row r="250">
      <c r="A250" s="6"/>
      <c r="B250" s="6"/>
      <c r="K250" s="178"/>
      <c r="S250" s="53"/>
    </row>
    <row r="251">
      <c r="A251" s="6"/>
      <c r="B251" s="6"/>
      <c r="K251" s="178"/>
      <c r="S251" s="53"/>
    </row>
    <row r="252">
      <c r="A252" s="6"/>
      <c r="B252" s="6"/>
      <c r="K252" s="178"/>
      <c r="S252" s="53"/>
    </row>
    <row r="253">
      <c r="A253" s="6"/>
      <c r="B253" s="6"/>
      <c r="K253" s="178"/>
      <c r="S253" s="53"/>
    </row>
    <row r="254">
      <c r="A254" s="6"/>
      <c r="B254" s="6"/>
      <c r="K254" s="178"/>
      <c r="S254" s="53"/>
    </row>
    <row r="255">
      <c r="A255" s="6"/>
      <c r="B255" s="6"/>
      <c r="K255" s="178"/>
      <c r="S255" s="53"/>
    </row>
    <row r="256">
      <c r="A256" s="6"/>
      <c r="B256" s="6"/>
      <c r="K256" s="178"/>
      <c r="S256" s="53"/>
    </row>
    <row r="257">
      <c r="A257" s="6"/>
      <c r="B257" s="6"/>
      <c r="K257" s="178"/>
      <c r="S257" s="53"/>
    </row>
    <row r="258">
      <c r="A258" s="6"/>
      <c r="B258" s="6"/>
      <c r="K258" s="178"/>
      <c r="S258" s="53"/>
    </row>
    <row r="259">
      <c r="A259" s="6"/>
      <c r="B259" s="6"/>
      <c r="K259" s="178"/>
      <c r="S259" s="53"/>
    </row>
    <row r="260">
      <c r="A260" s="6"/>
      <c r="B260" s="6"/>
      <c r="K260" s="178"/>
      <c r="S260" s="53"/>
    </row>
    <row r="261">
      <c r="A261" s="6"/>
      <c r="B261" s="6"/>
      <c r="K261" s="178"/>
      <c r="S261" s="53"/>
    </row>
    <row r="262">
      <c r="A262" s="6"/>
      <c r="B262" s="6"/>
      <c r="K262" s="178"/>
      <c r="S262" s="53"/>
    </row>
    <row r="263">
      <c r="A263" s="6"/>
      <c r="B263" s="6"/>
      <c r="K263" s="178"/>
      <c r="S263" s="53"/>
    </row>
    <row r="264">
      <c r="A264" s="6"/>
      <c r="B264" s="6"/>
      <c r="K264" s="178"/>
      <c r="S264" s="53"/>
    </row>
    <row r="265">
      <c r="A265" s="6"/>
      <c r="B265" s="6"/>
      <c r="K265" s="178"/>
      <c r="S265" s="53"/>
    </row>
    <row r="266">
      <c r="A266" s="6"/>
      <c r="B266" s="6"/>
      <c r="K266" s="178"/>
      <c r="S266" s="53"/>
    </row>
    <row r="267">
      <c r="A267" s="6"/>
      <c r="B267" s="6"/>
      <c r="K267" s="178"/>
      <c r="S267" s="53"/>
    </row>
    <row r="268">
      <c r="A268" s="6"/>
      <c r="B268" s="6"/>
      <c r="K268" s="178"/>
      <c r="S268" s="53"/>
    </row>
    <row r="269">
      <c r="A269" s="6"/>
      <c r="B269" s="6"/>
      <c r="K269" s="178"/>
      <c r="S269" s="53"/>
    </row>
    <row r="270">
      <c r="A270" s="6"/>
      <c r="B270" s="6"/>
      <c r="K270" s="178"/>
      <c r="S270" s="53"/>
    </row>
    <row r="271">
      <c r="A271" s="6"/>
      <c r="B271" s="6"/>
      <c r="K271" s="178"/>
      <c r="S271" s="53"/>
    </row>
    <row r="272">
      <c r="A272" s="6"/>
      <c r="B272" s="6"/>
      <c r="K272" s="178"/>
      <c r="S272" s="53"/>
    </row>
    <row r="273">
      <c r="A273" s="6"/>
      <c r="B273" s="6"/>
      <c r="K273" s="178"/>
      <c r="S273" s="53"/>
    </row>
    <row r="274">
      <c r="A274" s="6"/>
      <c r="B274" s="6"/>
      <c r="K274" s="178"/>
      <c r="S274" s="53"/>
    </row>
    <row r="275">
      <c r="A275" s="6"/>
      <c r="B275" s="6"/>
      <c r="K275" s="178"/>
      <c r="S275" s="53"/>
    </row>
    <row r="276">
      <c r="A276" s="6"/>
      <c r="B276" s="6"/>
      <c r="K276" s="178"/>
      <c r="S276" s="53"/>
    </row>
    <row r="277">
      <c r="A277" s="6"/>
      <c r="B277" s="6"/>
      <c r="K277" s="178"/>
      <c r="S277" s="53"/>
    </row>
    <row r="278">
      <c r="A278" s="6"/>
      <c r="B278" s="6"/>
      <c r="K278" s="178"/>
      <c r="S278" s="53"/>
    </row>
    <row r="279">
      <c r="A279" s="6"/>
      <c r="B279" s="6"/>
      <c r="K279" s="178"/>
      <c r="S279" s="53"/>
    </row>
    <row r="280">
      <c r="A280" s="6"/>
      <c r="B280" s="6"/>
      <c r="K280" s="178"/>
      <c r="S280" s="53"/>
    </row>
    <row r="281">
      <c r="A281" s="6"/>
      <c r="B281" s="6"/>
      <c r="K281" s="178"/>
      <c r="S281" s="53"/>
    </row>
    <row r="282">
      <c r="A282" s="6"/>
      <c r="B282" s="6"/>
      <c r="K282" s="178"/>
      <c r="S282" s="53"/>
    </row>
    <row r="283">
      <c r="A283" s="6"/>
      <c r="B283" s="6"/>
      <c r="K283" s="178"/>
      <c r="S283" s="53"/>
    </row>
    <row r="284">
      <c r="A284" s="6"/>
      <c r="B284" s="6"/>
      <c r="K284" s="178"/>
      <c r="S284" s="53"/>
    </row>
    <row r="285">
      <c r="A285" s="6"/>
      <c r="B285" s="6"/>
      <c r="K285" s="178"/>
      <c r="S285" s="53"/>
    </row>
    <row r="286">
      <c r="A286" s="6"/>
      <c r="B286" s="6"/>
      <c r="K286" s="178"/>
      <c r="S286" s="53"/>
    </row>
    <row r="287">
      <c r="A287" s="6"/>
      <c r="B287" s="6"/>
      <c r="K287" s="178"/>
      <c r="S287" s="53"/>
    </row>
    <row r="288">
      <c r="A288" s="6"/>
      <c r="B288" s="6"/>
      <c r="K288" s="178"/>
      <c r="S288" s="53"/>
    </row>
    <row r="289">
      <c r="A289" s="6"/>
      <c r="B289" s="6"/>
      <c r="K289" s="178"/>
      <c r="S289" s="53"/>
    </row>
    <row r="290">
      <c r="A290" s="6"/>
      <c r="B290" s="6"/>
      <c r="K290" s="178"/>
      <c r="S290" s="53"/>
    </row>
    <row r="291">
      <c r="A291" s="6"/>
      <c r="B291" s="6"/>
      <c r="K291" s="178"/>
      <c r="S291" s="53"/>
    </row>
    <row r="292">
      <c r="A292" s="6"/>
      <c r="B292" s="6"/>
      <c r="K292" s="178"/>
      <c r="S292" s="53"/>
    </row>
    <row r="293">
      <c r="A293" s="6"/>
      <c r="B293" s="6"/>
      <c r="K293" s="178"/>
      <c r="S293" s="53"/>
    </row>
    <row r="294">
      <c r="A294" s="6"/>
      <c r="B294" s="6"/>
      <c r="K294" s="178"/>
      <c r="S294" s="53"/>
    </row>
    <row r="295">
      <c r="A295" s="6"/>
      <c r="B295" s="6"/>
      <c r="K295" s="178"/>
      <c r="S295" s="53"/>
    </row>
    <row r="296">
      <c r="A296" s="6"/>
      <c r="B296" s="6"/>
      <c r="K296" s="178"/>
      <c r="S296" s="53"/>
    </row>
    <row r="297">
      <c r="A297" s="6"/>
      <c r="B297" s="6"/>
      <c r="K297" s="178"/>
      <c r="S297" s="53"/>
    </row>
    <row r="298">
      <c r="A298" s="6"/>
      <c r="B298" s="6"/>
      <c r="K298" s="178"/>
      <c r="S298" s="53"/>
    </row>
    <row r="299">
      <c r="A299" s="6"/>
      <c r="B299" s="6"/>
      <c r="K299" s="178"/>
      <c r="S299" s="53"/>
    </row>
    <row r="300">
      <c r="A300" s="6"/>
      <c r="B300" s="6"/>
      <c r="K300" s="178"/>
      <c r="S300" s="53"/>
    </row>
    <row r="301">
      <c r="A301" s="6"/>
      <c r="B301" s="6"/>
      <c r="K301" s="178"/>
      <c r="S301" s="53"/>
    </row>
    <row r="302">
      <c r="A302" s="6"/>
      <c r="B302" s="6"/>
      <c r="K302" s="178"/>
      <c r="S302" s="53"/>
    </row>
    <row r="303">
      <c r="A303" s="6"/>
      <c r="B303" s="6"/>
      <c r="K303" s="178"/>
      <c r="S303" s="53"/>
    </row>
    <row r="304">
      <c r="A304" s="6"/>
      <c r="B304" s="6"/>
      <c r="K304" s="178"/>
      <c r="S304" s="53"/>
    </row>
    <row r="305">
      <c r="A305" s="6"/>
      <c r="B305" s="6"/>
      <c r="K305" s="178"/>
      <c r="S305" s="53"/>
    </row>
    <row r="306">
      <c r="A306" s="6"/>
      <c r="B306" s="6"/>
      <c r="K306" s="178"/>
      <c r="S306" s="53"/>
    </row>
    <row r="307">
      <c r="A307" s="6"/>
      <c r="B307" s="6"/>
      <c r="K307" s="178"/>
      <c r="S307" s="53"/>
    </row>
    <row r="308">
      <c r="A308" s="6"/>
      <c r="B308" s="6"/>
      <c r="K308" s="178"/>
      <c r="S308" s="53"/>
    </row>
    <row r="309">
      <c r="A309" s="6"/>
      <c r="B309" s="6"/>
      <c r="K309" s="178"/>
      <c r="S309" s="53"/>
    </row>
    <row r="310">
      <c r="A310" s="6"/>
      <c r="B310" s="6"/>
      <c r="K310" s="178"/>
      <c r="S310" s="53"/>
    </row>
    <row r="311">
      <c r="A311" s="6"/>
      <c r="B311" s="6"/>
      <c r="K311" s="178"/>
      <c r="S311" s="53"/>
    </row>
    <row r="312">
      <c r="A312" s="6"/>
      <c r="B312" s="6"/>
      <c r="K312" s="178"/>
      <c r="S312" s="53"/>
    </row>
    <row r="313">
      <c r="A313" s="6"/>
      <c r="B313" s="6"/>
      <c r="K313" s="178"/>
      <c r="S313" s="53"/>
    </row>
    <row r="314">
      <c r="A314" s="6"/>
      <c r="B314" s="6"/>
      <c r="K314" s="178"/>
      <c r="S314" s="53"/>
    </row>
    <row r="315">
      <c r="A315" s="6"/>
      <c r="B315" s="6"/>
      <c r="K315" s="178"/>
      <c r="S315" s="53"/>
    </row>
    <row r="316">
      <c r="A316" s="6"/>
      <c r="B316" s="6"/>
      <c r="K316" s="178"/>
      <c r="S316" s="53"/>
    </row>
    <row r="317">
      <c r="A317" s="6"/>
      <c r="B317" s="6"/>
      <c r="K317" s="178"/>
      <c r="S317" s="53"/>
    </row>
    <row r="318">
      <c r="A318" s="6"/>
      <c r="B318" s="6"/>
      <c r="K318" s="178"/>
      <c r="S318" s="53"/>
    </row>
    <row r="319">
      <c r="A319" s="6"/>
      <c r="B319" s="6"/>
      <c r="K319" s="178"/>
      <c r="S319" s="53"/>
    </row>
    <row r="320">
      <c r="A320" s="6"/>
      <c r="B320" s="6"/>
      <c r="K320" s="178"/>
      <c r="S320" s="53"/>
    </row>
    <row r="321">
      <c r="A321" s="6"/>
      <c r="B321" s="6"/>
      <c r="K321" s="178"/>
      <c r="S321" s="53"/>
    </row>
    <row r="322">
      <c r="A322" s="6"/>
      <c r="B322" s="6"/>
      <c r="K322" s="178"/>
      <c r="S322" s="53"/>
    </row>
    <row r="323">
      <c r="A323" s="6"/>
      <c r="B323" s="6"/>
      <c r="K323" s="178"/>
      <c r="S323" s="53"/>
    </row>
    <row r="324">
      <c r="A324" s="6"/>
      <c r="B324" s="6"/>
      <c r="K324" s="178"/>
      <c r="S324" s="53"/>
    </row>
    <row r="325">
      <c r="A325" s="6"/>
      <c r="B325" s="6"/>
      <c r="K325" s="178"/>
      <c r="S325" s="53"/>
    </row>
    <row r="326">
      <c r="A326" s="6"/>
      <c r="B326" s="6"/>
      <c r="K326" s="178"/>
      <c r="S326" s="53"/>
    </row>
    <row r="327">
      <c r="A327" s="6"/>
      <c r="B327" s="6"/>
      <c r="K327" s="178"/>
      <c r="S327" s="53"/>
    </row>
    <row r="328">
      <c r="A328" s="6"/>
      <c r="B328" s="6"/>
      <c r="K328" s="178"/>
      <c r="S328" s="53"/>
    </row>
    <row r="329">
      <c r="A329" s="6"/>
      <c r="B329" s="6"/>
      <c r="K329" s="178"/>
      <c r="S329" s="53"/>
    </row>
    <row r="330">
      <c r="A330" s="6"/>
      <c r="B330" s="6"/>
      <c r="K330" s="178"/>
      <c r="S330" s="53"/>
    </row>
    <row r="331">
      <c r="A331" s="6"/>
      <c r="B331" s="6"/>
      <c r="K331" s="178"/>
      <c r="S331" s="53"/>
    </row>
    <row r="332">
      <c r="A332" s="6"/>
      <c r="B332" s="6"/>
      <c r="K332" s="178"/>
      <c r="S332" s="53"/>
    </row>
    <row r="333">
      <c r="A333" s="6"/>
      <c r="B333" s="6"/>
      <c r="K333" s="178"/>
      <c r="S333" s="53"/>
    </row>
    <row r="334">
      <c r="A334" s="6"/>
      <c r="B334" s="6"/>
      <c r="K334" s="178"/>
      <c r="S334" s="53"/>
    </row>
    <row r="335">
      <c r="A335" s="6"/>
      <c r="B335" s="6"/>
      <c r="K335" s="178"/>
      <c r="S335" s="53"/>
    </row>
    <row r="336">
      <c r="A336" s="6"/>
      <c r="B336" s="6"/>
      <c r="K336" s="178"/>
      <c r="S336" s="53"/>
    </row>
    <row r="337">
      <c r="A337" s="6"/>
      <c r="B337" s="6"/>
      <c r="K337" s="178"/>
      <c r="S337" s="53"/>
    </row>
    <row r="338">
      <c r="A338" s="6"/>
      <c r="B338" s="6"/>
      <c r="K338" s="178"/>
      <c r="S338" s="53"/>
    </row>
    <row r="339">
      <c r="A339" s="6"/>
      <c r="B339" s="6"/>
      <c r="K339" s="178"/>
      <c r="S339" s="53"/>
    </row>
    <row r="340">
      <c r="A340" s="6"/>
      <c r="B340" s="6"/>
      <c r="K340" s="178"/>
      <c r="S340" s="53"/>
    </row>
    <row r="341">
      <c r="A341" s="6"/>
      <c r="B341" s="6"/>
      <c r="K341" s="178"/>
      <c r="S341" s="53"/>
    </row>
    <row r="342">
      <c r="A342" s="6"/>
      <c r="B342" s="6"/>
      <c r="K342" s="178"/>
      <c r="S342" s="53"/>
    </row>
    <row r="343">
      <c r="A343" s="6"/>
      <c r="B343" s="6"/>
      <c r="K343" s="178"/>
      <c r="S343" s="53"/>
    </row>
    <row r="344">
      <c r="A344" s="6"/>
      <c r="B344" s="6"/>
      <c r="K344" s="178"/>
      <c r="S344" s="53"/>
    </row>
    <row r="345">
      <c r="A345" s="6"/>
      <c r="B345" s="6"/>
      <c r="K345" s="178"/>
      <c r="S345" s="53"/>
    </row>
    <row r="346">
      <c r="A346" s="6"/>
      <c r="B346" s="6"/>
      <c r="K346" s="178"/>
      <c r="S346" s="53"/>
    </row>
    <row r="347">
      <c r="A347" s="6"/>
      <c r="B347" s="6"/>
      <c r="K347" s="178"/>
      <c r="S347" s="53"/>
    </row>
    <row r="348">
      <c r="A348" s="6"/>
      <c r="B348" s="6"/>
      <c r="K348" s="178"/>
      <c r="S348" s="53"/>
    </row>
    <row r="349">
      <c r="A349" s="6"/>
      <c r="B349" s="6"/>
      <c r="K349" s="178"/>
      <c r="S349" s="53"/>
    </row>
    <row r="350">
      <c r="A350" s="6"/>
      <c r="B350" s="6"/>
      <c r="K350" s="178"/>
      <c r="S350" s="53"/>
    </row>
    <row r="351">
      <c r="A351" s="6"/>
      <c r="B351" s="6"/>
      <c r="K351" s="178"/>
      <c r="S351" s="53"/>
    </row>
    <row r="352">
      <c r="A352" s="6"/>
      <c r="B352" s="6"/>
      <c r="K352" s="178"/>
      <c r="S352" s="53"/>
    </row>
    <row r="353">
      <c r="A353" s="6"/>
      <c r="B353" s="6"/>
      <c r="K353" s="178"/>
      <c r="S353" s="53"/>
    </row>
    <row r="354">
      <c r="A354" s="6"/>
      <c r="B354" s="6"/>
      <c r="K354" s="178"/>
      <c r="S354" s="53"/>
    </row>
    <row r="355">
      <c r="A355" s="6"/>
      <c r="B355" s="6"/>
      <c r="K355" s="178"/>
      <c r="S355" s="53"/>
    </row>
    <row r="356">
      <c r="A356" s="6"/>
      <c r="B356" s="6"/>
      <c r="K356" s="178"/>
      <c r="S356" s="53"/>
    </row>
    <row r="357">
      <c r="A357" s="6"/>
      <c r="B357" s="6"/>
      <c r="K357" s="178"/>
      <c r="S357" s="53"/>
    </row>
    <row r="358">
      <c r="A358" s="6"/>
      <c r="B358" s="6"/>
      <c r="K358" s="178"/>
      <c r="S358" s="53"/>
    </row>
    <row r="359">
      <c r="A359" s="6"/>
      <c r="B359" s="6"/>
      <c r="K359" s="178"/>
      <c r="S359" s="53"/>
    </row>
    <row r="360">
      <c r="A360" s="6"/>
      <c r="B360" s="6"/>
      <c r="K360" s="178"/>
      <c r="S360" s="53"/>
    </row>
    <row r="361">
      <c r="A361" s="6"/>
      <c r="B361" s="6"/>
      <c r="K361" s="178"/>
      <c r="S361" s="53"/>
    </row>
    <row r="362">
      <c r="A362" s="6"/>
      <c r="B362" s="6"/>
      <c r="K362" s="178"/>
      <c r="S362" s="53"/>
    </row>
    <row r="363">
      <c r="A363" s="6"/>
      <c r="B363" s="6"/>
      <c r="K363" s="178"/>
      <c r="S363" s="53"/>
    </row>
    <row r="364">
      <c r="A364" s="6"/>
      <c r="B364" s="6"/>
      <c r="K364" s="178"/>
      <c r="S364" s="53"/>
    </row>
    <row r="365">
      <c r="A365" s="6"/>
      <c r="B365" s="6"/>
      <c r="K365" s="178"/>
      <c r="S365" s="53"/>
    </row>
    <row r="366">
      <c r="A366" s="6"/>
      <c r="B366" s="6"/>
      <c r="K366" s="178"/>
      <c r="S366" s="53"/>
    </row>
    <row r="367">
      <c r="A367" s="6"/>
      <c r="B367" s="6"/>
      <c r="K367" s="178"/>
      <c r="S367" s="53"/>
    </row>
    <row r="368">
      <c r="A368" s="6"/>
      <c r="B368" s="6"/>
      <c r="K368" s="178"/>
      <c r="S368" s="53"/>
    </row>
    <row r="369">
      <c r="A369" s="6"/>
      <c r="B369" s="6"/>
      <c r="K369" s="178"/>
      <c r="S369" s="53"/>
    </row>
    <row r="370">
      <c r="A370" s="6"/>
      <c r="B370" s="6"/>
      <c r="K370" s="178"/>
      <c r="S370" s="53"/>
    </row>
    <row r="371">
      <c r="A371" s="6"/>
      <c r="B371" s="6"/>
      <c r="K371" s="178"/>
      <c r="S371" s="53"/>
    </row>
    <row r="372">
      <c r="A372" s="6"/>
      <c r="B372" s="6"/>
      <c r="K372" s="178"/>
      <c r="S372" s="53"/>
    </row>
    <row r="373">
      <c r="A373" s="6"/>
      <c r="B373" s="6"/>
      <c r="K373" s="178"/>
      <c r="S373" s="53"/>
    </row>
    <row r="374">
      <c r="A374" s="6"/>
      <c r="B374" s="6"/>
      <c r="K374" s="178"/>
      <c r="S374" s="53"/>
    </row>
    <row r="375">
      <c r="A375" s="6"/>
      <c r="B375" s="6"/>
      <c r="K375" s="178"/>
      <c r="S375" s="53"/>
    </row>
    <row r="376">
      <c r="A376" s="6"/>
      <c r="B376" s="6"/>
      <c r="K376" s="178"/>
      <c r="S376" s="53"/>
    </row>
    <row r="377">
      <c r="A377" s="6"/>
      <c r="B377" s="6"/>
      <c r="K377" s="178"/>
      <c r="S377" s="53"/>
    </row>
    <row r="378">
      <c r="A378" s="6"/>
      <c r="B378" s="6"/>
      <c r="K378" s="178"/>
      <c r="S378" s="53"/>
    </row>
    <row r="379">
      <c r="A379" s="6"/>
      <c r="B379" s="6"/>
      <c r="K379" s="178"/>
      <c r="S379" s="53"/>
    </row>
    <row r="380">
      <c r="A380" s="6"/>
      <c r="B380" s="6"/>
      <c r="K380" s="178"/>
      <c r="S380" s="53"/>
    </row>
    <row r="381">
      <c r="A381" s="6"/>
      <c r="B381" s="6"/>
      <c r="K381" s="178"/>
      <c r="S381" s="53"/>
    </row>
    <row r="382">
      <c r="A382" s="6"/>
      <c r="B382" s="6"/>
      <c r="K382" s="178"/>
      <c r="S382" s="53"/>
    </row>
    <row r="383">
      <c r="A383" s="6"/>
      <c r="B383" s="6"/>
      <c r="K383" s="178"/>
      <c r="S383" s="53"/>
    </row>
    <row r="384">
      <c r="A384" s="6"/>
      <c r="B384" s="6"/>
      <c r="K384" s="178"/>
      <c r="S384" s="53"/>
    </row>
    <row r="385">
      <c r="A385" s="6"/>
      <c r="B385" s="6"/>
      <c r="K385" s="178"/>
      <c r="S385" s="53"/>
    </row>
    <row r="386">
      <c r="A386" s="6"/>
      <c r="B386" s="6"/>
      <c r="K386" s="178"/>
      <c r="S386" s="53"/>
    </row>
    <row r="387">
      <c r="A387" s="6"/>
      <c r="B387" s="6"/>
      <c r="K387" s="178"/>
      <c r="S387" s="53"/>
    </row>
    <row r="388">
      <c r="A388" s="6"/>
      <c r="B388" s="6"/>
      <c r="K388" s="178"/>
      <c r="S388" s="53"/>
    </row>
    <row r="389">
      <c r="A389" s="6"/>
      <c r="B389" s="6"/>
      <c r="K389" s="178"/>
      <c r="S389" s="53"/>
    </row>
    <row r="390">
      <c r="A390" s="6"/>
      <c r="B390" s="6"/>
      <c r="K390" s="178"/>
      <c r="S390" s="53"/>
    </row>
    <row r="391">
      <c r="A391" s="6"/>
      <c r="B391" s="6"/>
      <c r="K391" s="178"/>
      <c r="S391" s="53"/>
    </row>
    <row r="392">
      <c r="A392" s="6"/>
      <c r="B392" s="6"/>
      <c r="K392" s="178"/>
      <c r="S392" s="53"/>
    </row>
    <row r="393">
      <c r="A393" s="6"/>
      <c r="B393" s="6"/>
      <c r="K393" s="178"/>
      <c r="S393" s="53"/>
    </row>
    <row r="394">
      <c r="A394" s="6"/>
      <c r="B394" s="6"/>
      <c r="K394" s="178"/>
      <c r="S394" s="53"/>
    </row>
    <row r="395">
      <c r="A395" s="6"/>
      <c r="B395" s="6"/>
      <c r="K395" s="178"/>
      <c r="S395" s="53"/>
    </row>
    <row r="396">
      <c r="A396" s="6"/>
      <c r="B396" s="6"/>
      <c r="K396" s="178"/>
      <c r="S396" s="53"/>
    </row>
    <row r="397">
      <c r="A397" s="6"/>
      <c r="B397" s="6"/>
      <c r="K397" s="178"/>
      <c r="S397" s="53"/>
    </row>
    <row r="398">
      <c r="A398" s="6"/>
      <c r="B398" s="6"/>
      <c r="K398" s="178"/>
      <c r="S398" s="53"/>
    </row>
    <row r="399">
      <c r="A399" s="6"/>
      <c r="B399" s="6"/>
      <c r="K399" s="178"/>
      <c r="S399" s="53"/>
    </row>
    <row r="400">
      <c r="A400" s="6"/>
      <c r="B400" s="6"/>
      <c r="K400" s="178"/>
      <c r="S400" s="53"/>
    </row>
    <row r="401">
      <c r="A401" s="6"/>
      <c r="B401" s="6"/>
      <c r="K401" s="178"/>
      <c r="S401" s="53"/>
    </row>
    <row r="402">
      <c r="A402" s="6"/>
      <c r="B402" s="6"/>
      <c r="K402" s="178"/>
      <c r="S402" s="53"/>
    </row>
    <row r="403">
      <c r="A403" s="6"/>
      <c r="B403" s="6"/>
      <c r="K403" s="178"/>
      <c r="S403" s="53"/>
    </row>
    <row r="404">
      <c r="A404" s="6"/>
      <c r="B404" s="6"/>
      <c r="K404" s="178"/>
      <c r="S404" s="53"/>
    </row>
    <row r="405">
      <c r="A405" s="6"/>
      <c r="B405" s="6"/>
      <c r="K405" s="178"/>
      <c r="S405" s="53"/>
    </row>
    <row r="406">
      <c r="A406" s="6"/>
      <c r="B406" s="6"/>
      <c r="K406" s="178"/>
      <c r="S406" s="53"/>
    </row>
    <row r="407">
      <c r="A407" s="6"/>
      <c r="B407" s="6"/>
      <c r="K407" s="178"/>
      <c r="S407" s="53"/>
    </row>
    <row r="408">
      <c r="A408" s="6"/>
      <c r="B408" s="6"/>
      <c r="K408" s="178"/>
      <c r="S408" s="53"/>
    </row>
    <row r="409">
      <c r="A409" s="6"/>
      <c r="B409" s="6"/>
      <c r="K409" s="178"/>
      <c r="S409" s="53"/>
    </row>
    <row r="410">
      <c r="A410" s="6"/>
      <c r="B410" s="6"/>
      <c r="K410" s="178"/>
      <c r="S410" s="53"/>
    </row>
    <row r="411">
      <c r="A411" s="6"/>
      <c r="B411" s="6"/>
      <c r="K411" s="178"/>
      <c r="S411" s="53"/>
    </row>
    <row r="412">
      <c r="A412" s="6"/>
      <c r="B412" s="6"/>
      <c r="K412" s="178"/>
      <c r="S412" s="53"/>
    </row>
    <row r="413">
      <c r="A413" s="6"/>
      <c r="B413" s="6"/>
      <c r="K413" s="178"/>
      <c r="S413" s="53"/>
    </row>
    <row r="414">
      <c r="A414" s="6"/>
      <c r="B414" s="6"/>
      <c r="K414" s="178"/>
      <c r="S414" s="53"/>
    </row>
    <row r="415">
      <c r="A415" s="6"/>
      <c r="B415" s="6"/>
      <c r="K415" s="178"/>
      <c r="S415" s="53"/>
    </row>
    <row r="416">
      <c r="A416" s="6"/>
      <c r="B416" s="6"/>
      <c r="K416" s="178"/>
      <c r="S416" s="53"/>
    </row>
    <row r="417">
      <c r="A417" s="6"/>
      <c r="B417" s="6"/>
      <c r="K417" s="178"/>
      <c r="S417" s="53"/>
    </row>
    <row r="418">
      <c r="A418" s="6"/>
      <c r="B418" s="6"/>
      <c r="K418" s="178"/>
      <c r="S418" s="53"/>
    </row>
    <row r="419">
      <c r="A419" s="6"/>
      <c r="B419" s="6"/>
      <c r="K419" s="178"/>
      <c r="S419" s="53"/>
    </row>
    <row r="420">
      <c r="A420" s="6"/>
      <c r="B420" s="6"/>
      <c r="K420" s="178"/>
      <c r="S420" s="53"/>
    </row>
    <row r="421">
      <c r="A421" s="6"/>
      <c r="B421" s="6"/>
      <c r="K421" s="178"/>
      <c r="S421" s="53"/>
    </row>
    <row r="422">
      <c r="A422" s="6"/>
      <c r="B422" s="6"/>
      <c r="K422" s="178"/>
      <c r="S422" s="53"/>
    </row>
    <row r="423">
      <c r="A423" s="6"/>
      <c r="B423" s="6"/>
      <c r="K423" s="178"/>
      <c r="S423" s="53"/>
    </row>
    <row r="424">
      <c r="A424" s="6"/>
      <c r="B424" s="6"/>
      <c r="K424" s="178"/>
      <c r="S424" s="53"/>
    </row>
    <row r="425">
      <c r="A425" s="6"/>
      <c r="B425" s="6"/>
      <c r="K425" s="178"/>
      <c r="S425" s="53"/>
    </row>
    <row r="426">
      <c r="A426" s="6"/>
      <c r="B426" s="6"/>
      <c r="K426" s="178"/>
      <c r="S426" s="53"/>
    </row>
    <row r="427">
      <c r="A427" s="6"/>
      <c r="B427" s="6"/>
      <c r="K427" s="178"/>
      <c r="S427" s="53"/>
    </row>
    <row r="428">
      <c r="A428" s="6"/>
      <c r="B428" s="6"/>
      <c r="K428" s="178"/>
      <c r="S428" s="53"/>
    </row>
    <row r="429">
      <c r="A429" s="6"/>
      <c r="B429" s="6"/>
      <c r="K429" s="178"/>
      <c r="S429" s="53"/>
    </row>
    <row r="430">
      <c r="A430" s="6"/>
      <c r="B430" s="6"/>
      <c r="K430" s="178"/>
      <c r="S430" s="53"/>
    </row>
    <row r="431">
      <c r="A431" s="6"/>
      <c r="B431" s="6"/>
      <c r="K431" s="178"/>
      <c r="S431" s="53"/>
    </row>
    <row r="432">
      <c r="A432" s="6"/>
      <c r="B432" s="6"/>
      <c r="K432" s="178"/>
      <c r="S432" s="53"/>
    </row>
    <row r="433">
      <c r="A433" s="6"/>
      <c r="B433" s="6"/>
      <c r="K433" s="178"/>
      <c r="S433" s="53"/>
    </row>
    <row r="434">
      <c r="A434" s="6"/>
      <c r="B434" s="6"/>
      <c r="K434" s="178"/>
      <c r="S434" s="53"/>
    </row>
    <row r="435">
      <c r="A435" s="6"/>
      <c r="B435" s="6"/>
      <c r="K435" s="178"/>
      <c r="S435" s="53"/>
    </row>
    <row r="436">
      <c r="A436" s="6"/>
      <c r="B436" s="6"/>
      <c r="K436" s="178"/>
      <c r="S436" s="53"/>
    </row>
    <row r="437">
      <c r="A437" s="6"/>
      <c r="B437" s="6"/>
      <c r="K437" s="178"/>
      <c r="S437" s="53"/>
    </row>
    <row r="438">
      <c r="A438" s="6"/>
      <c r="B438" s="6"/>
      <c r="K438" s="178"/>
      <c r="S438" s="53"/>
    </row>
    <row r="439">
      <c r="A439" s="6"/>
      <c r="B439" s="6"/>
      <c r="K439" s="178"/>
      <c r="S439" s="53"/>
    </row>
    <row r="440">
      <c r="A440" s="6"/>
      <c r="B440" s="6"/>
      <c r="K440" s="178"/>
      <c r="S440" s="53"/>
    </row>
    <row r="441">
      <c r="A441" s="6"/>
      <c r="B441" s="6"/>
      <c r="K441" s="178"/>
      <c r="S441" s="53"/>
    </row>
    <row r="442">
      <c r="A442" s="6"/>
      <c r="B442" s="6"/>
      <c r="K442" s="178"/>
      <c r="S442" s="53"/>
    </row>
    <row r="443">
      <c r="A443" s="6"/>
      <c r="B443" s="6"/>
      <c r="K443" s="178"/>
      <c r="S443" s="53"/>
    </row>
    <row r="444">
      <c r="A444" s="6"/>
      <c r="B444" s="6"/>
      <c r="K444" s="178"/>
      <c r="S444" s="53"/>
    </row>
    <row r="445">
      <c r="A445" s="6"/>
      <c r="B445" s="6"/>
      <c r="K445" s="178"/>
      <c r="S445" s="53"/>
    </row>
    <row r="446">
      <c r="A446" s="6"/>
      <c r="B446" s="6"/>
      <c r="K446" s="178"/>
      <c r="S446" s="53"/>
    </row>
    <row r="447">
      <c r="A447" s="6"/>
      <c r="B447" s="6"/>
      <c r="K447" s="178"/>
      <c r="S447" s="53"/>
    </row>
    <row r="448">
      <c r="A448" s="6"/>
      <c r="B448" s="6"/>
      <c r="K448" s="178"/>
      <c r="S448" s="53"/>
    </row>
    <row r="449">
      <c r="A449" s="6"/>
      <c r="B449" s="6"/>
      <c r="K449" s="178"/>
      <c r="S449" s="53"/>
    </row>
    <row r="450">
      <c r="A450" s="6"/>
      <c r="B450" s="6"/>
      <c r="K450" s="178"/>
      <c r="S450" s="53"/>
    </row>
    <row r="451">
      <c r="A451" s="6"/>
      <c r="B451" s="6"/>
      <c r="K451" s="178"/>
      <c r="S451" s="53"/>
    </row>
    <row r="452">
      <c r="A452" s="6"/>
      <c r="B452" s="6"/>
      <c r="K452" s="178"/>
      <c r="S452" s="53"/>
    </row>
    <row r="453">
      <c r="A453" s="6"/>
      <c r="B453" s="6"/>
      <c r="K453" s="178"/>
      <c r="S453" s="53"/>
    </row>
    <row r="454">
      <c r="A454" s="6"/>
      <c r="B454" s="6"/>
      <c r="K454" s="178"/>
      <c r="S454" s="53"/>
    </row>
    <row r="455">
      <c r="A455" s="6"/>
      <c r="B455" s="6"/>
      <c r="K455" s="178"/>
      <c r="S455" s="53"/>
    </row>
    <row r="456">
      <c r="A456" s="6"/>
      <c r="B456" s="6"/>
      <c r="K456" s="178"/>
      <c r="S456" s="53"/>
    </row>
    <row r="457">
      <c r="A457" s="6"/>
      <c r="B457" s="6"/>
      <c r="K457" s="178"/>
      <c r="S457" s="53"/>
    </row>
    <row r="458">
      <c r="A458" s="6"/>
      <c r="B458" s="6"/>
      <c r="K458" s="178"/>
      <c r="S458" s="53"/>
    </row>
    <row r="459">
      <c r="A459" s="6"/>
      <c r="B459" s="6"/>
      <c r="K459" s="178"/>
      <c r="S459" s="53"/>
    </row>
    <row r="460">
      <c r="A460" s="6"/>
      <c r="B460" s="6"/>
      <c r="K460" s="178"/>
      <c r="S460" s="53"/>
    </row>
    <row r="461">
      <c r="A461" s="6"/>
      <c r="B461" s="6"/>
      <c r="K461" s="178"/>
      <c r="S461" s="53"/>
    </row>
    <row r="462">
      <c r="A462" s="6"/>
      <c r="B462" s="6"/>
      <c r="K462" s="178"/>
      <c r="S462" s="53"/>
    </row>
    <row r="463">
      <c r="A463" s="6"/>
      <c r="B463" s="6"/>
      <c r="K463" s="178"/>
      <c r="S463" s="53"/>
    </row>
    <row r="464">
      <c r="A464" s="6"/>
      <c r="B464" s="6"/>
      <c r="K464" s="178"/>
      <c r="S464" s="53"/>
    </row>
    <row r="465">
      <c r="A465" s="6"/>
      <c r="B465" s="6"/>
      <c r="K465" s="178"/>
      <c r="S465" s="53"/>
    </row>
    <row r="466">
      <c r="A466" s="6"/>
      <c r="B466" s="6"/>
      <c r="K466" s="178"/>
      <c r="S466" s="53"/>
    </row>
    <row r="467">
      <c r="A467" s="6"/>
      <c r="B467" s="6"/>
      <c r="K467" s="178"/>
      <c r="S467" s="53"/>
    </row>
    <row r="468">
      <c r="A468" s="6"/>
      <c r="B468" s="6"/>
      <c r="K468" s="178"/>
      <c r="S468" s="53"/>
    </row>
    <row r="469">
      <c r="A469" s="6"/>
      <c r="B469" s="6"/>
      <c r="K469" s="178"/>
      <c r="S469" s="53"/>
    </row>
    <row r="470">
      <c r="A470" s="6"/>
      <c r="B470" s="6"/>
      <c r="K470" s="178"/>
      <c r="S470" s="53"/>
    </row>
    <row r="471">
      <c r="A471" s="6"/>
      <c r="B471" s="6"/>
      <c r="K471" s="178"/>
      <c r="S471" s="53"/>
    </row>
    <row r="472">
      <c r="A472" s="6"/>
      <c r="B472" s="6"/>
      <c r="K472" s="178"/>
      <c r="S472" s="53"/>
    </row>
    <row r="473">
      <c r="A473" s="6"/>
      <c r="B473" s="6"/>
      <c r="K473" s="178"/>
      <c r="S473" s="53"/>
    </row>
    <row r="474">
      <c r="A474" s="6"/>
      <c r="B474" s="6"/>
      <c r="K474" s="178"/>
      <c r="S474" s="53"/>
    </row>
    <row r="475">
      <c r="A475" s="6"/>
      <c r="B475" s="6"/>
      <c r="K475" s="178"/>
      <c r="S475" s="53"/>
    </row>
    <row r="476">
      <c r="A476" s="6"/>
      <c r="B476" s="6"/>
      <c r="K476" s="178"/>
      <c r="S476" s="53"/>
    </row>
    <row r="477">
      <c r="A477" s="6"/>
      <c r="B477" s="6"/>
      <c r="K477" s="178"/>
      <c r="S477" s="53"/>
    </row>
    <row r="478">
      <c r="A478" s="6"/>
      <c r="B478" s="6"/>
      <c r="K478" s="178"/>
      <c r="S478" s="53"/>
    </row>
    <row r="479">
      <c r="A479" s="6"/>
      <c r="B479" s="6"/>
      <c r="K479" s="178"/>
      <c r="S479" s="53"/>
    </row>
    <row r="480">
      <c r="A480" s="6"/>
      <c r="B480" s="6"/>
      <c r="K480" s="178"/>
      <c r="S480" s="53"/>
    </row>
    <row r="481">
      <c r="A481" s="6"/>
      <c r="B481" s="6"/>
      <c r="K481" s="178"/>
      <c r="S481" s="53"/>
    </row>
    <row r="482">
      <c r="A482" s="6"/>
      <c r="B482" s="6"/>
      <c r="K482" s="178"/>
      <c r="S482" s="53"/>
    </row>
    <row r="483">
      <c r="A483" s="6"/>
      <c r="B483" s="6"/>
      <c r="K483" s="178"/>
      <c r="S483" s="53"/>
    </row>
    <row r="484">
      <c r="A484" s="6"/>
      <c r="B484" s="6"/>
      <c r="K484" s="178"/>
      <c r="S484" s="53"/>
    </row>
    <row r="485">
      <c r="A485" s="6"/>
      <c r="B485" s="6"/>
      <c r="K485" s="178"/>
      <c r="S485" s="53"/>
    </row>
    <row r="486">
      <c r="A486" s="6"/>
      <c r="B486" s="6"/>
      <c r="K486" s="178"/>
      <c r="S486" s="53"/>
    </row>
    <row r="487">
      <c r="A487" s="6"/>
      <c r="B487" s="6"/>
      <c r="K487" s="178"/>
      <c r="S487" s="53"/>
    </row>
    <row r="488">
      <c r="A488" s="6"/>
      <c r="B488" s="6"/>
      <c r="K488" s="178"/>
      <c r="S488" s="53"/>
    </row>
    <row r="489">
      <c r="A489" s="6"/>
      <c r="B489" s="6"/>
      <c r="K489" s="178"/>
      <c r="S489" s="53"/>
    </row>
    <row r="490">
      <c r="A490" s="6"/>
      <c r="B490" s="6"/>
      <c r="K490" s="178"/>
      <c r="S490" s="53"/>
    </row>
    <row r="491">
      <c r="A491" s="6"/>
      <c r="B491" s="6"/>
      <c r="K491" s="178"/>
      <c r="S491" s="53"/>
    </row>
    <row r="492">
      <c r="A492" s="6"/>
      <c r="B492" s="6"/>
      <c r="K492" s="178"/>
      <c r="S492" s="53"/>
    </row>
    <row r="493">
      <c r="A493" s="6"/>
      <c r="B493" s="6"/>
      <c r="K493" s="178"/>
      <c r="S493" s="53"/>
    </row>
    <row r="494">
      <c r="A494" s="6"/>
      <c r="B494" s="6"/>
      <c r="K494" s="178"/>
      <c r="S494" s="53"/>
    </row>
    <row r="495">
      <c r="A495" s="6"/>
      <c r="B495" s="6"/>
      <c r="K495" s="178"/>
      <c r="S495" s="53"/>
    </row>
    <row r="496">
      <c r="A496" s="6"/>
      <c r="B496" s="6"/>
      <c r="K496" s="178"/>
      <c r="S496" s="53"/>
    </row>
    <row r="497">
      <c r="A497" s="6"/>
      <c r="B497" s="6"/>
      <c r="K497" s="178"/>
      <c r="S497" s="53"/>
    </row>
    <row r="498">
      <c r="A498" s="6"/>
      <c r="B498" s="6"/>
      <c r="K498" s="178"/>
      <c r="S498" s="53"/>
    </row>
    <row r="499">
      <c r="A499" s="6"/>
      <c r="B499" s="6"/>
      <c r="K499" s="178"/>
      <c r="S499" s="53"/>
    </row>
    <row r="500">
      <c r="A500" s="6"/>
      <c r="B500" s="6"/>
      <c r="K500" s="178"/>
      <c r="S500" s="53"/>
    </row>
    <row r="501">
      <c r="A501" s="6"/>
      <c r="B501" s="6"/>
      <c r="K501" s="178"/>
      <c r="S501" s="53"/>
    </row>
    <row r="502">
      <c r="A502" s="6"/>
      <c r="B502" s="6"/>
      <c r="K502" s="178"/>
      <c r="S502" s="53"/>
    </row>
    <row r="503">
      <c r="A503" s="6"/>
      <c r="B503" s="6"/>
      <c r="K503" s="178"/>
      <c r="S503" s="53"/>
    </row>
    <row r="504">
      <c r="A504" s="6"/>
      <c r="B504" s="6"/>
      <c r="K504" s="178"/>
      <c r="S504" s="53"/>
    </row>
    <row r="505">
      <c r="A505" s="6"/>
      <c r="B505" s="6"/>
      <c r="K505" s="178"/>
      <c r="S505" s="53"/>
    </row>
    <row r="506">
      <c r="A506" s="6"/>
      <c r="B506" s="6"/>
      <c r="K506" s="178"/>
      <c r="S506" s="53"/>
    </row>
    <row r="507">
      <c r="A507" s="6"/>
      <c r="B507" s="6"/>
      <c r="K507" s="178"/>
      <c r="S507" s="53"/>
    </row>
    <row r="508">
      <c r="A508" s="6"/>
      <c r="B508" s="6"/>
      <c r="K508" s="178"/>
      <c r="S508" s="53"/>
    </row>
    <row r="509">
      <c r="A509" s="6"/>
      <c r="B509" s="6"/>
      <c r="K509" s="178"/>
      <c r="S509" s="53"/>
    </row>
    <row r="510">
      <c r="A510" s="6"/>
      <c r="B510" s="6"/>
      <c r="K510" s="178"/>
      <c r="S510" s="53"/>
    </row>
    <row r="511">
      <c r="A511" s="6"/>
      <c r="B511" s="6"/>
      <c r="K511" s="178"/>
      <c r="S511" s="53"/>
    </row>
    <row r="512">
      <c r="A512" s="6"/>
      <c r="B512" s="6"/>
      <c r="K512" s="178"/>
      <c r="S512" s="53"/>
    </row>
    <row r="513">
      <c r="A513" s="6"/>
      <c r="B513" s="6"/>
      <c r="K513" s="178"/>
      <c r="S513" s="53"/>
    </row>
    <row r="514">
      <c r="A514" s="6"/>
      <c r="B514" s="6"/>
      <c r="K514" s="178"/>
      <c r="S514" s="53"/>
    </row>
    <row r="515">
      <c r="A515" s="6"/>
      <c r="B515" s="6"/>
      <c r="K515" s="178"/>
      <c r="S515" s="53"/>
    </row>
    <row r="516">
      <c r="A516" s="6"/>
      <c r="B516" s="6"/>
      <c r="K516" s="178"/>
      <c r="S516" s="53"/>
    </row>
    <row r="517">
      <c r="A517" s="6"/>
      <c r="B517" s="6"/>
      <c r="K517" s="178"/>
      <c r="S517" s="53"/>
    </row>
    <row r="518">
      <c r="A518" s="6"/>
      <c r="B518" s="6"/>
      <c r="K518" s="178"/>
      <c r="S518" s="53"/>
    </row>
    <row r="519">
      <c r="A519" s="6"/>
      <c r="B519" s="6"/>
      <c r="K519" s="178"/>
      <c r="S519" s="53"/>
    </row>
    <row r="520">
      <c r="A520" s="6"/>
      <c r="B520" s="6"/>
      <c r="K520" s="178"/>
      <c r="S520" s="53"/>
    </row>
    <row r="521">
      <c r="A521" s="6"/>
      <c r="B521" s="6"/>
      <c r="K521" s="178"/>
      <c r="S521" s="53"/>
    </row>
    <row r="522">
      <c r="A522" s="6"/>
      <c r="B522" s="6"/>
      <c r="K522" s="178"/>
      <c r="S522" s="53"/>
    </row>
    <row r="523">
      <c r="A523" s="6"/>
      <c r="B523" s="6"/>
      <c r="K523" s="178"/>
      <c r="S523" s="53"/>
    </row>
    <row r="524">
      <c r="A524" s="6"/>
      <c r="B524" s="6"/>
      <c r="K524" s="178"/>
      <c r="S524" s="53"/>
    </row>
    <row r="525">
      <c r="A525" s="6"/>
      <c r="B525" s="6"/>
      <c r="K525" s="178"/>
      <c r="S525" s="53"/>
    </row>
    <row r="526">
      <c r="A526" s="6"/>
      <c r="B526" s="6"/>
      <c r="K526" s="178"/>
      <c r="S526" s="53"/>
    </row>
    <row r="527">
      <c r="A527" s="6"/>
      <c r="B527" s="6"/>
      <c r="K527" s="178"/>
      <c r="S527" s="53"/>
    </row>
    <row r="528">
      <c r="A528" s="6"/>
      <c r="B528" s="6"/>
      <c r="K528" s="178"/>
      <c r="S528" s="53"/>
    </row>
    <row r="529">
      <c r="A529" s="6"/>
      <c r="B529" s="6"/>
      <c r="K529" s="178"/>
      <c r="S529" s="53"/>
    </row>
    <row r="530">
      <c r="A530" s="6"/>
      <c r="B530" s="6"/>
      <c r="K530" s="178"/>
      <c r="S530" s="53"/>
    </row>
    <row r="531">
      <c r="A531" s="6"/>
      <c r="B531" s="6"/>
      <c r="K531" s="178"/>
      <c r="S531" s="53"/>
    </row>
    <row r="532">
      <c r="A532" s="6"/>
      <c r="B532" s="6"/>
      <c r="K532" s="178"/>
      <c r="S532" s="53"/>
    </row>
    <row r="533">
      <c r="A533" s="6"/>
      <c r="B533" s="6"/>
      <c r="K533" s="178"/>
      <c r="S533" s="53"/>
    </row>
    <row r="534">
      <c r="A534" s="6"/>
      <c r="B534" s="6"/>
      <c r="K534" s="178"/>
      <c r="S534" s="53"/>
    </row>
    <row r="535">
      <c r="A535" s="6"/>
      <c r="B535" s="6"/>
      <c r="K535" s="178"/>
      <c r="S535" s="53"/>
    </row>
    <row r="536">
      <c r="A536" s="6"/>
      <c r="B536" s="6"/>
      <c r="K536" s="178"/>
      <c r="S536" s="53"/>
    </row>
    <row r="537">
      <c r="A537" s="6"/>
      <c r="B537" s="6"/>
      <c r="K537" s="178"/>
      <c r="S537" s="53"/>
    </row>
    <row r="538">
      <c r="A538" s="6"/>
      <c r="B538" s="6"/>
      <c r="K538" s="178"/>
      <c r="S538" s="53"/>
    </row>
    <row r="539">
      <c r="A539" s="6"/>
      <c r="B539" s="6"/>
      <c r="K539" s="178"/>
      <c r="S539" s="53"/>
    </row>
    <row r="540">
      <c r="A540" s="6"/>
      <c r="B540" s="6"/>
      <c r="K540" s="178"/>
      <c r="S540" s="53"/>
    </row>
    <row r="541">
      <c r="A541" s="6"/>
      <c r="B541" s="6"/>
      <c r="K541" s="178"/>
      <c r="S541" s="53"/>
    </row>
    <row r="542">
      <c r="A542" s="6"/>
      <c r="B542" s="6"/>
      <c r="K542" s="178"/>
      <c r="S542" s="53"/>
    </row>
    <row r="543">
      <c r="A543" s="6"/>
      <c r="B543" s="6"/>
      <c r="K543" s="178"/>
      <c r="S543" s="53"/>
    </row>
    <row r="544">
      <c r="A544" s="6"/>
      <c r="B544" s="6"/>
      <c r="K544" s="178"/>
      <c r="S544" s="53"/>
    </row>
    <row r="545">
      <c r="A545" s="6"/>
      <c r="B545" s="6"/>
      <c r="K545" s="178"/>
      <c r="S545" s="53"/>
    </row>
    <row r="546">
      <c r="A546" s="6"/>
      <c r="B546" s="6"/>
      <c r="K546" s="178"/>
      <c r="S546" s="53"/>
    </row>
    <row r="547">
      <c r="A547" s="6"/>
      <c r="B547" s="6"/>
      <c r="K547" s="178"/>
      <c r="S547" s="53"/>
    </row>
    <row r="548">
      <c r="A548" s="6"/>
      <c r="B548" s="6"/>
      <c r="K548" s="178"/>
      <c r="S548" s="53"/>
    </row>
    <row r="549">
      <c r="A549" s="6"/>
      <c r="B549" s="6"/>
      <c r="K549" s="178"/>
      <c r="S549" s="53"/>
    </row>
    <row r="550">
      <c r="A550" s="6"/>
      <c r="B550" s="6"/>
      <c r="K550" s="178"/>
      <c r="S550" s="53"/>
    </row>
    <row r="551">
      <c r="A551" s="6"/>
      <c r="B551" s="6"/>
      <c r="K551" s="178"/>
      <c r="S551" s="53"/>
    </row>
    <row r="552">
      <c r="A552" s="6"/>
      <c r="B552" s="6"/>
      <c r="K552" s="178"/>
      <c r="S552" s="53"/>
    </row>
    <row r="553">
      <c r="A553" s="6"/>
      <c r="B553" s="6"/>
      <c r="K553" s="178"/>
      <c r="S553" s="53"/>
    </row>
    <row r="554">
      <c r="A554" s="6"/>
      <c r="B554" s="6"/>
      <c r="K554" s="178"/>
      <c r="S554" s="53"/>
    </row>
    <row r="555">
      <c r="A555" s="6"/>
      <c r="B555" s="6"/>
      <c r="K555" s="178"/>
      <c r="S555" s="53"/>
    </row>
    <row r="556">
      <c r="A556" s="6"/>
      <c r="B556" s="6"/>
      <c r="K556" s="178"/>
      <c r="S556" s="53"/>
    </row>
    <row r="557">
      <c r="A557" s="6"/>
      <c r="B557" s="6"/>
      <c r="K557" s="178"/>
      <c r="S557" s="53"/>
    </row>
    <row r="558">
      <c r="A558" s="6"/>
      <c r="B558" s="6"/>
      <c r="K558" s="178"/>
      <c r="S558" s="53"/>
    </row>
    <row r="559">
      <c r="A559" s="6"/>
      <c r="B559" s="6"/>
      <c r="K559" s="178"/>
      <c r="S559" s="53"/>
    </row>
    <row r="560">
      <c r="A560" s="6"/>
      <c r="B560" s="6"/>
      <c r="K560" s="178"/>
      <c r="S560" s="53"/>
    </row>
    <row r="561">
      <c r="A561" s="6"/>
      <c r="B561" s="6"/>
      <c r="K561" s="178"/>
      <c r="S561" s="53"/>
    </row>
    <row r="562">
      <c r="A562" s="6"/>
      <c r="B562" s="6"/>
      <c r="K562" s="178"/>
      <c r="S562" s="53"/>
    </row>
    <row r="563">
      <c r="A563" s="6"/>
      <c r="B563" s="6"/>
      <c r="K563" s="178"/>
      <c r="S563" s="53"/>
    </row>
    <row r="564">
      <c r="A564" s="6"/>
      <c r="B564" s="6"/>
      <c r="K564" s="178"/>
      <c r="S564" s="53"/>
    </row>
    <row r="565">
      <c r="A565" s="6"/>
      <c r="B565" s="6"/>
      <c r="K565" s="178"/>
      <c r="S565" s="53"/>
    </row>
    <row r="566">
      <c r="A566" s="6"/>
      <c r="B566" s="6"/>
      <c r="K566" s="178"/>
      <c r="S566" s="53"/>
    </row>
    <row r="567">
      <c r="A567" s="6"/>
      <c r="B567" s="6"/>
      <c r="K567" s="178"/>
      <c r="S567" s="53"/>
    </row>
    <row r="568">
      <c r="A568" s="6"/>
      <c r="B568" s="6"/>
      <c r="K568" s="178"/>
      <c r="S568" s="53"/>
    </row>
    <row r="569">
      <c r="A569" s="6"/>
      <c r="B569" s="6"/>
      <c r="K569" s="178"/>
      <c r="S569" s="53"/>
    </row>
    <row r="570">
      <c r="A570" s="6"/>
      <c r="B570" s="6"/>
      <c r="K570" s="178"/>
      <c r="S570" s="53"/>
    </row>
    <row r="571">
      <c r="A571" s="6"/>
      <c r="B571" s="6"/>
      <c r="K571" s="178"/>
      <c r="S571" s="53"/>
    </row>
    <row r="572">
      <c r="A572" s="6"/>
      <c r="B572" s="6"/>
      <c r="K572" s="178"/>
      <c r="S572" s="53"/>
    </row>
    <row r="573">
      <c r="A573" s="6"/>
      <c r="B573" s="6"/>
      <c r="K573" s="178"/>
      <c r="S573" s="53"/>
    </row>
    <row r="574">
      <c r="A574" s="6"/>
      <c r="B574" s="6"/>
      <c r="K574" s="178"/>
      <c r="S574" s="53"/>
    </row>
    <row r="575">
      <c r="A575" s="6"/>
      <c r="B575" s="6"/>
      <c r="K575" s="178"/>
      <c r="S575" s="53"/>
    </row>
    <row r="576">
      <c r="A576" s="6"/>
      <c r="B576" s="6"/>
      <c r="K576" s="178"/>
      <c r="S576" s="53"/>
    </row>
    <row r="577">
      <c r="A577" s="6"/>
      <c r="B577" s="6"/>
      <c r="K577" s="178"/>
      <c r="S577" s="53"/>
    </row>
    <row r="578">
      <c r="A578" s="6"/>
      <c r="B578" s="6"/>
      <c r="K578" s="178"/>
      <c r="S578" s="53"/>
    </row>
    <row r="579">
      <c r="A579" s="6"/>
      <c r="B579" s="6"/>
      <c r="K579" s="178"/>
      <c r="S579" s="53"/>
    </row>
    <row r="580">
      <c r="A580" s="6"/>
      <c r="B580" s="6"/>
      <c r="K580" s="178"/>
      <c r="S580" s="53"/>
    </row>
    <row r="581">
      <c r="A581" s="6"/>
      <c r="B581" s="6"/>
      <c r="K581" s="178"/>
      <c r="S581" s="53"/>
    </row>
    <row r="582">
      <c r="A582" s="6"/>
      <c r="B582" s="6"/>
      <c r="K582" s="178"/>
      <c r="S582" s="53"/>
    </row>
    <row r="583">
      <c r="A583" s="6"/>
      <c r="B583" s="6"/>
      <c r="K583" s="178"/>
      <c r="S583" s="53"/>
    </row>
    <row r="584">
      <c r="A584" s="6"/>
      <c r="B584" s="6"/>
      <c r="K584" s="178"/>
      <c r="S584" s="53"/>
    </row>
    <row r="585">
      <c r="A585" s="6"/>
      <c r="B585" s="6"/>
      <c r="K585" s="178"/>
      <c r="S585" s="53"/>
    </row>
    <row r="586">
      <c r="A586" s="6"/>
      <c r="B586" s="6"/>
      <c r="K586" s="178"/>
      <c r="S586" s="53"/>
    </row>
    <row r="587">
      <c r="A587" s="6"/>
      <c r="B587" s="6"/>
      <c r="K587" s="178"/>
      <c r="S587" s="53"/>
    </row>
    <row r="588">
      <c r="A588" s="6"/>
      <c r="B588" s="6"/>
      <c r="K588" s="178"/>
      <c r="S588" s="53"/>
    </row>
    <row r="589">
      <c r="A589" s="6"/>
      <c r="B589" s="6"/>
      <c r="K589" s="178"/>
      <c r="S589" s="53"/>
    </row>
    <row r="590">
      <c r="A590" s="6"/>
      <c r="B590" s="6"/>
      <c r="K590" s="178"/>
      <c r="S590" s="53"/>
    </row>
    <row r="591">
      <c r="A591" s="6"/>
      <c r="B591" s="6"/>
      <c r="K591" s="178"/>
      <c r="S591" s="53"/>
    </row>
    <row r="592">
      <c r="A592" s="6"/>
      <c r="B592" s="6"/>
      <c r="K592" s="178"/>
      <c r="S592" s="53"/>
    </row>
    <row r="593">
      <c r="A593" s="6"/>
      <c r="B593" s="6"/>
      <c r="K593" s="178"/>
      <c r="S593" s="53"/>
    </row>
    <row r="594">
      <c r="A594" s="6"/>
      <c r="B594" s="6"/>
      <c r="K594" s="178"/>
      <c r="S594" s="53"/>
    </row>
    <row r="595">
      <c r="A595" s="6"/>
      <c r="B595" s="6"/>
      <c r="K595" s="178"/>
      <c r="S595" s="53"/>
    </row>
    <row r="596">
      <c r="A596" s="6"/>
      <c r="B596" s="6"/>
      <c r="K596" s="178"/>
      <c r="S596" s="53"/>
    </row>
    <row r="597">
      <c r="A597" s="6"/>
      <c r="B597" s="6"/>
      <c r="K597" s="178"/>
      <c r="S597" s="53"/>
    </row>
    <row r="598">
      <c r="A598" s="6"/>
      <c r="B598" s="6"/>
      <c r="K598" s="178"/>
      <c r="S598" s="53"/>
    </row>
    <row r="599">
      <c r="A599" s="6"/>
      <c r="B599" s="6"/>
      <c r="K599" s="178"/>
      <c r="S599" s="53"/>
    </row>
    <row r="600">
      <c r="A600" s="6"/>
      <c r="B600" s="6"/>
      <c r="K600" s="178"/>
      <c r="S600" s="53"/>
    </row>
    <row r="601">
      <c r="A601" s="6"/>
      <c r="B601" s="6"/>
      <c r="K601" s="178"/>
      <c r="S601" s="53"/>
    </row>
    <row r="602">
      <c r="A602" s="6"/>
      <c r="B602" s="6"/>
      <c r="K602" s="178"/>
      <c r="S602" s="53"/>
    </row>
    <row r="603">
      <c r="A603" s="6"/>
      <c r="B603" s="6"/>
      <c r="K603" s="178"/>
      <c r="S603" s="53"/>
    </row>
    <row r="604">
      <c r="A604" s="6"/>
      <c r="B604" s="6"/>
      <c r="K604" s="178"/>
      <c r="S604" s="53"/>
    </row>
    <row r="605">
      <c r="A605" s="6"/>
      <c r="B605" s="6"/>
      <c r="K605" s="178"/>
      <c r="S605" s="53"/>
    </row>
    <row r="606">
      <c r="A606" s="6"/>
      <c r="B606" s="6"/>
      <c r="K606" s="178"/>
      <c r="S606" s="53"/>
    </row>
    <row r="607">
      <c r="A607" s="6"/>
      <c r="B607" s="6"/>
      <c r="K607" s="178"/>
      <c r="S607" s="53"/>
    </row>
    <row r="608">
      <c r="A608" s="6"/>
      <c r="B608" s="6"/>
      <c r="K608" s="178"/>
      <c r="S608" s="53"/>
    </row>
    <row r="609">
      <c r="A609" s="6"/>
      <c r="B609" s="6"/>
      <c r="K609" s="178"/>
      <c r="S609" s="53"/>
    </row>
    <row r="610">
      <c r="A610" s="6"/>
      <c r="B610" s="6"/>
      <c r="K610" s="178"/>
      <c r="S610" s="53"/>
    </row>
    <row r="611">
      <c r="A611" s="6"/>
      <c r="B611" s="6"/>
      <c r="K611" s="178"/>
      <c r="S611" s="53"/>
    </row>
    <row r="612">
      <c r="A612" s="6"/>
      <c r="B612" s="6"/>
      <c r="K612" s="178"/>
      <c r="S612" s="53"/>
    </row>
    <row r="613">
      <c r="A613" s="6"/>
      <c r="B613" s="6"/>
      <c r="K613" s="178"/>
      <c r="S613" s="53"/>
    </row>
    <row r="614">
      <c r="A614" s="6"/>
      <c r="B614" s="6"/>
      <c r="K614" s="178"/>
      <c r="S614" s="53"/>
    </row>
    <row r="615">
      <c r="A615" s="6"/>
      <c r="B615" s="6"/>
      <c r="K615" s="178"/>
      <c r="S615" s="53"/>
    </row>
    <row r="616">
      <c r="A616" s="6"/>
      <c r="B616" s="6"/>
      <c r="K616" s="178"/>
      <c r="S616" s="53"/>
    </row>
    <row r="617">
      <c r="A617" s="6"/>
      <c r="B617" s="6"/>
      <c r="K617" s="178"/>
      <c r="S617" s="53"/>
    </row>
    <row r="618">
      <c r="A618" s="6"/>
      <c r="B618" s="6"/>
      <c r="K618" s="178"/>
      <c r="S618" s="53"/>
    </row>
    <row r="619">
      <c r="A619" s="6"/>
      <c r="B619" s="6"/>
      <c r="K619" s="178"/>
      <c r="S619" s="53"/>
    </row>
    <row r="620">
      <c r="A620" s="6"/>
      <c r="B620" s="6"/>
      <c r="K620" s="178"/>
      <c r="S620" s="53"/>
    </row>
    <row r="621">
      <c r="A621" s="6"/>
      <c r="B621" s="6"/>
      <c r="K621" s="178"/>
      <c r="S621" s="53"/>
    </row>
    <row r="622">
      <c r="A622" s="6"/>
      <c r="B622" s="6"/>
      <c r="K622" s="178"/>
      <c r="S622" s="53"/>
    </row>
    <row r="623">
      <c r="A623" s="6"/>
      <c r="B623" s="6"/>
      <c r="K623" s="178"/>
      <c r="S623" s="53"/>
    </row>
    <row r="624">
      <c r="A624" s="6"/>
      <c r="B624" s="6"/>
      <c r="K624" s="178"/>
      <c r="S624" s="53"/>
    </row>
    <row r="625">
      <c r="A625" s="6"/>
      <c r="B625" s="6"/>
      <c r="K625" s="178"/>
      <c r="S625" s="53"/>
    </row>
    <row r="626">
      <c r="A626" s="6"/>
      <c r="B626" s="6"/>
      <c r="K626" s="178"/>
      <c r="S626" s="53"/>
    </row>
    <row r="627">
      <c r="A627" s="6"/>
      <c r="B627" s="6"/>
      <c r="K627" s="178"/>
      <c r="S627" s="53"/>
    </row>
    <row r="628">
      <c r="A628" s="6"/>
      <c r="B628" s="6"/>
      <c r="K628" s="178"/>
      <c r="S628" s="53"/>
    </row>
    <row r="629">
      <c r="A629" s="6"/>
      <c r="B629" s="6"/>
      <c r="K629" s="178"/>
      <c r="S629" s="53"/>
    </row>
    <row r="630">
      <c r="A630" s="6"/>
      <c r="B630" s="6"/>
      <c r="K630" s="178"/>
      <c r="S630" s="53"/>
    </row>
    <row r="631">
      <c r="A631" s="6"/>
      <c r="B631" s="6"/>
      <c r="K631" s="178"/>
      <c r="S631" s="53"/>
    </row>
    <row r="632">
      <c r="A632" s="6"/>
      <c r="B632" s="6"/>
      <c r="K632" s="178"/>
      <c r="S632" s="53"/>
    </row>
    <row r="633">
      <c r="A633" s="6"/>
      <c r="B633" s="6"/>
      <c r="K633" s="178"/>
      <c r="S633" s="53"/>
    </row>
    <row r="634">
      <c r="A634" s="6"/>
      <c r="B634" s="6"/>
      <c r="K634" s="178"/>
      <c r="S634" s="53"/>
    </row>
    <row r="635">
      <c r="A635" s="6"/>
      <c r="B635" s="6"/>
      <c r="K635" s="178"/>
      <c r="S635" s="53"/>
    </row>
    <row r="636">
      <c r="A636" s="6"/>
      <c r="B636" s="6"/>
      <c r="K636" s="178"/>
      <c r="S636" s="53"/>
    </row>
    <row r="637">
      <c r="A637" s="6"/>
      <c r="B637" s="6"/>
      <c r="K637" s="178"/>
      <c r="S637" s="53"/>
    </row>
    <row r="638">
      <c r="A638" s="6"/>
      <c r="B638" s="6"/>
      <c r="K638" s="178"/>
      <c r="S638" s="53"/>
    </row>
    <row r="639">
      <c r="A639" s="6"/>
      <c r="B639" s="6"/>
      <c r="K639" s="178"/>
      <c r="S639" s="53"/>
    </row>
    <row r="640">
      <c r="A640" s="6"/>
      <c r="B640" s="6"/>
      <c r="K640" s="178"/>
      <c r="S640" s="53"/>
    </row>
    <row r="641">
      <c r="A641" s="6"/>
      <c r="B641" s="6"/>
      <c r="K641" s="178"/>
      <c r="S641" s="53"/>
    </row>
    <row r="642">
      <c r="A642" s="6"/>
      <c r="B642" s="6"/>
      <c r="K642" s="178"/>
      <c r="S642" s="53"/>
    </row>
    <row r="643">
      <c r="A643" s="6"/>
      <c r="B643" s="6"/>
      <c r="K643" s="178"/>
      <c r="S643" s="53"/>
    </row>
    <row r="644">
      <c r="A644" s="6"/>
      <c r="B644" s="6"/>
      <c r="K644" s="178"/>
      <c r="S644" s="53"/>
    </row>
    <row r="645">
      <c r="A645" s="6"/>
      <c r="B645" s="6"/>
      <c r="K645" s="178"/>
      <c r="S645" s="53"/>
    </row>
    <row r="646">
      <c r="A646" s="6"/>
      <c r="B646" s="6"/>
      <c r="K646" s="178"/>
      <c r="S646" s="53"/>
    </row>
    <row r="647">
      <c r="A647" s="6"/>
      <c r="B647" s="6"/>
      <c r="K647" s="178"/>
      <c r="S647" s="53"/>
    </row>
    <row r="648">
      <c r="A648" s="6"/>
      <c r="B648" s="6"/>
      <c r="K648" s="178"/>
      <c r="S648" s="53"/>
    </row>
    <row r="649">
      <c r="A649" s="6"/>
      <c r="B649" s="6"/>
      <c r="K649" s="178"/>
      <c r="S649" s="53"/>
    </row>
    <row r="650">
      <c r="A650" s="6"/>
      <c r="B650" s="6"/>
      <c r="K650" s="178"/>
      <c r="S650" s="53"/>
    </row>
    <row r="651">
      <c r="A651" s="6"/>
      <c r="B651" s="6"/>
      <c r="K651" s="178"/>
      <c r="S651" s="53"/>
    </row>
    <row r="652">
      <c r="A652" s="6"/>
      <c r="B652" s="6"/>
      <c r="K652" s="178"/>
      <c r="S652" s="53"/>
    </row>
    <row r="653">
      <c r="A653" s="6"/>
      <c r="B653" s="6"/>
      <c r="K653" s="178"/>
      <c r="S653" s="53"/>
    </row>
    <row r="654">
      <c r="A654" s="6"/>
      <c r="B654" s="6"/>
      <c r="K654" s="178"/>
      <c r="S654" s="53"/>
    </row>
    <row r="655">
      <c r="A655" s="6"/>
      <c r="B655" s="6"/>
      <c r="K655" s="178"/>
      <c r="S655" s="53"/>
    </row>
    <row r="656">
      <c r="A656" s="6"/>
      <c r="B656" s="6"/>
      <c r="K656" s="178"/>
      <c r="S656" s="53"/>
    </row>
    <row r="657">
      <c r="A657" s="6"/>
      <c r="B657" s="6"/>
      <c r="K657" s="178"/>
      <c r="S657" s="53"/>
    </row>
    <row r="658">
      <c r="A658" s="6"/>
      <c r="B658" s="6"/>
      <c r="K658" s="178"/>
      <c r="S658" s="53"/>
    </row>
    <row r="659">
      <c r="A659" s="6"/>
      <c r="B659" s="6"/>
      <c r="K659" s="178"/>
      <c r="S659" s="53"/>
    </row>
    <row r="660">
      <c r="A660" s="6"/>
      <c r="B660" s="6"/>
      <c r="K660" s="178"/>
      <c r="S660" s="53"/>
    </row>
    <row r="661">
      <c r="A661" s="6"/>
      <c r="B661" s="6"/>
      <c r="K661" s="178"/>
      <c r="S661" s="53"/>
    </row>
    <row r="662">
      <c r="A662" s="6"/>
      <c r="B662" s="6"/>
      <c r="K662" s="178"/>
      <c r="S662" s="53"/>
    </row>
    <row r="663">
      <c r="A663" s="6"/>
      <c r="B663" s="6"/>
      <c r="K663" s="178"/>
      <c r="S663" s="53"/>
    </row>
    <row r="664">
      <c r="A664" s="6"/>
      <c r="B664" s="6"/>
      <c r="K664" s="178"/>
      <c r="S664" s="53"/>
    </row>
    <row r="665">
      <c r="A665" s="6"/>
      <c r="B665" s="6"/>
      <c r="K665" s="178"/>
      <c r="S665" s="53"/>
    </row>
    <row r="666">
      <c r="A666" s="6"/>
      <c r="B666" s="6"/>
      <c r="K666" s="178"/>
      <c r="S666" s="53"/>
    </row>
    <row r="667">
      <c r="A667" s="6"/>
      <c r="B667" s="6"/>
      <c r="K667" s="178"/>
      <c r="S667" s="53"/>
    </row>
    <row r="668">
      <c r="A668" s="6"/>
      <c r="B668" s="6"/>
      <c r="K668" s="178"/>
      <c r="S668" s="53"/>
    </row>
    <row r="669">
      <c r="A669" s="6"/>
      <c r="B669" s="6"/>
      <c r="K669" s="178"/>
      <c r="S669" s="53"/>
    </row>
    <row r="670">
      <c r="A670" s="6"/>
      <c r="B670" s="6"/>
      <c r="K670" s="178"/>
      <c r="S670" s="53"/>
    </row>
    <row r="671">
      <c r="A671" s="6"/>
      <c r="B671" s="6"/>
      <c r="K671" s="178"/>
      <c r="S671" s="53"/>
    </row>
    <row r="672">
      <c r="A672" s="6"/>
      <c r="B672" s="6"/>
      <c r="K672" s="178"/>
      <c r="S672" s="53"/>
    </row>
    <row r="673">
      <c r="A673" s="6"/>
      <c r="B673" s="6"/>
      <c r="K673" s="178"/>
      <c r="S673" s="53"/>
    </row>
    <row r="674">
      <c r="A674" s="6"/>
      <c r="B674" s="6"/>
      <c r="K674" s="178"/>
      <c r="S674" s="53"/>
    </row>
    <row r="675">
      <c r="A675" s="6"/>
      <c r="B675" s="6"/>
      <c r="K675" s="178"/>
      <c r="S675" s="53"/>
    </row>
    <row r="676">
      <c r="A676" s="6"/>
      <c r="B676" s="6"/>
      <c r="K676" s="178"/>
      <c r="S676" s="53"/>
    </row>
    <row r="677">
      <c r="A677" s="6"/>
      <c r="B677" s="6"/>
      <c r="K677" s="178"/>
      <c r="S677" s="53"/>
    </row>
    <row r="678">
      <c r="A678" s="6"/>
      <c r="B678" s="6"/>
      <c r="K678" s="178"/>
      <c r="S678" s="53"/>
    </row>
    <row r="679">
      <c r="A679" s="6"/>
      <c r="B679" s="6"/>
      <c r="K679" s="178"/>
      <c r="S679" s="53"/>
    </row>
    <row r="680">
      <c r="A680" s="6"/>
      <c r="B680" s="6"/>
      <c r="K680" s="178"/>
      <c r="S680" s="53"/>
    </row>
    <row r="681">
      <c r="A681" s="6"/>
      <c r="B681" s="6"/>
      <c r="K681" s="178"/>
      <c r="S681" s="53"/>
    </row>
    <row r="682">
      <c r="A682" s="6"/>
      <c r="B682" s="6"/>
      <c r="K682" s="178"/>
      <c r="S682" s="53"/>
    </row>
    <row r="683">
      <c r="A683" s="6"/>
      <c r="B683" s="6"/>
      <c r="K683" s="178"/>
      <c r="S683" s="53"/>
    </row>
    <row r="684">
      <c r="A684" s="6"/>
      <c r="B684" s="6"/>
      <c r="K684" s="178"/>
      <c r="S684" s="53"/>
    </row>
    <row r="685">
      <c r="A685" s="6"/>
      <c r="B685" s="6"/>
      <c r="K685" s="178"/>
      <c r="S685" s="53"/>
    </row>
    <row r="686">
      <c r="A686" s="6"/>
      <c r="B686" s="6"/>
      <c r="K686" s="178"/>
      <c r="S686" s="53"/>
    </row>
    <row r="687">
      <c r="A687" s="6"/>
      <c r="B687" s="6"/>
      <c r="K687" s="178"/>
      <c r="S687" s="53"/>
    </row>
    <row r="688">
      <c r="A688" s="6"/>
      <c r="B688" s="6"/>
      <c r="K688" s="178"/>
      <c r="S688" s="53"/>
    </row>
    <row r="689">
      <c r="A689" s="6"/>
      <c r="B689" s="6"/>
      <c r="K689" s="178"/>
      <c r="S689" s="53"/>
    </row>
    <row r="690">
      <c r="A690" s="6"/>
      <c r="B690" s="6"/>
      <c r="K690" s="178"/>
      <c r="S690" s="53"/>
    </row>
    <row r="691">
      <c r="A691" s="6"/>
      <c r="B691" s="6"/>
      <c r="K691" s="178"/>
      <c r="S691" s="53"/>
    </row>
    <row r="692">
      <c r="A692" s="6"/>
      <c r="B692" s="6"/>
      <c r="K692" s="178"/>
      <c r="S692" s="53"/>
    </row>
    <row r="693">
      <c r="A693" s="6"/>
      <c r="B693" s="6"/>
      <c r="K693" s="178"/>
      <c r="S693" s="53"/>
    </row>
    <row r="694">
      <c r="A694" s="6"/>
      <c r="B694" s="6"/>
      <c r="K694" s="178"/>
      <c r="S694" s="53"/>
    </row>
    <row r="695">
      <c r="A695" s="6"/>
      <c r="B695" s="6"/>
      <c r="K695" s="178"/>
      <c r="S695" s="53"/>
    </row>
    <row r="696">
      <c r="A696" s="6"/>
      <c r="B696" s="6"/>
      <c r="K696" s="178"/>
      <c r="S696" s="53"/>
    </row>
    <row r="697">
      <c r="A697" s="6"/>
      <c r="B697" s="6"/>
      <c r="K697" s="178"/>
      <c r="S697" s="53"/>
    </row>
    <row r="698">
      <c r="A698" s="6"/>
      <c r="B698" s="6"/>
      <c r="K698" s="178"/>
      <c r="S698" s="53"/>
    </row>
    <row r="699">
      <c r="A699" s="6"/>
      <c r="B699" s="6"/>
      <c r="K699" s="178"/>
      <c r="S699" s="53"/>
    </row>
    <row r="700">
      <c r="A700" s="6"/>
      <c r="B700" s="6"/>
      <c r="K700" s="178"/>
      <c r="S700" s="53"/>
    </row>
    <row r="701">
      <c r="A701" s="6"/>
      <c r="B701" s="6"/>
      <c r="K701" s="178"/>
      <c r="S701" s="53"/>
    </row>
    <row r="702">
      <c r="A702" s="6"/>
      <c r="B702" s="6"/>
      <c r="K702" s="178"/>
      <c r="S702" s="53"/>
    </row>
    <row r="703">
      <c r="A703" s="6"/>
      <c r="B703" s="6"/>
      <c r="K703" s="178"/>
      <c r="S703" s="53"/>
    </row>
    <row r="704">
      <c r="A704" s="6"/>
      <c r="B704" s="6"/>
      <c r="K704" s="178"/>
      <c r="S704" s="53"/>
    </row>
    <row r="705">
      <c r="A705" s="6"/>
      <c r="B705" s="6"/>
      <c r="K705" s="178"/>
      <c r="S705" s="53"/>
    </row>
    <row r="706">
      <c r="A706" s="6"/>
      <c r="B706" s="6"/>
      <c r="K706" s="178"/>
      <c r="S706" s="53"/>
    </row>
    <row r="707">
      <c r="A707" s="6"/>
      <c r="B707" s="6"/>
      <c r="K707" s="178"/>
      <c r="S707" s="53"/>
    </row>
    <row r="708">
      <c r="A708" s="6"/>
      <c r="B708" s="6"/>
      <c r="K708" s="178"/>
      <c r="S708" s="53"/>
    </row>
    <row r="709">
      <c r="A709" s="6"/>
      <c r="B709" s="6"/>
      <c r="K709" s="178"/>
      <c r="S709" s="53"/>
    </row>
    <row r="710">
      <c r="A710" s="6"/>
      <c r="B710" s="6"/>
      <c r="K710" s="178"/>
      <c r="S710" s="53"/>
    </row>
    <row r="711">
      <c r="A711" s="6"/>
      <c r="B711" s="6"/>
      <c r="K711" s="178"/>
      <c r="S711" s="53"/>
    </row>
    <row r="712">
      <c r="A712" s="6"/>
      <c r="B712" s="6"/>
      <c r="K712" s="178"/>
      <c r="S712" s="53"/>
    </row>
    <row r="713">
      <c r="A713" s="6"/>
      <c r="B713" s="6"/>
      <c r="K713" s="178"/>
      <c r="S713" s="53"/>
    </row>
    <row r="714">
      <c r="A714" s="6"/>
      <c r="B714" s="6"/>
      <c r="K714" s="178"/>
      <c r="S714" s="53"/>
    </row>
    <row r="715">
      <c r="A715" s="6"/>
      <c r="B715" s="6"/>
      <c r="K715" s="178"/>
      <c r="S715" s="53"/>
    </row>
    <row r="716">
      <c r="A716" s="6"/>
      <c r="B716" s="6"/>
      <c r="K716" s="178"/>
      <c r="S716" s="53"/>
    </row>
    <row r="717">
      <c r="A717" s="6"/>
      <c r="B717" s="6"/>
      <c r="K717" s="178"/>
      <c r="S717" s="53"/>
    </row>
    <row r="718">
      <c r="A718" s="6"/>
      <c r="B718" s="6"/>
      <c r="K718" s="178"/>
      <c r="S718" s="53"/>
    </row>
    <row r="719">
      <c r="A719" s="6"/>
      <c r="B719" s="6"/>
      <c r="K719" s="178"/>
      <c r="S719" s="53"/>
    </row>
    <row r="720">
      <c r="A720" s="6"/>
      <c r="B720" s="6"/>
      <c r="K720" s="178"/>
      <c r="S720" s="53"/>
    </row>
    <row r="721">
      <c r="A721" s="6"/>
      <c r="B721" s="6"/>
      <c r="K721" s="178"/>
      <c r="S721" s="53"/>
    </row>
    <row r="722">
      <c r="A722" s="6"/>
      <c r="B722" s="6"/>
      <c r="K722" s="178"/>
      <c r="S722" s="53"/>
    </row>
    <row r="723">
      <c r="A723" s="6"/>
      <c r="B723" s="6"/>
      <c r="K723" s="178"/>
      <c r="S723" s="53"/>
    </row>
    <row r="724">
      <c r="A724" s="6"/>
      <c r="B724" s="6"/>
      <c r="K724" s="178"/>
      <c r="S724" s="53"/>
    </row>
    <row r="725">
      <c r="A725" s="6"/>
      <c r="B725" s="6"/>
      <c r="K725" s="178"/>
      <c r="S725" s="53"/>
    </row>
    <row r="726">
      <c r="A726" s="6"/>
      <c r="B726" s="6"/>
      <c r="K726" s="178"/>
      <c r="S726" s="53"/>
    </row>
    <row r="727">
      <c r="A727" s="6"/>
      <c r="B727" s="6"/>
      <c r="K727" s="178"/>
      <c r="S727" s="53"/>
    </row>
    <row r="728">
      <c r="A728" s="6"/>
      <c r="B728" s="6"/>
      <c r="K728" s="178"/>
      <c r="S728" s="53"/>
    </row>
    <row r="729">
      <c r="A729" s="6"/>
      <c r="B729" s="6"/>
      <c r="K729" s="178"/>
      <c r="S729" s="53"/>
    </row>
    <row r="730">
      <c r="A730" s="6"/>
      <c r="B730" s="6"/>
      <c r="K730" s="178"/>
      <c r="S730" s="53"/>
    </row>
    <row r="731">
      <c r="A731" s="6"/>
      <c r="B731" s="6"/>
      <c r="K731" s="178"/>
      <c r="S731" s="53"/>
    </row>
    <row r="732">
      <c r="A732" s="6"/>
      <c r="B732" s="6"/>
      <c r="K732" s="178"/>
      <c r="S732" s="53"/>
    </row>
    <row r="733">
      <c r="A733" s="6"/>
      <c r="B733" s="6"/>
      <c r="K733" s="178"/>
      <c r="S733" s="53"/>
    </row>
    <row r="734">
      <c r="A734" s="6"/>
      <c r="B734" s="6"/>
      <c r="K734" s="178"/>
      <c r="S734" s="53"/>
    </row>
    <row r="735">
      <c r="A735" s="6"/>
      <c r="B735" s="6"/>
      <c r="K735" s="178"/>
      <c r="S735" s="53"/>
    </row>
    <row r="736">
      <c r="A736" s="6"/>
      <c r="B736" s="6"/>
      <c r="K736" s="178"/>
      <c r="S736" s="53"/>
    </row>
    <row r="737">
      <c r="A737" s="6"/>
      <c r="B737" s="6"/>
      <c r="K737" s="178"/>
      <c r="S737" s="53"/>
    </row>
    <row r="738">
      <c r="A738" s="6"/>
      <c r="B738" s="6"/>
      <c r="K738" s="178"/>
      <c r="S738" s="53"/>
    </row>
    <row r="739">
      <c r="A739" s="6"/>
      <c r="B739" s="6"/>
      <c r="K739" s="178"/>
      <c r="S739" s="53"/>
    </row>
    <row r="740">
      <c r="A740" s="6"/>
      <c r="B740" s="6"/>
      <c r="K740" s="178"/>
      <c r="S740" s="53"/>
    </row>
    <row r="741">
      <c r="A741" s="6"/>
      <c r="B741" s="6"/>
      <c r="K741" s="178"/>
      <c r="S741" s="53"/>
    </row>
    <row r="742">
      <c r="A742" s="6"/>
      <c r="B742" s="6"/>
      <c r="K742" s="178"/>
      <c r="S742" s="53"/>
    </row>
    <row r="743">
      <c r="A743" s="6"/>
      <c r="B743" s="6"/>
      <c r="K743" s="178"/>
      <c r="S743" s="53"/>
    </row>
    <row r="744">
      <c r="A744" s="6"/>
      <c r="B744" s="6"/>
      <c r="K744" s="178"/>
      <c r="S744" s="53"/>
    </row>
    <row r="745">
      <c r="A745" s="6"/>
      <c r="B745" s="6"/>
      <c r="K745" s="178"/>
      <c r="S745" s="53"/>
    </row>
    <row r="746">
      <c r="A746" s="6"/>
      <c r="B746" s="6"/>
      <c r="K746" s="178"/>
      <c r="S746" s="53"/>
    </row>
    <row r="747">
      <c r="A747" s="6"/>
      <c r="B747" s="6"/>
      <c r="K747" s="178"/>
      <c r="S747" s="53"/>
    </row>
    <row r="748">
      <c r="A748" s="6"/>
      <c r="B748" s="6"/>
      <c r="K748" s="178"/>
      <c r="S748" s="53"/>
    </row>
    <row r="749">
      <c r="A749" s="6"/>
      <c r="B749" s="6"/>
      <c r="K749" s="178"/>
      <c r="S749" s="53"/>
    </row>
    <row r="750">
      <c r="A750" s="6"/>
      <c r="B750" s="6"/>
      <c r="K750" s="178"/>
      <c r="S750" s="53"/>
    </row>
    <row r="751">
      <c r="A751" s="6"/>
      <c r="B751" s="6"/>
      <c r="K751" s="178"/>
      <c r="S751" s="53"/>
    </row>
    <row r="752">
      <c r="A752" s="6"/>
      <c r="B752" s="6"/>
      <c r="K752" s="178"/>
      <c r="S752" s="53"/>
    </row>
    <row r="753">
      <c r="A753" s="6"/>
      <c r="B753" s="6"/>
      <c r="K753" s="178"/>
      <c r="S753" s="53"/>
    </row>
    <row r="754">
      <c r="A754" s="6"/>
      <c r="B754" s="6"/>
      <c r="K754" s="178"/>
      <c r="S754" s="53"/>
    </row>
    <row r="755">
      <c r="A755" s="6"/>
      <c r="B755" s="6"/>
      <c r="K755" s="178"/>
      <c r="S755" s="53"/>
    </row>
    <row r="756">
      <c r="A756" s="6"/>
      <c r="B756" s="6"/>
      <c r="K756" s="178"/>
      <c r="S756" s="53"/>
    </row>
    <row r="757">
      <c r="A757" s="6"/>
      <c r="B757" s="6"/>
      <c r="K757" s="178"/>
      <c r="S757" s="53"/>
    </row>
    <row r="758">
      <c r="A758" s="6"/>
      <c r="B758" s="6"/>
      <c r="K758" s="178"/>
      <c r="S758" s="53"/>
    </row>
    <row r="759">
      <c r="A759" s="6"/>
      <c r="B759" s="6"/>
      <c r="K759" s="178"/>
      <c r="S759" s="53"/>
    </row>
    <row r="760">
      <c r="A760" s="6"/>
      <c r="B760" s="6"/>
      <c r="K760" s="178"/>
      <c r="S760" s="53"/>
    </row>
    <row r="761">
      <c r="A761" s="6"/>
      <c r="B761" s="6"/>
      <c r="K761" s="178"/>
      <c r="S761" s="53"/>
    </row>
    <row r="762">
      <c r="A762" s="6"/>
      <c r="B762" s="6"/>
      <c r="K762" s="178"/>
      <c r="S762" s="53"/>
    </row>
    <row r="763">
      <c r="A763" s="6"/>
      <c r="B763" s="6"/>
      <c r="K763" s="178"/>
      <c r="S763" s="53"/>
    </row>
    <row r="764">
      <c r="A764" s="6"/>
      <c r="B764" s="6"/>
      <c r="K764" s="178"/>
      <c r="S764" s="53"/>
    </row>
    <row r="765">
      <c r="A765" s="6"/>
      <c r="B765" s="6"/>
      <c r="K765" s="178"/>
      <c r="S765" s="53"/>
    </row>
    <row r="766">
      <c r="A766" s="6"/>
      <c r="B766" s="6"/>
      <c r="K766" s="178"/>
      <c r="S766" s="53"/>
    </row>
    <row r="767">
      <c r="A767" s="6"/>
      <c r="B767" s="6"/>
      <c r="K767" s="178"/>
      <c r="S767" s="53"/>
    </row>
    <row r="768">
      <c r="A768" s="6"/>
      <c r="B768" s="6"/>
      <c r="K768" s="178"/>
      <c r="S768" s="53"/>
    </row>
    <row r="769">
      <c r="A769" s="6"/>
      <c r="B769" s="6"/>
      <c r="K769" s="178"/>
      <c r="S769" s="53"/>
    </row>
    <row r="770">
      <c r="A770" s="6"/>
      <c r="B770" s="6"/>
      <c r="K770" s="178"/>
      <c r="S770" s="53"/>
    </row>
    <row r="771">
      <c r="A771" s="6"/>
      <c r="B771" s="6"/>
      <c r="K771" s="178"/>
      <c r="S771" s="53"/>
    </row>
    <row r="772">
      <c r="A772" s="6"/>
      <c r="B772" s="6"/>
      <c r="K772" s="178"/>
      <c r="S772" s="53"/>
    </row>
    <row r="773">
      <c r="A773" s="6"/>
      <c r="B773" s="6"/>
      <c r="K773" s="178"/>
      <c r="S773" s="53"/>
    </row>
    <row r="774">
      <c r="A774" s="6"/>
      <c r="B774" s="6"/>
      <c r="K774" s="178"/>
      <c r="S774" s="53"/>
    </row>
    <row r="775">
      <c r="A775" s="6"/>
      <c r="B775" s="6"/>
      <c r="K775" s="178"/>
      <c r="S775" s="53"/>
    </row>
    <row r="776">
      <c r="A776" s="6"/>
      <c r="B776" s="6"/>
      <c r="K776" s="178"/>
      <c r="S776" s="53"/>
    </row>
    <row r="777">
      <c r="A777" s="6"/>
      <c r="B777" s="6"/>
      <c r="K777" s="178"/>
      <c r="S777" s="53"/>
    </row>
    <row r="778">
      <c r="A778" s="6"/>
      <c r="B778" s="6"/>
      <c r="K778" s="178"/>
      <c r="S778" s="53"/>
    </row>
    <row r="779">
      <c r="A779" s="6"/>
      <c r="B779" s="6"/>
      <c r="K779" s="178"/>
      <c r="S779" s="53"/>
    </row>
    <row r="780">
      <c r="A780" s="6"/>
      <c r="B780" s="6"/>
      <c r="K780" s="178"/>
      <c r="S780" s="53"/>
    </row>
    <row r="781">
      <c r="A781" s="6"/>
      <c r="B781" s="6"/>
      <c r="K781" s="178"/>
      <c r="S781" s="53"/>
    </row>
    <row r="782">
      <c r="A782" s="6"/>
      <c r="B782" s="6"/>
      <c r="K782" s="178"/>
      <c r="S782" s="53"/>
    </row>
    <row r="783">
      <c r="A783" s="6"/>
      <c r="B783" s="6"/>
      <c r="K783" s="178"/>
      <c r="S783" s="53"/>
    </row>
    <row r="784">
      <c r="A784" s="6"/>
      <c r="B784" s="6"/>
      <c r="K784" s="178"/>
      <c r="S784" s="53"/>
    </row>
    <row r="785">
      <c r="A785" s="6"/>
      <c r="B785" s="6"/>
      <c r="K785" s="178"/>
      <c r="S785" s="53"/>
    </row>
    <row r="786">
      <c r="A786" s="6"/>
      <c r="B786" s="6"/>
      <c r="K786" s="178"/>
      <c r="S786" s="53"/>
    </row>
    <row r="787">
      <c r="A787" s="6"/>
      <c r="B787" s="6"/>
      <c r="K787" s="178"/>
      <c r="S787" s="53"/>
    </row>
    <row r="788">
      <c r="A788" s="6"/>
      <c r="B788" s="6"/>
      <c r="K788" s="178"/>
      <c r="S788" s="53"/>
    </row>
    <row r="789">
      <c r="A789" s="6"/>
      <c r="B789" s="6"/>
      <c r="K789" s="178"/>
      <c r="S789" s="53"/>
    </row>
    <row r="790">
      <c r="A790" s="6"/>
      <c r="B790" s="6"/>
      <c r="K790" s="178"/>
      <c r="S790" s="53"/>
    </row>
    <row r="791">
      <c r="A791" s="6"/>
      <c r="B791" s="6"/>
      <c r="K791" s="178"/>
      <c r="S791" s="53"/>
    </row>
    <row r="792">
      <c r="A792" s="6"/>
      <c r="B792" s="6"/>
      <c r="K792" s="178"/>
      <c r="S792" s="53"/>
    </row>
    <row r="793">
      <c r="A793" s="6"/>
      <c r="B793" s="6"/>
      <c r="K793" s="178"/>
      <c r="S793" s="53"/>
    </row>
    <row r="794">
      <c r="A794" s="6"/>
      <c r="B794" s="6"/>
      <c r="K794" s="178"/>
      <c r="S794" s="53"/>
    </row>
    <row r="795">
      <c r="A795" s="6"/>
      <c r="B795" s="6"/>
      <c r="K795" s="178"/>
      <c r="S795" s="53"/>
    </row>
    <row r="796">
      <c r="A796" s="6"/>
      <c r="B796" s="6"/>
      <c r="K796" s="178"/>
      <c r="S796" s="53"/>
    </row>
    <row r="797">
      <c r="A797" s="6"/>
      <c r="B797" s="6"/>
      <c r="K797" s="178"/>
      <c r="S797" s="53"/>
    </row>
    <row r="798">
      <c r="A798" s="6"/>
      <c r="B798" s="6"/>
      <c r="K798" s="178"/>
      <c r="S798" s="53"/>
    </row>
    <row r="799">
      <c r="A799" s="6"/>
      <c r="B799" s="6"/>
      <c r="K799" s="178"/>
      <c r="S799" s="53"/>
    </row>
    <row r="800">
      <c r="A800" s="6"/>
      <c r="B800" s="6"/>
      <c r="K800" s="178"/>
      <c r="S800" s="53"/>
    </row>
    <row r="801">
      <c r="A801" s="6"/>
      <c r="B801" s="6"/>
      <c r="K801" s="178"/>
      <c r="S801" s="53"/>
    </row>
    <row r="802">
      <c r="A802" s="6"/>
      <c r="B802" s="6"/>
      <c r="K802" s="178"/>
      <c r="S802" s="53"/>
    </row>
    <row r="803">
      <c r="A803" s="6"/>
      <c r="B803" s="6"/>
      <c r="K803" s="178"/>
      <c r="S803" s="53"/>
    </row>
    <row r="804">
      <c r="A804" s="6"/>
      <c r="B804" s="6"/>
      <c r="K804" s="178"/>
      <c r="S804" s="53"/>
    </row>
    <row r="805">
      <c r="A805" s="6"/>
      <c r="B805" s="6"/>
      <c r="K805" s="178"/>
      <c r="S805" s="53"/>
    </row>
    <row r="806">
      <c r="A806" s="6"/>
      <c r="B806" s="6"/>
      <c r="K806" s="178"/>
      <c r="S806" s="53"/>
    </row>
    <row r="807">
      <c r="A807" s="6"/>
      <c r="B807" s="6"/>
      <c r="K807" s="178"/>
      <c r="S807" s="53"/>
    </row>
    <row r="808">
      <c r="A808" s="6"/>
      <c r="B808" s="6"/>
      <c r="K808" s="178"/>
      <c r="S808" s="53"/>
    </row>
    <row r="809">
      <c r="A809" s="6"/>
      <c r="B809" s="6"/>
      <c r="K809" s="178"/>
      <c r="S809" s="53"/>
    </row>
    <row r="810">
      <c r="A810" s="6"/>
      <c r="B810" s="6"/>
      <c r="K810" s="178"/>
      <c r="S810" s="53"/>
    </row>
    <row r="811">
      <c r="A811" s="6"/>
      <c r="B811" s="6"/>
      <c r="K811" s="178"/>
      <c r="S811" s="53"/>
    </row>
    <row r="812">
      <c r="A812" s="6"/>
      <c r="B812" s="6"/>
      <c r="K812" s="178"/>
      <c r="S812" s="53"/>
    </row>
    <row r="813">
      <c r="A813" s="6"/>
      <c r="B813" s="6"/>
      <c r="K813" s="178"/>
      <c r="S813" s="53"/>
    </row>
    <row r="814">
      <c r="A814" s="6"/>
      <c r="B814" s="6"/>
      <c r="K814" s="178"/>
      <c r="S814" s="53"/>
    </row>
    <row r="815">
      <c r="A815" s="6"/>
      <c r="B815" s="6"/>
      <c r="K815" s="178"/>
      <c r="S815" s="53"/>
    </row>
    <row r="816">
      <c r="A816" s="6"/>
      <c r="B816" s="6"/>
      <c r="K816" s="178"/>
      <c r="S816" s="53"/>
    </row>
    <row r="817">
      <c r="A817" s="6"/>
      <c r="B817" s="6"/>
      <c r="K817" s="178"/>
      <c r="S817" s="53"/>
    </row>
    <row r="818">
      <c r="A818" s="6"/>
      <c r="B818" s="6"/>
      <c r="K818" s="178"/>
      <c r="S818" s="53"/>
    </row>
    <row r="819">
      <c r="A819" s="6"/>
      <c r="B819" s="6"/>
      <c r="K819" s="178"/>
      <c r="S819" s="53"/>
    </row>
    <row r="820">
      <c r="A820" s="6"/>
      <c r="B820" s="6"/>
      <c r="K820" s="178"/>
      <c r="S820" s="53"/>
    </row>
    <row r="821">
      <c r="A821" s="6"/>
      <c r="B821" s="6"/>
      <c r="K821" s="178"/>
      <c r="S821" s="53"/>
    </row>
    <row r="822">
      <c r="A822" s="6"/>
      <c r="B822" s="6"/>
      <c r="K822" s="178"/>
      <c r="S822" s="53"/>
    </row>
    <row r="823">
      <c r="A823" s="6"/>
      <c r="B823" s="6"/>
      <c r="K823" s="178"/>
      <c r="S823" s="53"/>
    </row>
    <row r="824">
      <c r="A824" s="6"/>
      <c r="B824" s="6"/>
      <c r="K824" s="178"/>
      <c r="S824" s="53"/>
    </row>
    <row r="825">
      <c r="A825" s="6"/>
      <c r="B825" s="6"/>
      <c r="K825" s="178"/>
      <c r="S825" s="53"/>
    </row>
    <row r="826">
      <c r="A826" s="6"/>
      <c r="B826" s="6"/>
      <c r="K826" s="178"/>
      <c r="S826" s="53"/>
    </row>
    <row r="827">
      <c r="A827" s="6"/>
      <c r="B827" s="6"/>
      <c r="K827" s="178"/>
      <c r="S827" s="53"/>
    </row>
    <row r="828">
      <c r="A828" s="6"/>
      <c r="B828" s="6"/>
      <c r="K828" s="178"/>
      <c r="S828" s="53"/>
    </row>
    <row r="829">
      <c r="A829" s="6"/>
      <c r="B829" s="6"/>
      <c r="K829" s="178"/>
      <c r="S829" s="53"/>
    </row>
    <row r="830">
      <c r="A830" s="6"/>
      <c r="B830" s="6"/>
      <c r="K830" s="178"/>
      <c r="S830" s="53"/>
    </row>
    <row r="831">
      <c r="A831" s="6"/>
      <c r="B831" s="6"/>
      <c r="K831" s="178"/>
      <c r="S831" s="53"/>
    </row>
    <row r="832">
      <c r="A832" s="6"/>
      <c r="B832" s="6"/>
      <c r="K832" s="178"/>
      <c r="S832" s="53"/>
    </row>
    <row r="833">
      <c r="A833" s="6"/>
      <c r="B833" s="6"/>
      <c r="K833" s="178"/>
      <c r="S833" s="53"/>
    </row>
    <row r="834">
      <c r="A834" s="6"/>
      <c r="B834" s="6"/>
      <c r="K834" s="178"/>
      <c r="S834" s="53"/>
    </row>
    <row r="835">
      <c r="A835" s="6"/>
      <c r="B835" s="6"/>
      <c r="K835" s="178"/>
      <c r="S835" s="53"/>
    </row>
    <row r="836">
      <c r="A836" s="6"/>
      <c r="B836" s="6"/>
      <c r="K836" s="178"/>
      <c r="S836" s="53"/>
    </row>
    <row r="837">
      <c r="A837" s="6"/>
      <c r="B837" s="6"/>
      <c r="K837" s="178"/>
      <c r="S837" s="53"/>
    </row>
    <row r="838">
      <c r="A838" s="6"/>
      <c r="B838" s="6"/>
      <c r="K838" s="178"/>
      <c r="S838" s="53"/>
    </row>
    <row r="839">
      <c r="A839" s="6"/>
      <c r="B839" s="6"/>
      <c r="K839" s="178"/>
      <c r="S839" s="53"/>
    </row>
    <row r="840">
      <c r="A840" s="6"/>
      <c r="B840" s="6"/>
      <c r="K840" s="178"/>
      <c r="S840" s="53"/>
    </row>
    <row r="841">
      <c r="A841" s="6"/>
      <c r="B841" s="6"/>
      <c r="K841" s="178"/>
      <c r="S841" s="53"/>
    </row>
    <row r="842">
      <c r="A842" s="6"/>
      <c r="B842" s="6"/>
      <c r="K842" s="178"/>
      <c r="S842" s="53"/>
    </row>
    <row r="843">
      <c r="A843" s="6"/>
      <c r="B843" s="6"/>
      <c r="K843" s="178"/>
      <c r="S843" s="53"/>
    </row>
    <row r="844">
      <c r="A844" s="6"/>
      <c r="B844" s="6"/>
      <c r="K844" s="178"/>
      <c r="S844" s="53"/>
    </row>
    <row r="845">
      <c r="A845" s="6"/>
      <c r="B845" s="6"/>
      <c r="K845" s="178"/>
      <c r="S845" s="53"/>
    </row>
    <row r="846">
      <c r="A846" s="6"/>
      <c r="B846" s="6"/>
      <c r="K846" s="178"/>
      <c r="S846" s="53"/>
    </row>
    <row r="847">
      <c r="A847" s="6"/>
      <c r="B847" s="6"/>
      <c r="K847" s="178"/>
      <c r="S847" s="53"/>
    </row>
    <row r="848">
      <c r="A848" s="6"/>
      <c r="B848" s="6"/>
      <c r="K848" s="178"/>
      <c r="S848" s="53"/>
    </row>
    <row r="849">
      <c r="A849" s="6"/>
      <c r="B849" s="6"/>
      <c r="K849" s="178"/>
      <c r="S849" s="53"/>
    </row>
    <row r="850">
      <c r="A850" s="6"/>
      <c r="B850" s="6"/>
      <c r="K850" s="178"/>
      <c r="S850" s="53"/>
    </row>
    <row r="851">
      <c r="A851" s="6"/>
      <c r="B851" s="6"/>
      <c r="K851" s="178"/>
      <c r="S851" s="53"/>
    </row>
    <row r="852">
      <c r="A852" s="6"/>
      <c r="B852" s="6"/>
      <c r="K852" s="178"/>
      <c r="S852" s="53"/>
    </row>
    <row r="853">
      <c r="A853" s="6"/>
      <c r="B853" s="6"/>
      <c r="K853" s="178"/>
      <c r="S853" s="53"/>
    </row>
    <row r="854">
      <c r="A854" s="6"/>
      <c r="B854" s="6"/>
      <c r="K854" s="178"/>
      <c r="S854" s="53"/>
    </row>
    <row r="855">
      <c r="A855" s="6"/>
      <c r="B855" s="6"/>
      <c r="K855" s="178"/>
      <c r="S855" s="53"/>
    </row>
    <row r="856">
      <c r="A856" s="6"/>
      <c r="B856" s="6"/>
      <c r="K856" s="178"/>
      <c r="S856" s="53"/>
    </row>
    <row r="857">
      <c r="A857" s="6"/>
      <c r="B857" s="6"/>
      <c r="K857" s="178"/>
      <c r="S857" s="53"/>
    </row>
    <row r="858">
      <c r="A858" s="6"/>
      <c r="B858" s="6"/>
      <c r="K858" s="178"/>
      <c r="S858" s="53"/>
    </row>
    <row r="859">
      <c r="A859" s="6"/>
      <c r="B859" s="6"/>
      <c r="K859" s="178"/>
      <c r="S859" s="53"/>
    </row>
    <row r="860">
      <c r="A860" s="6"/>
      <c r="B860" s="6"/>
      <c r="K860" s="178"/>
      <c r="S860" s="53"/>
    </row>
    <row r="861">
      <c r="A861" s="6"/>
      <c r="B861" s="6"/>
      <c r="K861" s="178"/>
      <c r="S861" s="53"/>
    </row>
    <row r="862">
      <c r="A862" s="6"/>
      <c r="B862" s="6"/>
      <c r="K862" s="178"/>
      <c r="S862" s="53"/>
    </row>
    <row r="863">
      <c r="A863" s="6"/>
      <c r="B863" s="6"/>
      <c r="K863" s="178"/>
      <c r="S863" s="53"/>
    </row>
    <row r="864">
      <c r="A864" s="6"/>
      <c r="B864" s="6"/>
      <c r="K864" s="178"/>
      <c r="S864" s="53"/>
    </row>
    <row r="865">
      <c r="A865" s="6"/>
      <c r="B865" s="6"/>
      <c r="K865" s="178"/>
      <c r="S865" s="53"/>
    </row>
    <row r="866">
      <c r="A866" s="6"/>
      <c r="B866" s="6"/>
      <c r="K866" s="178"/>
      <c r="S866" s="53"/>
    </row>
    <row r="867">
      <c r="A867" s="6"/>
      <c r="B867" s="6"/>
      <c r="K867" s="178"/>
      <c r="S867" s="53"/>
    </row>
    <row r="868">
      <c r="A868" s="6"/>
      <c r="B868" s="6"/>
      <c r="K868" s="178"/>
      <c r="S868" s="53"/>
    </row>
    <row r="869">
      <c r="A869" s="6"/>
      <c r="B869" s="6"/>
      <c r="K869" s="178"/>
      <c r="S869" s="53"/>
    </row>
    <row r="870">
      <c r="A870" s="6"/>
      <c r="B870" s="6"/>
      <c r="K870" s="178"/>
      <c r="S870" s="53"/>
    </row>
    <row r="871">
      <c r="A871" s="6"/>
      <c r="B871" s="6"/>
      <c r="K871" s="178"/>
      <c r="S871" s="53"/>
    </row>
    <row r="872">
      <c r="A872" s="6"/>
      <c r="B872" s="6"/>
      <c r="K872" s="178"/>
      <c r="S872" s="53"/>
    </row>
    <row r="873">
      <c r="A873" s="6"/>
      <c r="B873" s="6"/>
      <c r="K873" s="178"/>
      <c r="S873" s="53"/>
    </row>
    <row r="874">
      <c r="A874" s="6"/>
      <c r="B874" s="6"/>
      <c r="K874" s="178"/>
      <c r="S874" s="53"/>
    </row>
    <row r="875">
      <c r="A875" s="6"/>
      <c r="B875" s="6"/>
      <c r="K875" s="178"/>
      <c r="S875" s="53"/>
    </row>
    <row r="876">
      <c r="A876" s="6"/>
      <c r="B876" s="6"/>
      <c r="K876" s="178"/>
      <c r="S876" s="53"/>
    </row>
    <row r="877">
      <c r="A877" s="6"/>
      <c r="B877" s="6"/>
      <c r="K877" s="178"/>
      <c r="S877" s="53"/>
    </row>
    <row r="878">
      <c r="A878" s="6"/>
      <c r="B878" s="6"/>
      <c r="K878" s="178"/>
      <c r="S878" s="53"/>
    </row>
    <row r="879">
      <c r="A879" s="6"/>
      <c r="B879" s="6"/>
      <c r="K879" s="178"/>
      <c r="S879" s="53"/>
    </row>
    <row r="880">
      <c r="A880" s="6"/>
      <c r="B880" s="6"/>
      <c r="K880" s="178"/>
      <c r="S880" s="53"/>
    </row>
    <row r="881">
      <c r="A881" s="6"/>
      <c r="B881" s="6"/>
      <c r="K881" s="178"/>
      <c r="S881" s="53"/>
    </row>
    <row r="882">
      <c r="A882" s="6"/>
      <c r="B882" s="6"/>
      <c r="K882" s="178"/>
      <c r="S882" s="53"/>
    </row>
    <row r="883">
      <c r="A883" s="6"/>
      <c r="B883" s="6"/>
      <c r="K883" s="178"/>
      <c r="S883" s="53"/>
    </row>
    <row r="884">
      <c r="A884" s="6"/>
      <c r="B884" s="6"/>
      <c r="K884" s="178"/>
      <c r="S884" s="53"/>
    </row>
    <row r="885">
      <c r="A885" s="6"/>
      <c r="B885" s="6"/>
      <c r="K885" s="178"/>
      <c r="S885" s="53"/>
    </row>
    <row r="886">
      <c r="A886" s="6"/>
      <c r="B886" s="6"/>
      <c r="K886" s="178"/>
      <c r="S886" s="53"/>
    </row>
    <row r="887">
      <c r="A887" s="6"/>
      <c r="B887" s="6"/>
      <c r="K887" s="178"/>
      <c r="S887" s="53"/>
    </row>
    <row r="888">
      <c r="A888" s="6"/>
      <c r="B888" s="6"/>
      <c r="K888" s="178"/>
      <c r="S888" s="53"/>
    </row>
    <row r="889">
      <c r="A889" s="6"/>
      <c r="B889" s="6"/>
      <c r="K889" s="178"/>
      <c r="S889" s="53"/>
    </row>
    <row r="890">
      <c r="A890" s="6"/>
      <c r="B890" s="6"/>
      <c r="K890" s="178"/>
      <c r="S890" s="53"/>
    </row>
    <row r="891">
      <c r="A891" s="6"/>
      <c r="B891" s="6"/>
      <c r="K891" s="178"/>
      <c r="S891" s="53"/>
    </row>
    <row r="892">
      <c r="A892" s="6"/>
      <c r="B892" s="6"/>
      <c r="K892" s="178"/>
      <c r="S892" s="53"/>
    </row>
    <row r="893">
      <c r="A893" s="6"/>
      <c r="B893" s="6"/>
      <c r="K893" s="178"/>
      <c r="S893" s="53"/>
    </row>
    <row r="894">
      <c r="A894" s="6"/>
      <c r="B894" s="6"/>
      <c r="K894" s="178"/>
      <c r="S894" s="53"/>
    </row>
    <row r="895">
      <c r="A895" s="6"/>
      <c r="B895" s="6"/>
      <c r="K895" s="178"/>
      <c r="S895" s="53"/>
    </row>
    <row r="896">
      <c r="A896" s="6"/>
      <c r="B896" s="6"/>
      <c r="K896" s="178"/>
      <c r="S896" s="53"/>
    </row>
    <row r="897">
      <c r="A897" s="6"/>
      <c r="B897" s="6"/>
      <c r="K897" s="178"/>
      <c r="S897" s="53"/>
    </row>
    <row r="898">
      <c r="A898" s="6"/>
      <c r="B898" s="6"/>
      <c r="K898" s="178"/>
      <c r="S898" s="53"/>
    </row>
    <row r="899">
      <c r="A899" s="6"/>
      <c r="B899" s="6"/>
      <c r="K899" s="178"/>
      <c r="S899" s="53"/>
    </row>
    <row r="900">
      <c r="A900" s="6"/>
      <c r="B900" s="6"/>
      <c r="K900" s="178"/>
      <c r="S900" s="53"/>
    </row>
    <row r="901">
      <c r="A901" s="6"/>
      <c r="B901" s="6"/>
      <c r="K901" s="178"/>
      <c r="S901" s="53"/>
    </row>
    <row r="902">
      <c r="A902" s="6"/>
      <c r="B902" s="6"/>
      <c r="K902" s="178"/>
      <c r="S902" s="53"/>
    </row>
    <row r="903">
      <c r="A903" s="6"/>
      <c r="B903" s="6"/>
      <c r="K903" s="178"/>
      <c r="S903" s="53"/>
    </row>
    <row r="904">
      <c r="A904" s="6"/>
      <c r="B904" s="6"/>
      <c r="K904" s="178"/>
      <c r="S904" s="53"/>
    </row>
    <row r="905">
      <c r="A905" s="6"/>
      <c r="B905" s="6"/>
      <c r="K905" s="178"/>
      <c r="S905" s="53"/>
    </row>
    <row r="906">
      <c r="A906" s="6"/>
      <c r="B906" s="6"/>
      <c r="K906" s="178"/>
      <c r="S906" s="53"/>
    </row>
    <row r="907">
      <c r="A907" s="6"/>
      <c r="B907" s="6"/>
      <c r="K907" s="178"/>
      <c r="S907" s="53"/>
    </row>
    <row r="908">
      <c r="A908" s="6"/>
      <c r="B908" s="6"/>
      <c r="K908" s="178"/>
      <c r="S908" s="53"/>
    </row>
    <row r="909">
      <c r="A909" s="6"/>
      <c r="B909" s="6"/>
      <c r="K909" s="178"/>
      <c r="S909" s="53"/>
    </row>
    <row r="910">
      <c r="A910" s="6"/>
      <c r="B910" s="6"/>
      <c r="K910" s="178"/>
      <c r="S910" s="53"/>
    </row>
    <row r="911">
      <c r="A911" s="6"/>
      <c r="B911" s="6"/>
      <c r="K911" s="178"/>
      <c r="S911" s="53"/>
    </row>
    <row r="912">
      <c r="A912" s="6"/>
      <c r="B912" s="6"/>
      <c r="K912" s="178"/>
      <c r="S912" s="53"/>
    </row>
    <row r="913">
      <c r="A913" s="6"/>
      <c r="B913" s="6"/>
      <c r="K913" s="178"/>
      <c r="S913" s="53"/>
    </row>
    <row r="914">
      <c r="A914" s="6"/>
      <c r="B914" s="6"/>
      <c r="K914" s="178"/>
      <c r="S914" s="53"/>
    </row>
    <row r="915">
      <c r="A915" s="6"/>
      <c r="B915" s="6"/>
      <c r="K915" s="178"/>
      <c r="S915" s="53"/>
    </row>
    <row r="916">
      <c r="A916" s="6"/>
      <c r="B916" s="6"/>
      <c r="K916" s="178"/>
      <c r="S916" s="53"/>
    </row>
    <row r="917">
      <c r="A917" s="6"/>
      <c r="B917" s="6"/>
      <c r="K917" s="178"/>
      <c r="S917" s="53"/>
    </row>
    <row r="918">
      <c r="A918" s="6"/>
      <c r="B918" s="6"/>
      <c r="K918" s="178"/>
      <c r="S918" s="53"/>
    </row>
    <row r="919">
      <c r="A919" s="6"/>
      <c r="B919" s="6"/>
      <c r="K919" s="178"/>
      <c r="S919" s="53"/>
    </row>
    <row r="920">
      <c r="A920" s="6"/>
      <c r="B920" s="6"/>
      <c r="K920" s="178"/>
      <c r="S920" s="53"/>
    </row>
    <row r="921">
      <c r="A921" s="6"/>
      <c r="B921" s="6"/>
      <c r="K921" s="178"/>
      <c r="S921" s="53"/>
    </row>
    <row r="922">
      <c r="A922" s="6"/>
      <c r="B922" s="6"/>
      <c r="K922" s="178"/>
      <c r="S922" s="53"/>
    </row>
    <row r="923">
      <c r="A923" s="6"/>
      <c r="B923" s="6"/>
      <c r="K923" s="178"/>
      <c r="S923" s="53"/>
    </row>
    <row r="924">
      <c r="A924" s="6"/>
      <c r="B924" s="6"/>
      <c r="K924" s="178"/>
      <c r="S924" s="53"/>
    </row>
    <row r="925">
      <c r="A925" s="6"/>
      <c r="B925" s="6"/>
      <c r="K925" s="178"/>
      <c r="S925" s="53"/>
    </row>
    <row r="926">
      <c r="A926" s="6"/>
      <c r="B926" s="6"/>
      <c r="K926" s="178"/>
      <c r="S926" s="53"/>
    </row>
    <row r="927">
      <c r="A927" s="6"/>
      <c r="B927" s="6"/>
      <c r="K927" s="178"/>
      <c r="S927" s="53"/>
    </row>
    <row r="928">
      <c r="A928" s="6"/>
      <c r="B928" s="6"/>
      <c r="K928" s="178"/>
      <c r="S928" s="53"/>
    </row>
    <row r="929">
      <c r="A929" s="6"/>
      <c r="B929" s="6"/>
      <c r="K929" s="178"/>
      <c r="S929" s="53"/>
    </row>
    <row r="930">
      <c r="A930" s="6"/>
      <c r="B930" s="6"/>
      <c r="K930" s="178"/>
      <c r="S930" s="53"/>
    </row>
    <row r="931">
      <c r="A931" s="6"/>
      <c r="B931" s="6"/>
      <c r="K931" s="178"/>
      <c r="S931" s="53"/>
    </row>
    <row r="932">
      <c r="A932" s="6"/>
      <c r="B932" s="6"/>
      <c r="K932" s="178"/>
      <c r="S932" s="53"/>
    </row>
    <row r="933">
      <c r="A933" s="6"/>
      <c r="B933" s="6"/>
      <c r="K933" s="178"/>
      <c r="S933" s="53"/>
    </row>
    <row r="934">
      <c r="A934" s="6"/>
      <c r="B934" s="6"/>
      <c r="K934" s="178"/>
      <c r="S934" s="53"/>
    </row>
    <row r="935">
      <c r="A935" s="6"/>
      <c r="B935" s="6"/>
      <c r="K935" s="178"/>
      <c r="S935" s="53"/>
    </row>
    <row r="936">
      <c r="A936" s="6"/>
      <c r="B936" s="6"/>
      <c r="K936" s="178"/>
      <c r="S936" s="53"/>
    </row>
    <row r="937">
      <c r="A937" s="6"/>
      <c r="B937" s="6"/>
      <c r="K937" s="178"/>
      <c r="S937" s="53"/>
    </row>
    <row r="938">
      <c r="A938" s="6"/>
      <c r="B938" s="6"/>
      <c r="K938" s="178"/>
      <c r="S938" s="53"/>
    </row>
    <row r="939">
      <c r="A939" s="6"/>
      <c r="B939" s="6"/>
      <c r="K939" s="178"/>
      <c r="S939" s="53"/>
    </row>
    <row r="940">
      <c r="A940" s="6"/>
      <c r="B940" s="6"/>
      <c r="K940" s="178"/>
      <c r="S940" s="53"/>
    </row>
    <row r="941">
      <c r="A941" s="6"/>
      <c r="B941" s="6"/>
      <c r="K941" s="178"/>
      <c r="S941" s="53"/>
    </row>
    <row r="942">
      <c r="A942" s="6"/>
      <c r="B942" s="6"/>
      <c r="K942" s="178"/>
      <c r="S942" s="53"/>
    </row>
    <row r="943">
      <c r="A943" s="6"/>
      <c r="B943" s="6"/>
      <c r="K943" s="178"/>
      <c r="S943" s="53"/>
    </row>
    <row r="944">
      <c r="A944" s="6"/>
      <c r="B944" s="6"/>
      <c r="K944" s="178"/>
      <c r="S944" s="53"/>
    </row>
    <row r="945">
      <c r="A945" s="6"/>
      <c r="B945" s="6"/>
      <c r="K945" s="178"/>
      <c r="S945" s="53"/>
    </row>
    <row r="946">
      <c r="A946" s="6"/>
      <c r="B946" s="6"/>
      <c r="K946" s="178"/>
      <c r="S946" s="53"/>
    </row>
    <row r="947">
      <c r="A947" s="6"/>
      <c r="B947" s="6"/>
      <c r="K947" s="178"/>
      <c r="S947" s="53"/>
    </row>
    <row r="948">
      <c r="A948" s="6"/>
      <c r="B948" s="6"/>
      <c r="K948" s="178"/>
      <c r="S948" s="53"/>
    </row>
    <row r="949">
      <c r="A949" s="6"/>
      <c r="B949" s="6"/>
      <c r="K949" s="178"/>
      <c r="S949" s="53"/>
    </row>
    <row r="950">
      <c r="A950" s="6"/>
      <c r="B950" s="6"/>
      <c r="K950" s="178"/>
      <c r="S950" s="53"/>
    </row>
    <row r="951">
      <c r="A951" s="6"/>
      <c r="B951" s="6"/>
      <c r="K951" s="178"/>
      <c r="S951" s="53"/>
    </row>
    <row r="952">
      <c r="A952" s="6"/>
      <c r="B952" s="6"/>
      <c r="K952" s="178"/>
      <c r="S952" s="53"/>
    </row>
    <row r="953">
      <c r="A953" s="6"/>
      <c r="B953" s="6"/>
      <c r="K953" s="178"/>
      <c r="S953" s="53"/>
    </row>
    <row r="954">
      <c r="A954" s="6"/>
      <c r="B954" s="6"/>
      <c r="K954" s="178"/>
      <c r="S954" s="53"/>
    </row>
    <row r="955">
      <c r="A955" s="6"/>
      <c r="B955" s="6"/>
      <c r="K955" s="178"/>
      <c r="S955" s="53"/>
    </row>
    <row r="956">
      <c r="A956" s="6"/>
      <c r="B956" s="6"/>
      <c r="K956" s="178"/>
      <c r="S956" s="53"/>
    </row>
    <row r="957">
      <c r="A957" s="6"/>
      <c r="B957" s="6"/>
      <c r="K957" s="178"/>
      <c r="S957" s="53"/>
    </row>
    <row r="958">
      <c r="A958" s="6"/>
      <c r="B958" s="6"/>
      <c r="K958" s="178"/>
      <c r="S958" s="53"/>
    </row>
    <row r="959">
      <c r="A959" s="6"/>
      <c r="B959" s="6"/>
      <c r="K959" s="178"/>
      <c r="S959" s="53"/>
    </row>
    <row r="960">
      <c r="A960" s="6"/>
      <c r="B960" s="6"/>
      <c r="K960" s="178"/>
      <c r="S960" s="53"/>
    </row>
    <row r="961">
      <c r="A961" s="6"/>
      <c r="B961" s="6"/>
      <c r="K961" s="178"/>
      <c r="S961" s="53"/>
    </row>
    <row r="962">
      <c r="A962" s="6"/>
      <c r="B962" s="6"/>
      <c r="K962" s="178"/>
      <c r="S962" s="53"/>
    </row>
    <row r="963">
      <c r="A963" s="6"/>
      <c r="B963" s="6"/>
      <c r="K963" s="178"/>
      <c r="S963" s="53"/>
    </row>
    <row r="964">
      <c r="A964" s="6"/>
      <c r="B964" s="6"/>
      <c r="K964" s="178"/>
      <c r="S964" s="53"/>
    </row>
    <row r="965">
      <c r="A965" s="6"/>
      <c r="B965" s="6"/>
      <c r="K965" s="178"/>
      <c r="S965" s="53"/>
    </row>
    <row r="966">
      <c r="A966" s="6"/>
      <c r="B966" s="6"/>
      <c r="K966" s="178"/>
      <c r="S966" s="53"/>
    </row>
    <row r="967">
      <c r="A967" s="6"/>
      <c r="B967" s="6"/>
      <c r="K967" s="178"/>
      <c r="S967" s="53"/>
    </row>
    <row r="968">
      <c r="A968" s="6"/>
      <c r="B968" s="6"/>
      <c r="K968" s="178"/>
      <c r="S968" s="53"/>
    </row>
    <row r="969">
      <c r="A969" s="6"/>
      <c r="B969" s="6"/>
      <c r="K969" s="178"/>
      <c r="S969" s="53"/>
    </row>
    <row r="970">
      <c r="A970" s="6"/>
      <c r="B970" s="6"/>
      <c r="K970" s="178"/>
      <c r="S970" s="53"/>
    </row>
    <row r="971">
      <c r="A971" s="6"/>
      <c r="B971" s="6"/>
      <c r="K971" s="178"/>
      <c r="S971" s="53"/>
    </row>
    <row r="972">
      <c r="A972" s="6"/>
      <c r="B972" s="6"/>
      <c r="K972" s="178"/>
      <c r="S972" s="53"/>
    </row>
    <row r="973">
      <c r="A973" s="6"/>
      <c r="B973" s="6"/>
      <c r="K973" s="178"/>
      <c r="S973" s="53"/>
    </row>
    <row r="974">
      <c r="A974" s="6"/>
      <c r="B974" s="6"/>
      <c r="K974" s="178"/>
      <c r="S974" s="53"/>
    </row>
    <row r="975">
      <c r="A975" s="6"/>
      <c r="B975" s="6"/>
      <c r="K975" s="178"/>
      <c r="S975" s="53"/>
    </row>
    <row r="976">
      <c r="A976" s="6"/>
      <c r="B976" s="6"/>
      <c r="K976" s="178"/>
      <c r="S976" s="53"/>
    </row>
    <row r="977">
      <c r="A977" s="6"/>
      <c r="B977" s="6"/>
      <c r="K977" s="178"/>
      <c r="S977" s="53"/>
    </row>
    <row r="978">
      <c r="A978" s="6"/>
      <c r="B978" s="6"/>
      <c r="K978" s="178"/>
      <c r="S978" s="53"/>
    </row>
    <row r="979">
      <c r="A979" s="6"/>
      <c r="B979" s="6"/>
      <c r="K979" s="178"/>
      <c r="S979" s="53"/>
    </row>
    <row r="980">
      <c r="A980" s="6"/>
      <c r="B980" s="6"/>
      <c r="K980" s="178"/>
      <c r="S980" s="53"/>
    </row>
    <row r="981">
      <c r="A981" s="6"/>
      <c r="B981" s="6"/>
      <c r="K981" s="178"/>
      <c r="S981" s="53"/>
    </row>
    <row r="982">
      <c r="A982" s="6"/>
      <c r="B982" s="6"/>
      <c r="K982" s="178"/>
      <c r="S982" s="53"/>
    </row>
    <row r="983">
      <c r="A983" s="6"/>
      <c r="B983" s="6"/>
      <c r="K983" s="178"/>
      <c r="S983" s="53"/>
    </row>
    <row r="984">
      <c r="A984" s="6"/>
      <c r="B984" s="6"/>
      <c r="K984" s="178"/>
      <c r="S984" s="53"/>
    </row>
    <row r="985">
      <c r="A985" s="6"/>
      <c r="B985" s="6"/>
      <c r="K985" s="178"/>
      <c r="S985" s="53"/>
    </row>
    <row r="986">
      <c r="A986" s="6"/>
      <c r="B986" s="6"/>
      <c r="K986" s="178"/>
      <c r="S986" s="53"/>
    </row>
    <row r="987">
      <c r="A987" s="6"/>
      <c r="B987" s="6"/>
      <c r="K987" s="178"/>
      <c r="S987" s="53"/>
    </row>
    <row r="988">
      <c r="A988" s="6"/>
      <c r="B988" s="6"/>
      <c r="K988" s="178"/>
      <c r="S988" s="53"/>
    </row>
    <row r="989">
      <c r="A989" s="6"/>
      <c r="B989" s="6"/>
      <c r="K989" s="178"/>
      <c r="S989" s="53"/>
    </row>
    <row r="990">
      <c r="A990" s="6"/>
      <c r="B990" s="6"/>
      <c r="K990" s="178"/>
      <c r="S990" s="53"/>
    </row>
    <row r="991">
      <c r="A991" s="6"/>
      <c r="B991" s="6"/>
      <c r="K991" s="178"/>
      <c r="S991" s="53"/>
    </row>
    <row r="992">
      <c r="A992" s="6"/>
      <c r="B992" s="6"/>
      <c r="K992" s="178"/>
      <c r="S992" s="53"/>
    </row>
    <row r="993">
      <c r="A993" s="6"/>
      <c r="B993" s="6"/>
      <c r="K993" s="178"/>
      <c r="S993" s="53"/>
    </row>
    <row r="994">
      <c r="A994" s="6"/>
      <c r="B994" s="6"/>
      <c r="K994" s="178"/>
      <c r="S994" s="53"/>
    </row>
    <row r="995">
      <c r="A995" s="6"/>
      <c r="B995" s="6"/>
      <c r="K995" s="178"/>
      <c r="S995" s="53"/>
    </row>
    <row r="996">
      <c r="A996" s="6"/>
      <c r="B996" s="6"/>
      <c r="K996" s="178"/>
      <c r="S996" s="53"/>
    </row>
    <row r="997">
      <c r="A997" s="6"/>
      <c r="B997" s="6"/>
      <c r="K997" s="178"/>
      <c r="S997" s="53"/>
    </row>
    <row r="998">
      <c r="A998" s="6"/>
      <c r="B998" s="6"/>
      <c r="K998" s="178"/>
      <c r="S998" s="53"/>
    </row>
    <row r="999">
      <c r="A999" s="6"/>
      <c r="B999" s="6"/>
      <c r="K999" s="178"/>
      <c r="S999" s="53"/>
    </row>
    <row r="1000">
      <c r="A1000" s="6"/>
      <c r="B1000" s="6"/>
      <c r="K1000" s="178"/>
      <c r="S1000" s="53"/>
    </row>
    <row r="1001">
      <c r="A1001" s="6"/>
      <c r="B1001" s="6"/>
      <c r="K1001" s="178"/>
      <c r="S1001" s="53"/>
    </row>
    <row r="1002">
      <c r="A1002" s="6"/>
      <c r="B1002" s="6"/>
      <c r="K1002" s="178"/>
      <c r="S1002" s="53"/>
    </row>
    <row r="1003">
      <c r="A1003" s="6"/>
      <c r="B1003" s="6"/>
      <c r="K1003" s="178"/>
      <c r="S1003" s="53"/>
    </row>
    <row r="1004">
      <c r="A1004" s="6"/>
      <c r="B1004" s="6"/>
      <c r="K1004" s="178"/>
      <c r="S1004" s="53"/>
    </row>
    <row r="1005">
      <c r="A1005" s="6"/>
      <c r="B1005" s="6"/>
      <c r="K1005" s="178"/>
      <c r="S1005" s="53"/>
    </row>
    <row r="1006">
      <c r="A1006" s="6"/>
      <c r="B1006" s="6"/>
      <c r="K1006" s="178"/>
      <c r="S1006" s="53"/>
    </row>
    <row r="1007">
      <c r="A1007" s="6"/>
      <c r="B1007" s="6"/>
      <c r="K1007" s="178"/>
      <c r="S1007" s="53"/>
    </row>
    <row r="1008">
      <c r="A1008" s="6"/>
      <c r="B1008" s="6"/>
      <c r="K1008" s="178"/>
      <c r="S1008" s="53"/>
    </row>
    <row r="1009">
      <c r="A1009" s="6"/>
      <c r="B1009" s="6"/>
      <c r="K1009" s="178"/>
      <c r="S1009" s="53"/>
    </row>
    <row r="1010">
      <c r="A1010" s="6"/>
      <c r="B1010" s="6"/>
      <c r="K1010" s="178"/>
      <c r="S1010" s="53"/>
    </row>
    <row r="1011">
      <c r="A1011" s="6"/>
      <c r="B1011" s="6"/>
      <c r="K1011" s="178"/>
      <c r="S1011" s="53"/>
    </row>
    <row r="1012">
      <c r="A1012" s="6"/>
      <c r="B1012" s="6"/>
      <c r="K1012" s="155"/>
      <c r="L1012" s="88"/>
      <c r="M1012" s="88"/>
      <c r="N1012" s="88"/>
      <c r="O1012" s="88"/>
      <c r="P1012" s="88"/>
      <c r="Q1012" s="88"/>
      <c r="R1012" s="88"/>
      <c r="S1012" s="156"/>
    </row>
  </sheetData>
  <mergeCells count="3">
    <mergeCell ref="AC2:AE2"/>
    <mergeCell ref="C11:J12"/>
    <mergeCell ref="E15:H20"/>
  </mergeCells>
  <hyperlinks>
    <hyperlink r:id="rId1" ref="M2"/>
    <hyperlink r:id="rId2" ref="P2"/>
    <hyperlink r:id="rId3" ref="S2"/>
    <hyperlink r:id="rId4" ref="B37"/>
  </hyperlinks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26</v>
      </c>
      <c r="B1" s="20" t="s">
        <v>200</v>
      </c>
    </row>
    <row r="2">
      <c r="A2" s="20">
        <v>2150.0</v>
      </c>
      <c r="B2" s="80">
        <f t="shared" ref="B2:B4" si="1">(1.51-1.39) / (2340-2020) * (A2-2020) + 1.39</f>
        <v>1.43875</v>
      </c>
    </row>
    <row r="3">
      <c r="A3" s="20">
        <v>2259.0</v>
      </c>
      <c r="B3" s="80">
        <f t="shared" si="1"/>
        <v>1.479625</v>
      </c>
    </row>
    <row r="4">
      <c r="A4" s="20">
        <v>2296.0</v>
      </c>
      <c r="B4" s="80">
        <f t="shared" si="1"/>
        <v>1.4935</v>
      </c>
    </row>
    <row r="5">
      <c r="A5" s="20">
        <v>2400.0</v>
      </c>
      <c r="B5" s="80">
        <f>(1.79-1.51) / (2669-2340) * (A5-2340) + 1.51</f>
        <v>1.56106383</v>
      </c>
    </row>
    <row r="7">
      <c r="A7" s="20">
        <v>200.0</v>
      </c>
      <c r="B7" s="80">
        <f t="shared" ref="B7:B10" si="2">(75.05-79.11)/(500-50) * (50-A7) + 79.11</f>
        <v>80.46333333</v>
      </c>
    </row>
    <row r="8">
      <c r="A8" s="20">
        <v>309.0</v>
      </c>
      <c r="B8" s="80">
        <f t="shared" si="2"/>
        <v>81.44675556</v>
      </c>
    </row>
    <row r="9">
      <c r="A9" s="20">
        <v>346.0</v>
      </c>
      <c r="B9" s="80">
        <f t="shared" si="2"/>
        <v>81.78057778</v>
      </c>
    </row>
    <row r="10">
      <c r="A10" s="20">
        <v>450.0</v>
      </c>
      <c r="B10" s="80">
        <f t="shared" si="2"/>
        <v>82.71888889</v>
      </c>
    </row>
    <row r="12">
      <c r="A12" s="20">
        <v>100.0</v>
      </c>
      <c r="B12" s="80">
        <f t="shared" ref="B12:B15" si="3">(75.05-79.11)/(500-50) * (50-A12) + 79.11</f>
        <v>79.56111111</v>
      </c>
    </row>
    <row r="13">
      <c r="A13" s="20">
        <v>9.0</v>
      </c>
      <c r="B13" s="80">
        <f t="shared" si="3"/>
        <v>78.74008889</v>
      </c>
    </row>
    <row r="14">
      <c r="A14" s="20">
        <v>46.0</v>
      </c>
      <c r="B14" s="80">
        <f t="shared" si="3"/>
        <v>79.07391111</v>
      </c>
    </row>
    <row r="15">
      <c r="A15" s="20">
        <v>150.0</v>
      </c>
      <c r="B15" s="80">
        <f t="shared" si="3"/>
        <v>80.01222222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26</v>
      </c>
      <c r="B1" s="20" t="s">
        <v>201</v>
      </c>
    </row>
    <row r="2">
      <c r="A2" s="20">
        <v>450.0</v>
      </c>
      <c r="B2" s="80">
        <f>(2.99-2.94)/(500-100) * (A2-500) + 2.99</f>
        <v>2.98375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202</v>
      </c>
      <c r="B1" s="20" t="s">
        <v>203</v>
      </c>
    </row>
    <row r="2">
      <c r="A2" s="20">
        <v>309.0</v>
      </c>
      <c r="B2" s="20">
        <v>5.0</v>
      </c>
    </row>
    <row r="3">
      <c r="A3" s="20">
        <v>346.0</v>
      </c>
      <c r="B3" s="20">
        <v>5.6</v>
      </c>
    </row>
    <row r="4">
      <c r="A4" s="20">
        <v>450.0</v>
      </c>
      <c r="B4" s="20">
        <v>20.0</v>
      </c>
    </row>
    <row r="5">
      <c r="A5" s="20">
        <v>200.0</v>
      </c>
      <c r="B5" s="20">
        <v>24.0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13"/>
  </cols>
  <sheetData>
    <row r="1">
      <c r="A1" s="20" t="s">
        <v>26</v>
      </c>
      <c r="B1" s="20" t="s">
        <v>204</v>
      </c>
      <c r="C1" s="20" t="s">
        <v>205</v>
      </c>
      <c r="D1" s="20" t="s">
        <v>206</v>
      </c>
      <c r="F1" s="20" t="s">
        <v>207</v>
      </c>
      <c r="G1" s="20" t="s">
        <v>205</v>
      </c>
    </row>
    <row r="2">
      <c r="A2" s="20">
        <v>2150.0</v>
      </c>
      <c r="B2" s="80">
        <f>(37.74-38.63)/(2200-2000)*(A2-2000) + 38.63</f>
        <v>37.9625</v>
      </c>
      <c r="C2" s="80">
        <f>(27.02-26.45)/(2200-2000)*(A2-2200) + 27.02</f>
        <v>26.8775</v>
      </c>
      <c r="D2" s="80">
        <f>(17.75 - 18.01)/(2200-2000) * (A2-2200) + 17.75</f>
        <v>17.815</v>
      </c>
      <c r="F2" s="80">
        <f>A3*2 - A4</f>
        <v>2222</v>
      </c>
      <c r="G2" s="80">
        <f>(37.33-37.74)/(2300-2200)*(F2-2300) + 37.33</f>
        <v>37.6498</v>
      </c>
    </row>
    <row r="3">
      <c r="A3" s="20">
        <v>2259.0</v>
      </c>
      <c r="B3" s="80">
        <f t="shared" ref="B3:B4" si="1">(37.33-37.74)/(2300-2200)*(A3-2300) + 37.33</f>
        <v>37.4981</v>
      </c>
      <c r="C3" s="80">
        <f t="shared" ref="C3:C4" si="2">(27.33-27.02)/(2300-2200)*(A3-2300) + 27.33</f>
        <v>27.2029</v>
      </c>
      <c r="D3" s="80">
        <f t="shared" ref="D3:D4" si="3">(17.45-17.75)/(2300-2200) * (A3-2200) + 17.75 </f>
        <v>17.573</v>
      </c>
      <c r="F3" s="80">
        <f>2*A4-A3</f>
        <v>2333</v>
      </c>
      <c r="G3" s="80">
        <f>(27.33-27.02)/(2300-2200)*( F3-2300) + 27.33</f>
        <v>27.4323</v>
      </c>
    </row>
    <row r="4">
      <c r="A4" s="20">
        <v>2296.0</v>
      </c>
      <c r="B4" s="80">
        <f t="shared" si="1"/>
        <v>37.3464</v>
      </c>
      <c r="C4" s="80">
        <f t="shared" si="2"/>
        <v>27.3176</v>
      </c>
      <c r="D4" s="80">
        <f t="shared" si="3"/>
        <v>17.462</v>
      </c>
    </row>
    <row r="5">
      <c r="A5" s="20">
        <v>2400.0</v>
      </c>
      <c r="B5" s="20">
        <v>36.91</v>
      </c>
      <c r="C5" s="20">
        <v>27.48</v>
      </c>
      <c r="D5" s="20">
        <v>17.26</v>
      </c>
    </row>
    <row r="7">
      <c r="A7" s="20">
        <v>200.0</v>
      </c>
      <c r="B7" s="80">
        <f t="shared" ref="B7:B10" si="4">(38.42-37.09)/(550-500) * (A7-500) + 37.09</f>
        <v>29.11</v>
      </c>
      <c r="C7" s="80">
        <f t="shared" ref="C7:C10" si="5">(28.38-29.29)/(550-500) * (A7-500) + 29.29</f>
        <v>34.75</v>
      </c>
      <c r="D7" s="80">
        <f t="shared" ref="D7:D10" si="6">(19.2-18.92)/(550-500) * (B7-500) + 18.92</f>
        <v>16.283016</v>
      </c>
      <c r="F7" s="80">
        <f>2*A8-A9</f>
        <v>272</v>
      </c>
      <c r="G7" s="80">
        <f t="shared" ref="G7:G8" si="7">(28.38-29.29)/(550-500) * (F7-500) + 29.29</f>
        <v>33.4396</v>
      </c>
    </row>
    <row r="8">
      <c r="A8" s="20">
        <v>309.0</v>
      </c>
      <c r="B8" s="80">
        <f t="shared" si="4"/>
        <v>32.0094</v>
      </c>
      <c r="C8" s="80">
        <f t="shared" si="5"/>
        <v>32.7662</v>
      </c>
      <c r="D8" s="80">
        <f t="shared" si="6"/>
        <v>16.29925264</v>
      </c>
      <c r="F8" s="80">
        <f>2*A9-A8</f>
        <v>383</v>
      </c>
      <c r="G8" s="80">
        <f t="shared" si="7"/>
        <v>31.4194</v>
      </c>
    </row>
    <row r="9">
      <c r="A9" s="20">
        <v>346.0</v>
      </c>
      <c r="B9" s="80">
        <f t="shared" si="4"/>
        <v>32.9936</v>
      </c>
      <c r="C9" s="80">
        <f t="shared" si="5"/>
        <v>32.0928</v>
      </c>
      <c r="D9" s="80">
        <f t="shared" si="6"/>
        <v>16.30476416</v>
      </c>
    </row>
    <row r="10">
      <c r="A10" s="20">
        <v>450.0</v>
      </c>
      <c r="B10" s="80">
        <f t="shared" si="4"/>
        <v>35.76</v>
      </c>
      <c r="C10" s="80">
        <f t="shared" si="5"/>
        <v>30.2</v>
      </c>
      <c r="D10" s="80">
        <f t="shared" si="6"/>
        <v>16.320256</v>
      </c>
    </row>
    <row r="12">
      <c r="A12" s="20">
        <v>100.0</v>
      </c>
      <c r="B12" s="80">
        <f t="shared" ref="B12:B15" si="8">(38.42-37.09)/(550-500) * (A12-500) + 37.09</f>
        <v>26.45</v>
      </c>
      <c r="C12" s="80">
        <f t="shared" ref="C12:C15" si="9">(28.38-29.29)/(550-500) * (A12-500) + 29.29</f>
        <v>36.57</v>
      </c>
      <c r="F12" s="80">
        <f>-(2*A13-A14)</f>
        <v>28</v>
      </c>
      <c r="G12" s="80">
        <f t="shared" ref="G12:G13" si="10">(28.38-29.29)/(550-500) * (F12-500) + 29.29</f>
        <v>37.8804</v>
      </c>
    </row>
    <row r="13">
      <c r="A13" s="20">
        <v>9.0</v>
      </c>
      <c r="B13" s="80">
        <f t="shared" si="8"/>
        <v>24.0294</v>
      </c>
      <c r="C13" s="80">
        <f t="shared" si="9"/>
        <v>38.2262</v>
      </c>
      <c r="F13" s="80">
        <f>2*A14-A13</f>
        <v>83</v>
      </c>
      <c r="G13" s="80">
        <f t="shared" si="10"/>
        <v>36.8794</v>
      </c>
    </row>
    <row r="14">
      <c r="A14" s="20">
        <v>46.0</v>
      </c>
      <c r="B14" s="80">
        <f t="shared" si="8"/>
        <v>25.0136</v>
      </c>
      <c r="C14" s="80">
        <f t="shared" si="9"/>
        <v>37.5528</v>
      </c>
    </row>
    <row r="15">
      <c r="A15" s="20">
        <v>150.0</v>
      </c>
      <c r="B15" s="80">
        <f t="shared" si="8"/>
        <v>27.78</v>
      </c>
      <c r="C15" s="80">
        <f t="shared" si="9"/>
        <v>35.66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208</v>
      </c>
      <c r="B1" s="20" t="s">
        <v>209</v>
      </c>
      <c r="C1" s="20" t="s">
        <v>210</v>
      </c>
      <c r="D1" s="20" t="s">
        <v>211</v>
      </c>
      <c r="E1" s="20" t="s">
        <v>33</v>
      </c>
    </row>
    <row r="2">
      <c r="A2" s="20">
        <v>306.0</v>
      </c>
      <c r="B2" s="20">
        <v>24.0</v>
      </c>
    </row>
    <row r="3">
      <c r="A3" s="20">
        <v>346.0</v>
      </c>
      <c r="B3" s="20">
        <v>24.0</v>
      </c>
    </row>
    <row r="4">
      <c r="A4" s="20">
        <v>200.0</v>
      </c>
      <c r="B4" s="20">
        <v>24.0</v>
      </c>
    </row>
    <row r="5">
      <c r="A5" s="20">
        <v>450.0</v>
      </c>
      <c r="B5" s="20">
        <v>24.0</v>
      </c>
      <c r="C5" s="20">
        <v>14.0</v>
      </c>
      <c r="D5" s="80">
        <f>(6.6-6.08)/(487.2-384.7) * (A5-487.2) + 6.6</f>
        <v>6.411278049</v>
      </c>
      <c r="E5" s="80">
        <f>D5-23</f>
        <v>-16.58872195</v>
      </c>
    </row>
    <row r="8">
      <c r="A8" s="189" t="s">
        <v>212</v>
      </c>
    </row>
  </sheetData>
  <hyperlinks>
    <hyperlink r:id="rId1" ref="A8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>
        <v>9.0</v>
      </c>
      <c r="B1" s="80">
        <f>(0.54-0.5)/(10-1) * (A1-1) + 0.5</f>
        <v>0.5355555556</v>
      </c>
    </row>
    <row r="2">
      <c r="A2" s="20">
        <v>46.0</v>
      </c>
      <c r="B2" s="80">
        <f>(1.62-1.01)/(50-40) *(A2-40)+1.01</f>
        <v>1.376</v>
      </c>
    </row>
    <row r="3">
      <c r="A3" s="20">
        <v>100.0</v>
      </c>
      <c r="B3" s="20">
        <v>59.89</v>
      </c>
    </row>
    <row r="4">
      <c r="A4" s="20">
        <v>150.0</v>
      </c>
      <c r="B4" s="20">
        <v>56.63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26</v>
      </c>
      <c r="B1" s="20" t="s">
        <v>204</v>
      </c>
      <c r="C1" s="20" t="s">
        <v>213</v>
      </c>
      <c r="E1" s="189" t="s">
        <v>214</v>
      </c>
    </row>
    <row r="2">
      <c r="A2" s="20">
        <v>1950.0</v>
      </c>
      <c r="B2" s="80">
        <f>(5.85-5.46)/(1999.34-1891.65) * (A2-1891.65) + 5.46</f>
        <v>5.671314885</v>
      </c>
      <c r="C2" s="20">
        <v>14.0</v>
      </c>
    </row>
    <row r="3">
      <c r="A3" s="20">
        <v>300.0</v>
      </c>
      <c r="B3" s="20">
        <f>(5.25-5.68)/(437.8-330.11) * (A3-330.11) + 5.68</f>
        <v>5.800227505</v>
      </c>
      <c r="C3" s="20">
        <v>12.0</v>
      </c>
    </row>
    <row r="4">
      <c r="B4" s="20"/>
    </row>
    <row r="6">
      <c r="A6" s="80">
        <f>Amplifier!A4*2 - Amplifier!A3</f>
        <v>2333</v>
      </c>
      <c r="B6" s="20">
        <f>(6.47-6.43)/(2370.09-2322.42) * (A6- 2322.42) + 6.43</f>
        <v>6.438877701</v>
      </c>
    </row>
    <row r="7">
      <c r="A7" s="20">
        <v>450.0</v>
      </c>
      <c r="B7" s="80">
        <f>(5.25-5.68)/(437.8-330.11) * (A7-330.11) + 5.68</f>
        <v>5.201286099</v>
      </c>
    </row>
  </sheetData>
  <hyperlinks>
    <hyperlink r:id="rId1" ref="E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6" max="6" width="27.63"/>
  </cols>
  <sheetData>
    <row r="1">
      <c r="A1" s="20" t="s">
        <v>95</v>
      </c>
      <c r="B1" s="20">
        <v>3.0</v>
      </c>
      <c r="C1" s="20" t="s">
        <v>59</v>
      </c>
      <c r="D1" s="20" t="s">
        <v>96</v>
      </c>
      <c r="E1" s="20">
        <v>10.0</v>
      </c>
      <c r="F1" s="20" t="s">
        <v>97</v>
      </c>
      <c r="G1" s="80">
        <f>(400-200)*pow(10, 6)</f>
        <v>200000000</v>
      </c>
    </row>
    <row r="2">
      <c r="A2" s="180" t="s">
        <v>98</v>
      </c>
      <c r="B2" s="180" t="s">
        <v>99</v>
      </c>
      <c r="C2" s="180" t="s">
        <v>100</v>
      </c>
    </row>
    <row r="3">
      <c r="A3" s="181">
        <v>2.15</v>
      </c>
      <c r="B3" s="182">
        <f>'2.15 GHz'!C36</f>
        <v>-6.286779985</v>
      </c>
      <c r="C3" s="182"/>
    </row>
    <row r="4">
      <c r="A4" s="183">
        <v>2.259</v>
      </c>
      <c r="B4" s="183">
        <f>'2.259 GHz'!C36</f>
        <v>14.62948877</v>
      </c>
      <c r="C4" s="184"/>
    </row>
    <row r="5">
      <c r="A5" s="181">
        <v>2.296</v>
      </c>
      <c r="B5" s="181">
        <f>'2.296 GHz'!C36</f>
        <v>15.17810752</v>
      </c>
      <c r="C5" s="182"/>
    </row>
    <row r="6">
      <c r="A6" s="183">
        <v>2.4</v>
      </c>
      <c r="B6" s="183">
        <f>'2.4 GHz'!C36</f>
        <v>3.101657515</v>
      </c>
      <c r="C6" s="184"/>
    </row>
    <row r="8">
      <c r="A8" s="185" t="s">
        <v>101</v>
      </c>
      <c r="B8" s="186">
        <v>2.15</v>
      </c>
      <c r="C8" s="186">
        <v>2.259</v>
      </c>
      <c r="D8" s="186">
        <v>2.296</v>
      </c>
      <c r="E8" s="186">
        <v>2.4</v>
      </c>
    </row>
    <row r="9">
      <c r="A9" s="187" t="s">
        <v>102</v>
      </c>
      <c r="B9" s="67"/>
      <c r="C9" s="67"/>
      <c r="D9" s="67"/>
      <c r="E9" s="67"/>
    </row>
    <row r="10">
      <c r="A10" s="42" t="s">
        <v>99</v>
      </c>
      <c r="B10" s="188">
        <f>'2.15 GHz'!J35</f>
        <v>-95.44435489</v>
      </c>
      <c r="C10" s="188">
        <f>'2.259 GHz'!J35</f>
        <v>-74.52808614</v>
      </c>
      <c r="D10" s="188">
        <f>'2.296 GHz'!J35</f>
        <v>-73.97946739</v>
      </c>
      <c r="E10" s="188">
        <f>'2.4 GHz'!J35</f>
        <v>-86.05591739</v>
      </c>
    </row>
    <row r="11">
      <c r="A11" s="20"/>
    </row>
    <row r="12">
      <c r="A12" s="42" t="s">
        <v>103</v>
      </c>
    </row>
    <row r="15">
      <c r="A15" s="42" t="s">
        <v>99</v>
      </c>
      <c r="B15" s="188">
        <f>'2.15 GHz'!K35</f>
        <v>-90.66658787</v>
      </c>
      <c r="C15" s="188">
        <f>'2.259 GHz'!K35</f>
        <v>-69.75031912</v>
      </c>
      <c r="D15" s="188">
        <f>'2.296 GHz'!K35</f>
        <v>-69.20170037</v>
      </c>
      <c r="E15" s="188">
        <f>'2.4 GHz'!K35</f>
        <v>-81.27815037</v>
      </c>
    </row>
    <row r="17">
      <c r="A17" s="42" t="s">
        <v>103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20" t="s">
        <v>104</v>
      </c>
      <c r="C1" s="189" t="s">
        <v>105</v>
      </c>
      <c r="D1" s="189" t="s">
        <v>106</v>
      </c>
    </row>
    <row r="2">
      <c r="A2" s="20" t="s">
        <v>26</v>
      </c>
      <c r="B2" s="20">
        <v>2.4</v>
      </c>
      <c r="C2" s="20" t="s">
        <v>107</v>
      </c>
    </row>
    <row r="3">
      <c r="A3" s="20" t="s">
        <v>108</v>
      </c>
      <c r="B3" s="20">
        <v>9.0</v>
      </c>
      <c r="C3" s="20" t="s">
        <v>17</v>
      </c>
      <c r="D3" s="20" t="s">
        <v>109</v>
      </c>
    </row>
    <row r="4">
      <c r="A4" s="20" t="s">
        <v>110</v>
      </c>
      <c r="B4" s="20">
        <v>1.5</v>
      </c>
      <c r="C4" s="20">
        <v>1.0</v>
      </c>
    </row>
    <row r="5">
      <c r="A5" s="20" t="s">
        <v>111</v>
      </c>
      <c r="B5" s="20">
        <v>60.0</v>
      </c>
      <c r="C5" s="20" t="s">
        <v>112</v>
      </c>
    </row>
    <row r="6">
      <c r="A6" s="20" t="s">
        <v>113</v>
      </c>
      <c r="B6" s="20">
        <v>76.0</v>
      </c>
      <c r="C6" s="20" t="s">
        <v>112</v>
      </c>
    </row>
    <row r="7">
      <c r="A7" s="20" t="s">
        <v>114</v>
      </c>
      <c r="B7" s="20">
        <v>6.0</v>
      </c>
      <c r="C7" s="20" t="s">
        <v>55</v>
      </c>
      <c r="D7" s="20" t="s">
        <v>115</v>
      </c>
      <c r="E7" s="189" t="s">
        <v>116</v>
      </c>
    </row>
  </sheetData>
  <hyperlinks>
    <hyperlink r:id="rId1" location="specifications" ref="C1"/>
    <hyperlink r:id="rId2" ref="D1"/>
    <hyperlink r:id="rId3" ref="E7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0.25"/>
    <col customWidth="1" min="2" max="2" width="16.88"/>
    <col customWidth="1" min="5" max="5" width="16.5"/>
    <col customWidth="1" min="6" max="12" width="8.88"/>
    <col customWidth="1" min="13" max="13" width="18.5"/>
    <col customWidth="1" min="14" max="14" width="19.25"/>
    <col customWidth="1" min="15" max="15" width="12.63"/>
    <col customWidth="1" min="16" max="18" width="13.5"/>
    <col customWidth="1" min="20" max="20" width="23.0"/>
  </cols>
  <sheetData>
    <row r="1">
      <c r="A1" s="1"/>
      <c r="B1" s="1"/>
      <c r="C1" s="2" t="s">
        <v>117</v>
      </c>
      <c r="D1" s="2" t="s">
        <v>118</v>
      </c>
      <c r="E1" s="2" t="s">
        <v>0</v>
      </c>
      <c r="F1" s="2" t="s">
        <v>1</v>
      </c>
      <c r="G1" s="2" t="s">
        <v>2</v>
      </c>
      <c r="H1" s="2" t="s">
        <v>119</v>
      </c>
      <c r="I1" s="2" t="s">
        <v>4</v>
      </c>
      <c r="J1" s="2"/>
      <c r="K1" s="2" t="s">
        <v>119</v>
      </c>
      <c r="L1" s="2" t="s">
        <v>120</v>
      </c>
      <c r="M1" s="2" t="s">
        <v>6</v>
      </c>
      <c r="N1" s="190" t="s">
        <v>7</v>
      </c>
      <c r="O1" s="2" t="s">
        <v>8</v>
      </c>
      <c r="P1" s="190" t="s">
        <v>9</v>
      </c>
      <c r="Q1" s="2"/>
      <c r="R1" s="2"/>
      <c r="S1" s="2" t="s">
        <v>10</v>
      </c>
      <c r="T1" s="2" t="s">
        <v>11</v>
      </c>
      <c r="U1" s="2" t="s">
        <v>121</v>
      </c>
      <c r="V1" s="2" t="s">
        <v>15</v>
      </c>
      <c r="W1" s="1"/>
      <c r="X1" s="1"/>
      <c r="Y1" s="1"/>
      <c r="Z1" s="1"/>
      <c r="AA1" s="1"/>
      <c r="AB1" s="1"/>
      <c r="AC1" s="1"/>
      <c r="AD1" s="6"/>
      <c r="AE1" s="6"/>
      <c r="AF1" s="6"/>
      <c r="AG1" s="6"/>
      <c r="AH1" s="6"/>
      <c r="AI1" s="6"/>
      <c r="AJ1" s="6"/>
      <c r="AK1" s="6"/>
    </row>
    <row r="2">
      <c r="A2" s="1"/>
      <c r="B2" s="2" t="s">
        <v>16</v>
      </c>
      <c r="C2" s="1"/>
      <c r="D2" s="1"/>
      <c r="E2" s="1"/>
      <c r="F2" s="2"/>
      <c r="G2" s="2"/>
      <c r="H2" s="2" t="s">
        <v>17</v>
      </c>
      <c r="I2" s="2"/>
      <c r="J2" s="2"/>
      <c r="K2" s="2"/>
      <c r="L2" s="2"/>
      <c r="M2" s="2" t="s">
        <v>18</v>
      </c>
      <c r="N2" s="191" t="s">
        <v>19</v>
      </c>
      <c r="O2" s="2" t="s">
        <v>24</v>
      </c>
      <c r="P2" s="191" t="s">
        <v>19</v>
      </c>
      <c r="Q2" s="2" t="s">
        <v>122</v>
      </c>
      <c r="R2" s="191" t="s">
        <v>19</v>
      </c>
      <c r="S2" s="2" t="s">
        <v>21</v>
      </c>
      <c r="T2" s="2" t="s">
        <v>24</v>
      </c>
      <c r="U2" s="192" t="s">
        <v>25</v>
      </c>
      <c r="V2" s="1"/>
      <c r="W2" s="1"/>
      <c r="X2" s="2" t="s">
        <v>123</v>
      </c>
      <c r="Y2" s="2" t="s">
        <v>27</v>
      </c>
      <c r="Z2" s="2" t="s">
        <v>29</v>
      </c>
      <c r="AA2" s="2"/>
      <c r="AD2" s="6"/>
      <c r="AE2" s="6"/>
      <c r="AF2" s="6"/>
      <c r="AG2" s="6"/>
      <c r="AH2" s="6"/>
      <c r="AI2" s="6"/>
      <c r="AJ2" s="6"/>
      <c r="AK2" s="6"/>
    </row>
    <row r="3">
      <c r="A3" s="193" t="s">
        <v>30</v>
      </c>
      <c r="B3" s="194" t="s">
        <v>31</v>
      </c>
      <c r="C3" s="194" t="s">
        <v>124</v>
      </c>
      <c r="D3" s="194" t="s">
        <v>124</v>
      </c>
      <c r="E3" s="194">
        <v>-29.0</v>
      </c>
      <c r="F3" s="194">
        <f>pow(10, -10/10)</f>
        <v>0.1</v>
      </c>
      <c r="G3" s="194" t="s">
        <v>124</v>
      </c>
      <c r="H3" s="194">
        <v>6.0</v>
      </c>
      <c r="I3" s="12">
        <f>10 * log10(F3 * pow(10, E3/10))</f>
        <v>-39</v>
      </c>
      <c r="J3" s="194"/>
      <c r="K3" s="194">
        <v>6.0</v>
      </c>
      <c r="L3" s="194">
        <f>10 * log10(F3* pow(10, I3/10))</f>
        <v>-49</v>
      </c>
      <c r="M3" s="194">
        <f>-((1.5-1.39)/(2340-2020) * (2340-2259) + 1.5)</f>
        <v>-1.52784375</v>
      </c>
      <c r="N3" s="195">
        <f>(37.33-37.74)/(2300-2200)*(2300-2259) + 37.33</f>
        <v>37.1619</v>
      </c>
      <c r="O3" s="196">
        <f>-((5.85-5.46)/(1999.34-1891.65)*(1950-1891.65) +5.46)</f>
        <v>-5.671314885</v>
      </c>
      <c r="P3" s="195">
        <f>((38.42-37.09)/(550-500)*(309-500) + 37.09)</f>
        <v>32.0094</v>
      </c>
      <c r="Q3" s="194">
        <v>-1.0</v>
      </c>
      <c r="R3" s="195">
        <f>((38.42-37.09)/(550-500)*(309-500) + 37.09)</f>
        <v>32.0094</v>
      </c>
      <c r="S3" s="194">
        <v>-5.0</v>
      </c>
      <c r="T3" s="196">
        <f>-((5.25-5.68)/(437.8-330.11)*(300-330.11) + 5.68)</f>
        <v>-5.800227505</v>
      </c>
      <c r="U3" s="196">
        <f>-'LPF - 40 MHz'!B1</f>
        <v>-0.5355555556</v>
      </c>
      <c r="V3" s="197"/>
      <c r="W3" s="1"/>
      <c r="X3" s="1">
        <f> (pow(10,E3/10)/1000) * 50</f>
        <v>0.00006294627059</v>
      </c>
      <c r="Y3" s="1">
        <f>L3+M3-Amplifier!C3</f>
        <v>-77.73074375</v>
      </c>
      <c r="Z3" s="1">
        <f>L3+M3+N3+O3-Amplifier!$C$8</f>
        <v>-51.80345864</v>
      </c>
      <c r="AA3" s="1"/>
      <c r="AB3" s="1"/>
      <c r="AC3" s="1"/>
      <c r="AD3" s="6"/>
      <c r="AE3" s="6"/>
      <c r="AF3" s="6"/>
      <c r="AG3" s="6"/>
      <c r="AH3" s="6"/>
      <c r="AI3" s="6"/>
      <c r="AJ3" s="6"/>
      <c r="AK3" s="6"/>
    </row>
    <row r="4">
      <c r="A4" s="198"/>
      <c r="B4" s="22" t="s">
        <v>35</v>
      </c>
      <c r="C4" s="22" t="s">
        <v>124</v>
      </c>
      <c r="D4" s="22" t="s">
        <v>124</v>
      </c>
      <c r="E4" s="22" t="s">
        <v>125</v>
      </c>
      <c r="F4" s="22"/>
      <c r="G4" s="22"/>
      <c r="H4" s="22"/>
      <c r="I4" s="22"/>
      <c r="J4" s="22"/>
      <c r="K4" s="22"/>
      <c r="L4" s="22"/>
      <c r="M4" s="199">
        <v>2259.0</v>
      </c>
      <c r="N4" s="200"/>
      <c r="O4" s="201">
        <v>309.0</v>
      </c>
      <c r="P4" s="202"/>
      <c r="Q4" s="201"/>
      <c r="R4" s="202"/>
      <c r="S4" s="203"/>
      <c r="T4" s="204">
        <v>9.0</v>
      </c>
      <c r="U4" s="205"/>
      <c r="V4" s="206"/>
      <c r="W4" s="1"/>
      <c r="X4" s="1"/>
      <c r="Y4" s="1"/>
      <c r="Z4" s="1"/>
      <c r="AA4" s="1"/>
      <c r="AB4" s="2"/>
      <c r="AD4" s="6"/>
      <c r="AE4" s="6"/>
      <c r="AF4" s="6"/>
      <c r="AG4" s="6"/>
      <c r="AH4" s="6"/>
      <c r="AI4" s="6"/>
      <c r="AJ4" s="6"/>
      <c r="AK4" s="6"/>
    </row>
    <row r="5">
      <c r="A5" s="207"/>
      <c r="B5" s="12" t="s">
        <v>37</v>
      </c>
      <c r="C5" s="12" t="s">
        <v>124</v>
      </c>
      <c r="D5" s="12" t="s">
        <v>124</v>
      </c>
      <c r="E5" s="12">
        <v>-29.0</v>
      </c>
      <c r="F5" s="12">
        <f>pow(10, -10/10)</f>
        <v>0.1</v>
      </c>
      <c r="G5" s="12" t="s">
        <v>124</v>
      </c>
      <c r="H5" s="12">
        <v>6.0</v>
      </c>
      <c r="I5" s="12">
        <f>10 * log10(F5 * pow(10, E5/10))</f>
        <v>-39</v>
      </c>
      <c r="J5" s="12"/>
      <c r="K5" s="12">
        <v>6.0</v>
      </c>
      <c r="L5" s="194">
        <f>10 * log10(F5* pow(10, I5/10))</f>
        <v>-49</v>
      </c>
      <c r="M5" s="12">
        <f>-((1.5-1.39)/(2340-2020) * (2340-2296) + 1.5)</f>
        <v>-1.515125</v>
      </c>
      <c r="N5" s="208">
        <f>(37.33-37.74)/(2300-2200)*(2300-2296) + 37.33</f>
        <v>37.3136</v>
      </c>
      <c r="O5" s="31">
        <f>-((5.85-5.46)/(1999.34-1891.65)*(1950-1891.65) +5.46)</f>
        <v>-5.671314885</v>
      </c>
      <c r="P5" s="208">
        <f>((38.42-37.09)/(550-500)*(346-500) + 37.09)</f>
        <v>32.9936</v>
      </c>
      <c r="Q5" s="194">
        <v>-1.0</v>
      </c>
      <c r="R5" s="208">
        <f>((38.42-37.09)/(550-500)*(346-500) + 37.09)</f>
        <v>32.9936</v>
      </c>
      <c r="S5" s="12">
        <v>-5.6</v>
      </c>
      <c r="T5" s="31">
        <f>-((5.25-5.68)/(437.8-330.11)*(300-330.11) + 5.68)</f>
        <v>-5.800227505</v>
      </c>
      <c r="U5" s="196">
        <f>-'LPF - 40 MHz'!B2</f>
        <v>-1.376</v>
      </c>
      <c r="V5" s="209"/>
      <c r="W5" s="1"/>
      <c r="X5" s="1">
        <f> (pow(10,E5/10)/1000) * 50</f>
        <v>0.00006294627059</v>
      </c>
      <c r="Y5" s="1">
        <f>L5+M5-Amplifier!$C$4</f>
        <v>-77.832725</v>
      </c>
      <c r="Z5" s="1">
        <f>L5+M5+N5+O5-Amplifier!$C$9</f>
        <v>-50.96563989</v>
      </c>
      <c r="AA5" s="1"/>
      <c r="AB5" s="1"/>
      <c r="AC5" s="1"/>
      <c r="AD5" s="6"/>
      <c r="AE5" s="6"/>
      <c r="AF5" s="6"/>
      <c r="AG5" s="6"/>
      <c r="AH5" s="6"/>
      <c r="AI5" s="6"/>
      <c r="AJ5" s="6"/>
      <c r="AK5" s="6"/>
    </row>
    <row r="6">
      <c r="A6" s="198"/>
      <c r="B6" s="22" t="s">
        <v>39</v>
      </c>
      <c r="C6" s="22" t="s">
        <v>124</v>
      </c>
      <c r="D6" s="22" t="s">
        <v>124</v>
      </c>
      <c r="E6" s="22" t="s">
        <v>125</v>
      </c>
      <c r="F6" s="22"/>
      <c r="G6" s="22"/>
      <c r="H6" s="22"/>
      <c r="I6" s="22"/>
      <c r="J6" s="22"/>
      <c r="K6" s="22"/>
      <c r="L6" s="22"/>
      <c r="M6" s="199">
        <v>2296.0</v>
      </c>
      <c r="N6" s="200"/>
      <c r="O6" s="201">
        <v>346.0</v>
      </c>
      <c r="P6" s="202"/>
      <c r="Q6" s="201"/>
      <c r="R6" s="202"/>
      <c r="S6" s="201"/>
      <c r="T6" s="210">
        <v>46.0</v>
      </c>
      <c r="U6" s="211"/>
      <c r="V6" s="212"/>
      <c r="W6" s="1"/>
      <c r="X6" s="1"/>
      <c r="Y6" s="1"/>
      <c r="Z6" s="1"/>
      <c r="AA6" s="1"/>
      <c r="AB6" s="2"/>
      <c r="AD6" s="6"/>
      <c r="AE6" s="6"/>
      <c r="AF6" s="6"/>
      <c r="AG6" s="6"/>
      <c r="AH6" s="6"/>
      <c r="AI6" s="6"/>
      <c r="AJ6" s="6"/>
      <c r="AK6" s="6"/>
    </row>
    <row r="7">
      <c r="A7" s="207"/>
      <c r="B7" s="12" t="s">
        <v>41</v>
      </c>
      <c r="C7" s="12"/>
      <c r="D7" s="12"/>
      <c r="E7" s="12">
        <v>-55.0</v>
      </c>
      <c r="F7" s="12">
        <f>pow(10, -10/10)</f>
        <v>0.1</v>
      </c>
      <c r="G7" s="12" t="s">
        <v>124</v>
      </c>
      <c r="H7" s="12">
        <v>6.0</v>
      </c>
      <c r="I7" s="12">
        <f>10 * log10(F7 * pow(10, E7/10))</f>
        <v>-65</v>
      </c>
      <c r="J7" s="12"/>
      <c r="K7" s="12">
        <v>6.0</v>
      </c>
      <c r="L7" s="194">
        <f>10 * log10(F7* pow(10, I7/10))</f>
        <v>-75</v>
      </c>
      <c r="M7" s="12">
        <f>-((1.5-1.39)/(2340-2020) * (2020-2150) + 1.39)</f>
        <v>-1.3453125</v>
      </c>
      <c r="N7" s="208">
        <f>(37.74-38.63)/(2200-2000)*(2150-2000) + 38.63</f>
        <v>37.9625</v>
      </c>
      <c r="O7" s="31">
        <f>-((5.85-5.46)/(1999.34-1891.65)*(1950-1891.65) +5.46)</f>
        <v>-5.671314885</v>
      </c>
      <c r="P7" s="208">
        <f>((38.42-37.09)/(550-500)*(200-500) + 37.09)</f>
        <v>29.11</v>
      </c>
      <c r="Q7" s="194">
        <v>-1.0</v>
      </c>
      <c r="R7" s="208">
        <f>((38.42-37.09)/(550-500)*(200-500) + 37.09)</f>
        <v>29.11</v>
      </c>
      <c r="S7" s="12">
        <v>-24.0</v>
      </c>
      <c r="T7" s="31">
        <f>-((5.25-5.68)/(437.8-330.11)*(300-330.11) + 5.68)</f>
        <v>-5.800227505</v>
      </c>
      <c r="U7" s="196">
        <f>-'LPF - 40 MHz'!B3</f>
        <v>-59.89</v>
      </c>
      <c r="V7" s="209"/>
      <c r="W7" s="1"/>
      <c r="X7" s="2"/>
      <c r="Y7" s="1">
        <f>L7+M7-Amplifier!$C$2</f>
        <v>-103.2228125</v>
      </c>
      <c r="Z7" s="1">
        <f>L7+M7+N7+O7-Amplifier!$C$7</f>
        <v>-78.80412739</v>
      </c>
      <c r="AA7" s="1"/>
      <c r="AB7" s="2"/>
      <c r="AC7" s="2"/>
      <c r="AD7" s="6"/>
      <c r="AE7" s="6"/>
      <c r="AF7" s="6"/>
      <c r="AG7" s="6"/>
      <c r="AH7" s="6"/>
      <c r="AI7" s="6"/>
      <c r="AJ7" s="6"/>
      <c r="AK7" s="6"/>
    </row>
    <row r="8">
      <c r="A8" s="198"/>
      <c r="B8" s="22" t="s">
        <v>42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199">
        <v>2150.0</v>
      </c>
      <c r="N8" s="200"/>
      <c r="O8" s="201">
        <v>200.0</v>
      </c>
      <c r="P8" s="202"/>
      <c r="Q8" s="201"/>
      <c r="R8" s="202"/>
      <c r="S8" s="203"/>
      <c r="T8" s="204">
        <v>-100.0</v>
      </c>
      <c r="U8" s="211"/>
      <c r="V8" s="212"/>
      <c r="W8" s="1"/>
      <c r="X8" s="1"/>
      <c r="Y8" s="1"/>
      <c r="Z8" s="1"/>
      <c r="AA8" s="1"/>
      <c r="AB8" s="2"/>
      <c r="AC8" s="2"/>
      <c r="AD8" s="6"/>
      <c r="AE8" s="6"/>
      <c r="AF8" s="6"/>
      <c r="AG8" s="6"/>
      <c r="AH8" s="6"/>
      <c r="AI8" s="6"/>
      <c r="AJ8" s="6"/>
      <c r="AK8" s="6"/>
    </row>
    <row r="9">
      <c r="A9" s="207"/>
      <c r="B9" s="12" t="s">
        <v>43</v>
      </c>
      <c r="C9" s="12"/>
      <c r="D9" s="12"/>
      <c r="E9" s="12">
        <v>-99.0</v>
      </c>
      <c r="F9" s="12">
        <f>pow(10, -10/10)</f>
        <v>0.1</v>
      </c>
      <c r="G9" s="12" t="s">
        <v>124</v>
      </c>
      <c r="H9" s="12">
        <v>6.0</v>
      </c>
      <c r="I9" s="12">
        <f>10 * log10(F9 * pow(10, E9/10))</f>
        <v>-109</v>
      </c>
      <c r="J9" s="12"/>
      <c r="K9" s="12">
        <v>6.0</v>
      </c>
      <c r="L9" s="194">
        <f>10 * log10(F9* pow(10, I9/10))</f>
        <v>-119</v>
      </c>
      <c r="M9" s="12">
        <f>-((1.79-1.5)/(2660-2340) * (2400-2340) + 1.5)</f>
        <v>-1.554375</v>
      </c>
      <c r="N9" s="213">
        <v>36.91</v>
      </c>
      <c r="O9" s="31">
        <f>-((5.85-5.46)/(1999.34-1891.65)*(1950-1891.65) +5.46)</f>
        <v>-5.671314885</v>
      </c>
      <c r="P9" s="208">
        <f>((38.42-37.09)/(550-500)*(450-500) + 37.09)</f>
        <v>35.76</v>
      </c>
      <c r="Q9" s="194">
        <v>-1.0</v>
      </c>
      <c r="R9" s="208">
        <f>((38.42-37.09)/(550-500)*(450-500) + 37.09)</f>
        <v>35.76</v>
      </c>
      <c r="S9" s="12">
        <v>-20.0</v>
      </c>
      <c r="T9" s="31">
        <f>-((5.25-5.68)/(437.8-330.11)*(300-330.11) + 5.68)</f>
        <v>-5.800227505</v>
      </c>
      <c r="U9" s="196">
        <f>-'LPF - 40 MHz'!B4</f>
        <v>-56.63</v>
      </c>
      <c r="V9" s="209"/>
      <c r="W9" s="1"/>
      <c r="X9" s="1"/>
      <c r="Y9" s="1">
        <f>L9+M9-Amplifier!$C$5</f>
        <v>-148.034375</v>
      </c>
      <c r="Z9" s="1">
        <f>L9+M9+N9+O9-Amplifier!$C$10</f>
        <v>-119.5156899</v>
      </c>
      <c r="AA9" s="1"/>
      <c r="AB9" s="2"/>
      <c r="AC9" s="2"/>
      <c r="AD9" s="6"/>
      <c r="AE9" s="6"/>
      <c r="AF9" s="6"/>
      <c r="AG9" s="6"/>
      <c r="AH9" s="6"/>
      <c r="AI9" s="6"/>
      <c r="AJ9" s="6"/>
      <c r="AK9" s="6"/>
    </row>
    <row r="10">
      <c r="A10" s="198"/>
      <c r="B10" s="22" t="s">
        <v>44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99">
        <v>2400.0</v>
      </c>
      <c r="N10" s="200"/>
      <c r="O10" s="201">
        <v>450.0</v>
      </c>
      <c r="P10" s="202"/>
      <c r="Q10" s="201"/>
      <c r="R10" s="202"/>
      <c r="S10" s="203"/>
      <c r="T10" s="204">
        <v>150.0</v>
      </c>
      <c r="U10" s="211"/>
      <c r="V10" s="212"/>
      <c r="W10" s="1"/>
      <c r="X10" s="1"/>
      <c r="Y10" s="1"/>
      <c r="Z10" s="1"/>
      <c r="AA10" s="1"/>
      <c r="AB10" s="2"/>
      <c r="AC10" s="2"/>
      <c r="AD10" s="6"/>
      <c r="AE10" s="6"/>
      <c r="AF10" s="6"/>
      <c r="AG10" s="6"/>
      <c r="AH10" s="6"/>
      <c r="AI10" s="6"/>
      <c r="AJ10" s="6"/>
      <c r="AK10" s="6"/>
    </row>
    <row r="11">
      <c r="A11" s="207"/>
      <c r="B11" s="12" t="s">
        <v>45</v>
      </c>
      <c r="C11" s="12" t="s">
        <v>124</v>
      </c>
      <c r="D11" s="12" t="s">
        <v>124</v>
      </c>
      <c r="E11" s="31"/>
      <c r="F11" s="31"/>
      <c r="G11" s="31"/>
      <c r="H11" s="31"/>
      <c r="I11" s="31"/>
      <c r="J11" s="31"/>
      <c r="K11" s="31"/>
      <c r="L11" s="31"/>
      <c r="M11" s="31"/>
      <c r="N11" s="214">
        <f>L5+3*Y3</f>
        <v>-282.1922313</v>
      </c>
      <c r="O11" s="215">
        <f>L5+3*Y3</f>
        <v>-282.1922313</v>
      </c>
      <c r="P11" s="216">
        <f>(N11+M3+N3+O3)+3*Z3</f>
        <v>-407.6398658</v>
      </c>
      <c r="Q11" s="217"/>
      <c r="R11" s="216"/>
      <c r="S11" s="217">
        <f>(N11+M3+N3+O3)+3*Z3</f>
        <v>-407.6398658</v>
      </c>
      <c r="T11" s="217">
        <f>(N11+M3+N3+O3)+3*Z3</f>
        <v>-407.6398658</v>
      </c>
      <c r="U11" s="217"/>
      <c r="V11" s="209"/>
      <c r="W11" s="1"/>
      <c r="X11" s="2" t="s">
        <v>57</v>
      </c>
      <c r="Y11" s="2">
        <v>0.0</v>
      </c>
      <c r="Z11" s="2" t="s">
        <v>126</v>
      </c>
      <c r="AA11" s="1"/>
      <c r="AB11" s="2"/>
      <c r="AD11" s="6"/>
      <c r="AE11" s="6"/>
      <c r="AF11" s="6"/>
      <c r="AG11" s="6"/>
      <c r="AH11" s="6"/>
      <c r="AI11" s="6"/>
      <c r="AJ11" s="6"/>
      <c r="AK11" s="6"/>
    </row>
    <row r="12">
      <c r="A12" s="218"/>
      <c r="B12" s="51" t="s">
        <v>47</v>
      </c>
      <c r="C12" s="51" t="s">
        <v>124</v>
      </c>
      <c r="D12" s="51" t="s">
        <v>124</v>
      </c>
      <c r="E12" s="50"/>
      <c r="F12" s="50"/>
      <c r="G12" s="50"/>
      <c r="H12" s="50"/>
      <c r="I12" s="50"/>
      <c r="J12" s="50"/>
      <c r="K12" s="50"/>
      <c r="L12" s="50"/>
      <c r="M12" s="219">
        <f>2*M4-1*M6</f>
        <v>2222</v>
      </c>
      <c r="N12" s="220"/>
      <c r="O12" s="221">
        <f>2*O4-1*O6</f>
        <v>272</v>
      </c>
      <c r="P12" s="220"/>
      <c r="Q12" s="221"/>
      <c r="R12" s="221"/>
      <c r="S12" s="222"/>
      <c r="T12" s="223">
        <f>2*T4-1*T6</f>
        <v>-28</v>
      </c>
      <c r="U12" s="50"/>
      <c r="V12" s="224"/>
      <c r="W12" s="1"/>
      <c r="X12" s="1"/>
      <c r="Y12" s="1"/>
      <c r="Z12" s="1"/>
      <c r="AA12" s="1"/>
      <c r="AB12" s="1"/>
      <c r="AC12" s="1"/>
      <c r="AD12" s="6"/>
      <c r="AE12" s="6"/>
      <c r="AF12" s="6"/>
      <c r="AG12" s="6"/>
      <c r="AH12" s="6"/>
      <c r="AI12" s="6"/>
      <c r="AJ12" s="6"/>
      <c r="AK12" s="6"/>
    </row>
    <row r="13">
      <c r="A13" s="225"/>
      <c r="B13" s="226" t="s">
        <v>48</v>
      </c>
      <c r="C13" s="226" t="s">
        <v>124</v>
      </c>
      <c r="D13" s="226" t="s">
        <v>124</v>
      </c>
      <c r="E13" s="227"/>
      <c r="F13" s="227"/>
      <c r="G13" s="227"/>
      <c r="H13" s="227"/>
      <c r="I13" s="227"/>
      <c r="J13" s="227"/>
      <c r="K13" s="227"/>
      <c r="L13" s="227"/>
      <c r="M13" s="227"/>
      <c r="N13" s="228"/>
      <c r="O13" s="227"/>
      <c r="P13" s="228"/>
      <c r="Q13" s="31"/>
      <c r="R13" s="31"/>
      <c r="S13" s="227"/>
      <c r="T13" s="227"/>
      <c r="U13" s="227"/>
      <c r="V13" s="229"/>
      <c r="W13" s="1"/>
      <c r="Y13" s="1"/>
      <c r="Z13" s="1"/>
      <c r="AA13" s="1"/>
      <c r="AB13" s="2"/>
      <c r="AD13" s="6"/>
      <c r="AE13" s="6"/>
      <c r="AF13" s="6"/>
      <c r="AG13" s="6"/>
      <c r="AH13" s="6"/>
      <c r="AI13" s="6"/>
      <c r="AJ13" s="6"/>
      <c r="AK13" s="6"/>
    </row>
    <row r="14">
      <c r="A14" s="230" t="s">
        <v>50</v>
      </c>
      <c r="B14" s="231" t="s">
        <v>31</v>
      </c>
      <c r="C14" s="231" t="s">
        <v>124</v>
      </c>
      <c r="D14" s="231" t="s">
        <v>124</v>
      </c>
      <c r="E14" s="232"/>
      <c r="F14" s="232"/>
      <c r="G14" s="232"/>
      <c r="H14" s="232"/>
      <c r="I14" s="232"/>
      <c r="J14" s="232"/>
      <c r="K14" s="232"/>
      <c r="L14" s="232"/>
      <c r="M14" s="233" t="s">
        <v>127</v>
      </c>
      <c r="N14" s="143"/>
      <c r="O14" s="234"/>
      <c r="P14" s="142"/>
      <c r="Q14" s="142"/>
      <c r="R14" s="142"/>
      <c r="S14" s="235"/>
      <c r="T14" s="232"/>
      <c r="U14" s="232"/>
      <c r="V14" s="236"/>
      <c r="W14" s="1"/>
      <c r="X14" s="1"/>
      <c r="Y14" s="1"/>
      <c r="Z14" s="1"/>
      <c r="AA14" s="1"/>
      <c r="AB14" s="2"/>
      <c r="AC14" s="1"/>
      <c r="AD14" s="6"/>
      <c r="AE14" s="6"/>
      <c r="AF14" s="6"/>
      <c r="AG14" s="6"/>
      <c r="AH14" s="6"/>
      <c r="AI14" s="6"/>
      <c r="AJ14" s="6"/>
      <c r="AK14" s="6"/>
    </row>
    <row r="15">
      <c r="A15" s="237"/>
      <c r="B15" s="66" t="s">
        <v>31</v>
      </c>
      <c r="C15" s="66" t="s">
        <v>124</v>
      </c>
      <c r="D15" s="66" t="s">
        <v>124</v>
      </c>
      <c r="E15" s="65"/>
      <c r="F15" s="65"/>
      <c r="G15" s="65"/>
      <c r="H15" s="65"/>
      <c r="I15" s="65"/>
      <c r="J15" s="65"/>
      <c r="K15" s="65"/>
      <c r="L15" s="65"/>
      <c r="M15" s="238" t="s">
        <v>128</v>
      </c>
      <c r="N15" s="143"/>
      <c r="O15" s="143"/>
      <c r="P15" s="143"/>
      <c r="Q15" s="143"/>
      <c r="R15" s="143"/>
      <c r="S15" s="239"/>
      <c r="T15" s="65"/>
      <c r="U15" s="65"/>
      <c r="V15" s="240"/>
      <c r="W15" s="1"/>
      <c r="X15" s="1"/>
      <c r="Y15" s="1"/>
      <c r="Z15" s="1"/>
      <c r="AA15" s="1"/>
      <c r="AB15" s="1"/>
      <c r="AC15" s="1"/>
      <c r="AD15" s="6"/>
      <c r="AE15" s="6"/>
      <c r="AF15" s="6"/>
      <c r="AG15" s="6"/>
      <c r="AH15" s="6"/>
      <c r="AI15" s="6"/>
      <c r="AJ15" s="6"/>
      <c r="AK15" s="6"/>
    </row>
    <row r="16">
      <c r="A16" s="237"/>
      <c r="B16" s="66" t="s">
        <v>35</v>
      </c>
      <c r="C16" s="66" t="s">
        <v>124</v>
      </c>
      <c r="D16" s="66" t="s">
        <v>124</v>
      </c>
      <c r="E16" s="65"/>
      <c r="F16" s="65"/>
      <c r="G16" s="65"/>
      <c r="H16" s="65"/>
      <c r="I16" s="65"/>
      <c r="J16" s="65"/>
      <c r="K16" s="65"/>
      <c r="L16" s="65"/>
      <c r="M16" s="241"/>
      <c r="N16" s="142"/>
      <c r="O16" s="142"/>
      <c r="P16" s="142"/>
      <c r="Q16" s="142"/>
      <c r="R16" s="142"/>
      <c r="S16" s="239"/>
      <c r="T16" s="65"/>
      <c r="U16" s="65"/>
      <c r="V16" s="240"/>
      <c r="W16" s="1"/>
      <c r="X16" s="1"/>
      <c r="Y16" s="1"/>
      <c r="Z16" s="1"/>
      <c r="AA16" s="1"/>
      <c r="AB16" s="2"/>
      <c r="AD16" s="6"/>
      <c r="AE16" s="6"/>
      <c r="AF16" s="6"/>
      <c r="AG16" s="6"/>
      <c r="AH16" s="6"/>
      <c r="AI16" s="6"/>
      <c r="AJ16" s="6"/>
      <c r="AK16" s="6"/>
    </row>
    <row r="17">
      <c r="A17" s="237"/>
      <c r="B17" s="66" t="s">
        <v>37</v>
      </c>
      <c r="C17" s="66" t="s">
        <v>124</v>
      </c>
      <c r="D17" s="66" t="s">
        <v>124</v>
      </c>
      <c r="E17" s="65"/>
      <c r="F17" s="65"/>
      <c r="G17" s="65"/>
      <c r="H17" s="65"/>
      <c r="I17" s="65"/>
      <c r="J17" s="65"/>
      <c r="K17" s="65"/>
      <c r="L17" s="65"/>
      <c r="M17" s="241"/>
      <c r="N17" s="142"/>
      <c r="O17" s="142"/>
      <c r="P17" s="142"/>
      <c r="Q17" s="142"/>
      <c r="R17" s="142"/>
      <c r="S17" s="239"/>
      <c r="T17" s="65"/>
      <c r="U17" s="65"/>
      <c r="V17" s="240"/>
      <c r="W17" s="1"/>
      <c r="X17" s="1"/>
      <c r="Y17" s="1"/>
      <c r="Z17" s="1"/>
      <c r="AA17" s="1"/>
      <c r="AB17" s="2"/>
      <c r="AD17" s="6"/>
      <c r="AE17" s="6"/>
      <c r="AF17" s="6"/>
      <c r="AG17" s="6"/>
      <c r="AH17" s="6"/>
      <c r="AI17" s="6"/>
      <c r="AJ17" s="6"/>
      <c r="AK17" s="6"/>
    </row>
    <row r="18">
      <c r="A18" s="237"/>
      <c r="B18" s="66" t="s">
        <v>41</v>
      </c>
      <c r="C18" s="66"/>
      <c r="D18" s="66"/>
      <c r="E18" s="65"/>
      <c r="F18" s="65"/>
      <c r="G18" s="65"/>
      <c r="H18" s="65"/>
      <c r="I18" s="65"/>
      <c r="J18" s="65"/>
      <c r="K18" s="65"/>
      <c r="L18" s="65"/>
      <c r="M18" s="241"/>
      <c r="N18" s="142"/>
      <c r="O18" s="142"/>
      <c r="P18" s="142"/>
      <c r="Q18" s="142"/>
      <c r="R18" s="142"/>
      <c r="S18" s="239"/>
      <c r="T18" s="65"/>
      <c r="U18" s="65"/>
      <c r="V18" s="240"/>
      <c r="W18" s="1"/>
      <c r="X18" s="1"/>
      <c r="Y18" s="1"/>
      <c r="Z18" s="1"/>
      <c r="AA18" s="1"/>
      <c r="AB18" s="2"/>
      <c r="AC18" s="2"/>
      <c r="AD18" s="6"/>
      <c r="AE18" s="6"/>
      <c r="AF18" s="6"/>
      <c r="AG18" s="6"/>
      <c r="AH18" s="6"/>
      <c r="AI18" s="6"/>
      <c r="AJ18" s="6"/>
      <c r="AK18" s="6"/>
    </row>
    <row r="19">
      <c r="A19" s="237"/>
      <c r="B19" s="66" t="s">
        <v>42</v>
      </c>
      <c r="C19" s="66"/>
      <c r="D19" s="66"/>
      <c r="E19" s="65"/>
      <c r="F19" s="65"/>
      <c r="G19" s="65"/>
      <c r="H19" s="65"/>
      <c r="I19" s="65"/>
      <c r="J19" s="65"/>
      <c r="K19" s="65"/>
      <c r="L19" s="65"/>
      <c r="M19" s="241"/>
      <c r="N19" s="142"/>
      <c r="O19" s="142"/>
      <c r="P19" s="142"/>
      <c r="Q19" s="142"/>
      <c r="R19" s="142"/>
      <c r="S19" s="239"/>
      <c r="T19" s="65"/>
      <c r="U19" s="65"/>
      <c r="V19" s="240"/>
      <c r="W19" s="1"/>
      <c r="X19" s="1"/>
      <c r="Y19" s="1"/>
      <c r="Z19" s="1"/>
      <c r="AA19" s="1"/>
      <c r="AB19" s="2"/>
      <c r="AC19" s="2"/>
      <c r="AD19" s="6"/>
      <c r="AE19" s="6"/>
      <c r="AF19" s="6"/>
      <c r="AG19" s="6"/>
      <c r="AH19" s="6"/>
      <c r="AI19" s="6"/>
      <c r="AJ19" s="6"/>
      <c r="AK19" s="6"/>
    </row>
    <row r="20">
      <c r="A20" s="237"/>
      <c r="B20" s="66" t="s">
        <v>43</v>
      </c>
      <c r="C20" s="66"/>
      <c r="D20" s="66"/>
      <c r="E20" s="65"/>
      <c r="F20" s="65"/>
      <c r="G20" s="65"/>
      <c r="H20" s="65"/>
      <c r="I20" s="65"/>
      <c r="J20" s="65"/>
      <c r="K20" s="65"/>
      <c r="L20" s="65"/>
      <c r="M20" s="241"/>
      <c r="N20" s="142"/>
      <c r="O20" s="142"/>
      <c r="P20" s="142"/>
      <c r="Q20" s="142"/>
      <c r="R20" s="142"/>
      <c r="S20" s="239"/>
      <c r="T20" s="65"/>
      <c r="U20" s="65"/>
      <c r="V20" s="240"/>
      <c r="W20" s="1"/>
      <c r="X20" s="1"/>
      <c r="Y20" s="1"/>
      <c r="Z20" s="1"/>
      <c r="AA20" s="1"/>
      <c r="AB20" s="2"/>
      <c r="AC20" s="2"/>
      <c r="AD20" s="6"/>
      <c r="AE20" s="6"/>
      <c r="AF20" s="6"/>
      <c r="AG20" s="6"/>
      <c r="AH20" s="6"/>
      <c r="AI20" s="6"/>
      <c r="AJ20" s="6"/>
      <c r="AK20" s="6"/>
    </row>
    <row r="21">
      <c r="A21" s="237"/>
      <c r="B21" s="66" t="s">
        <v>44</v>
      </c>
      <c r="C21" s="66"/>
      <c r="D21" s="66"/>
      <c r="E21" s="65"/>
      <c r="F21" s="65"/>
      <c r="G21" s="65"/>
      <c r="H21" s="65"/>
      <c r="I21" s="65"/>
      <c r="J21" s="65"/>
      <c r="K21" s="65"/>
      <c r="L21" s="65"/>
      <c r="M21" s="241"/>
      <c r="N21" s="142"/>
      <c r="O21" s="142"/>
      <c r="P21" s="142"/>
      <c r="Q21" s="142"/>
      <c r="R21" s="142"/>
      <c r="S21" s="239"/>
      <c r="T21" s="65"/>
      <c r="U21" s="65"/>
      <c r="V21" s="240"/>
      <c r="W21" s="1"/>
      <c r="X21" s="1"/>
      <c r="Y21" s="1"/>
      <c r="Z21" s="1"/>
      <c r="AA21" s="1"/>
      <c r="AB21" s="2"/>
      <c r="AC21" s="2"/>
      <c r="AD21" s="6"/>
      <c r="AE21" s="6"/>
      <c r="AF21" s="6"/>
      <c r="AG21" s="6"/>
      <c r="AH21" s="6"/>
      <c r="AI21" s="6"/>
      <c r="AJ21" s="6"/>
      <c r="AK21" s="6"/>
    </row>
    <row r="22">
      <c r="A22" s="237"/>
      <c r="B22" s="66" t="s">
        <v>39</v>
      </c>
      <c r="C22" s="66" t="s">
        <v>124</v>
      </c>
      <c r="D22" s="66" t="s">
        <v>124</v>
      </c>
      <c r="E22" s="65"/>
      <c r="F22" s="65"/>
      <c r="G22" s="65"/>
      <c r="H22" s="65"/>
      <c r="I22" s="65"/>
      <c r="J22" s="65"/>
      <c r="K22" s="65"/>
      <c r="L22" s="65"/>
      <c r="M22" s="241"/>
      <c r="N22" s="142"/>
      <c r="O22" s="142"/>
      <c r="P22" s="142"/>
      <c r="Q22" s="142"/>
      <c r="R22" s="142"/>
      <c r="S22" s="239"/>
      <c r="T22" s="65"/>
      <c r="U22" s="65"/>
      <c r="V22" s="240"/>
      <c r="W22" s="1"/>
      <c r="X22" s="1"/>
      <c r="Y22" s="1"/>
      <c r="Z22" s="1"/>
      <c r="AA22" s="1"/>
      <c r="AB22" s="2"/>
      <c r="AD22" s="6"/>
      <c r="AE22" s="6"/>
      <c r="AF22" s="6"/>
      <c r="AG22" s="6"/>
      <c r="AH22" s="6"/>
      <c r="AI22" s="6"/>
      <c r="AJ22" s="6"/>
      <c r="AK22" s="6"/>
    </row>
    <row r="23">
      <c r="A23" s="237"/>
      <c r="B23" s="66" t="s">
        <v>45</v>
      </c>
      <c r="C23" s="66" t="s">
        <v>124</v>
      </c>
      <c r="D23" s="66" t="s">
        <v>124</v>
      </c>
      <c r="E23" s="65"/>
      <c r="F23" s="65"/>
      <c r="G23" s="65"/>
      <c r="H23" s="65"/>
      <c r="I23" s="65"/>
      <c r="J23" s="65"/>
      <c r="K23" s="65"/>
      <c r="L23" s="65"/>
      <c r="M23" s="241"/>
      <c r="N23" s="142"/>
      <c r="O23" s="142"/>
      <c r="P23" s="142"/>
      <c r="Q23" s="142"/>
      <c r="R23" s="142"/>
      <c r="S23" s="239"/>
      <c r="T23" s="65"/>
      <c r="U23" s="65"/>
      <c r="V23" s="240"/>
      <c r="W23" s="1"/>
      <c r="X23" s="1"/>
      <c r="Y23" s="1"/>
      <c r="Z23" s="1"/>
      <c r="AA23" s="1"/>
      <c r="AB23" s="2"/>
      <c r="AC23" s="1"/>
      <c r="AD23" s="6"/>
      <c r="AE23" s="6"/>
      <c r="AF23" s="6"/>
      <c r="AG23" s="6"/>
      <c r="AH23" s="6"/>
      <c r="AI23" s="6"/>
      <c r="AJ23" s="6"/>
      <c r="AK23" s="6"/>
    </row>
    <row r="24">
      <c r="A24" s="237"/>
      <c r="B24" s="66" t="s">
        <v>75</v>
      </c>
      <c r="C24" s="66" t="s">
        <v>124</v>
      </c>
      <c r="D24" s="66" t="s">
        <v>124</v>
      </c>
      <c r="E24" s="65"/>
      <c r="F24" s="65"/>
      <c r="G24" s="65"/>
      <c r="H24" s="65"/>
      <c r="I24" s="65"/>
      <c r="J24" s="65"/>
      <c r="K24" s="65"/>
      <c r="L24" s="65"/>
      <c r="M24" s="242"/>
      <c r="N24" s="243"/>
      <c r="O24" s="243"/>
      <c r="P24" s="243"/>
      <c r="Q24" s="243"/>
      <c r="R24" s="243"/>
      <c r="S24" s="244"/>
      <c r="T24" s="65"/>
      <c r="U24" s="65"/>
      <c r="V24" s="240"/>
      <c r="W24" s="1"/>
      <c r="X24" s="1"/>
      <c r="Y24" s="1"/>
      <c r="Z24" s="1"/>
      <c r="AA24" s="1"/>
      <c r="AB24" s="2"/>
      <c r="AC24" s="1"/>
      <c r="AD24" s="6"/>
      <c r="AE24" s="6"/>
      <c r="AF24" s="6"/>
      <c r="AG24" s="6"/>
      <c r="AH24" s="6"/>
      <c r="AI24" s="6"/>
      <c r="AJ24" s="6"/>
      <c r="AK24" s="6"/>
    </row>
    <row r="25">
      <c r="A25" s="245"/>
      <c r="B25" s="246" t="s">
        <v>48</v>
      </c>
      <c r="C25" s="246" t="s">
        <v>124</v>
      </c>
      <c r="D25" s="246" t="s">
        <v>124</v>
      </c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8"/>
      <c r="W25" s="1"/>
      <c r="X25" s="1"/>
      <c r="Y25" s="1"/>
      <c r="Z25" s="1"/>
      <c r="AA25" s="1"/>
      <c r="AB25" s="2"/>
      <c r="AC25" s="1"/>
      <c r="AD25" s="6"/>
      <c r="AE25" s="6"/>
      <c r="AF25" s="6"/>
      <c r="AG25" s="6"/>
      <c r="AH25" s="6"/>
      <c r="AI25" s="6"/>
      <c r="AJ25" s="6"/>
      <c r="AK25" s="6"/>
    </row>
    <row r="26">
      <c r="A26" s="249" t="s">
        <v>53</v>
      </c>
      <c r="B26" s="250" t="s">
        <v>54</v>
      </c>
      <c r="C26" s="250" t="s">
        <v>124</v>
      </c>
      <c r="D26" s="250" t="s">
        <v>124</v>
      </c>
      <c r="E26" s="250">
        <v>-29.0</v>
      </c>
      <c r="F26" s="250">
        <f>pow(10, -10/10)</f>
        <v>0.1</v>
      </c>
      <c r="G26" s="250">
        <f>-20*log10($Y$26)</f>
        <v>-9.542425094</v>
      </c>
      <c r="H26" s="250">
        <v>6.0</v>
      </c>
      <c r="I26" s="97">
        <f>10 * log10(F26 * pow(10, E26/10)) + G26 + H26</f>
        <v>-42.54242509</v>
      </c>
      <c r="J26" s="250"/>
      <c r="K26" s="250">
        <v>6.0</v>
      </c>
      <c r="L26" s="250">
        <f>10 * log10(F26* pow(10, I26/10))+K26</f>
        <v>-46.54242509</v>
      </c>
      <c r="M26" s="250">
        <f>-((1.5-1.39)/(2340-2020) * (2340-2259) + 1.5)</f>
        <v>-1.52784375</v>
      </c>
      <c r="N26" s="251">
        <f>Amplifier!B3</f>
        <v>37.4981</v>
      </c>
      <c r="O26" s="252">
        <f>-((5.85-5.46)/(1999.34-1891.65)*(1950-1891.65) +5.46)</f>
        <v>-5.671314885</v>
      </c>
      <c r="P26" s="251">
        <f>((38.42-37.09)/(550-500)*(309-500) + 37.09)</f>
        <v>32.0094</v>
      </c>
      <c r="Q26" s="250">
        <v>-1.0</v>
      </c>
      <c r="R26" s="251">
        <f>((38.42-37.09)/(550-500)*(309-500) + 37.09)</f>
        <v>32.0094</v>
      </c>
      <c r="S26" s="250">
        <v>-5.0</v>
      </c>
      <c r="T26" s="252">
        <f>-((5.25-5.68)/(437.8-330.11)*(300-330.11) + 5.68)</f>
        <v>-5.800227505</v>
      </c>
      <c r="U26" s="252"/>
      <c r="V26" s="253"/>
      <c r="W26" s="1"/>
      <c r="X26" s="2" t="s">
        <v>57</v>
      </c>
      <c r="Y26" s="2">
        <v>3.0</v>
      </c>
      <c r="Z26" s="2" t="s">
        <v>59</v>
      </c>
      <c r="AA26" s="1"/>
      <c r="AB26" s="1"/>
      <c r="AC26" s="1"/>
      <c r="AD26" s="6"/>
      <c r="AE26" s="6"/>
      <c r="AF26" s="6"/>
      <c r="AG26" s="6"/>
      <c r="AH26" s="6"/>
      <c r="AI26" s="6"/>
      <c r="AJ26" s="6"/>
      <c r="AK26" s="6"/>
    </row>
    <row r="27">
      <c r="A27" s="254"/>
      <c r="B27" s="97" t="s">
        <v>58</v>
      </c>
      <c r="C27" s="255" t="s">
        <v>124</v>
      </c>
      <c r="D27" s="255" t="s">
        <v>124</v>
      </c>
      <c r="E27" s="255">
        <v>2259.0</v>
      </c>
      <c r="F27" s="255"/>
      <c r="G27" s="255"/>
      <c r="H27" s="255"/>
      <c r="I27" s="255"/>
      <c r="J27" s="255"/>
      <c r="K27" s="255"/>
      <c r="L27" s="255"/>
      <c r="M27" s="199">
        <v>2259.0</v>
      </c>
      <c r="N27" s="200"/>
      <c r="O27" s="201">
        <v>309.0</v>
      </c>
      <c r="P27" s="202"/>
      <c r="Q27" s="201"/>
      <c r="R27" s="202"/>
      <c r="S27" s="203"/>
      <c r="T27" s="204">
        <v>9.0</v>
      </c>
      <c r="U27" s="255"/>
      <c r="V27" s="256"/>
      <c r="W27" s="1"/>
      <c r="X27" s="1"/>
      <c r="Y27" s="1"/>
      <c r="Z27" s="1"/>
      <c r="AA27" s="1"/>
      <c r="AB27" s="1"/>
      <c r="AC27" s="1"/>
      <c r="AD27" s="6"/>
      <c r="AE27" s="6"/>
      <c r="AF27" s="6"/>
      <c r="AG27" s="6"/>
      <c r="AH27" s="6"/>
      <c r="AI27" s="6"/>
      <c r="AJ27" s="6"/>
      <c r="AK27" s="6"/>
    </row>
    <row r="28">
      <c r="A28" s="254"/>
      <c r="B28" s="97" t="s">
        <v>60</v>
      </c>
      <c r="C28" s="97" t="s">
        <v>124</v>
      </c>
      <c r="D28" s="97" t="s">
        <v>124</v>
      </c>
      <c r="E28" s="97">
        <v>-29.0</v>
      </c>
      <c r="F28" s="97">
        <f>pow(10, -10/10)</f>
        <v>0.1</v>
      </c>
      <c r="G28" s="250">
        <f>-20*log10($Y$26)</f>
        <v>-9.542425094</v>
      </c>
      <c r="H28" s="97">
        <v>6.0</v>
      </c>
      <c r="I28" s="97">
        <f>10 * log10(F28 * pow(10, E28/10)) + G28 + H28</f>
        <v>-42.54242509</v>
      </c>
      <c r="J28" s="97"/>
      <c r="K28" s="97">
        <v>6.0</v>
      </c>
      <c r="L28" s="250">
        <f>10 * log10(F28* pow(10, I28/10))+K28</f>
        <v>-46.54242509</v>
      </c>
      <c r="M28" s="97">
        <f>-((1.5-1.39)/(2340-2020) * (2340-2296) + 1.5)</f>
        <v>-1.515125</v>
      </c>
      <c r="N28" s="257">
        <f>(37.33-37.74)/(2300-2200)*(2300-2296) + 37.33</f>
        <v>37.3136</v>
      </c>
      <c r="O28" s="96">
        <f>-((5.85-5.46)/(1999.34-1891.65)*(1950-1891.65) +5.46)</f>
        <v>-5.671314885</v>
      </c>
      <c r="P28" s="257">
        <f>((38.42-37.09)/(550-500)*(346-500) + 37.09)</f>
        <v>32.9936</v>
      </c>
      <c r="Q28" s="97">
        <v>-1.0</v>
      </c>
      <c r="R28" s="257">
        <f>((38.42-37.09)/(550-500)*(346-500) + 37.09)</f>
        <v>32.9936</v>
      </c>
      <c r="S28" s="97">
        <v>-5.6</v>
      </c>
      <c r="T28" s="96">
        <f>-((5.25-5.68)/(437.8-330.11)*(300-330.11) + 5.68)</f>
        <v>-5.800227505</v>
      </c>
      <c r="U28" s="96"/>
      <c r="V28" s="258"/>
      <c r="W28" s="1"/>
      <c r="X28" s="1"/>
      <c r="Y28" s="2" t="s">
        <v>129</v>
      </c>
      <c r="Z28" s="2" t="s">
        <v>130</v>
      </c>
      <c r="AA28" s="1"/>
      <c r="AB28" s="2"/>
      <c r="AD28" s="6"/>
      <c r="AE28" s="6"/>
      <c r="AF28" s="6"/>
      <c r="AG28" s="6"/>
      <c r="AH28" s="6"/>
      <c r="AI28" s="6"/>
      <c r="AJ28" s="6"/>
      <c r="AK28" s="6"/>
    </row>
    <row r="29">
      <c r="A29" s="254"/>
      <c r="B29" s="97" t="s">
        <v>62</v>
      </c>
      <c r="C29" s="255" t="s">
        <v>124</v>
      </c>
      <c r="D29" s="255" t="s">
        <v>124</v>
      </c>
      <c r="E29" s="255">
        <v>2296.0</v>
      </c>
      <c r="F29" s="255"/>
      <c r="G29" s="255"/>
      <c r="H29" s="255"/>
      <c r="I29" s="255"/>
      <c r="J29" s="255"/>
      <c r="K29" s="255"/>
      <c r="L29" s="255"/>
      <c r="M29" s="199">
        <v>2296.0</v>
      </c>
      <c r="N29" s="200"/>
      <c r="O29" s="201">
        <v>346.0</v>
      </c>
      <c r="P29" s="202"/>
      <c r="Q29" s="201"/>
      <c r="R29" s="202"/>
      <c r="S29" s="201"/>
      <c r="T29" s="210">
        <v>46.0</v>
      </c>
      <c r="U29" s="259"/>
      <c r="V29" s="260"/>
      <c r="W29" s="1"/>
      <c r="X29" s="2">
        <v>2259.0</v>
      </c>
      <c r="Y29" s="2">
        <f>L26+M26-Amplifier!$C$3</f>
        <v>-75.27316884</v>
      </c>
      <c r="Z29" s="2">
        <f>L26+M26+N26+O26-Amplifier!$C$3</f>
        <v>-43.44638373</v>
      </c>
      <c r="AA29" s="1"/>
      <c r="AB29" s="2"/>
      <c r="AD29" s="6"/>
      <c r="AE29" s="6"/>
      <c r="AF29" s="6"/>
      <c r="AG29" s="6"/>
      <c r="AH29" s="6"/>
      <c r="AI29" s="6"/>
      <c r="AJ29" s="6"/>
      <c r="AK29" s="6"/>
    </row>
    <row r="30">
      <c r="A30" s="254"/>
      <c r="B30" s="97" t="s">
        <v>63</v>
      </c>
      <c r="C30" s="97"/>
      <c r="D30" s="97"/>
      <c r="E30" s="97">
        <v>-55.0</v>
      </c>
      <c r="F30" s="97">
        <f>pow(10, -10/10)</f>
        <v>0.1</v>
      </c>
      <c r="G30" s="250">
        <f>-20*log10($Y$26)</f>
        <v>-9.542425094</v>
      </c>
      <c r="H30" s="97">
        <v>6.0</v>
      </c>
      <c r="I30" s="97">
        <f>10 * log10(F30 * pow(10, E30/10)) + G30 + H30</f>
        <v>-68.54242509</v>
      </c>
      <c r="J30" s="97"/>
      <c r="K30" s="97">
        <v>6.0</v>
      </c>
      <c r="L30" s="250">
        <f>10 * log10(F30* pow(10, I30/10))+K30</f>
        <v>-72.54242509</v>
      </c>
      <c r="M30" s="97">
        <f>-((1.5-1.39)/(2340-2020) * (2020-2150) + 1.39)</f>
        <v>-1.3453125</v>
      </c>
      <c r="N30" s="257">
        <f>(37.74-38.63)/(2200-2000)*(2150-2000) + 38.63</f>
        <v>37.9625</v>
      </c>
      <c r="O30" s="96">
        <f>-((5.85-5.46)/(1999.34-1891.65)*(1950-1891.65) +5.46)</f>
        <v>-5.671314885</v>
      </c>
      <c r="P30" s="257">
        <f>((38.42-37.09)/(550-500)*(200-500) + 37.09)</f>
        <v>29.11</v>
      </c>
      <c r="Q30" s="97">
        <v>-1.0</v>
      </c>
      <c r="R30" s="257">
        <f>((38.42-37.09)/(550-500)*(200-500) + 37.09)</f>
        <v>29.11</v>
      </c>
      <c r="S30" s="97">
        <v>-24.0</v>
      </c>
      <c r="T30" s="96">
        <f>-((5.25-5.68)/(437.8-330.11)*(300-330.11) + 5.68)</f>
        <v>-5.800227505</v>
      </c>
      <c r="U30" s="96"/>
      <c r="V30" s="258"/>
      <c r="W30" s="1"/>
      <c r="X30" s="1"/>
      <c r="Y30" s="2"/>
      <c r="Z30" s="2"/>
      <c r="AA30" s="1"/>
      <c r="AB30" s="2"/>
      <c r="AD30" s="6"/>
      <c r="AE30" s="6"/>
      <c r="AF30" s="6"/>
      <c r="AG30" s="6"/>
      <c r="AH30" s="6"/>
      <c r="AI30" s="6"/>
      <c r="AJ30" s="6"/>
      <c r="AK30" s="6"/>
    </row>
    <row r="31">
      <c r="A31" s="254"/>
      <c r="B31" s="97" t="s">
        <v>65</v>
      </c>
      <c r="C31" s="255"/>
      <c r="D31" s="255"/>
      <c r="E31" s="255"/>
      <c r="F31" s="255"/>
      <c r="G31" s="255"/>
      <c r="H31" s="255"/>
      <c r="I31" s="255"/>
      <c r="J31" s="255"/>
      <c r="K31" s="255"/>
      <c r="L31" s="255"/>
      <c r="M31" s="199">
        <v>2150.0</v>
      </c>
      <c r="N31" s="200"/>
      <c r="O31" s="201">
        <v>200.0</v>
      </c>
      <c r="P31" s="202"/>
      <c r="Q31" s="201"/>
      <c r="R31" s="202"/>
      <c r="S31" s="203"/>
      <c r="T31" s="204">
        <v>-100.0</v>
      </c>
      <c r="U31" s="259"/>
      <c r="V31" s="260"/>
      <c r="W31" s="1"/>
      <c r="X31" s="2">
        <v>2296.0</v>
      </c>
      <c r="Y31" s="2">
        <f>L28+M28-Amplifier!$C$4</f>
        <v>-75.37515009</v>
      </c>
      <c r="Z31" s="2">
        <f>L28+M28+N28+O28-Amplifier!$C$4</f>
        <v>-43.73286498</v>
      </c>
      <c r="AA31" s="1"/>
      <c r="AB31" s="2"/>
      <c r="AC31" s="1"/>
      <c r="AD31" s="6"/>
      <c r="AE31" s="6"/>
      <c r="AF31" s="6"/>
      <c r="AG31" s="6"/>
      <c r="AH31" s="6"/>
      <c r="AI31" s="6"/>
      <c r="AJ31" s="6"/>
      <c r="AK31" s="6"/>
    </row>
    <row r="32">
      <c r="A32" s="254"/>
      <c r="B32" s="97" t="s">
        <v>68</v>
      </c>
      <c r="C32" s="97"/>
      <c r="D32" s="97"/>
      <c r="E32" s="97">
        <v>-99.0</v>
      </c>
      <c r="F32" s="97">
        <f>pow(10, -10/10)</f>
        <v>0.1</v>
      </c>
      <c r="G32" s="250">
        <f>-20*log10($Y$26)</f>
        <v>-9.542425094</v>
      </c>
      <c r="H32" s="97">
        <v>6.0</v>
      </c>
      <c r="I32" s="97">
        <f>10 * log10(F32 * pow(10, E32/10)) + G32 + H32</f>
        <v>-112.5424251</v>
      </c>
      <c r="J32" s="97"/>
      <c r="K32" s="97">
        <v>6.0</v>
      </c>
      <c r="L32" s="250">
        <f>10 * log10(F32* pow(10, I32/10))+K32</f>
        <v>-116.5424251</v>
      </c>
      <c r="M32" s="97">
        <f>-((1.79-1.5)/(2660-2340) * (2400-2340) + 1.5)</f>
        <v>-1.554375</v>
      </c>
      <c r="N32" s="261">
        <v>36.91</v>
      </c>
      <c r="O32" s="96">
        <f>-((5.85-5.46)/(1999.34-1891.65)*(1950-1891.65) +5.46)</f>
        <v>-5.671314885</v>
      </c>
      <c r="P32" s="257">
        <f>((38.42-37.09)/(550-500)*(450-500) + 37.09)</f>
        <v>35.76</v>
      </c>
      <c r="Q32" s="97">
        <v>-1.0</v>
      </c>
      <c r="R32" s="257">
        <f>((38.42-37.09)/(550-500)*(450-500) + 37.09)</f>
        <v>35.76</v>
      </c>
      <c r="S32" s="97">
        <v>-20.0</v>
      </c>
      <c r="T32" s="96">
        <f>-((5.25-5.68)/(437.8-330.11)*(300-330.11) + 5.68)</f>
        <v>-5.800227505</v>
      </c>
      <c r="U32" s="96"/>
      <c r="V32" s="258"/>
      <c r="W32" s="1"/>
      <c r="X32" s="1"/>
      <c r="Y32" s="2"/>
      <c r="Z32" s="2"/>
      <c r="AA32" s="1"/>
      <c r="AB32" s="2"/>
      <c r="AC32" s="1"/>
      <c r="AD32" s="6"/>
      <c r="AE32" s="6"/>
      <c r="AF32" s="6"/>
      <c r="AG32" s="6"/>
      <c r="AH32" s="6"/>
      <c r="AI32" s="6"/>
      <c r="AJ32" s="6"/>
      <c r="AK32" s="6"/>
    </row>
    <row r="33">
      <c r="A33" s="254"/>
      <c r="B33" s="97" t="s">
        <v>72</v>
      </c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199">
        <v>2400.0</v>
      </c>
      <c r="N33" s="200"/>
      <c r="O33" s="201">
        <v>450.0</v>
      </c>
      <c r="P33" s="202"/>
      <c r="Q33" s="201"/>
      <c r="R33" s="202"/>
      <c r="S33" s="203"/>
      <c r="T33" s="204">
        <v>150.0</v>
      </c>
      <c r="U33" s="259"/>
      <c r="V33" s="260"/>
      <c r="W33" s="1"/>
      <c r="X33" s="2">
        <v>2150.0</v>
      </c>
      <c r="Y33" s="2">
        <f>L30+M30-Amplifier!$C$2</f>
        <v>-100.7652376</v>
      </c>
      <c r="Z33" s="2">
        <f>L30+M30+N30+O30-Amplifier!$C$2</f>
        <v>-68.47405248</v>
      </c>
      <c r="AA33" s="1"/>
      <c r="AB33" s="2"/>
      <c r="AC33" s="1"/>
      <c r="AD33" s="6"/>
      <c r="AE33" s="6"/>
      <c r="AF33" s="6"/>
      <c r="AG33" s="6"/>
      <c r="AH33" s="6"/>
      <c r="AI33" s="6"/>
      <c r="AJ33" s="6"/>
      <c r="AK33" s="6"/>
    </row>
    <row r="34">
      <c r="A34" s="254"/>
      <c r="B34" s="97" t="s">
        <v>45</v>
      </c>
      <c r="C34" s="97" t="s">
        <v>124</v>
      </c>
      <c r="D34" s="97" t="s">
        <v>124</v>
      </c>
      <c r="E34" s="96"/>
      <c r="F34" s="96"/>
      <c r="G34" s="96"/>
      <c r="H34" s="96"/>
      <c r="I34" s="96"/>
      <c r="J34" s="96"/>
      <c r="K34" s="96"/>
      <c r="L34" s="96"/>
      <c r="M34" s="96"/>
      <c r="N34" s="214">
        <f>L28+3*Y29</f>
        <v>-272.3619316</v>
      </c>
      <c r="O34" s="215">
        <f>L28+3*Y29</f>
        <v>-272.3619316</v>
      </c>
      <c r="P34" s="216">
        <f>sum(L26:O26)+3*Z29</f>
        <v>-146.5826349</v>
      </c>
      <c r="Q34" s="217"/>
      <c r="R34" s="216"/>
      <c r="S34" s="217">
        <f>sum(L26:O26)+3*Z29</f>
        <v>-146.5826349</v>
      </c>
      <c r="T34" s="217">
        <f>sum(L26:O26)+3*Z29</f>
        <v>-146.5826349</v>
      </c>
      <c r="U34" s="217"/>
      <c r="V34" s="258"/>
      <c r="W34" s="1"/>
      <c r="X34" s="1"/>
      <c r="Y34" s="2"/>
      <c r="Z34" s="2"/>
      <c r="AA34" s="1"/>
      <c r="AB34" s="2"/>
      <c r="AC34" s="1"/>
      <c r="AD34" s="6"/>
      <c r="AE34" s="6"/>
      <c r="AF34" s="6"/>
      <c r="AG34" s="6"/>
      <c r="AH34" s="6"/>
      <c r="AI34" s="6"/>
      <c r="AJ34" s="6"/>
      <c r="AK34" s="6"/>
    </row>
    <row r="35">
      <c r="A35" s="254"/>
      <c r="B35" s="97" t="s">
        <v>75</v>
      </c>
      <c r="C35" s="97" t="s">
        <v>124</v>
      </c>
      <c r="D35" s="97" t="s">
        <v>124</v>
      </c>
      <c r="E35" s="96"/>
      <c r="F35" s="96"/>
      <c r="G35" s="96"/>
      <c r="H35" s="96"/>
      <c r="I35" s="96"/>
      <c r="J35" s="96"/>
      <c r="K35" s="96"/>
      <c r="L35" s="96"/>
      <c r="M35" s="262">
        <f>2*M27-1*M29</f>
        <v>2222</v>
      </c>
      <c r="N35" s="263"/>
      <c r="O35" s="264">
        <f>2*O27-1*O29</f>
        <v>272</v>
      </c>
      <c r="P35" s="263"/>
      <c r="Q35" s="264"/>
      <c r="R35" s="264"/>
      <c r="S35" s="265"/>
      <c r="T35" s="266">
        <f>2*T27-1*T29</f>
        <v>-28</v>
      </c>
      <c r="U35" s="96"/>
      <c r="V35" s="258"/>
      <c r="W35" s="1"/>
      <c r="X35" s="2">
        <v>2400.0</v>
      </c>
      <c r="Y35" s="2">
        <f>L32+M32-Amplifier!$C$5</f>
        <v>-145.5768001</v>
      </c>
      <c r="Z35" s="2">
        <f>L32+M32+N32+O32-Amplifier!$C$5</f>
        <v>-114.338115</v>
      </c>
      <c r="AA35" s="1"/>
      <c r="AB35" s="2"/>
      <c r="AC35" s="1"/>
      <c r="AD35" s="6"/>
      <c r="AE35" s="6"/>
      <c r="AF35" s="6"/>
      <c r="AG35" s="6"/>
      <c r="AH35" s="6"/>
      <c r="AI35" s="6"/>
      <c r="AJ35" s="6"/>
      <c r="AK35" s="6"/>
    </row>
    <row r="36">
      <c r="A36" s="267"/>
      <c r="B36" s="268" t="s">
        <v>48</v>
      </c>
      <c r="C36" s="268" t="s">
        <v>124</v>
      </c>
      <c r="D36" s="268" t="s">
        <v>124</v>
      </c>
      <c r="E36" s="269"/>
      <c r="F36" s="269"/>
      <c r="G36" s="269"/>
      <c r="H36" s="269"/>
      <c r="I36" s="269"/>
      <c r="J36" s="269"/>
      <c r="K36" s="269"/>
      <c r="L36" s="269"/>
      <c r="M36" s="269"/>
      <c r="N36" s="270"/>
      <c r="O36" s="269"/>
      <c r="P36" s="270"/>
      <c r="Q36" s="96"/>
      <c r="R36" s="96"/>
      <c r="S36" s="269"/>
      <c r="T36" s="269"/>
      <c r="U36" s="269"/>
      <c r="V36" s="271"/>
      <c r="W36" s="1"/>
      <c r="X36" s="1"/>
      <c r="Y36" s="2"/>
      <c r="Z36" s="1"/>
      <c r="AA36" s="1"/>
      <c r="AB36" s="1"/>
      <c r="AC36" s="1"/>
      <c r="AD36" s="6"/>
      <c r="AE36" s="6"/>
      <c r="AF36" s="6"/>
      <c r="AG36" s="6"/>
      <c r="AH36" s="6"/>
      <c r="AI36" s="6"/>
      <c r="AJ36" s="6"/>
      <c r="AK36" s="6"/>
    </row>
    <row r="37">
      <c r="A37" s="233" t="s">
        <v>90</v>
      </c>
      <c r="B37" s="234" t="s">
        <v>54</v>
      </c>
      <c r="C37" s="272"/>
      <c r="D37" s="272"/>
      <c r="E37" s="272"/>
      <c r="F37" s="272"/>
      <c r="G37" s="272"/>
      <c r="H37" s="272"/>
      <c r="I37" s="272"/>
      <c r="J37" s="272"/>
      <c r="K37" s="272"/>
      <c r="L37" s="272"/>
      <c r="M37" s="272"/>
      <c r="N37" s="272"/>
      <c r="O37" s="272"/>
      <c r="P37" s="272"/>
      <c r="Q37" s="272"/>
      <c r="R37" s="272"/>
      <c r="S37" s="272"/>
      <c r="T37" s="272"/>
      <c r="U37" s="272"/>
      <c r="V37" s="235"/>
      <c r="W37" s="1"/>
      <c r="X37" s="1"/>
      <c r="Y37" s="1"/>
      <c r="Z37" s="1"/>
      <c r="AA37" s="1"/>
      <c r="AB37" s="1"/>
      <c r="AC37" s="1"/>
      <c r="AD37" s="6"/>
      <c r="AE37" s="6"/>
      <c r="AF37" s="6"/>
      <c r="AG37" s="6"/>
      <c r="AH37" s="6"/>
      <c r="AI37" s="6"/>
      <c r="AJ37" s="6"/>
      <c r="AK37" s="6"/>
    </row>
    <row r="38">
      <c r="A38" s="241"/>
      <c r="B38" s="143" t="s">
        <v>58</v>
      </c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239"/>
      <c r="W38" s="1"/>
      <c r="X38" s="1"/>
      <c r="Y38" s="1"/>
      <c r="Z38" s="1"/>
      <c r="AA38" s="1"/>
      <c r="AB38" s="2"/>
      <c r="AD38" s="6"/>
      <c r="AE38" s="6"/>
      <c r="AF38" s="6"/>
      <c r="AG38" s="6"/>
      <c r="AH38" s="6"/>
      <c r="AI38" s="6"/>
      <c r="AJ38" s="6"/>
      <c r="AK38" s="6"/>
    </row>
    <row r="39">
      <c r="A39" s="241"/>
      <c r="B39" s="143" t="s">
        <v>60</v>
      </c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239"/>
      <c r="W39" s="1"/>
      <c r="X39" s="1"/>
      <c r="Y39" s="1"/>
      <c r="Z39" s="1"/>
      <c r="AA39" s="1"/>
      <c r="AB39" s="2"/>
      <c r="AD39" s="6"/>
      <c r="AE39" s="6"/>
      <c r="AF39" s="6"/>
      <c r="AG39" s="6"/>
      <c r="AH39" s="6"/>
      <c r="AI39" s="6"/>
      <c r="AJ39" s="6"/>
      <c r="AK39" s="6"/>
    </row>
    <row r="40">
      <c r="A40" s="241"/>
      <c r="B40" s="143" t="s">
        <v>62</v>
      </c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239"/>
      <c r="W40" s="1"/>
      <c r="X40" s="1"/>
      <c r="Y40" s="1"/>
      <c r="Z40" s="1"/>
      <c r="AA40" s="1"/>
      <c r="AB40" s="2"/>
      <c r="AD40" s="6"/>
      <c r="AE40" s="6"/>
      <c r="AF40" s="6"/>
      <c r="AG40" s="6"/>
      <c r="AH40" s="6"/>
      <c r="AI40" s="6"/>
      <c r="AJ40" s="6"/>
      <c r="AK40" s="6"/>
    </row>
    <row r="41">
      <c r="A41" s="241"/>
      <c r="B41" s="143" t="s">
        <v>41</v>
      </c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239"/>
      <c r="W41" s="1"/>
      <c r="X41" s="1"/>
      <c r="Y41" s="1"/>
      <c r="Z41" s="1"/>
      <c r="AA41" s="1"/>
      <c r="AB41" s="2"/>
      <c r="AC41" s="2"/>
      <c r="AD41" s="6"/>
      <c r="AE41" s="6"/>
      <c r="AF41" s="6"/>
      <c r="AG41" s="6"/>
      <c r="AH41" s="6"/>
      <c r="AI41" s="6"/>
      <c r="AJ41" s="6"/>
      <c r="AK41" s="6"/>
    </row>
    <row r="42">
      <c r="A42" s="241"/>
      <c r="B42" s="143" t="s">
        <v>42</v>
      </c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239"/>
      <c r="W42" s="1"/>
      <c r="X42" s="1"/>
      <c r="Y42" s="1"/>
      <c r="Z42" s="1"/>
      <c r="AA42" s="1"/>
      <c r="AB42" s="2"/>
      <c r="AC42" s="2"/>
      <c r="AD42" s="6"/>
      <c r="AE42" s="6"/>
      <c r="AF42" s="6"/>
      <c r="AG42" s="6"/>
      <c r="AH42" s="6"/>
      <c r="AI42" s="6"/>
      <c r="AJ42" s="6"/>
      <c r="AK42" s="6"/>
    </row>
    <row r="43">
      <c r="A43" s="241"/>
      <c r="B43" s="143" t="s">
        <v>43</v>
      </c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239"/>
      <c r="W43" s="1"/>
      <c r="X43" s="1"/>
      <c r="Y43" s="1"/>
      <c r="Z43" s="1"/>
      <c r="AA43" s="1"/>
      <c r="AB43" s="2"/>
      <c r="AC43" s="2"/>
      <c r="AD43" s="6"/>
      <c r="AE43" s="6"/>
      <c r="AF43" s="6"/>
      <c r="AG43" s="6"/>
      <c r="AH43" s="6"/>
      <c r="AI43" s="6"/>
      <c r="AJ43" s="6"/>
      <c r="AK43" s="6"/>
    </row>
    <row r="44">
      <c r="A44" s="241"/>
      <c r="B44" s="143" t="s">
        <v>44</v>
      </c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239"/>
      <c r="W44" s="1"/>
      <c r="X44" s="1"/>
      <c r="Y44" s="1"/>
      <c r="Z44" s="1"/>
      <c r="AA44" s="1"/>
      <c r="AB44" s="2"/>
      <c r="AC44" s="2"/>
      <c r="AD44" s="6"/>
      <c r="AE44" s="6"/>
      <c r="AF44" s="6"/>
      <c r="AG44" s="6"/>
      <c r="AH44" s="6"/>
      <c r="AI44" s="6"/>
      <c r="AJ44" s="6"/>
      <c r="AK44" s="6"/>
    </row>
    <row r="45">
      <c r="A45" s="241"/>
      <c r="B45" s="143" t="s">
        <v>63</v>
      </c>
      <c r="C45" s="143" t="s">
        <v>124</v>
      </c>
      <c r="D45" s="143" t="s">
        <v>124</v>
      </c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239"/>
      <c r="W45" s="1"/>
      <c r="X45" s="1"/>
      <c r="Y45" s="1"/>
      <c r="Z45" s="1"/>
      <c r="AA45" s="1"/>
      <c r="AB45" s="2"/>
      <c r="AD45" s="6"/>
      <c r="AE45" s="6"/>
      <c r="AF45" s="6"/>
      <c r="AG45" s="6"/>
      <c r="AH45" s="6"/>
      <c r="AI45" s="6"/>
      <c r="AJ45" s="6"/>
      <c r="AK45" s="6"/>
    </row>
    <row r="46">
      <c r="A46" s="241"/>
      <c r="B46" s="143" t="s">
        <v>65</v>
      </c>
      <c r="C46" s="143" t="s">
        <v>124</v>
      </c>
      <c r="D46" s="143" t="s">
        <v>124</v>
      </c>
      <c r="E46" s="142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239"/>
      <c r="W46" s="1"/>
      <c r="X46" s="1"/>
      <c r="Y46" s="1"/>
      <c r="Z46" s="1"/>
      <c r="AA46" s="1"/>
      <c r="AB46" s="1"/>
      <c r="AC46" s="1"/>
      <c r="AD46" s="6"/>
      <c r="AE46" s="6"/>
      <c r="AF46" s="6"/>
      <c r="AG46" s="6"/>
      <c r="AH46" s="6"/>
      <c r="AI46" s="6"/>
      <c r="AJ46" s="6"/>
      <c r="AK46" s="6"/>
    </row>
    <row r="47">
      <c r="A47" s="241"/>
      <c r="B47" s="143" t="s">
        <v>68</v>
      </c>
      <c r="C47" s="143" t="s">
        <v>124</v>
      </c>
      <c r="D47" s="143" t="s">
        <v>124</v>
      </c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239"/>
      <c r="W47" s="1"/>
      <c r="X47" s="1"/>
      <c r="Y47" s="1"/>
      <c r="Z47" s="1"/>
      <c r="AA47" s="1"/>
      <c r="AB47" s="1"/>
      <c r="AC47" s="1"/>
      <c r="AD47" s="6"/>
      <c r="AE47" s="6"/>
      <c r="AF47" s="6"/>
      <c r="AG47" s="6"/>
      <c r="AH47" s="6"/>
      <c r="AI47" s="6"/>
      <c r="AJ47" s="6"/>
      <c r="AK47" s="6"/>
    </row>
    <row r="48">
      <c r="A48" s="241"/>
      <c r="B48" s="143" t="s">
        <v>72</v>
      </c>
      <c r="C48" s="143" t="s">
        <v>124</v>
      </c>
      <c r="D48" s="143" t="s">
        <v>124</v>
      </c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239"/>
      <c r="W48" s="1"/>
      <c r="X48" s="1"/>
      <c r="Y48" s="1"/>
      <c r="Z48" s="1"/>
      <c r="AA48" s="1"/>
      <c r="AB48" s="1"/>
      <c r="AC48" s="1"/>
      <c r="AD48" s="6"/>
      <c r="AE48" s="6"/>
      <c r="AF48" s="6"/>
      <c r="AG48" s="6"/>
      <c r="AH48" s="6"/>
      <c r="AI48" s="6"/>
      <c r="AJ48" s="6"/>
      <c r="AK48" s="6"/>
    </row>
    <row r="49">
      <c r="A49" s="242"/>
      <c r="B49" s="273" t="s">
        <v>48</v>
      </c>
      <c r="C49" s="273" t="s">
        <v>124</v>
      </c>
      <c r="D49" s="273" t="s">
        <v>124</v>
      </c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4"/>
      <c r="W49" s="1"/>
      <c r="X49" s="1"/>
      <c r="Y49" s="1"/>
      <c r="Z49" s="1"/>
      <c r="AA49" s="1"/>
      <c r="AB49" s="1"/>
      <c r="AC49" s="1"/>
      <c r="AD49" s="6"/>
      <c r="AE49" s="6"/>
      <c r="AF49" s="6"/>
      <c r="AG49" s="6"/>
      <c r="AH49" s="6"/>
      <c r="AI49" s="6"/>
      <c r="AJ49" s="6"/>
      <c r="AK49" s="6"/>
    </row>
    <row r="50">
      <c r="A50" s="274" t="s">
        <v>92</v>
      </c>
      <c r="B50" s="275" t="s">
        <v>54</v>
      </c>
      <c r="C50" s="276"/>
      <c r="D50" s="276"/>
      <c r="E50" s="276"/>
      <c r="F50" s="276"/>
      <c r="G50" s="276"/>
      <c r="H50" s="276"/>
      <c r="I50" s="276"/>
      <c r="J50" s="276"/>
      <c r="K50" s="276"/>
      <c r="L50" s="276"/>
      <c r="M50" s="276"/>
      <c r="N50" s="276"/>
      <c r="O50" s="276"/>
      <c r="P50" s="276"/>
      <c r="Q50" s="276"/>
      <c r="R50" s="276"/>
      <c r="S50" s="276"/>
      <c r="T50" s="276"/>
      <c r="U50" s="276"/>
      <c r="V50" s="277"/>
      <c r="W50" s="1"/>
      <c r="X50" s="1"/>
      <c r="Y50" s="1"/>
      <c r="Z50" s="1"/>
      <c r="AA50" s="1"/>
      <c r="AB50" s="1"/>
      <c r="AC50" s="1"/>
      <c r="AD50" s="6"/>
      <c r="AE50" s="6"/>
      <c r="AF50" s="6"/>
      <c r="AG50" s="6"/>
      <c r="AH50" s="6"/>
      <c r="AI50" s="6"/>
      <c r="AJ50" s="6"/>
      <c r="AK50" s="6"/>
    </row>
    <row r="51">
      <c r="A51" s="278"/>
      <c r="B51" s="161" t="s">
        <v>58</v>
      </c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279"/>
      <c r="W51" s="1"/>
      <c r="X51" s="1"/>
      <c r="Y51" s="1"/>
      <c r="Z51" s="1"/>
      <c r="AA51" s="1"/>
      <c r="AB51" s="1"/>
      <c r="AC51" s="1"/>
      <c r="AD51" s="6"/>
      <c r="AE51" s="6"/>
      <c r="AF51" s="6"/>
      <c r="AG51" s="6"/>
      <c r="AH51" s="6"/>
      <c r="AI51" s="6"/>
      <c r="AJ51" s="6"/>
      <c r="AK51" s="6"/>
    </row>
    <row r="52">
      <c r="A52" s="278"/>
      <c r="B52" s="161" t="s">
        <v>60</v>
      </c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279"/>
      <c r="W52" s="1"/>
      <c r="X52" s="1"/>
      <c r="Y52" s="1"/>
      <c r="Z52" s="1"/>
      <c r="AA52" s="1"/>
      <c r="AB52" s="1"/>
      <c r="AC52" s="1"/>
      <c r="AD52" s="6"/>
      <c r="AE52" s="6"/>
      <c r="AF52" s="6"/>
      <c r="AG52" s="6"/>
      <c r="AH52" s="6"/>
      <c r="AI52" s="6"/>
      <c r="AJ52" s="6"/>
      <c r="AK52" s="6"/>
    </row>
    <row r="53">
      <c r="A53" s="278"/>
      <c r="B53" s="161" t="s">
        <v>62</v>
      </c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279"/>
      <c r="W53" s="1"/>
      <c r="X53" s="1"/>
      <c r="Y53" s="1"/>
      <c r="Z53" s="1"/>
      <c r="AA53" s="1"/>
      <c r="AB53" s="1"/>
      <c r="AC53" s="1"/>
      <c r="AD53" s="6"/>
      <c r="AE53" s="6"/>
      <c r="AF53" s="6"/>
      <c r="AG53" s="6"/>
      <c r="AH53" s="6"/>
      <c r="AI53" s="6"/>
      <c r="AJ53" s="6"/>
      <c r="AK53" s="6"/>
    </row>
    <row r="54">
      <c r="A54" s="278"/>
      <c r="B54" s="161" t="s">
        <v>41</v>
      </c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279"/>
      <c r="W54" s="1"/>
      <c r="X54" s="1"/>
      <c r="Y54" s="1"/>
      <c r="Z54" s="1"/>
      <c r="AA54" s="1"/>
      <c r="AB54" s="1"/>
      <c r="AC54" s="1"/>
      <c r="AD54" s="6"/>
      <c r="AE54" s="6"/>
      <c r="AF54" s="6"/>
      <c r="AG54" s="6"/>
      <c r="AH54" s="6"/>
      <c r="AI54" s="6"/>
      <c r="AJ54" s="6"/>
      <c r="AK54" s="6"/>
    </row>
    <row r="55">
      <c r="A55" s="278"/>
      <c r="B55" s="161" t="s">
        <v>42</v>
      </c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279"/>
      <c r="W55" s="1"/>
      <c r="X55" s="1"/>
      <c r="Y55" s="1"/>
      <c r="Z55" s="1"/>
      <c r="AA55" s="1"/>
      <c r="AB55" s="1"/>
      <c r="AC55" s="1"/>
      <c r="AD55" s="6"/>
      <c r="AE55" s="6"/>
      <c r="AF55" s="6"/>
      <c r="AG55" s="6"/>
      <c r="AH55" s="6"/>
      <c r="AI55" s="6"/>
      <c r="AJ55" s="6"/>
      <c r="AK55" s="6"/>
    </row>
    <row r="56">
      <c r="A56" s="278"/>
      <c r="B56" s="161" t="s">
        <v>43</v>
      </c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279"/>
      <c r="W56" s="1"/>
      <c r="X56" s="1"/>
      <c r="Y56" s="1"/>
      <c r="Z56" s="1"/>
      <c r="AA56" s="1"/>
      <c r="AB56" s="1"/>
      <c r="AC56" s="1"/>
      <c r="AD56" s="6"/>
      <c r="AE56" s="6"/>
      <c r="AF56" s="6"/>
      <c r="AG56" s="6"/>
      <c r="AH56" s="6"/>
      <c r="AI56" s="6"/>
      <c r="AJ56" s="6"/>
      <c r="AK56" s="6"/>
    </row>
    <row r="57">
      <c r="A57" s="278"/>
      <c r="B57" s="161" t="s">
        <v>44</v>
      </c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279"/>
      <c r="W57" s="1"/>
      <c r="X57" s="1"/>
      <c r="Y57" s="1"/>
      <c r="Z57" s="1"/>
      <c r="AA57" s="1"/>
      <c r="AB57" s="1"/>
      <c r="AC57" s="1"/>
      <c r="AD57" s="6"/>
      <c r="AE57" s="6"/>
      <c r="AF57" s="6"/>
      <c r="AG57" s="6"/>
      <c r="AH57" s="6"/>
      <c r="AI57" s="6"/>
      <c r="AJ57" s="6"/>
      <c r="AK57" s="6"/>
    </row>
    <row r="58">
      <c r="A58" s="278"/>
      <c r="B58" s="161" t="s">
        <v>63</v>
      </c>
      <c r="C58" s="161" t="s">
        <v>124</v>
      </c>
      <c r="D58" s="161" t="s">
        <v>124</v>
      </c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279"/>
      <c r="W58" s="1"/>
      <c r="X58" s="1"/>
      <c r="Y58" s="1"/>
      <c r="Z58" s="1"/>
      <c r="AA58" s="1"/>
      <c r="AB58" s="1"/>
      <c r="AC58" s="1"/>
      <c r="AD58" s="6"/>
      <c r="AE58" s="6"/>
      <c r="AF58" s="6"/>
      <c r="AG58" s="6"/>
      <c r="AH58" s="6"/>
      <c r="AI58" s="6"/>
      <c r="AJ58" s="6"/>
      <c r="AK58" s="6"/>
    </row>
    <row r="59">
      <c r="A59" s="278"/>
      <c r="B59" s="161" t="s">
        <v>65</v>
      </c>
      <c r="C59" s="161" t="s">
        <v>124</v>
      </c>
      <c r="D59" s="161" t="s">
        <v>124</v>
      </c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279"/>
      <c r="W59" s="1"/>
      <c r="X59" s="1"/>
      <c r="Y59" s="1"/>
      <c r="Z59" s="1"/>
      <c r="AA59" s="1"/>
      <c r="AB59" s="1"/>
      <c r="AC59" s="1"/>
      <c r="AD59" s="6"/>
      <c r="AE59" s="6"/>
      <c r="AF59" s="6"/>
      <c r="AG59" s="6"/>
      <c r="AH59" s="6"/>
      <c r="AI59" s="6"/>
      <c r="AJ59" s="6"/>
      <c r="AK59" s="6"/>
    </row>
    <row r="60">
      <c r="A60" s="278"/>
      <c r="B60" s="161" t="s">
        <v>68</v>
      </c>
      <c r="C60" s="161" t="s">
        <v>124</v>
      </c>
      <c r="D60" s="161" t="s">
        <v>124</v>
      </c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279"/>
      <c r="W60" s="1"/>
      <c r="X60" s="1"/>
      <c r="Y60" s="1"/>
      <c r="Z60" s="1"/>
      <c r="AA60" s="1"/>
      <c r="AB60" s="1"/>
      <c r="AC60" s="1"/>
      <c r="AD60" s="6"/>
      <c r="AE60" s="6"/>
      <c r="AF60" s="6"/>
      <c r="AG60" s="6"/>
      <c r="AH60" s="6"/>
      <c r="AI60" s="6"/>
      <c r="AJ60" s="6"/>
      <c r="AK60" s="6"/>
    </row>
    <row r="61">
      <c r="A61" s="278"/>
      <c r="B61" s="161" t="s">
        <v>72</v>
      </c>
      <c r="C61" s="161" t="s">
        <v>124</v>
      </c>
      <c r="D61" s="161" t="s">
        <v>124</v>
      </c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279"/>
      <c r="W61" s="1"/>
      <c r="X61" s="1"/>
      <c r="Y61" s="1"/>
      <c r="Z61" s="1"/>
      <c r="AA61" s="1"/>
      <c r="AB61" s="1"/>
      <c r="AC61" s="1"/>
      <c r="AD61" s="6"/>
      <c r="AE61" s="6"/>
      <c r="AF61" s="6"/>
      <c r="AG61" s="6"/>
      <c r="AH61" s="6"/>
      <c r="AI61" s="6"/>
      <c r="AJ61" s="6"/>
      <c r="AK61" s="6"/>
    </row>
    <row r="62">
      <c r="A62" s="280"/>
      <c r="B62" s="281" t="s">
        <v>48</v>
      </c>
      <c r="C62" s="281" t="s">
        <v>124</v>
      </c>
      <c r="D62" s="281" t="s">
        <v>124</v>
      </c>
      <c r="E62" s="282"/>
      <c r="F62" s="282"/>
      <c r="G62" s="282"/>
      <c r="H62" s="282"/>
      <c r="I62" s="282"/>
      <c r="J62" s="282"/>
      <c r="K62" s="282"/>
      <c r="L62" s="282"/>
      <c r="M62" s="282"/>
      <c r="N62" s="282"/>
      <c r="O62" s="282"/>
      <c r="P62" s="282"/>
      <c r="Q62" s="282"/>
      <c r="R62" s="282"/>
      <c r="S62" s="282"/>
      <c r="T62" s="282"/>
      <c r="U62" s="282"/>
      <c r="V62" s="283"/>
      <c r="W62" s="1"/>
      <c r="X62" s="1"/>
      <c r="Y62" s="1"/>
      <c r="Z62" s="1"/>
      <c r="AA62" s="1"/>
      <c r="AB62" s="1"/>
      <c r="AC62" s="1"/>
      <c r="AD62" s="6"/>
      <c r="AE62" s="6"/>
      <c r="AF62" s="6"/>
      <c r="AG62" s="6"/>
      <c r="AH62" s="6"/>
      <c r="AI62" s="6"/>
      <c r="AJ62" s="6"/>
      <c r="AK62" s="6"/>
    </row>
    <row r="63">
      <c r="A63" s="284" t="s">
        <v>93</v>
      </c>
      <c r="B63" s="285" t="s">
        <v>54</v>
      </c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5" t="s">
        <v>131</v>
      </c>
      <c r="N63" s="287"/>
      <c r="O63" s="286"/>
      <c r="P63" s="286"/>
      <c r="Q63" s="286"/>
      <c r="R63" s="286"/>
      <c r="S63" s="286"/>
      <c r="T63" s="286"/>
      <c r="U63" s="286"/>
      <c r="V63" s="288"/>
      <c r="W63" s="1"/>
      <c r="X63" s="1"/>
      <c r="Y63" s="1"/>
      <c r="Z63" s="1"/>
      <c r="AA63" s="1"/>
      <c r="AB63" s="1"/>
      <c r="AC63" s="1"/>
      <c r="AD63" s="6"/>
      <c r="AE63" s="6"/>
      <c r="AF63" s="6"/>
      <c r="AG63" s="6"/>
      <c r="AH63" s="6"/>
      <c r="AI63" s="6"/>
      <c r="AJ63" s="6"/>
      <c r="AK63" s="6"/>
    </row>
    <row r="64">
      <c r="A64" s="289"/>
      <c r="B64" s="174" t="s">
        <v>58</v>
      </c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290"/>
      <c r="W64" s="1"/>
      <c r="X64" s="1"/>
      <c r="Y64" s="1"/>
      <c r="Z64" s="1"/>
      <c r="AA64" s="1"/>
      <c r="AB64" s="1"/>
      <c r="AC64" s="1"/>
      <c r="AD64" s="6"/>
      <c r="AE64" s="6"/>
      <c r="AF64" s="6"/>
      <c r="AG64" s="6"/>
      <c r="AH64" s="6"/>
      <c r="AI64" s="6"/>
      <c r="AJ64" s="6"/>
      <c r="AK64" s="6"/>
    </row>
    <row r="65">
      <c r="A65" s="289"/>
      <c r="B65" s="174" t="s">
        <v>60</v>
      </c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290"/>
      <c r="W65" s="1"/>
      <c r="X65" s="1"/>
      <c r="Y65" s="1"/>
      <c r="Z65" s="1"/>
      <c r="AA65" s="1"/>
      <c r="AB65" s="1"/>
      <c r="AC65" s="1"/>
      <c r="AD65" s="6"/>
      <c r="AE65" s="6"/>
      <c r="AF65" s="6"/>
      <c r="AG65" s="6"/>
      <c r="AH65" s="6"/>
      <c r="AI65" s="6"/>
      <c r="AJ65" s="6"/>
      <c r="AK65" s="6"/>
    </row>
    <row r="66">
      <c r="A66" s="289"/>
      <c r="B66" s="174" t="s">
        <v>62</v>
      </c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290"/>
      <c r="W66" s="1"/>
      <c r="X66" s="1"/>
      <c r="Y66" s="1"/>
      <c r="Z66" s="1"/>
      <c r="AA66" s="1"/>
      <c r="AB66" s="1"/>
      <c r="AC66" s="1"/>
      <c r="AD66" s="6"/>
      <c r="AE66" s="6"/>
      <c r="AF66" s="6"/>
      <c r="AG66" s="6"/>
      <c r="AH66" s="6"/>
      <c r="AI66" s="6"/>
      <c r="AJ66" s="6"/>
      <c r="AK66" s="6"/>
    </row>
    <row r="67">
      <c r="A67" s="289"/>
      <c r="B67" s="174" t="s">
        <v>41</v>
      </c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290"/>
      <c r="W67" s="1"/>
      <c r="X67" s="1"/>
      <c r="Y67" s="1"/>
      <c r="Z67" s="1"/>
      <c r="AA67" s="1"/>
      <c r="AB67" s="1"/>
      <c r="AC67" s="1"/>
      <c r="AD67" s="6"/>
      <c r="AE67" s="6"/>
      <c r="AF67" s="6"/>
      <c r="AG67" s="6"/>
      <c r="AH67" s="6"/>
      <c r="AI67" s="6"/>
      <c r="AJ67" s="6"/>
      <c r="AK67" s="6"/>
    </row>
    <row r="68">
      <c r="A68" s="289"/>
      <c r="B68" s="174" t="s">
        <v>42</v>
      </c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3"/>
      <c r="N68" s="173"/>
      <c r="O68" s="173"/>
      <c r="P68" s="173"/>
      <c r="Q68" s="173"/>
      <c r="R68" s="173"/>
      <c r="S68" s="173"/>
      <c r="T68" s="173"/>
      <c r="U68" s="173"/>
      <c r="V68" s="290"/>
      <c r="W68" s="1"/>
      <c r="X68" s="1"/>
      <c r="Y68" s="1"/>
      <c r="Z68" s="1"/>
      <c r="AA68" s="1"/>
      <c r="AB68" s="1"/>
      <c r="AC68" s="1"/>
      <c r="AD68" s="6"/>
      <c r="AE68" s="6"/>
      <c r="AF68" s="6"/>
      <c r="AG68" s="6"/>
      <c r="AH68" s="6"/>
      <c r="AI68" s="6"/>
      <c r="AJ68" s="6"/>
      <c r="AK68" s="6"/>
    </row>
    <row r="69">
      <c r="A69" s="289"/>
      <c r="B69" s="174" t="s">
        <v>43</v>
      </c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290"/>
      <c r="W69" s="1"/>
      <c r="X69" s="1"/>
      <c r="Y69" s="1"/>
      <c r="Z69" s="1"/>
      <c r="AA69" s="1"/>
      <c r="AB69" s="1"/>
      <c r="AC69" s="1"/>
      <c r="AD69" s="6"/>
      <c r="AE69" s="6"/>
      <c r="AF69" s="6"/>
      <c r="AG69" s="6"/>
      <c r="AH69" s="6"/>
      <c r="AI69" s="6"/>
      <c r="AJ69" s="6"/>
      <c r="AK69" s="6"/>
    </row>
    <row r="70">
      <c r="A70" s="289"/>
      <c r="B70" s="174" t="s">
        <v>44</v>
      </c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290"/>
      <c r="W70" s="1"/>
      <c r="X70" s="1"/>
      <c r="Y70" s="1"/>
      <c r="Z70" s="1"/>
      <c r="AA70" s="1"/>
      <c r="AB70" s="1"/>
      <c r="AC70" s="1"/>
      <c r="AD70" s="6"/>
      <c r="AE70" s="6"/>
      <c r="AF70" s="6"/>
      <c r="AG70" s="6"/>
      <c r="AH70" s="6"/>
      <c r="AI70" s="6"/>
      <c r="AJ70" s="6"/>
      <c r="AK70" s="6"/>
    </row>
    <row r="71">
      <c r="A71" s="289"/>
      <c r="B71" s="174" t="s">
        <v>63</v>
      </c>
      <c r="C71" s="174" t="s">
        <v>124</v>
      </c>
      <c r="D71" s="174" t="s">
        <v>124</v>
      </c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290"/>
      <c r="W71" s="1"/>
      <c r="X71" s="1"/>
      <c r="Y71" s="1"/>
      <c r="Z71" s="1"/>
      <c r="AA71" s="1"/>
      <c r="AB71" s="1"/>
      <c r="AC71" s="1"/>
      <c r="AD71" s="6"/>
      <c r="AE71" s="6"/>
      <c r="AF71" s="6"/>
      <c r="AG71" s="6"/>
      <c r="AH71" s="6"/>
      <c r="AI71" s="6"/>
      <c r="AJ71" s="6"/>
      <c r="AK71" s="6"/>
    </row>
    <row r="72">
      <c r="A72" s="289"/>
      <c r="B72" s="174" t="s">
        <v>65</v>
      </c>
      <c r="C72" s="174" t="s">
        <v>124</v>
      </c>
      <c r="D72" s="174" t="s">
        <v>124</v>
      </c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  <c r="P72" s="173"/>
      <c r="Q72" s="173"/>
      <c r="R72" s="173"/>
      <c r="S72" s="173"/>
      <c r="T72" s="173"/>
      <c r="U72" s="173"/>
      <c r="V72" s="290"/>
      <c r="W72" s="1"/>
      <c r="X72" s="1"/>
      <c r="Y72" s="1"/>
      <c r="Z72" s="1"/>
      <c r="AA72" s="1"/>
      <c r="AB72" s="1"/>
      <c r="AC72" s="1"/>
      <c r="AD72" s="6"/>
      <c r="AE72" s="6"/>
      <c r="AF72" s="6"/>
      <c r="AG72" s="6"/>
      <c r="AH72" s="6"/>
      <c r="AI72" s="6"/>
      <c r="AJ72" s="6"/>
      <c r="AK72" s="6"/>
    </row>
    <row r="73">
      <c r="A73" s="289"/>
      <c r="B73" s="174" t="s">
        <v>68</v>
      </c>
      <c r="C73" s="174" t="s">
        <v>124</v>
      </c>
      <c r="D73" s="174" t="s">
        <v>124</v>
      </c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S73" s="173"/>
      <c r="T73" s="173"/>
      <c r="U73" s="173"/>
      <c r="V73" s="290"/>
      <c r="W73" s="1"/>
      <c r="X73" s="1"/>
      <c r="Y73" s="1"/>
      <c r="Z73" s="1"/>
      <c r="AA73" s="1"/>
      <c r="AB73" s="1"/>
      <c r="AC73" s="1"/>
      <c r="AD73" s="6"/>
      <c r="AE73" s="6"/>
      <c r="AF73" s="6"/>
      <c r="AG73" s="6"/>
      <c r="AH73" s="6"/>
      <c r="AI73" s="6"/>
      <c r="AJ73" s="6"/>
      <c r="AK73" s="6"/>
    </row>
    <row r="74">
      <c r="A74" s="289"/>
      <c r="B74" s="174" t="s">
        <v>72</v>
      </c>
      <c r="C74" s="174" t="s">
        <v>124</v>
      </c>
      <c r="D74" s="174" t="s">
        <v>124</v>
      </c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  <c r="P74" s="173"/>
      <c r="Q74" s="173"/>
      <c r="R74" s="173"/>
      <c r="S74" s="173"/>
      <c r="T74" s="173"/>
      <c r="U74" s="173"/>
      <c r="V74" s="290"/>
      <c r="W74" s="1"/>
      <c r="X74" s="1"/>
      <c r="Y74" s="1"/>
      <c r="Z74" s="1"/>
      <c r="AA74" s="1"/>
      <c r="AB74" s="1"/>
      <c r="AC74" s="1"/>
      <c r="AD74" s="6"/>
      <c r="AE74" s="6"/>
      <c r="AF74" s="6"/>
      <c r="AG74" s="6"/>
      <c r="AH74" s="6"/>
      <c r="AI74" s="6"/>
      <c r="AJ74" s="6"/>
      <c r="AK74" s="6"/>
    </row>
    <row r="75">
      <c r="A75" s="291"/>
      <c r="B75" s="292" t="s">
        <v>48</v>
      </c>
      <c r="C75" s="292" t="s">
        <v>124</v>
      </c>
      <c r="D75" s="292" t="s">
        <v>124</v>
      </c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4"/>
      <c r="W75" s="1"/>
      <c r="X75" s="1"/>
      <c r="Y75" s="1"/>
      <c r="Z75" s="1"/>
      <c r="AA75" s="1"/>
      <c r="AB75" s="1"/>
      <c r="AC75" s="1"/>
      <c r="AD75" s="6"/>
      <c r="AE75" s="6"/>
      <c r="AF75" s="6"/>
      <c r="AG75" s="6"/>
      <c r="AH75" s="6"/>
      <c r="AI75" s="6"/>
      <c r="AJ75" s="6"/>
      <c r="AK75" s="6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6"/>
      <c r="AF76" s="6"/>
      <c r="AG76" s="6"/>
      <c r="AH76" s="6"/>
      <c r="AI76" s="6"/>
      <c r="AJ76" s="6"/>
      <c r="A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</row>
  </sheetData>
  <mergeCells count="16">
    <mergeCell ref="AA2:AC2"/>
    <mergeCell ref="AB4:AC4"/>
    <mergeCell ref="AB6:AC6"/>
    <mergeCell ref="AB11:AC11"/>
    <mergeCell ref="AB13:AC13"/>
    <mergeCell ref="AB16:AC16"/>
    <mergeCell ref="AB17:AC17"/>
    <mergeCell ref="AB45:AC45"/>
    <mergeCell ref="M63:N63"/>
    <mergeCell ref="AB22:AC22"/>
    <mergeCell ref="AB28:AC28"/>
    <mergeCell ref="AB29:AC29"/>
    <mergeCell ref="AB30:AC30"/>
    <mergeCell ref="AB38:AC38"/>
    <mergeCell ref="AB39:AC39"/>
    <mergeCell ref="AB40:AC40"/>
  </mergeCells>
  <hyperlinks>
    <hyperlink r:id="rId1" ref="U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2" t="s">
        <v>117</v>
      </c>
      <c r="D1" s="2" t="s">
        <v>118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/>
      <c r="K1" s="2" t="s">
        <v>119</v>
      </c>
      <c r="L1" s="2" t="s">
        <v>120</v>
      </c>
      <c r="M1" s="2" t="s">
        <v>6</v>
      </c>
      <c r="N1" s="2" t="s">
        <v>7</v>
      </c>
      <c r="O1" s="190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190" t="s">
        <v>13</v>
      </c>
      <c r="U1" s="2" t="s">
        <v>14</v>
      </c>
      <c r="V1" s="2"/>
      <c r="W1" s="2" t="s">
        <v>15</v>
      </c>
      <c r="X1" s="1"/>
      <c r="Y1" s="1"/>
      <c r="Z1" s="1"/>
      <c r="AA1" s="1"/>
      <c r="AB1" s="1"/>
      <c r="AC1" s="1"/>
      <c r="AD1" s="1"/>
      <c r="AE1" s="6"/>
      <c r="AF1" s="6"/>
      <c r="AG1" s="6"/>
      <c r="AH1" s="6"/>
      <c r="AI1" s="6"/>
      <c r="AJ1" s="6"/>
      <c r="AK1" s="6"/>
      <c r="AL1" s="6"/>
    </row>
    <row r="2">
      <c r="A2" s="1"/>
      <c r="B2" s="2" t="s">
        <v>16</v>
      </c>
      <c r="C2" s="1"/>
      <c r="D2" s="1"/>
      <c r="E2" s="1"/>
      <c r="F2" s="2"/>
      <c r="G2" s="2"/>
      <c r="H2" s="2" t="s">
        <v>17</v>
      </c>
      <c r="I2" s="2"/>
      <c r="J2" s="2"/>
      <c r="K2" s="2"/>
      <c r="L2" s="2"/>
      <c r="M2" s="2" t="s">
        <v>18</v>
      </c>
      <c r="N2" s="2" t="s">
        <v>19</v>
      </c>
      <c r="O2" s="191" t="s">
        <v>24</v>
      </c>
      <c r="P2" s="2" t="s">
        <v>19</v>
      </c>
      <c r="Q2" s="2" t="s">
        <v>122</v>
      </c>
      <c r="R2" s="191" t="s">
        <v>19</v>
      </c>
      <c r="S2" s="2" t="s">
        <v>21</v>
      </c>
      <c r="T2" s="295" t="s">
        <v>24</v>
      </c>
      <c r="U2" s="192" t="s">
        <v>25</v>
      </c>
      <c r="V2" s="1"/>
      <c r="W2" s="1"/>
      <c r="X2" s="1"/>
      <c r="Y2" s="2" t="s">
        <v>123</v>
      </c>
      <c r="Z2" s="2" t="s">
        <v>27</v>
      </c>
      <c r="AA2" s="2" t="s">
        <v>29</v>
      </c>
      <c r="AB2" s="2"/>
      <c r="AE2" s="6"/>
      <c r="AF2" s="6"/>
      <c r="AG2" s="6"/>
      <c r="AH2" s="6"/>
      <c r="AI2" s="6"/>
      <c r="AJ2" s="6"/>
      <c r="AK2" s="6"/>
      <c r="AL2" s="6"/>
    </row>
    <row r="3">
      <c r="A3" s="296" t="s">
        <v>53</v>
      </c>
      <c r="B3" s="297" t="s">
        <v>54</v>
      </c>
      <c r="C3" s="91"/>
      <c r="D3" s="91"/>
      <c r="E3" s="90">
        <v>-29.0</v>
      </c>
      <c r="F3" s="91">
        <f>pow(10, -10/10)</f>
        <v>0.1</v>
      </c>
      <c r="G3" s="91">
        <f>20*log10(Stages!$AH$5/(E4*pow(10,6)) / (4 * pi() * $D$15))</f>
        <v>-69.06853293</v>
      </c>
      <c r="H3" s="90">
        <v>6.0</v>
      </c>
      <c r="I3" s="91">
        <f t="shared" ref="I3:I9" si="1">10 * log10((1-F3) * pow(10, E3/10)) + G3 + H3</f>
        <v>-92.52610784</v>
      </c>
      <c r="J3" s="91"/>
      <c r="K3" s="90">
        <v>6.0</v>
      </c>
      <c r="L3" s="297">
        <f>10 * log10((1-F3)* pow(10, I3/10))+K3</f>
        <v>-86.98368275</v>
      </c>
      <c r="M3" s="91">
        <f>L3+'Full Sheet'!M26</f>
        <v>-88.5115265</v>
      </c>
      <c r="N3" s="298">
        <f>M3+'Full Sheet'!N26</f>
        <v>-51.0134265</v>
      </c>
      <c r="O3" s="91">
        <f>N3+'Full Sheet'!O26</f>
        <v>-56.68474138</v>
      </c>
      <c r="P3" s="298">
        <f>O3+'Full Sheet'!P26</f>
        <v>-24.67534138</v>
      </c>
      <c r="Q3" s="91">
        <f>P3+'Full Sheet'!Q3</f>
        <v>-25.67534138</v>
      </c>
      <c r="R3" s="298">
        <f>Q3+'Full Sheet'!R26</f>
        <v>6.334058619</v>
      </c>
      <c r="S3" s="91">
        <f>R3+'Full Sheet'!S26</f>
        <v>1.334058619</v>
      </c>
      <c r="T3" s="299">
        <f>S3+'Full Sheet'!T26</f>
        <v>-4.466168886</v>
      </c>
      <c r="U3" s="300">
        <f>T3+'Full Sheet'!T26</f>
        <v>-10.26639639</v>
      </c>
    </row>
    <row r="4">
      <c r="A4" s="254"/>
      <c r="B4" s="97" t="s">
        <v>58</v>
      </c>
      <c r="C4" s="301"/>
      <c r="D4" s="301"/>
      <c r="E4" s="37">
        <v>2259.0</v>
      </c>
      <c r="F4" s="38"/>
      <c r="G4" s="91"/>
      <c r="H4" s="37"/>
      <c r="I4" s="38">
        <f t="shared" si="1"/>
        <v>2259</v>
      </c>
      <c r="J4" s="38"/>
      <c r="K4" s="37"/>
      <c r="L4" s="302"/>
      <c r="M4" s="38"/>
      <c r="N4" s="303"/>
      <c r="O4" s="38"/>
      <c r="P4" s="304"/>
      <c r="Q4" s="305"/>
      <c r="R4" s="305">
        <f>Q4+'Full Sheet'!R27</f>
        <v>0</v>
      </c>
      <c r="S4" s="305">
        <f>R4+'Full Sheet'!S27</f>
        <v>0</v>
      </c>
      <c r="T4" s="305">
        <f>S4+'Full Sheet'!T27</f>
        <v>9</v>
      </c>
      <c r="U4" s="300"/>
    </row>
    <row r="5">
      <c r="A5" s="306"/>
      <c r="B5" s="89" t="s">
        <v>60</v>
      </c>
      <c r="C5" s="91"/>
      <c r="D5" s="91"/>
      <c r="E5" s="90">
        <v>-29.0</v>
      </c>
      <c r="F5" s="91">
        <f>pow(10, -10/10)</f>
        <v>0.1</v>
      </c>
      <c r="G5" s="91">
        <f>20*log10(Stages!$AH$5/(E6*pow(10,6)) / (4 * pi() * $D$15))</f>
        <v>-69.20964599</v>
      </c>
      <c r="H5" s="90">
        <v>6.0</v>
      </c>
      <c r="I5" s="91">
        <f t="shared" si="1"/>
        <v>-92.6672209</v>
      </c>
      <c r="J5" s="91"/>
      <c r="K5" s="90">
        <v>6.0</v>
      </c>
      <c r="L5" s="297">
        <f>10 * log10((1-F5)* pow(10, I5/10))+K5</f>
        <v>-87.1247958</v>
      </c>
      <c r="M5" s="91">
        <f>L5+'Full Sheet'!M3</f>
        <v>-88.65263955</v>
      </c>
      <c r="N5" s="307">
        <f>M5+'Full Sheet'!N3</f>
        <v>-51.49073955</v>
      </c>
      <c r="O5" s="91">
        <f>N5+'Full Sheet'!O3</f>
        <v>-57.16205444</v>
      </c>
      <c r="P5" s="307">
        <f>O5+'Full Sheet'!P3</f>
        <v>-25.15265444</v>
      </c>
      <c r="Q5" s="91">
        <f>P5+'Full Sheet'!Q5</f>
        <v>-26.15265444</v>
      </c>
      <c r="R5" s="307">
        <f>Q5+'Full Sheet'!R28</f>
        <v>6.840945563</v>
      </c>
      <c r="S5" s="91">
        <f>R5+'Full Sheet'!S28</f>
        <v>1.240945563</v>
      </c>
      <c r="T5" s="308">
        <f>S5+'Full Sheet'!T28</f>
        <v>-4.559281942</v>
      </c>
      <c r="U5" s="300">
        <f>T5+'Full Sheet'!T28</f>
        <v>-10.35950945</v>
      </c>
    </row>
    <row r="6">
      <c r="A6" s="254"/>
      <c r="B6" s="97" t="s">
        <v>62</v>
      </c>
      <c r="C6" s="301"/>
      <c r="D6" s="301"/>
      <c r="E6" s="37">
        <v>2296.0</v>
      </c>
      <c r="F6" s="38"/>
      <c r="G6" s="91"/>
      <c r="H6" s="37"/>
      <c r="I6" s="38">
        <f t="shared" si="1"/>
        <v>2296</v>
      </c>
      <c r="J6" s="38"/>
      <c r="K6" s="37"/>
      <c r="L6" s="302"/>
      <c r="M6" s="38"/>
      <c r="N6" s="303"/>
      <c r="O6" s="38"/>
      <c r="P6" s="304"/>
      <c r="Q6" s="305"/>
      <c r="R6" s="305">
        <f>Q6+'Full Sheet'!R29</f>
        <v>0</v>
      </c>
      <c r="S6" s="305">
        <f>R6+'Full Sheet'!S29</f>
        <v>0</v>
      </c>
      <c r="T6" s="305">
        <f>S6+'Full Sheet'!T29</f>
        <v>46</v>
      </c>
      <c r="U6" s="300"/>
    </row>
    <row r="7">
      <c r="A7" s="306"/>
      <c r="B7" s="89" t="s">
        <v>63</v>
      </c>
      <c r="C7" s="91"/>
      <c r="D7" s="91"/>
      <c r="E7" s="90">
        <v>-29.0</v>
      </c>
      <c r="F7" s="91">
        <f>pow(10, -10/10)</f>
        <v>0.1</v>
      </c>
      <c r="G7" s="91">
        <f>20*log10(Stages!$AH$5/(E8*pow(10,6)) / (4 * pi() * $D$15))</f>
        <v>-68.63897751</v>
      </c>
      <c r="H7" s="90">
        <v>6.0</v>
      </c>
      <c r="I7" s="91">
        <f t="shared" si="1"/>
        <v>-92.09655242</v>
      </c>
      <c r="J7" s="91"/>
      <c r="K7" s="90">
        <v>6.0</v>
      </c>
      <c r="L7" s="297">
        <f>10 * log10((1-F7)* pow(10, I7/10))+K7</f>
        <v>-86.55412733</v>
      </c>
      <c r="M7" s="91">
        <f>L7+'Full Sheet'!M5</f>
        <v>-88.06925233</v>
      </c>
      <c r="N7" s="307">
        <f>M7+'Full Sheet'!N5</f>
        <v>-50.75565233</v>
      </c>
      <c r="O7" s="91">
        <f>N7+'Full Sheet'!O5</f>
        <v>-56.42696721</v>
      </c>
      <c r="P7" s="307">
        <f>O7+'Full Sheet'!P5</f>
        <v>-23.43336721</v>
      </c>
      <c r="Q7" s="91">
        <f>P7+'Full Sheet'!Q7</f>
        <v>-24.43336721</v>
      </c>
      <c r="R7" s="307">
        <f>Q7+'Full Sheet'!R30</f>
        <v>4.676632789</v>
      </c>
      <c r="S7" s="91">
        <f>R7+'Full Sheet'!S30</f>
        <v>-19.32336721</v>
      </c>
      <c r="T7" s="308">
        <f>S7+'Full Sheet'!T30</f>
        <v>-25.12359472</v>
      </c>
      <c r="U7" s="300">
        <f>T7+'Full Sheet'!T30</f>
        <v>-30.92382222</v>
      </c>
    </row>
    <row r="8">
      <c r="A8" s="254"/>
      <c r="B8" s="97" t="s">
        <v>65</v>
      </c>
      <c r="C8" s="301"/>
      <c r="D8" s="301"/>
      <c r="E8" s="309">
        <v>2150.0</v>
      </c>
      <c r="F8" s="310"/>
      <c r="G8" s="91"/>
      <c r="H8" s="309"/>
      <c r="I8" s="310">
        <f t="shared" si="1"/>
        <v>2150</v>
      </c>
      <c r="J8" s="310"/>
      <c r="K8" s="309"/>
      <c r="L8" s="311"/>
      <c r="M8" s="310"/>
      <c r="N8" s="312"/>
      <c r="O8" s="310"/>
      <c r="P8" s="313"/>
      <c r="Q8" s="310"/>
      <c r="R8" s="310">
        <f>Q8+'Full Sheet'!R31</f>
        <v>0</v>
      </c>
      <c r="S8" s="310">
        <f>R8+'Full Sheet'!S31</f>
        <v>0</v>
      </c>
      <c r="T8" s="310">
        <f>S8+'Full Sheet'!T31</f>
        <v>-100</v>
      </c>
      <c r="U8" s="300"/>
    </row>
    <row r="9">
      <c r="A9" s="306"/>
      <c r="B9" s="89" t="s">
        <v>68</v>
      </c>
      <c r="C9" s="91"/>
      <c r="D9" s="91"/>
      <c r="E9" s="90">
        <v>-29.0</v>
      </c>
      <c r="F9" s="91">
        <f>pow(10, -10/10)</f>
        <v>0.1</v>
      </c>
      <c r="G9" s="91">
        <f>20*log10(Stages!$AH$5/(E10*pow(10,6)) / (4 * pi() * $D$15))</f>
        <v>-69.59443315</v>
      </c>
      <c r="H9" s="90">
        <v>6.0</v>
      </c>
      <c r="I9" s="91">
        <f t="shared" si="1"/>
        <v>-93.05200806</v>
      </c>
      <c r="J9" s="91"/>
      <c r="K9" s="90">
        <v>6.0</v>
      </c>
      <c r="L9" s="297">
        <f>10 * log10((1-F9)* pow(10, I9/10))+K9</f>
        <v>-87.50958296</v>
      </c>
      <c r="M9" s="91">
        <f>L9+'Full Sheet'!M7</f>
        <v>-88.85489546</v>
      </c>
      <c r="N9" s="314">
        <f>M9+'Full Sheet'!N7</f>
        <v>-50.89239546</v>
      </c>
      <c r="O9" s="91">
        <f>N9+'Full Sheet'!O7</f>
        <v>-56.56371035</v>
      </c>
      <c r="P9" s="314">
        <f>O9+'Full Sheet'!P7</f>
        <v>-27.45371035</v>
      </c>
      <c r="Q9" s="91">
        <f>P9+'Full Sheet'!Q9</f>
        <v>-28.45371035</v>
      </c>
      <c r="R9" s="307">
        <f>Q9+'Full Sheet'!R32</f>
        <v>7.306289653</v>
      </c>
      <c r="S9" s="91">
        <f>R9+'Full Sheet'!S32</f>
        <v>-12.69371035</v>
      </c>
      <c r="T9" s="308">
        <f>S9+'Full Sheet'!T32</f>
        <v>-18.49393785</v>
      </c>
      <c r="U9" s="300">
        <f>T9+'Full Sheet'!T32</f>
        <v>-24.29416536</v>
      </c>
    </row>
    <row r="10">
      <c r="A10" s="254"/>
      <c r="B10" s="97" t="s">
        <v>72</v>
      </c>
      <c r="C10" s="301"/>
      <c r="D10" s="301"/>
      <c r="E10" s="315">
        <v>2400.0</v>
      </c>
      <c r="F10" s="305"/>
      <c r="G10" s="305"/>
      <c r="H10" s="305"/>
      <c r="I10" s="305"/>
      <c r="J10" s="305"/>
      <c r="K10" s="305"/>
      <c r="L10" s="305"/>
      <c r="M10" s="305"/>
      <c r="N10" s="305"/>
      <c r="O10" s="316"/>
      <c r="P10" s="305"/>
      <c r="Q10" s="305"/>
      <c r="R10" s="305"/>
      <c r="S10" s="305"/>
      <c r="T10" s="316"/>
      <c r="U10" s="305"/>
    </row>
    <row r="11">
      <c r="A11" s="254"/>
      <c r="B11" s="97" t="s">
        <v>45</v>
      </c>
      <c r="C11" s="301"/>
      <c r="D11" s="301"/>
      <c r="E11" s="107"/>
      <c r="F11" s="107"/>
      <c r="G11" s="107"/>
      <c r="H11" s="107"/>
      <c r="I11" s="107"/>
      <c r="J11" s="107"/>
      <c r="K11" s="107"/>
      <c r="L11" s="107"/>
      <c r="M11" s="107"/>
      <c r="N11" s="317"/>
      <c r="O11" s="318">
        <f>'Full Sheet'!N9</f>
        <v>36.91</v>
      </c>
      <c r="P11" s="317"/>
      <c r="Q11" s="319"/>
      <c r="R11" s="319"/>
      <c r="S11" s="319"/>
      <c r="T11" s="318">
        <f>'Full Sheet'!T9</f>
        <v>-5.800227505</v>
      </c>
      <c r="U11" s="107"/>
    </row>
    <row r="12">
      <c r="A12" s="254"/>
      <c r="B12" s="97" t="s">
        <v>75</v>
      </c>
      <c r="C12" s="301"/>
      <c r="D12" s="301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320"/>
      <c r="P12" s="107"/>
      <c r="Q12" s="107"/>
      <c r="R12" s="107"/>
      <c r="S12" s="107"/>
      <c r="T12" s="320"/>
      <c r="U12" s="107"/>
    </row>
    <row r="13">
      <c r="A13" s="267"/>
      <c r="B13" s="268" t="s">
        <v>48</v>
      </c>
      <c r="C13" s="301"/>
      <c r="D13" s="301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320"/>
      <c r="P13" s="107"/>
      <c r="Q13" s="107"/>
      <c r="R13" s="107"/>
      <c r="S13" s="107"/>
      <c r="T13" s="320"/>
      <c r="U13" s="107"/>
    </row>
    <row r="14">
      <c r="D14" s="20" t="s">
        <v>57</v>
      </c>
    </row>
    <row r="15">
      <c r="D15" s="20">
        <v>30.0</v>
      </c>
    </row>
    <row r="17">
      <c r="D17" s="20" t="s">
        <v>132</v>
      </c>
    </row>
    <row r="18">
      <c r="D18" s="20">
        <v>2256.0</v>
      </c>
      <c r="E18" s="20">
        <v>2296.0</v>
      </c>
    </row>
    <row r="19">
      <c r="D19" s="80">
        <f>U3</f>
        <v>-10.26639639</v>
      </c>
      <c r="E19" s="80">
        <f>U5</f>
        <v>-10.35950945</v>
      </c>
    </row>
  </sheetData>
  <mergeCells count="1">
    <mergeCell ref="AB2:AD2"/>
  </mergeCells>
  <hyperlinks>
    <hyperlink r:id="rId1" ref="U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1.0"/>
    <col customWidth="1" min="3" max="3" width="20.88"/>
    <col customWidth="1" min="4" max="4" width="22.13"/>
    <col customWidth="1" min="5" max="5" width="19.13"/>
    <col customWidth="1" min="7" max="7" width="16.88"/>
  </cols>
  <sheetData>
    <row r="1">
      <c r="A1" s="20" t="s">
        <v>133</v>
      </c>
      <c r="F1" s="321" t="s">
        <v>134</v>
      </c>
    </row>
    <row r="2">
      <c r="A2" s="20" t="s">
        <v>135</v>
      </c>
    </row>
    <row r="3">
      <c r="A3" s="20">
        <v>2.15</v>
      </c>
      <c r="B3" s="20" t="s">
        <v>107</v>
      </c>
      <c r="G3" s="80">
        <f>1/10000</f>
        <v>0.0001</v>
      </c>
    </row>
    <row r="4">
      <c r="B4" s="322" t="s">
        <v>136</v>
      </c>
      <c r="C4" s="322" t="s">
        <v>137</v>
      </c>
      <c r="D4" s="322" t="s">
        <v>138</v>
      </c>
      <c r="E4" s="322" t="s">
        <v>139</v>
      </c>
    </row>
    <row r="5">
      <c r="B5" s="323"/>
      <c r="C5" s="323"/>
      <c r="D5" s="323"/>
      <c r="E5" s="323"/>
    </row>
    <row r="6">
      <c r="A6" s="185"/>
    </row>
    <row r="7">
      <c r="A7" s="185" t="s">
        <v>140</v>
      </c>
    </row>
    <row r="8">
      <c r="A8" s="324" t="s">
        <v>141</v>
      </c>
      <c r="B8" s="325" t="s">
        <v>142</v>
      </c>
      <c r="C8" s="326"/>
      <c r="D8" s="327"/>
    </row>
    <row r="9">
      <c r="A9" s="328" t="s">
        <v>143</v>
      </c>
      <c r="B9" s="329" t="s">
        <v>144</v>
      </c>
      <c r="C9" s="329">
        <v>-29.0</v>
      </c>
      <c r="D9" s="330" t="s">
        <v>145</v>
      </c>
    </row>
    <row r="10">
      <c r="A10" s="331" t="s">
        <v>146</v>
      </c>
      <c r="B10" s="332" t="s">
        <v>147</v>
      </c>
      <c r="C10" s="329">
        <v>-10.0</v>
      </c>
      <c r="D10" s="330" t="s">
        <v>55</v>
      </c>
    </row>
    <row r="11">
      <c r="A11" s="328" t="s">
        <v>148</v>
      </c>
      <c r="B11" s="330" t="s">
        <v>149</v>
      </c>
      <c r="C11" s="329">
        <v>0.0</v>
      </c>
      <c r="D11" s="333"/>
    </row>
    <row r="12">
      <c r="A12" s="334"/>
      <c r="B12" s="333"/>
      <c r="C12" s="329">
        <v>0.0</v>
      </c>
      <c r="D12" s="333"/>
    </row>
    <row r="13">
      <c r="A13" s="334"/>
      <c r="B13" s="333"/>
      <c r="C13" s="329">
        <v>0.0</v>
      </c>
      <c r="D13" s="333"/>
    </row>
    <row r="14">
      <c r="A14" s="334"/>
      <c r="B14" s="333"/>
      <c r="C14" s="329">
        <v>0.0</v>
      </c>
      <c r="D14" s="333"/>
    </row>
    <row r="15">
      <c r="A15" s="335"/>
      <c r="B15" s="336"/>
      <c r="C15" s="329">
        <v>0.0</v>
      </c>
      <c r="D15" s="333"/>
    </row>
    <row r="16">
      <c r="A16" s="337" t="s">
        <v>150</v>
      </c>
      <c r="B16" s="338" t="s">
        <v>151</v>
      </c>
      <c r="C16" s="338">
        <v>6.0</v>
      </c>
      <c r="D16" s="339" t="s">
        <v>17</v>
      </c>
    </row>
    <row r="17">
      <c r="A17" s="20" t="s">
        <v>152</v>
      </c>
      <c r="C17" s="80">
        <f>sum(C9:C16)</f>
        <v>-33</v>
      </c>
    </row>
    <row r="19">
      <c r="A19" s="340" t="s">
        <v>153</v>
      </c>
      <c r="B19" s="341"/>
      <c r="C19" s="342"/>
      <c r="D19" s="342"/>
      <c r="E19" s="343"/>
    </row>
    <row r="20">
      <c r="A20" s="344" t="s">
        <v>141</v>
      </c>
      <c r="B20" s="42" t="s">
        <v>142</v>
      </c>
      <c r="C20" s="110"/>
      <c r="D20" s="42" t="s">
        <v>154</v>
      </c>
      <c r="E20" s="43"/>
    </row>
    <row r="21">
      <c r="A21" s="344" t="s">
        <v>155</v>
      </c>
      <c r="B21" s="42" t="s">
        <v>156</v>
      </c>
      <c r="C21" s="110">
        <f>-2 * 10 * log10(D21)</f>
        <v>-9.542425094</v>
      </c>
      <c r="D21" s="42">
        <f>'Final Powers'!B1</f>
        <v>3</v>
      </c>
      <c r="E21" s="345" t="s">
        <v>157</v>
      </c>
      <c r="F21" s="321" t="s">
        <v>158</v>
      </c>
    </row>
    <row r="22">
      <c r="A22" s="346" t="s">
        <v>159</v>
      </c>
      <c r="B22" s="347" t="s">
        <v>160</v>
      </c>
      <c r="C22" s="348"/>
      <c r="D22" s="348"/>
      <c r="E22" s="349"/>
    </row>
    <row r="24">
      <c r="A24" s="350" t="s">
        <v>161</v>
      </c>
      <c r="B24" s="351"/>
      <c r="C24" s="351"/>
      <c r="D24" s="351"/>
      <c r="E24" s="352"/>
      <c r="G24" s="350" t="s">
        <v>162</v>
      </c>
      <c r="H24" s="351"/>
      <c r="I24" s="351"/>
      <c r="J24" s="351"/>
      <c r="K24" s="353">
        <f>'Final Powers'!G1*293 *B42</f>
        <v>0</v>
      </c>
      <c r="L24" s="354" t="s">
        <v>163</v>
      </c>
    </row>
    <row r="25">
      <c r="A25" s="355" t="s">
        <v>141</v>
      </c>
      <c r="B25" s="356" t="s">
        <v>142</v>
      </c>
      <c r="C25" s="357"/>
      <c r="D25" s="357"/>
      <c r="E25" s="358"/>
      <c r="G25" s="359"/>
      <c r="I25" s="20" t="s">
        <v>164</v>
      </c>
      <c r="J25" s="20" t="s">
        <v>165</v>
      </c>
      <c r="K25" s="20" t="s">
        <v>166</v>
      </c>
      <c r="L25" s="358"/>
    </row>
    <row r="26">
      <c r="A26" s="360" t="s">
        <v>167</v>
      </c>
      <c r="B26" s="361" t="s">
        <v>168</v>
      </c>
      <c r="C26" s="361">
        <v>6.0</v>
      </c>
      <c r="D26" s="332" t="s">
        <v>17</v>
      </c>
      <c r="E26" s="358"/>
      <c r="G26" s="359"/>
      <c r="J26" s="80">
        <f>-130+2*A3</f>
        <v>-125.7</v>
      </c>
      <c r="K26" s="20">
        <f>10 * log10('Final Powers'!G1*293 *B42)</f>
        <v>-120.922233</v>
      </c>
      <c r="L26" s="358"/>
    </row>
    <row r="27">
      <c r="A27" s="362" t="s">
        <v>146</v>
      </c>
      <c r="B27" s="63" t="s">
        <v>147</v>
      </c>
      <c r="D27" s="53"/>
      <c r="E27" s="358"/>
      <c r="F27" s="363" t="s">
        <v>169</v>
      </c>
      <c r="G27" s="359"/>
      <c r="L27" s="358"/>
    </row>
    <row r="28">
      <c r="A28" s="364" t="s">
        <v>170</v>
      </c>
      <c r="B28" s="365" t="s">
        <v>171</v>
      </c>
      <c r="C28" s="80">
        <f>-((1.5-1.39)/(2340-2020) * (2020-2150) + 1.39)</f>
        <v>-1.3453125</v>
      </c>
      <c r="D28" s="71" t="s">
        <v>55</v>
      </c>
      <c r="E28" s="366" t="s">
        <v>172</v>
      </c>
      <c r="F28" s="367">
        <v>2150.0</v>
      </c>
      <c r="G28" s="359"/>
      <c r="I28" s="80">
        <f>293 *(pow(10, -30/10) - 1)</f>
        <v>-292.707</v>
      </c>
      <c r="L28" s="358"/>
    </row>
    <row r="29">
      <c r="A29" s="364" t="s">
        <v>173</v>
      </c>
      <c r="B29" s="365" t="s">
        <v>174</v>
      </c>
      <c r="C29" s="80">
        <f>(37.74-38.63)/(2200-2000)*(2150-2000) + 38.63</f>
        <v>37.9625</v>
      </c>
      <c r="D29" s="71" t="s">
        <v>55</v>
      </c>
      <c r="E29" s="366" t="s">
        <v>172</v>
      </c>
      <c r="F29" s="367">
        <v>2150.0</v>
      </c>
      <c r="G29" s="359"/>
      <c r="I29" s="80">
        <f>293 *(pow(10, 30/10) - 1)</f>
        <v>292707</v>
      </c>
      <c r="L29" s="358"/>
    </row>
    <row r="30">
      <c r="A30" s="364" t="s">
        <v>175</v>
      </c>
      <c r="B30" s="365" t="s">
        <v>176</v>
      </c>
      <c r="C30" s="80">
        <f>-((5.85-5.46)/(1999.34-1891.65)*(1950-1891.65) +5.46)</f>
        <v>-5.671314885</v>
      </c>
      <c r="D30" s="71" t="s">
        <v>55</v>
      </c>
      <c r="E30" s="366" t="s">
        <v>172</v>
      </c>
      <c r="F30" s="367" t="s">
        <v>177</v>
      </c>
      <c r="G30" s="359"/>
      <c r="I30" s="80">
        <f>293 *(pow(10, -6/10) - 1)</f>
        <v>-219.4017276</v>
      </c>
      <c r="L30" s="358"/>
    </row>
    <row r="31">
      <c r="A31" s="364" t="s">
        <v>173</v>
      </c>
      <c r="B31" s="365" t="s">
        <v>174</v>
      </c>
      <c r="C31" s="80">
        <f>((38.42-37.09)/(550-500)*(200-500) + 37.09)</f>
        <v>29.11</v>
      </c>
      <c r="D31" s="71" t="s">
        <v>55</v>
      </c>
      <c r="E31" s="366" t="s">
        <v>172</v>
      </c>
      <c r="F31" s="367">
        <v>200.0</v>
      </c>
      <c r="G31" s="359"/>
      <c r="I31" s="80">
        <f>293 *(pow(10, 30/10) - 1)</f>
        <v>292707</v>
      </c>
      <c r="L31" s="358"/>
    </row>
    <row r="32">
      <c r="A32" s="364" t="s">
        <v>178</v>
      </c>
      <c r="B32" s="53"/>
      <c r="C32" s="20">
        <v>-24.0</v>
      </c>
      <c r="D32" s="71" t="s">
        <v>55</v>
      </c>
      <c r="E32" s="368" t="s">
        <v>179</v>
      </c>
      <c r="F32" s="367">
        <v>200.0</v>
      </c>
      <c r="G32" s="359"/>
      <c r="I32" s="80">
        <f>293 *(pow(10, -5/10) - 1)</f>
        <v>-200.3452646</v>
      </c>
      <c r="L32" s="358"/>
    </row>
    <row r="33">
      <c r="A33" s="364" t="s">
        <v>175</v>
      </c>
      <c r="B33" s="365" t="s">
        <v>176</v>
      </c>
      <c r="C33" s="80">
        <f>-((5.25-5.68)/(437.8-330.11)*(300-330.11) + 5.68)</f>
        <v>-5.800227505</v>
      </c>
      <c r="D33" s="71" t="s">
        <v>55</v>
      </c>
      <c r="E33" s="366" t="s">
        <v>172</v>
      </c>
      <c r="F33" s="367" t="s">
        <v>180</v>
      </c>
      <c r="G33" s="359"/>
      <c r="I33" s="80">
        <f>293 *(pow(10, -6/10) - 1)</f>
        <v>-219.4017276</v>
      </c>
      <c r="L33" s="358"/>
    </row>
    <row r="34">
      <c r="A34" s="369"/>
      <c r="B34" s="156"/>
      <c r="D34" s="53"/>
      <c r="E34" s="358"/>
      <c r="F34" s="367" t="s">
        <v>181</v>
      </c>
      <c r="G34" s="359"/>
      <c r="L34" s="358"/>
    </row>
    <row r="35">
      <c r="A35" s="370" t="s">
        <v>182</v>
      </c>
      <c r="B35" s="83" t="s">
        <v>183</v>
      </c>
      <c r="C35" s="88"/>
      <c r="D35" s="156"/>
      <c r="E35" s="358"/>
      <c r="G35" s="371" t="s">
        <v>184</v>
      </c>
      <c r="H35" s="372"/>
      <c r="I35" s="372"/>
      <c r="J35" s="373">
        <f>J26+sum(C28:C33)</f>
        <v>-95.44435489</v>
      </c>
      <c r="K35" s="374">
        <f>K26+sum(C28:C33)</f>
        <v>-90.66658787</v>
      </c>
      <c r="L35" s="375"/>
    </row>
    <row r="36">
      <c r="A36" s="364" t="s">
        <v>185</v>
      </c>
      <c r="B36" s="20" t="s">
        <v>186</v>
      </c>
      <c r="C36" s="80">
        <f>sum(C17, C21,C26:C33)</f>
        <v>-6.286779985</v>
      </c>
      <c r="E36" s="358"/>
      <c r="G36" s="20" t="s">
        <v>138</v>
      </c>
      <c r="J36" s="80">
        <f t="shared" ref="J36:K36" si="1">(293 * (POW(10, -J35/10) - 1))/pow(10, 9)</f>
        <v>1026.368014</v>
      </c>
      <c r="K36" s="80">
        <f t="shared" si="1"/>
        <v>341.6067209</v>
      </c>
    </row>
    <row r="37">
      <c r="A37" s="371" t="s">
        <v>187</v>
      </c>
      <c r="B37" s="372"/>
      <c r="C37" s="376">
        <f>sum(C28:C33)</f>
        <v>30.25564511</v>
      </c>
      <c r="D37" s="372"/>
      <c r="E37" s="375"/>
    </row>
    <row r="39">
      <c r="A39" s="350" t="s">
        <v>188</v>
      </c>
      <c r="B39" s="351"/>
      <c r="C39" s="351"/>
      <c r="D39" s="352"/>
    </row>
    <row r="40">
      <c r="A40" s="355"/>
      <c r="B40" s="356"/>
      <c r="C40" s="357"/>
      <c r="D40" s="377"/>
    </row>
    <row r="41">
      <c r="A41" s="364" t="s">
        <v>189</v>
      </c>
      <c r="D41" s="358"/>
    </row>
    <row r="42">
      <c r="A42" s="378" t="s">
        <v>190</v>
      </c>
      <c r="B42" s="379">
        <v>1.38E-23</v>
      </c>
      <c r="C42" s="380" t="s">
        <v>67</v>
      </c>
      <c r="D42" s="358"/>
    </row>
    <row r="43">
      <c r="A43" s="378" t="s">
        <v>191</v>
      </c>
      <c r="B43" s="381">
        <v>85.1</v>
      </c>
      <c r="C43" s="382" t="s">
        <v>192</v>
      </c>
      <c r="D43" s="358"/>
    </row>
    <row r="44">
      <c r="A44" s="359"/>
      <c r="D44" s="358"/>
    </row>
    <row r="45">
      <c r="A45" s="371" t="s">
        <v>138</v>
      </c>
      <c r="B45" s="372"/>
      <c r="C45" s="383">
        <f>B42*293 * 10</f>
        <v>0</v>
      </c>
      <c r="D45" s="375">
        <f>10*log10(C45)</f>
        <v>-193.9325329</v>
      </c>
    </row>
    <row r="47">
      <c r="A47" s="20" t="s">
        <v>193</v>
      </c>
    </row>
  </sheetData>
  <hyperlinks>
    <hyperlink r:id="rId2" ref="F1"/>
    <hyperlink r:id="rId3" ref="E21"/>
    <hyperlink r:id="rId4" ref="F21"/>
    <hyperlink r:id="rId5" ref="B28"/>
    <hyperlink r:id="rId6" ref="B29"/>
    <hyperlink r:id="rId7" ref="B30"/>
    <hyperlink r:id="rId8" ref="B31"/>
    <hyperlink r:id="rId9" ref="B33"/>
  </hyperlinks>
  <drawing r:id="rId10"/>
  <legacyDrawing r:id="rId1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21.0"/>
    <col customWidth="1" min="3" max="3" width="20.88"/>
    <col customWidth="1" min="4" max="4" width="22.13"/>
    <col customWidth="1" min="5" max="5" width="19.13"/>
  </cols>
  <sheetData>
    <row r="1">
      <c r="A1" s="20" t="s">
        <v>133</v>
      </c>
      <c r="F1" s="321" t="s">
        <v>134</v>
      </c>
    </row>
    <row r="2">
      <c r="A2" s="20" t="s">
        <v>135</v>
      </c>
    </row>
    <row r="3">
      <c r="A3" s="20">
        <v>2.15</v>
      </c>
      <c r="B3" s="20" t="s">
        <v>107</v>
      </c>
      <c r="G3" s="80">
        <f>1/10000</f>
        <v>0.0001</v>
      </c>
    </row>
    <row r="4">
      <c r="B4" s="322" t="s">
        <v>136</v>
      </c>
      <c r="C4" s="322" t="s">
        <v>137</v>
      </c>
      <c r="D4" s="322" t="s">
        <v>138</v>
      </c>
      <c r="E4" s="322" t="s">
        <v>139</v>
      </c>
    </row>
    <row r="5">
      <c r="B5" s="323"/>
      <c r="C5" s="323"/>
      <c r="D5" s="323"/>
      <c r="E5" s="323"/>
    </row>
    <row r="6">
      <c r="A6" s="185"/>
    </row>
    <row r="7">
      <c r="A7" s="185" t="s">
        <v>140</v>
      </c>
    </row>
    <row r="8">
      <c r="A8" s="324" t="s">
        <v>141</v>
      </c>
      <c r="B8" s="325" t="s">
        <v>142</v>
      </c>
      <c r="C8" s="326"/>
      <c r="D8" s="327"/>
    </row>
    <row r="9">
      <c r="A9" s="328" t="s">
        <v>143</v>
      </c>
      <c r="B9" s="329" t="s">
        <v>144</v>
      </c>
      <c r="C9" s="329">
        <v>-29.0</v>
      </c>
      <c r="D9" s="330" t="s">
        <v>145</v>
      </c>
    </row>
    <row r="10">
      <c r="A10" s="331" t="s">
        <v>146</v>
      </c>
      <c r="B10" s="332" t="s">
        <v>147</v>
      </c>
      <c r="C10" s="329">
        <v>-10.0</v>
      </c>
      <c r="D10" s="330" t="s">
        <v>55</v>
      </c>
    </row>
    <row r="11">
      <c r="A11" s="328" t="s">
        <v>148</v>
      </c>
      <c r="B11" s="330" t="s">
        <v>149</v>
      </c>
      <c r="C11" s="329">
        <v>0.0</v>
      </c>
      <c r="D11" s="333"/>
    </row>
    <row r="12">
      <c r="A12" s="334"/>
      <c r="B12" s="333"/>
      <c r="C12" s="329">
        <v>0.0</v>
      </c>
      <c r="D12" s="333"/>
    </row>
    <row r="13">
      <c r="A13" s="334"/>
      <c r="B13" s="333"/>
      <c r="C13" s="329">
        <v>0.0</v>
      </c>
      <c r="D13" s="333"/>
    </row>
    <row r="14">
      <c r="A14" s="334"/>
      <c r="B14" s="333"/>
      <c r="C14" s="329">
        <v>0.0</v>
      </c>
      <c r="D14" s="333"/>
    </row>
    <row r="15">
      <c r="A15" s="335"/>
      <c r="B15" s="336"/>
      <c r="C15" s="329">
        <v>0.0</v>
      </c>
      <c r="D15" s="333"/>
    </row>
    <row r="16">
      <c r="A16" s="337" t="s">
        <v>150</v>
      </c>
      <c r="B16" s="338" t="s">
        <v>151</v>
      </c>
      <c r="C16" s="338">
        <v>6.0</v>
      </c>
      <c r="D16" s="339" t="s">
        <v>17</v>
      </c>
    </row>
    <row r="17">
      <c r="A17" s="20" t="s">
        <v>152</v>
      </c>
      <c r="C17" s="80">
        <f>sum(C9:C16)</f>
        <v>-33</v>
      </c>
    </row>
    <row r="19">
      <c r="A19" s="340" t="s">
        <v>153</v>
      </c>
      <c r="B19" s="341"/>
      <c r="C19" s="342"/>
      <c r="D19" s="342"/>
      <c r="E19" s="343"/>
    </row>
    <row r="20">
      <c r="A20" s="344" t="s">
        <v>141</v>
      </c>
      <c r="B20" s="42" t="s">
        <v>142</v>
      </c>
      <c r="C20" s="110"/>
      <c r="D20" s="42" t="s">
        <v>154</v>
      </c>
      <c r="E20" s="43"/>
    </row>
    <row r="21">
      <c r="A21" s="344" t="s">
        <v>155</v>
      </c>
      <c r="B21" s="42" t="s">
        <v>156</v>
      </c>
      <c r="C21" s="110">
        <f>-2 * 10 * log10(D21)</f>
        <v>-9.542425094</v>
      </c>
      <c r="D21" s="42">
        <f>'Final Powers'!B1</f>
        <v>3</v>
      </c>
      <c r="E21" s="345" t="s">
        <v>157</v>
      </c>
      <c r="F21" s="321" t="s">
        <v>158</v>
      </c>
    </row>
    <row r="22">
      <c r="A22" s="346" t="s">
        <v>159</v>
      </c>
      <c r="B22" s="347" t="s">
        <v>160</v>
      </c>
      <c r="C22" s="348"/>
      <c r="D22" s="348"/>
      <c r="E22" s="349"/>
    </row>
    <row r="24">
      <c r="A24" s="185" t="s">
        <v>161</v>
      </c>
      <c r="G24" s="185" t="s">
        <v>162</v>
      </c>
      <c r="K24" s="384">
        <f>'Final Powers'!G1*293 *B42</f>
        <v>0</v>
      </c>
      <c r="L24" s="20" t="s">
        <v>163</v>
      </c>
    </row>
    <row r="25">
      <c r="A25" s="356" t="s">
        <v>141</v>
      </c>
      <c r="B25" s="356" t="s">
        <v>142</v>
      </c>
      <c r="C25" s="357"/>
      <c r="D25" s="357"/>
      <c r="I25" s="20" t="s">
        <v>164</v>
      </c>
      <c r="J25" s="20" t="s">
        <v>165</v>
      </c>
      <c r="K25" s="20" t="s">
        <v>166</v>
      </c>
    </row>
    <row r="26">
      <c r="A26" s="331" t="s">
        <v>167</v>
      </c>
      <c r="B26" s="361" t="s">
        <v>168</v>
      </c>
      <c r="C26" s="361">
        <v>6.0</v>
      </c>
      <c r="D26" s="332" t="s">
        <v>17</v>
      </c>
      <c r="J26" s="80">
        <f>-130+2*A3</f>
        <v>-125.7</v>
      </c>
      <c r="K26" s="20">
        <f>10 * log10(K24)</f>
        <v>-120.922233</v>
      </c>
    </row>
    <row r="27">
      <c r="A27" s="385" t="s">
        <v>146</v>
      </c>
      <c r="B27" s="63" t="s">
        <v>147</v>
      </c>
      <c r="D27" s="53"/>
      <c r="F27" s="363" t="s">
        <v>169</v>
      </c>
    </row>
    <row r="28">
      <c r="A28" s="386" t="s">
        <v>170</v>
      </c>
      <c r="B28" s="365" t="s">
        <v>171</v>
      </c>
      <c r="C28" s="80">
        <f>-((1.5-1.39)/(2340-2020) * (2340-2259) + 1.5)</f>
        <v>-1.52784375</v>
      </c>
      <c r="D28" s="71" t="s">
        <v>55</v>
      </c>
      <c r="E28" s="387" t="s">
        <v>172</v>
      </c>
      <c r="F28" s="367">
        <v>2259.0</v>
      </c>
      <c r="I28" s="80">
        <f>293 *(pow(10, -30/10) - 1)</f>
        <v>-292.707</v>
      </c>
    </row>
    <row r="29">
      <c r="A29" s="386" t="s">
        <v>173</v>
      </c>
      <c r="B29" s="365" t="s">
        <v>174</v>
      </c>
      <c r="C29" s="80">
        <f>(37.33-37.74)/(2300-2200)*(2300-2259) + 37.33</f>
        <v>37.1619</v>
      </c>
      <c r="D29" s="71" t="s">
        <v>55</v>
      </c>
      <c r="E29" s="387" t="s">
        <v>172</v>
      </c>
      <c r="F29" s="367">
        <v>2259.0</v>
      </c>
      <c r="I29" s="80">
        <f>293 *(pow(10, 30/10) - 1)</f>
        <v>292707</v>
      </c>
    </row>
    <row r="30">
      <c r="A30" s="386" t="s">
        <v>175</v>
      </c>
      <c r="B30" s="365" t="s">
        <v>176</v>
      </c>
      <c r="C30" s="80">
        <f>-((5.85-5.46)/(1999.34-1891.65)*(1950-1891.65) +5.46)</f>
        <v>-5.671314885</v>
      </c>
      <c r="D30" s="71" t="s">
        <v>55</v>
      </c>
      <c r="E30" s="387" t="s">
        <v>172</v>
      </c>
      <c r="F30" s="367" t="s">
        <v>194</v>
      </c>
      <c r="I30" s="80">
        <f>293 *(pow(10, -6/10) - 1)</f>
        <v>-219.4017276</v>
      </c>
    </row>
    <row r="31">
      <c r="A31" s="386" t="s">
        <v>173</v>
      </c>
      <c r="B31" s="365" t="s">
        <v>174</v>
      </c>
      <c r="C31" s="80">
        <f>((38.42-37.09)/(550-500)*(309-500) + 37.09)</f>
        <v>32.0094</v>
      </c>
      <c r="D31" s="71" t="s">
        <v>55</v>
      </c>
      <c r="E31" s="387" t="s">
        <v>172</v>
      </c>
      <c r="F31" s="367">
        <v>309.0</v>
      </c>
      <c r="I31" s="80">
        <f>293 *(pow(10, 30/10) - 1)</f>
        <v>292707</v>
      </c>
    </row>
    <row r="32">
      <c r="A32" s="386" t="s">
        <v>178</v>
      </c>
      <c r="B32" s="53"/>
      <c r="C32" s="20">
        <v>-5.0</v>
      </c>
      <c r="D32" s="71" t="s">
        <v>55</v>
      </c>
      <c r="E32" s="185" t="s">
        <v>179</v>
      </c>
      <c r="F32" s="367">
        <v>309.0</v>
      </c>
      <c r="I32" s="80">
        <f>293 *(pow(10, -5/10) - 1)</f>
        <v>-200.3452646</v>
      </c>
    </row>
    <row r="33">
      <c r="A33" s="386" t="s">
        <v>175</v>
      </c>
      <c r="B33" s="365" t="s">
        <v>176</v>
      </c>
      <c r="C33" s="80">
        <f>-((5.25-5.68)/(437.8-330.11)*(300-330.11) + 5.68)</f>
        <v>-5.800227505</v>
      </c>
      <c r="D33" s="71" t="s">
        <v>55</v>
      </c>
      <c r="E33" s="387" t="s">
        <v>172</v>
      </c>
      <c r="F33" s="367" t="s">
        <v>195</v>
      </c>
      <c r="I33" s="80">
        <f>293 *(pow(10, -6/10) - 1)</f>
        <v>-219.4017276</v>
      </c>
    </row>
    <row r="34">
      <c r="A34" s="155"/>
      <c r="B34" s="156"/>
      <c r="D34" s="53"/>
      <c r="F34" s="367">
        <v>9.0</v>
      </c>
    </row>
    <row r="35">
      <c r="A35" s="159" t="s">
        <v>182</v>
      </c>
      <c r="B35" s="83" t="s">
        <v>183</v>
      </c>
      <c r="C35" s="88"/>
      <c r="D35" s="156"/>
      <c r="G35" s="20" t="s">
        <v>184</v>
      </c>
      <c r="J35" s="388">
        <f>J26+sum(C28:C33)</f>
        <v>-74.52808614</v>
      </c>
      <c r="K35" s="389">
        <f>K26+sum(C28:C33)</f>
        <v>-69.75031912</v>
      </c>
    </row>
    <row r="36">
      <c r="A36" s="20" t="s">
        <v>185</v>
      </c>
      <c r="B36" s="20" t="s">
        <v>186</v>
      </c>
      <c r="C36" s="80">
        <f>sum(C17, C21,C26:C33)</f>
        <v>14.62948877</v>
      </c>
    </row>
    <row r="37">
      <c r="A37" s="20" t="s">
        <v>187</v>
      </c>
      <c r="C37" s="110">
        <f>sum(C28:C33)</f>
        <v>51.17191386</v>
      </c>
    </row>
    <row r="39">
      <c r="A39" s="185" t="s">
        <v>101</v>
      </c>
    </row>
    <row r="40">
      <c r="A40" s="356" t="s">
        <v>141</v>
      </c>
      <c r="B40" s="356" t="s">
        <v>142</v>
      </c>
      <c r="C40" s="357"/>
      <c r="D40" s="357"/>
    </row>
    <row r="41">
      <c r="A41" s="20" t="s">
        <v>189</v>
      </c>
    </row>
    <row r="42">
      <c r="A42" s="382" t="s">
        <v>190</v>
      </c>
      <c r="B42" s="379">
        <v>1.38E-23</v>
      </c>
      <c r="C42" s="380" t="s">
        <v>67</v>
      </c>
    </row>
    <row r="43">
      <c r="A43" s="382" t="s">
        <v>191</v>
      </c>
      <c r="B43" s="381">
        <v>85.1</v>
      </c>
      <c r="C43" s="382" t="s">
        <v>192</v>
      </c>
    </row>
  </sheetData>
  <hyperlinks>
    <hyperlink r:id="rId1" ref="F1"/>
    <hyperlink r:id="rId2" ref="E21"/>
    <hyperlink r:id="rId3" ref="F21"/>
    <hyperlink r:id="rId4" ref="B28"/>
    <hyperlink r:id="rId5" ref="B29"/>
    <hyperlink r:id="rId6" ref="B30"/>
    <hyperlink r:id="rId7" ref="B31"/>
    <hyperlink r:id="rId8" ref="B33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21.0"/>
    <col customWidth="1" min="3" max="3" width="20.88"/>
    <col customWidth="1" min="4" max="4" width="22.13"/>
    <col customWidth="1" min="5" max="5" width="19.13"/>
  </cols>
  <sheetData>
    <row r="1">
      <c r="A1" s="20" t="s">
        <v>133</v>
      </c>
      <c r="F1" s="321" t="s">
        <v>134</v>
      </c>
    </row>
    <row r="2">
      <c r="A2" s="20" t="s">
        <v>135</v>
      </c>
    </row>
    <row r="3">
      <c r="A3" s="20">
        <v>2.15</v>
      </c>
      <c r="B3" s="20" t="s">
        <v>107</v>
      </c>
      <c r="G3" s="80">
        <f>1/10000</f>
        <v>0.0001</v>
      </c>
    </row>
    <row r="4">
      <c r="B4" s="322" t="s">
        <v>136</v>
      </c>
      <c r="C4" s="322" t="s">
        <v>137</v>
      </c>
      <c r="D4" s="322" t="s">
        <v>138</v>
      </c>
      <c r="E4" s="322" t="s">
        <v>139</v>
      </c>
    </row>
    <row r="5">
      <c r="B5" s="323"/>
      <c r="C5" s="323"/>
      <c r="D5" s="323"/>
      <c r="E5" s="323"/>
    </row>
    <row r="6">
      <c r="A6" s="185"/>
    </row>
    <row r="7">
      <c r="A7" s="185" t="s">
        <v>140</v>
      </c>
    </row>
    <row r="8">
      <c r="A8" s="324" t="s">
        <v>141</v>
      </c>
      <c r="B8" s="325" t="s">
        <v>142</v>
      </c>
      <c r="C8" s="326"/>
      <c r="D8" s="327"/>
    </row>
    <row r="9">
      <c r="A9" s="328" t="s">
        <v>143</v>
      </c>
      <c r="B9" s="329" t="s">
        <v>144</v>
      </c>
      <c r="C9" s="329">
        <v>-29.0</v>
      </c>
      <c r="D9" s="330" t="s">
        <v>145</v>
      </c>
    </row>
    <row r="10">
      <c r="A10" s="331" t="s">
        <v>146</v>
      </c>
      <c r="B10" s="332" t="s">
        <v>147</v>
      </c>
      <c r="C10" s="329">
        <v>-10.0</v>
      </c>
      <c r="D10" s="330" t="s">
        <v>55</v>
      </c>
    </row>
    <row r="11">
      <c r="A11" s="328" t="s">
        <v>148</v>
      </c>
      <c r="B11" s="330" t="s">
        <v>149</v>
      </c>
      <c r="C11" s="329">
        <v>0.0</v>
      </c>
      <c r="D11" s="333"/>
    </row>
    <row r="12">
      <c r="A12" s="334"/>
      <c r="B12" s="333"/>
      <c r="C12" s="329">
        <v>0.0</v>
      </c>
      <c r="D12" s="333"/>
    </row>
    <row r="13">
      <c r="A13" s="334"/>
      <c r="B13" s="333"/>
      <c r="C13" s="329">
        <v>0.0</v>
      </c>
      <c r="D13" s="333"/>
    </row>
    <row r="14">
      <c r="A14" s="334"/>
      <c r="B14" s="333"/>
      <c r="C14" s="329">
        <v>0.0</v>
      </c>
      <c r="D14" s="333"/>
    </row>
    <row r="15">
      <c r="A15" s="335"/>
      <c r="B15" s="336"/>
      <c r="C15" s="329">
        <v>0.0</v>
      </c>
      <c r="D15" s="333"/>
    </row>
    <row r="16">
      <c r="A16" s="337" t="s">
        <v>150</v>
      </c>
      <c r="B16" s="338" t="s">
        <v>151</v>
      </c>
      <c r="C16" s="338">
        <v>6.0</v>
      </c>
      <c r="D16" s="339" t="s">
        <v>17</v>
      </c>
    </row>
    <row r="17">
      <c r="A17" s="20" t="s">
        <v>152</v>
      </c>
      <c r="C17" s="80">
        <f>sum(C9:C16)</f>
        <v>-33</v>
      </c>
    </row>
    <row r="19">
      <c r="A19" s="340" t="s">
        <v>153</v>
      </c>
      <c r="B19" s="341"/>
      <c r="C19" s="342"/>
      <c r="D19" s="342"/>
      <c r="E19" s="343"/>
    </row>
    <row r="20">
      <c r="A20" s="344" t="s">
        <v>141</v>
      </c>
      <c r="B20" s="42" t="s">
        <v>142</v>
      </c>
      <c r="C20" s="110"/>
      <c r="D20" s="42" t="s">
        <v>154</v>
      </c>
      <c r="E20" s="43"/>
    </row>
    <row r="21">
      <c r="A21" s="344" t="s">
        <v>155</v>
      </c>
      <c r="B21" s="42" t="s">
        <v>156</v>
      </c>
      <c r="C21" s="110">
        <f>-2 * 10 * log10(D21)</f>
        <v>-9.542425094</v>
      </c>
      <c r="D21" s="42">
        <f>'Final Powers'!B1</f>
        <v>3</v>
      </c>
      <c r="E21" s="345" t="s">
        <v>157</v>
      </c>
      <c r="F21" s="321" t="s">
        <v>158</v>
      </c>
    </row>
    <row r="22">
      <c r="A22" s="346" t="s">
        <v>159</v>
      </c>
      <c r="B22" s="347" t="s">
        <v>160</v>
      </c>
      <c r="C22" s="348"/>
      <c r="D22" s="348"/>
      <c r="E22" s="349"/>
    </row>
    <row r="24">
      <c r="A24" s="185" t="s">
        <v>161</v>
      </c>
      <c r="G24" s="185" t="s">
        <v>162</v>
      </c>
      <c r="K24" s="384">
        <f>'Final Powers'!G1*293 *B42</f>
        <v>0</v>
      </c>
      <c r="L24" s="20" t="s">
        <v>163</v>
      </c>
    </row>
    <row r="25">
      <c r="A25" s="356" t="s">
        <v>141</v>
      </c>
      <c r="B25" s="356" t="s">
        <v>142</v>
      </c>
      <c r="C25" s="357"/>
      <c r="D25" s="357"/>
      <c r="I25" s="20" t="s">
        <v>164</v>
      </c>
      <c r="J25" s="20" t="s">
        <v>165</v>
      </c>
      <c r="K25" s="20" t="s">
        <v>166</v>
      </c>
    </row>
    <row r="26">
      <c r="A26" s="331" t="s">
        <v>167</v>
      </c>
      <c r="B26" s="361" t="s">
        <v>168</v>
      </c>
      <c r="C26" s="361">
        <v>6.0</v>
      </c>
      <c r="D26" s="332" t="s">
        <v>17</v>
      </c>
      <c r="J26" s="80">
        <f>-130+2*A3</f>
        <v>-125.7</v>
      </c>
      <c r="K26" s="20">
        <f>10 * log10(K24)</f>
        <v>-120.922233</v>
      </c>
    </row>
    <row r="27">
      <c r="A27" s="385" t="s">
        <v>146</v>
      </c>
      <c r="B27" s="63" t="s">
        <v>147</v>
      </c>
      <c r="D27" s="53"/>
      <c r="F27" s="363" t="s">
        <v>169</v>
      </c>
    </row>
    <row r="28">
      <c r="A28" s="386" t="s">
        <v>170</v>
      </c>
      <c r="B28" s="365" t="s">
        <v>171</v>
      </c>
      <c r="C28" s="80">
        <f>-((1.5-1.39)/(2340-2020) * (2340-2296) + 1.5)</f>
        <v>-1.515125</v>
      </c>
      <c r="D28" s="71" t="s">
        <v>55</v>
      </c>
      <c r="E28" s="387" t="s">
        <v>172</v>
      </c>
      <c r="F28" s="367">
        <v>2296.0</v>
      </c>
      <c r="I28" s="80">
        <f>293 *(pow(10, -30/10) - 1)</f>
        <v>-292.707</v>
      </c>
    </row>
    <row r="29">
      <c r="A29" s="386" t="s">
        <v>173</v>
      </c>
      <c r="B29" s="365" t="s">
        <v>174</v>
      </c>
      <c r="C29" s="80">
        <f>(37.33-37.74)/(2300-2200)*(2300-2296) + 37.33</f>
        <v>37.3136</v>
      </c>
      <c r="D29" s="71" t="s">
        <v>55</v>
      </c>
      <c r="E29" s="387" t="s">
        <v>172</v>
      </c>
      <c r="F29" s="367">
        <v>2296.0</v>
      </c>
      <c r="I29" s="80">
        <f>293 *(pow(10, 30/10) - 1)</f>
        <v>292707</v>
      </c>
    </row>
    <row r="30">
      <c r="A30" s="386" t="s">
        <v>175</v>
      </c>
      <c r="B30" s="365" t="s">
        <v>176</v>
      </c>
      <c r="C30" s="80">
        <f>-((5.85-5.46)/(1999.34-1891.65)*(1950-1891.65) +5.46)</f>
        <v>-5.671314885</v>
      </c>
      <c r="D30" s="71" t="s">
        <v>55</v>
      </c>
      <c r="E30" s="387" t="s">
        <v>172</v>
      </c>
      <c r="F30" s="367" t="s">
        <v>196</v>
      </c>
      <c r="I30" s="80">
        <f>293 *(pow(10, -6/10) - 1)</f>
        <v>-219.4017276</v>
      </c>
    </row>
    <row r="31">
      <c r="A31" s="386" t="s">
        <v>173</v>
      </c>
      <c r="B31" s="365" t="s">
        <v>174</v>
      </c>
      <c r="C31" s="80">
        <f>((38.42-37.09)/(550-500)*(346-500) + 37.09)</f>
        <v>32.9936</v>
      </c>
      <c r="D31" s="71" t="s">
        <v>55</v>
      </c>
      <c r="E31" s="387" t="s">
        <v>172</v>
      </c>
      <c r="F31" s="367">
        <v>346.0</v>
      </c>
      <c r="I31" s="80">
        <f>293 *(pow(10, 30/10) - 1)</f>
        <v>292707</v>
      </c>
    </row>
    <row r="32">
      <c r="A32" s="386" t="s">
        <v>178</v>
      </c>
      <c r="B32" s="53"/>
      <c r="C32" s="20">
        <v>-5.6</v>
      </c>
      <c r="D32" s="71" t="s">
        <v>55</v>
      </c>
      <c r="E32" s="185" t="s">
        <v>179</v>
      </c>
      <c r="F32" s="367">
        <v>346.0</v>
      </c>
      <c r="I32" s="80">
        <f>293 *(pow(10, -5/10) - 1)</f>
        <v>-200.3452646</v>
      </c>
    </row>
    <row r="33">
      <c r="A33" s="386" t="s">
        <v>175</v>
      </c>
      <c r="B33" s="365" t="s">
        <v>176</v>
      </c>
      <c r="C33" s="80">
        <f>-((5.25-5.68)/(437.8-330.11)*(300-330.11) + 5.68)</f>
        <v>-5.800227505</v>
      </c>
      <c r="D33" s="71" t="s">
        <v>55</v>
      </c>
      <c r="E33" s="387" t="s">
        <v>172</v>
      </c>
      <c r="F33" s="367" t="s">
        <v>197</v>
      </c>
      <c r="I33" s="80">
        <f>293 *(pow(10, -6/10) - 1)</f>
        <v>-219.4017276</v>
      </c>
    </row>
    <row r="34">
      <c r="A34" s="155"/>
      <c r="B34" s="156"/>
      <c r="D34" s="53"/>
      <c r="F34" s="367">
        <v>46.0</v>
      </c>
    </row>
    <row r="35">
      <c r="A35" s="159" t="s">
        <v>182</v>
      </c>
      <c r="B35" s="83" t="s">
        <v>183</v>
      </c>
      <c r="C35" s="88"/>
      <c r="D35" s="156"/>
      <c r="G35" s="20" t="s">
        <v>184</v>
      </c>
      <c r="J35" s="388">
        <f>J26+sum(C28:C33)</f>
        <v>-73.97946739</v>
      </c>
      <c r="K35" s="389">
        <f>K26+sum(C28:C33)</f>
        <v>-69.20170037</v>
      </c>
    </row>
    <row r="36">
      <c r="A36" s="20" t="s">
        <v>185</v>
      </c>
      <c r="B36" s="20" t="s">
        <v>186</v>
      </c>
      <c r="C36" s="80">
        <f>sum(C17, C21,C26:C33)</f>
        <v>15.17810752</v>
      </c>
    </row>
    <row r="37">
      <c r="A37" s="20" t="s">
        <v>187</v>
      </c>
      <c r="C37" s="110">
        <f>sum(C28:C33)</f>
        <v>51.72053261</v>
      </c>
    </row>
    <row r="39">
      <c r="A39" s="185" t="s">
        <v>101</v>
      </c>
    </row>
    <row r="40">
      <c r="A40" s="356" t="s">
        <v>141</v>
      </c>
      <c r="B40" s="356" t="s">
        <v>142</v>
      </c>
      <c r="C40" s="357"/>
      <c r="D40" s="357"/>
    </row>
    <row r="41">
      <c r="A41" s="20" t="s">
        <v>189</v>
      </c>
    </row>
    <row r="42">
      <c r="A42" s="382" t="s">
        <v>190</v>
      </c>
      <c r="B42" s="379">
        <v>1.38E-23</v>
      </c>
      <c r="C42" s="380" t="s">
        <v>67</v>
      </c>
    </row>
    <row r="43">
      <c r="A43" s="382" t="s">
        <v>191</v>
      </c>
      <c r="B43" s="381">
        <v>85.1</v>
      </c>
      <c r="C43" s="382" t="s">
        <v>192</v>
      </c>
    </row>
  </sheetData>
  <hyperlinks>
    <hyperlink r:id="rId1" ref="F1"/>
    <hyperlink r:id="rId2" ref="E21"/>
    <hyperlink r:id="rId3" ref="F21"/>
    <hyperlink r:id="rId4" ref="B28"/>
    <hyperlink r:id="rId5" ref="B29"/>
    <hyperlink r:id="rId6" ref="B30"/>
    <hyperlink r:id="rId7" ref="B31"/>
    <hyperlink r:id="rId8" ref="B3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21.0"/>
    <col customWidth="1" min="3" max="3" width="20.88"/>
    <col customWidth="1" min="4" max="4" width="22.13"/>
    <col customWidth="1" min="5" max="5" width="19.13"/>
  </cols>
  <sheetData>
    <row r="1">
      <c r="A1" s="20" t="s">
        <v>133</v>
      </c>
      <c r="F1" s="321" t="s">
        <v>134</v>
      </c>
    </row>
    <row r="2">
      <c r="A2" s="20" t="s">
        <v>135</v>
      </c>
    </row>
    <row r="3">
      <c r="A3" s="20">
        <v>2.15</v>
      </c>
      <c r="B3" s="20" t="s">
        <v>107</v>
      </c>
      <c r="G3" s="80">
        <f>1/10000</f>
        <v>0.0001</v>
      </c>
    </row>
    <row r="4">
      <c r="B4" s="322" t="s">
        <v>136</v>
      </c>
      <c r="C4" s="322" t="s">
        <v>137</v>
      </c>
      <c r="D4" s="322" t="s">
        <v>138</v>
      </c>
      <c r="E4" s="322" t="s">
        <v>139</v>
      </c>
    </row>
    <row r="5">
      <c r="B5" s="323"/>
      <c r="C5" s="323"/>
      <c r="D5" s="323"/>
      <c r="E5" s="323"/>
    </row>
    <row r="6">
      <c r="A6" s="185"/>
    </row>
    <row r="7">
      <c r="A7" s="185" t="s">
        <v>140</v>
      </c>
    </row>
    <row r="8">
      <c r="A8" s="324" t="s">
        <v>141</v>
      </c>
      <c r="B8" s="325" t="s">
        <v>142</v>
      </c>
      <c r="C8" s="326"/>
      <c r="D8" s="327"/>
    </row>
    <row r="9">
      <c r="A9" s="328" t="s">
        <v>143</v>
      </c>
      <c r="B9" s="329" t="s">
        <v>144</v>
      </c>
      <c r="C9" s="329">
        <v>-29.0</v>
      </c>
      <c r="D9" s="330" t="s">
        <v>145</v>
      </c>
    </row>
    <row r="10">
      <c r="A10" s="331" t="s">
        <v>146</v>
      </c>
      <c r="B10" s="332" t="s">
        <v>147</v>
      </c>
      <c r="C10" s="329">
        <v>-10.0</v>
      </c>
      <c r="D10" s="330" t="s">
        <v>55</v>
      </c>
    </row>
    <row r="11">
      <c r="A11" s="328" t="s">
        <v>148</v>
      </c>
      <c r="B11" s="330" t="s">
        <v>149</v>
      </c>
      <c r="C11" s="329">
        <v>0.0</v>
      </c>
      <c r="D11" s="333"/>
    </row>
    <row r="12">
      <c r="A12" s="334"/>
      <c r="B12" s="333"/>
      <c r="C12" s="329">
        <v>0.0</v>
      </c>
      <c r="D12" s="333"/>
    </row>
    <row r="13">
      <c r="A13" s="334"/>
      <c r="B13" s="333"/>
      <c r="C13" s="329">
        <v>0.0</v>
      </c>
      <c r="D13" s="333"/>
    </row>
    <row r="14">
      <c r="A14" s="334"/>
      <c r="B14" s="333"/>
      <c r="C14" s="329">
        <v>0.0</v>
      </c>
      <c r="D14" s="333"/>
    </row>
    <row r="15">
      <c r="A15" s="335"/>
      <c r="B15" s="336"/>
      <c r="C15" s="329">
        <v>0.0</v>
      </c>
      <c r="D15" s="333"/>
    </row>
    <row r="16">
      <c r="A16" s="337" t="s">
        <v>150</v>
      </c>
      <c r="B16" s="338" t="s">
        <v>151</v>
      </c>
      <c r="C16" s="338">
        <v>6.0</v>
      </c>
      <c r="D16" s="339" t="s">
        <v>17</v>
      </c>
    </row>
    <row r="17">
      <c r="A17" s="20" t="s">
        <v>152</v>
      </c>
      <c r="C17" s="80">
        <f>sum(C9:C16)</f>
        <v>-33</v>
      </c>
    </row>
    <row r="19">
      <c r="A19" s="340" t="s">
        <v>153</v>
      </c>
      <c r="B19" s="341"/>
      <c r="C19" s="342"/>
      <c r="D19" s="342"/>
      <c r="E19" s="343"/>
    </row>
    <row r="20">
      <c r="A20" s="344" t="s">
        <v>141</v>
      </c>
      <c r="B20" s="42" t="s">
        <v>142</v>
      </c>
      <c r="C20" s="110"/>
      <c r="D20" s="42" t="s">
        <v>154</v>
      </c>
      <c r="E20" s="43"/>
    </row>
    <row r="21">
      <c r="A21" s="344" t="s">
        <v>155</v>
      </c>
      <c r="B21" s="42" t="s">
        <v>156</v>
      </c>
      <c r="C21" s="110">
        <f>-2 * 10 * log10(D21)</f>
        <v>-9.542425094</v>
      </c>
      <c r="D21" s="42">
        <f>'Final Powers'!B1</f>
        <v>3</v>
      </c>
      <c r="E21" s="345" t="s">
        <v>157</v>
      </c>
      <c r="F21" s="321" t="s">
        <v>158</v>
      </c>
    </row>
    <row r="22">
      <c r="A22" s="346" t="s">
        <v>159</v>
      </c>
      <c r="B22" s="347" t="s">
        <v>160</v>
      </c>
      <c r="C22" s="348"/>
      <c r="D22" s="348"/>
      <c r="E22" s="349"/>
    </row>
    <row r="24">
      <c r="A24" s="185" t="s">
        <v>161</v>
      </c>
      <c r="G24" s="185" t="s">
        <v>162</v>
      </c>
      <c r="K24" s="384">
        <f>'Final Powers'!G1*293 *B42</f>
        <v>0</v>
      </c>
      <c r="L24" s="20" t="s">
        <v>163</v>
      </c>
    </row>
    <row r="25">
      <c r="A25" s="356" t="s">
        <v>141</v>
      </c>
      <c r="B25" s="356" t="s">
        <v>142</v>
      </c>
      <c r="C25" s="357"/>
      <c r="D25" s="357"/>
      <c r="I25" s="20" t="s">
        <v>164</v>
      </c>
      <c r="J25" s="20" t="s">
        <v>165</v>
      </c>
      <c r="K25" s="20" t="s">
        <v>166</v>
      </c>
    </row>
    <row r="26">
      <c r="A26" s="331" t="s">
        <v>167</v>
      </c>
      <c r="B26" s="361" t="s">
        <v>168</v>
      </c>
      <c r="C26" s="361">
        <v>6.0</v>
      </c>
      <c r="D26" s="332" t="s">
        <v>17</v>
      </c>
      <c r="J26" s="80">
        <f>-130+2*A3</f>
        <v>-125.7</v>
      </c>
      <c r="K26" s="20">
        <f>10 * log10(K24)</f>
        <v>-120.922233</v>
      </c>
    </row>
    <row r="27">
      <c r="A27" s="385" t="s">
        <v>146</v>
      </c>
      <c r="B27" s="63" t="s">
        <v>147</v>
      </c>
      <c r="D27" s="53"/>
      <c r="F27" s="363" t="s">
        <v>169</v>
      </c>
    </row>
    <row r="28">
      <c r="A28" s="386" t="s">
        <v>170</v>
      </c>
      <c r="B28" s="365" t="s">
        <v>171</v>
      </c>
      <c r="C28" s="80">
        <f>-((1.79-1.5)/(2660-2340) * (2400-2340) + 1.5)</f>
        <v>-1.554375</v>
      </c>
      <c r="D28" s="71" t="s">
        <v>55</v>
      </c>
      <c r="E28" s="387" t="s">
        <v>172</v>
      </c>
      <c r="F28" s="367">
        <v>2400.0</v>
      </c>
      <c r="I28" s="80">
        <f>293 *(pow(10, -30/10) - 1)</f>
        <v>-292.707</v>
      </c>
    </row>
    <row r="29">
      <c r="A29" s="386" t="s">
        <v>173</v>
      </c>
      <c r="B29" s="365" t="s">
        <v>174</v>
      </c>
      <c r="C29" s="20">
        <v>36.91</v>
      </c>
      <c r="D29" s="71" t="s">
        <v>55</v>
      </c>
      <c r="E29" s="387" t="s">
        <v>172</v>
      </c>
      <c r="F29" s="367">
        <v>2400.0</v>
      </c>
      <c r="I29" s="80">
        <f>293 *(pow(10, 30/10) - 1)</f>
        <v>292707</v>
      </c>
    </row>
    <row r="30">
      <c r="A30" s="386" t="s">
        <v>175</v>
      </c>
      <c r="B30" s="365" t="s">
        <v>176</v>
      </c>
      <c r="C30" s="80">
        <f>-((5.85-5.46)/(1999.34-1891.65)*(1950-1891.65) +5.46)</f>
        <v>-5.671314885</v>
      </c>
      <c r="D30" s="71" t="s">
        <v>55</v>
      </c>
      <c r="E30" s="387" t="s">
        <v>172</v>
      </c>
      <c r="F30" s="367" t="s">
        <v>198</v>
      </c>
      <c r="I30" s="80">
        <f>293 *(pow(10, -6/10) - 1)</f>
        <v>-219.4017276</v>
      </c>
    </row>
    <row r="31">
      <c r="A31" s="386" t="s">
        <v>173</v>
      </c>
      <c r="B31" s="365" t="s">
        <v>174</v>
      </c>
      <c r="C31" s="80">
        <f>((38.42-37.09)/(550-500)*(450-500) + 37.09)</f>
        <v>35.76</v>
      </c>
      <c r="D31" s="71" t="s">
        <v>55</v>
      </c>
      <c r="E31" s="387" t="s">
        <v>172</v>
      </c>
      <c r="F31" s="367">
        <v>450.0</v>
      </c>
      <c r="I31" s="80">
        <f>293 *(pow(10, 30/10) - 1)</f>
        <v>292707</v>
      </c>
    </row>
    <row r="32">
      <c r="A32" s="386" t="s">
        <v>178</v>
      </c>
      <c r="B32" s="53"/>
      <c r="C32" s="20">
        <v>-20.0</v>
      </c>
      <c r="D32" s="71" t="s">
        <v>55</v>
      </c>
      <c r="E32" s="185" t="s">
        <v>179</v>
      </c>
      <c r="F32" s="367">
        <v>450.0</v>
      </c>
      <c r="I32" s="80">
        <f>293 *(pow(10, -5/10) - 1)</f>
        <v>-200.3452646</v>
      </c>
    </row>
    <row r="33">
      <c r="A33" s="386" t="s">
        <v>175</v>
      </c>
      <c r="B33" s="365" t="s">
        <v>176</v>
      </c>
      <c r="C33" s="80">
        <f>-((5.25-5.68)/(437.8-330.11)*(300-330.11) + 5.68)</f>
        <v>-5.800227505</v>
      </c>
      <c r="D33" s="71" t="s">
        <v>55</v>
      </c>
      <c r="E33" s="387" t="s">
        <v>172</v>
      </c>
      <c r="F33" s="367" t="s">
        <v>199</v>
      </c>
      <c r="I33" s="80">
        <f>293 *(pow(10, -6/10) - 1)</f>
        <v>-219.4017276</v>
      </c>
    </row>
    <row r="34">
      <c r="A34" s="155"/>
      <c r="B34" s="156"/>
      <c r="D34" s="53"/>
      <c r="F34" s="367">
        <v>150.0</v>
      </c>
    </row>
    <row r="35">
      <c r="A35" s="159" t="s">
        <v>182</v>
      </c>
      <c r="B35" s="83" t="s">
        <v>183</v>
      </c>
      <c r="C35" s="88"/>
      <c r="D35" s="156"/>
      <c r="G35" s="20" t="s">
        <v>184</v>
      </c>
      <c r="J35" s="388">
        <f>J26+sum(C28:C33)</f>
        <v>-86.05591739</v>
      </c>
      <c r="K35" s="389">
        <f>K26+sum(C28:C33)</f>
        <v>-81.27815037</v>
      </c>
    </row>
    <row r="36">
      <c r="A36" s="20" t="s">
        <v>185</v>
      </c>
      <c r="B36" s="20" t="s">
        <v>186</v>
      </c>
      <c r="C36" s="80">
        <f>sum(C17, C21,C26:C33)</f>
        <v>3.101657515</v>
      </c>
    </row>
    <row r="37">
      <c r="A37" s="20" t="s">
        <v>187</v>
      </c>
      <c r="C37" s="110">
        <f>sum(C28:C33)</f>
        <v>39.64408261</v>
      </c>
    </row>
    <row r="39">
      <c r="A39" s="185" t="s">
        <v>101</v>
      </c>
    </row>
    <row r="40">
      <c r="A40" s="356" t="s">
        <v>141</v>
      </c>
      <c r="B40" s="356" t="s">
        <v>142</v>
      </c>
      <c r="C40" s="357"/>
      <c r="D40" s="357"/>
    </row>
    <row r="41">
      <c r="A41" s="20" t="s">
        <v>189</v>
      </c>
    </row>
    <row r="42">
      <c r="A42" s="382" t="s">
        <v>190</v>
      </c>
      <c r="B42" s="379">
        <v>1.38E-23</v>
      </c>
      <c r="C42" s="380" t="s">
        <v>67</v>
      </c>
    </row>
    <row r="43">
      <c r="A43" s="382" t="s">
        <v>191</v>
      </c>
      <c r="B43" s="381">
        <v>85.1</v>
      </c>
      <c r="C43" s="382" t="s">
        <v>192</v>
      </c>
    </row>
  </sheetData>
  <hyperlinks>
    <hyperlink r:id="rId1" ref="F1"/>
    <hyperlink r:id="rId2" ref="E21"/>
    <hyperlink r:id="rId3" ref="F21"/>
    <hyperlink r:id="rId4" ref="B28"/>
    <hyperlink r:id="rId5" ref="B29"/>
    <hyperlink r:id="rId6" ref="B30"/>
    <hyperlink r:id="rId7" ref="B31"/>
    <hyperlink r:id="rId8" ref="B33"/>
  </hyperlinks>
  <drawing r:id="rId9"/>
</worksheet>
</file>